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192.168.2.20\docs\Pagaidu dokumenti\Renovācija_iepirkums\Altum_iepirkumi\99_Lenu_2\"/>
    </mc:Choice>
  </mc:AlternateContent>
  <xr:revisionPtr revIDLastSave="0" documentId="13_ncr:1_{B942DBE4-8BAD-41A8-962A-379559CA6F82}" xr6:coauthVersionLast="47" xr6:coauthVersionMax="47" xr10:uidLastSave="{00000000-0000-0000-0000-000000000000}"/>
  <bookViews>
    <workbookView xWindow="-120" yWindow="-120" windowWidth="29040" windowHeight="15840" tabRatio="581" activeTab="2" xr2:uid="{00000000-000D-0000-FFFF-FFFF00000000}"/>
  </bookViews>
  <sheets>
    <sheet name="Kopt a" sheetId="1" r:id="rId1"/>
    <sheet name="Kops a" sheetId="2" r:id="rId2"/>
    <sheet name="1a" sheetId="3" r:id="rId3"/>
    <sheet name="2a" sheetId="4" r:id="rId4"/>
    <sheet name="3a" sheetId="6" r:id="rId5"/>
    <sheet name="apjomi" sheetId="33" state="hidden" r:id="rId6"/>
    <sheet name="4a" sheetId="7" r:id="rId7"/>
    <sheet name="5a" sheetId="8" r:id="rId8"/>
    <sheet name="6a" sheetId="34" r:id="rId9"/>
    <sheet name="7a" sheetId="35" r:id="rId10"/>
    <sheet name="8a" sheetId="36" r:id="rId11"/>
    <sheet name="9a" sheetId="37" r:id="rId12"/>
    <sheet name="10a" sheetId="38" r:id="rId13"/>
    <sheet name="11a" sheetId="44" r:id="rId14"/>
    <sheet name="12a" sheetId="40" r:id="rId15"/>
  </sheets>
  <definedNames>
    <definedName name="_xlnm._FilterDatabase" localSheetId="2" hidden="1">'1a'!$A$14:$AHX$91</definedName>
    <definedName name="_xlnm.Print_Area" localSheetId="12">'10a'!$A$1:$P$102</definedName>
    <definedName name="_xlnm.Print_Area" localSheetId="13">'11a'!$A$1:$P$36</definedName>
    <definedName name="_xlnm.Print_Area" localSheetId="14">'12a'!$A$1:$P$66</definedName>
    <definedName name="_xlnm.Print_Area" localSheetId="3">'2a'!$A$1:$P$78</definedName>
    <definedName name="_xlnm.Print_Area" localSheetId="4">'3a'!$A$1:$P$88</definedName>
    <definedName name="_xlnm.Print_Area" localSheetId="7">'5a'!$A$1:$P$53</definedName>
    <definedName name="_xlnm.Print_Area" localSheetId="5">apjomi!$A$1:$V$55</definedName>
    <definedName name="sas">'Kopt a'!$B$25</definedName>
    <definedName name="sert.nr">'Kopt a'!$B$28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33" i="2" l="1"/>
  <c r="E32" i="2"/>
  <c r="L14" i="3"/>
  <c r="H16" i="3"/>
  <c r="K16" i="3" s="1"/>
  <c r="H17" i="3"/>
  <c r="K17" i="3" s="1"/>
  <c r="H18" i="3"/>
  <c r="M18" i="3" s="1"/>
  <c r="L18" i="3"/>
  <c r="N18" i="3"/>
  <c r="O18" i="3"/>
  <c r="H19" i="3"/>
  <c r="K19" i="3"/>
  <c r="H20" i="3"/>
  <c r="K20" i="3"/>
  <c r="L20" i="3"/>
  <c r="M20" i="3"/>
  <c r="P20" i="3" s="1"/>
  <c r="N20" i="3"/>
  <c r="O20" i="3"/>
  <c r="H21" i="3"/>
  <c r="K21" i="3"/>
  <c r="L21" i="3"/>
  <c r="M21" i="3"/>
  <c r="N21" i="3"/>
  <c r="O21" i="3"/>
  <c r="H22" i="3"/>
  <c r="K22" i="3"/>
  <c r="L22" i="3"/>
  <c r="M22" i="3"/>
  <c r="N22" i="3"/>
  <c r="O22" i="3"/>
  <c r="H23" i="3"/>
  <c r="K23" i="3" s="1"/>
  <c r="L23" i="3"/>
  <c r="N23" i="3"/>
  <c r="O23" i="3"/>
  <c r="H24" i="3"/>
  <c r="K24" i="3" s="1"/>
  <c r="L24" i="3"/>
  <c r="N24" i="3"/>
  <c r="O24" i="3"/>
  <c r="H25" i="3"/>
  <c r="K25" i="3"/>
  <c r="H26" i="3"/>
  <c r="H27" i="3"/>
  <c r="H28" i="3"/>
  <c r="M28" i="3" s="1"/>
  <c r="P28" i="3" s="1"/>
  <c r="L28" i="3"/>
  <c r="N28" i="3"/>
  <c r="O28" i="3"/>
  <c r="H29" i="3"/>
  <c r="L29" i="3"/>
  <c r="N29" i="3"/>
  <c r="O29" i="3"/>
  <c r="H30" i="3"/>
  <c r="M30" i="3" s="1"/>
  <c r="L30" i="3"/>
  <c r="N30" i="3"/>
  <c r="O30" i="3"/>
  <c r="H31" i="3"/>
  <c r="K31" i="3" s="1"/>
  <c r="L31" i="3"/>
  <c r="N31" i="3"/>
  <c r="O31" i="3"/>
  <c r="H32" i="3"/>
  <c r="K32" i="3" s="1"/>
  <c r="L32" i="3"/>
  <c r="N32" i="3"/>
  <c r="O32" i="3"/>
  <c r="H33" i="3"/>
  <c r="H34" i="3"/>
  <c r="H35" i="3"/>
  <c r="K35" i="3" s="1"/>
  <c r="L35" i="3"/>
  <c r="M35" i="3"/>
  <c r="P35" i="3" s="1"/>
  <c r="N35" i="3"/>
  <c r="O35" i="3"/>
  <c r="H36" i="3"/>
  <c r="K36" i="3"/>
  <c r="H37" i="3"/>
  <c r="K37" i="3" s="1"/>
  <c r="L37" i="3"/>
  <c r="N37" i="3"/>
  <c r="O37" i="3"/>
  <c r="H38" i="3"/>
  <c r="K38" i="3" s="1"/>
  <c r="L38" i="3"/>
  <c r="M38" i="3"/>
  <c r="N38" i="3"/>
  <c r="O38" i="3"/>
  <c r="H39" i="3"/>
  <c r="K39" i="3" s="1"/>
  <c r="L39" i="3"/>
  <c r="N39" i="3"/>
  <c r="O39" i="3"/>
  <c r="H40" i="3"/>
  <c r="K40" i="3" s="1"/>
  <c r="L40" i="3"/>
  <c r="N40" i="3"/>
  <c r="O40" i="3"/>
  <c r="H41" i="3"/>
  <c r="H42" i="3"/>
  <c r="H43" i="3"/>
  <c r="K43" i="3" s="1"/>
  <c r="H44" i="3"/>
  <c r="K44" i="3"/>
  <c r="H45" i="3"/>
  <c r="K45" i="3" s="1"/>
  <c r="H46" i="3"/>
  <c r="K46" i="3" s="1"/>
  <c r="H47" i="3"/>
  <c r="K47" i="3" s="1"/>
  <c r="L47" i="3"/>
  <c r="N47" i="3"/>
  <c r="O47" i="3"/>
  <c r="H48" i="3"/>
  <c r="K48" i="3" s="1"/>
  <c r="L48" i="3"/>
  <c r="N48" i="3"/>
  <c r="O48" i="3"/>
  <c r="H49" i="3"/>
  <c r="H50" i="3"/>
  <c r="H51" i="3"/>
  <c r="K51" i="3" s="1"/>
  <c r="H52" i="3"/>
  <c r="K52" i="3"/>
  <c r="H53" i="3"/>
  <c r="K53" i="3" s="1"/>
  <c r="H54" i="3"/>
  <c r="K54" i="3" s="1"/>
  <c r="H55" i="3"/>
  <c r="K55" i="3" s="1"/>
  <c r="L55" i="3"/>
  <c r="N55" i="3"/>
  <c r="O55" i="3"/>
  <c r="H56" i="3"/>
  <c r="K56" i="3" s="1"/>
  <c r="L56" i="3"/>
  <c r="N56" i="3"/>
  <c r="O56" i="3"/>
  <c r="H57" i="3"/>
  <c r="H58" i="3"/>
  <c r="H59" i="3"/>
  <c r="K59" i="3" s="1"/>
  <c r="H60" i="3"/>
  <c r="K60" i="3"/>
  <c r="H61" i="3"/>
  <c r="K61" i="3" s="1"/>
  <c r="L61" i="3"/>
  <c r="N61" i="3"/>
  <c r="O61" i="3"/>
  <c r="H62" i="3"/>
  <c r="K62" i="3" s="1"/>
  <c r="H63" i="3"/>
  <c r="K63" i="3" s="1"/>
  <c r="H64" i="3"/>
  <c r="K64" i="3" s="1"/>
  <c r="L64" i="3"/>
  <c r="N64" i="3"/>
  <c r="O64" i="3"/>
  <c r="H65" i="3"/>
  <c r="H66" i="3"/>
  <c r="H67" i="3"/>
  <c r="K67" i="3" s="1"/>
  <c r="L67" i="3"/>
  <c r="M67" i="3"/>
  <c r="P67" i="3" s="1"/>
  <c r="N67" i="3"/>
  <c r="O67" i="3"/>
  <c r="H68" i="3"/>
  <c r="K68" i="3"/>
  <c r="L68" i="3"/>
  <c r="M68" i="3"/>
  <c r="N68" i="3"/>
  <c r="O68" i="3"/>
  <c r="H69" i="3"/>
  <c r="K69" i="3" s="1"/>
  <c r="H70" i="3"/>
  <c r="K70" i="3" s="1"/>
  <c r="H71" i="3"/>
  <c r="K71" i="3" s="1"/>
  <c r="L71" i="3"/>
  <c r="N71" i="3"/>
  <c r="O71" i="3"/>
  <c r="H72" i="3"/>
  <c r="K72" i="3" s="1"/>
  <c r="L72" i="3"/>
  <c r="N72" i="3"/>
  <c r="O72" i="3"/>
  <c r="H73" i="3"/>
  <c r="L73" i="3"/>
  <c r="N73" i="3"/>
  <c r="O73" i="3"/>
  <c r="H74" i="3"/>
  <c r="H75" i="3"/>
  <c r="K75" i="3" s="1"/>
  <c r="L75" i="3"/>
  <c r="M75" i="3"/>
  <c r="P75" i="3" s="1"/>
  <c r="N75" i="3"/>
  <c r="O75" i="3"/>
  <c r="H76" i="3"/>
  <c r="K76" i="3"/>
  <c r="L76" i="3"/>
  <c r="M76" i="3"/>
  <c r="N76" i="3"/>
  <c r="O76" i="3"/>
  <c r="H77" i="3"/>
  <c r="K77" i="3" s="1"/>
  <c r="L77" i="3"/>
  <c r="N77" i="3"/>
  <c r="O77" i="3"/>
  <c r="H78" i="3"/>
  <c r="K78" i="3" s="1"/>
  <c r="L78" i="3"/>
  <c r="M78" i="3"/>
  <c r="N78" i="3"/>
  <c r="O78" i="3"/>
  <c r="H79" i="3"/>
  <c r="K79" i="3" s="1"/>
  <c r="L79" i="3"/>
  <c r="N79" i="3"/>
  <c r="O79" i="3"/>
  <c r="H80" i="3"/>
  <c r="K80" i="3" s="1"/>
  <c r="L80" i="3"/>
  <c r="N80" i="3"/>
  <c r="O80" i="3"/>
  <c r="H81" i="3"/>
  <c r="L81" i="3"/>
  <c r="N81" i="3"/>
  <c r="O81" i="3"/>
  <c r="H82" i="3"/>
  <c r="M82" i="3" s="1"/>
  <c r="L82" i="3"/>
  <c r="N82" i="3"/>
  <c r="O82" i="3"/>
  <c r="H83" i="3"/>
  <c r="K83" i="3" s="1"/>
  <c r="H16" i="4"/>
  <c r="K16" i="4" s="1"/>
  <c r="H17" i="4"/>
  <c r="K17" i="4" s="1"/>
  <c r="L17" i="4"/>
  <c r="N17" i="4"/>
  <c r="O17" i="4"/>
  <c r="H18" i="4"/>
  <c r="M18" i="4" s="1"/>
  <c r="L18" i="4"/>
  <c r="N18" i="4"/>
  <c r="O18" i="4"/>
  <c r="H19" i="4"/>
  <c r="K19" i="4"/>
  <c r="L19" i="4"/>
  <c r="M19" i="4"/>
  <c r="N19" i="4"/>
  <c r="O19" i="4"/>
  <c r="H20" i="4"/>
  <c r="K20" i="4" s="1"/>
  <c r="L20" i="4"/>
  <c r="N20" i="4"/>
  <c r="O20" i="4"/>
  <c r="H21" i="4"/>
  <c r="K21" i="4" s="1"/>
  <c r="H22" i="4"/>
  <c r="K22" i="4"/>
  <c r="H23" i="4"/>
  <c r="H24" i="4"/>
  <c r="K24" i="4" s="1"/>
  <c r="H25" i="4"/>
  <c r="K25" i="4" s="1"/>
  <c r="L25" i="4"/>
  <c r="N25" i="4"/>
  <c r="O25" i="4"/>
  <c r="H26" i="4"/>
  <c r="M26" i="4" s="1"/>
  <c r="K26" i="4"/>
  <c r="L26" i="4"/>
  <c r="N26" i="4"/>
  <c r="O26" i="4"/>
  <c r="H27" i="4"/>
  <c r="H28" i="4"/>
  <c r="K28" i="4" s="1"/>
  <c r="H29" i="4"/>
  <c r="K29" i="4"/>
  <c r="H30" i="4"/>
  <c r="L30" i="4"/>
  <c r="N30" i="4"/>
  <c r="O30" i="4"/>
  <c r="H31" i="4"/>
  <c r="K31" i="4"/>
  <c r="H32" i="4"/>
  <c r="K32" i="4" s="1"/>
  <c r="H33" i="4"/>
  <c r="K33" i="4" s="1"/>
  <c r="H34" i="4"/>
  <c r="L34" i="4"/>
  <c r="N34" i="4"/>
  <c r="O34" i="4"/>
  <c r="H35" i="4"/>
  <c r="K35" i="4"/>
  <c r="L35" i="4"/>
  <c r="M35" i="4"/>
  <c r="P35" i="4" s="1"/>
  <c r="N35" i="4"/>
  <c r="O35" i="4"/>
  <c r="H36" i="4"/>
  <c r="K36" i="4" s="1"/>
  <c r="L36" i="4"/>
  <c r="M36" i="4"/>
  <c r="N36" i="4"/>
  <c r="O36" i="4"/>
  <c r="H37" i="4"/>
  <c r="H38" i="4"/>
  <c r="H39" i="4"/>
  <c r="K39" i="4" s="1"/>
  <c r="H40" i="4"/>
  <c r="K40" i="4" s="1"/>
  <c r="H41" i="4"/>
  <c r="K41" i="4" s="1"/>
  <c r="L41" i="4"/>
  <c r="N41" i="4"/>
  <c r="O41" i="4"/>
  <c r="H42" i="4"/>
  <c r="K42" i="4"/>
  <c r="H43" i="4"/>
  <c r="K43" i="4" s="1"/>
  <c r="H44" i="4"/>
  <c r="K44" i="4" s="1"/>
  <c r="L44" i="4"/>
  <c r="N44" i="4"/>
  <c r="O44" i="4"/>
  <c r="H45" i="4"/>
  <c r="M45" i="4" s="1"/>
  <c r="L45" i="4"/>
  <c r="N45" i="4"/>
  <c r="O45" i="4"/>
  <c r="H46" i="4"/>
  <c r="H47" i="4"/>
  <c r="K47" i="4"/>
  <c r="H48" i="4"/>
  <c r="K48" i="4" s="1"/>
  <c r="H49" i="4"/>
  <c r="K49" i="4" s="1"/>
  <c r="H50" i="4"/>
  <c r="H51" i="4"/>
  <c r="K51" i="4"/>
  <c r="H52" i="4"/>
  <c r="K52" i="4" s="1"/>
  <c r="H53" i="4"/>
  <c r="H54" i="4"/>
  <c r="K54" i="4"/>
  <c r="H55" i="4"/>
  <c r="M55" i="4" s="1"/>
  <c r="P55" i="4" s="1"/>
  <c r="K55" i="4"/>
  <c r="L55" i="4"/>
  <c r="N55" i="4"/>
  <c r="O55" i="4"/>
  <c r="H56" i="4"/>
  <c r="K56" i="4" s="1"/>
  <c r="H57" i="4"/>
  <c r="K57" i="4" s="1"/>
  <c r="L57" i="4"/>
  <c r="N57" i="4"/>
  <c r="O57" i="4"/>
  <c r="H58" i="4"/>
  <c r="M58" i="4" s="1"/>
  <c r="K58" i="4"/>
  <c r="L58" i="4"/>
  <c r="N58" i="4"/>
  <c r="O58" i="4"/>
  <c r="H59" i="4"/>
  <c r="K59" i="4"/>
  <c r="H60" i="4"/>
  <c r="K60" i="4" s="1"/>
  <c r="H61" i="4"/>
  <c r="M61" i="4" s="1"/>
  <c r="K61" i="4"/>
  <c r="L61" i="4"/>
  <c r="N61" i="4"/>
  <c r="O61" i="4"/>
  <c r="H62" i="4"/>
  <c r="K62" i="4"/>
  <c r="H63" i="4"/>
  <c r="M63" i="4" s="1"/>
  <c r="P63" i="4" s="1"/>
  <c r="L63" i="4"/>
  <c r="N63" i="4"/>
  <c r="O63" i="4"/>
  <c r="H64" i="4"/>
  <c r="K64" i="4" s="1"/>
  <c r="H65" i="4"/>
  <c r="K65" i="4" s="1"/>
  <c r="H66" i="4"/>
  <c r="K66" i="4"/>
  <c r="H16" i="6"/>
  <c r="K16" i="6" s="1"/>
  <c r="L16" i="6"/>
  <c r="N16" i="6"/>
  <c r="O16" i="6"/>
  <c r="H17" i="6"/>
  <c r="K17" i="6" s="1"/>
  <c r="L17" i="6"/>
  <c r="N17" i="6"/>
  <c r="O17" i="6"/>
  <c r="H18" i="6"/>
  <c r="M18" i="6" s="1"/>
  <c r="L18" i="6"/>
  <c r="N18" i="6"/>
  <c r="O18" i="6"/>
  <c r="H19" i="6"/>
  <c r="K19" i="6" s="1"/>
  <c r="L19" i="6"/>
  <c r="M19" i="6"/>
  <c r="P19" i="6" s="1"/>
  <c r="N19" i="6"/>
  <c r="O19" i="6"/>
  <c r="H20" i="6"/>
  <c r="K20" i="6" s="1"/>
  <c r="L20" i="6"/>
  <c r="M20" i="6"/>
  <c r="P20" i="6" s="1"/>
  <c r="N20" i="6"/>
  <c r="O20" i="6"/>
  <c r="H21" i="6"/>
  <c r="M21" i="6" s="1"/>
  <c r="L21" i="6"/>
  <c r="N21" i="6"/>
  <c r="O21" i="6"/>
  <c r="H22" i="6"/>
  <c r="M22" i="6" s="1"/>
  <c r="L22" i="6"/>
  <c r="N22" i="6"/>
  <c r="O22" i="6"/>
  <c r="H23" i="6"/>
  <c r="K23" i="6"/>
  <c r="L23" i="6"/>
  <c r="M23" i="6"/>
  <c r="N23" i="6"/>
  <c r="O23" i="6"/>
  <c r="P23" i="6"/>
  <c r="H24" i="6"/>
  <c r="K24" i="6" s="1"/>
  <c r="L24" i="6"/>
  <c r="N24" i="6"/>
  <c r="O24" i="6"/>
  <c r="H25" i="6"/>
  <c r="K25" i="6" s="1"/>
  <c r="L25" i="6"/>
  <c r="N25" i="6"/>
  <c r="O25" i="6"/>
  <c r="H26" i="6"/>
  <c r="M26" i="6" s="1"/>
  <c r="L26" i="6"/>
  <c r="N26" i="6"/>
  <c r="O26" i="6"/>
  <c r="H27" i="6"/>
  <c r="K27" i="6" s="1"/>
  <c r="H28" i="6"/>
  <c r="K28" i="6" s="1"/>
  <c r="H29" i="6"/>
  <c r="H30" i="6"/>
  <c r="K30" i="6" s="1"/>
  <c r="H31" i="6"/>
  <c r="K31" i="6"/>
  <c r="H32" i="6"/>
  <c r="K32" i="6" s="1"/>
  <c r="H33" i="6"/>
  <c r="K33" i="6" s="1"/>
  <c r="H34" i="6"/>
  <c r="M34" i="6" s="1"/>
  <c r="L34" i="6"/>
  <c r="N34" i="6"/>
  <c r="O34" i="6"/>
  <c r="H35" i="6"/>
  <c r="K35" i="6"/>
  <c r="L35" i="6"/>
  <c r="M35" i="6"/>
  <c r="P35" i="6" s="1"/>
  <c r="N35" i="6"/>
  <c r="O35" i="6"/>
  <c r="H36" i="6"/>
  <c r="K36" i="6" s="1"/>
  <c r="L36" i="6"/>
  <c r="N36" i="6"/>
  <c r="O36" i="6"/>
  <c r="H37" i="6"/>
  <c r="M37" i="6" s="1"/>
  <c r="L37" i="6"/>
  <c r="N37" i="6"/>
  <c r="O37" i="6"/>
  <c r="H38" i="6"/>
  <c r="M38" i="6" s="1"/>
  <c r="K38" i="6"/>
  <c r="L38" i="6"/>
  <c r="N38" i="6"/>
  <c r="O38" i="6"/>
  <c r="H39" i="6"/>
  <c r="M39" i="6" s="1"/>
  <c r="P39" i="6" s="1"/>
  <c r="L39" i="6"/>
  <c r="N39" i="6"/>
  <c r="O39" i="6"/>
  <c r="H40" i="6"/>
  <c r="K40" i="6" s="1"/>
  <c r="L40" i="6"/>
  <c r="N40" i="6"/>
  <c r="O40" i="6"/>
  <c r="H41" i="6"/>
  <c r="K41" i="6" s="1"/>
  <c r="L41" i="6"/>
  <c r="N41" i="6"/>
  <c r="O41" i="6"/>
  <c r="H42" i="6"/>
  <c r="M42" i="6" s="1"/>
  <c r="K42" i="6"/>
  <c r="L42" i="6"/>
  <c r="N42" i="6"/>
  <c r="O42" i="6"/>
  <c r="H43" i="6"/>
  <c r="M43" i="6" s="1"/>
  <c r="P43" i="6" s="1"/>
  <c r="K43" i="6"/>
  <c r="L43" i="6"/>
  <c r="N43" i="6"/>
  <c r="O43" i="6"/>
  <c r="H44" i="6"/>
  <c r="K44" i="6" s="1"/>
  <c r="L44" i="6"/>
  <c r="N44" i="6"/>
  <c r="O44" i="6"/>
  <c r="H45" i="6"/>
  <c r="M45" i="6" s="1"/>
  <c r="K45" i="6"/>
  <c r="L45" i="6"/>
  <c r="N45" i="6"/>
  <c r="O45" i="6"/>
  <c r="H46" i="6"/>
  <c r="M46" i="6" s="1"/>
  <c r="L46" i="6"/>
  <c r="N46" i="6"/>
  <c r="O46" i="6"/>
  <c r="H47" i="6"/>
  <c r="K47" i="6"/>
  <c r="L47" i="6"/>
  <c r="M47" i="6"/>
  <c r="P47" i="6" s="1"/>
  <c r="N47" i="6"/>
  <c r="O47" i="6"/>
  <c r="H48" i="6"/>
  <c r="K48" i="6" s="1"/>
  <c r="L48" i="6"/>
  <c r="N48" i="6"/>
  <c r="O48" i="6"/>
  <c r="H49" i="6"/>
  <c r="K49" i="6" s="1"/>
  <c r="L49" i="6"/>
  <c r="N49" i="6"/>
  <c r="O49" i="6"/>
  <c r="H50" i="6"/>
  <c r="K50" i="6" s="1"/>
  <c r="H51" i="6"/>
  <c r="K51" i="6"/>
  <c r="H52" i="6"/>
  <c r="K52" i="6" s="1"/>
  <c r="H53" i="6"/>
  <c r="K53" i="6" s="1"/>
  <c r="H54" i="6"/>
  <c r="K54" i="6"/>
  <c r="H55" i="6"/>
  <c r="K55" i="6" s="1"/>
  <c r="L55" i="6"/>
  <c r="N55" i="6"/>
  <c r="O55" i="6"/>
  <c r="H56" i="6"/>
  <c r="K56" i="6" s="1"/>
  <c r="L56" i="6"/>
  <c r="N56" i="6"/>
  <c r="O56" i="6"/>
  <c r="H57" i="6"/>
  <c r="K57" i="6" s="1"/>
  <c r="L57" i="6"/>
  <c r="N57" i="6"/>
  <c r="O57" i="6"/>
  <c r="H58" i="6"/>
  <c r="M58" i="6" s="1"/>
  <c r="L58" i="6"/>
  <c r="N58" i="6"/>
  <c r="O58" i="6"/>
  <c r="H59" i="6"/>
  <c r="K59" i="6" s="1"/>
  <c r="L59" i="6"/>
  <c r="M59" i="6"/>
  <c r="P59" i="6" s="1"/>
  <c r="N59" i="6"/>
  <c r="O59" i="6"/>
  <c r="H60" i="6"/>
  <c r="K60" i="6" s="1"/>
  <c r="H61" i="6"/>
  <c r="H62" i="6"/>
  <c r="K62" i="6" s="1"/>
  <c r="H63" i="6"/>
  <c r="K63" i="6"/>
  <c r="H64" i="6"/>
  <c r="K64" i="6" s="1"/>
  <c r="H65" i="6"/>
  <c r="K65" i="6" s="1"/>
  <c r="H66" i="6"/>
  <c r="M66" i="6" s="1"/>
  <c r="L66" i="6"/>
  <c r="N66" i="6"/>
  <c r="O66" i="6"/>
  <c r="H67" i="6"/>
  <c r="K67" i="6"/>
  <c r="L67" i="6"/>
  <c r="M67" i="6"/>
  <c r="P67" i="6" s="1"/>
  <c r="N67" i="6"/>
  <c r="O67" i="6"/>
  <c r="H68" i="6"/>
  <c r="K68" i="6" s="1"/>
  <c r="L68" i="6"/>
  <c r="N68" i="6"/>
  <c r="O68" i="6"/>
  <c r="H69" i="6"/>
  <c r="M69" i="6" s="1"/>
  <c r="L69" i="6"/>
  <c r="N69" i="6"/>
  <c r="O69" i="6"/>
  <c r="H70" i="6"/>
  <c r="M70" i="6" s="1"/>
  <c r="K70" i="6"/>
  <c r="L70" i="6"/>
  <c r="N70" i="6"/>
  <c r="O70" i="6"/>
  <c r="H71" i="6"/>
  <c r="K71" i="6"/>
  <c r="H72" i="6"/>
  <c r="K72" i="6" s="1"/>
  <c r="H73" i="6"/>
  <c r="K73" i="6" s="1"/>
  <c r="H74" i="6"/>
  <c r="K74" i="6"/>
  <c r="H75" i="6"/>
  <c r="H76" i="6"/>
  <c r="K76" i="6" s="1"/>
  <c r="H16" i="7"/>
  <c r="K16" i="7" s="1"/>
  <c r="H17" i="7"/>
  <c r="K17" i="7" s="1"/>
  <c r="H18" i="7"/>
  <c r="H19" i="7"/>
  <c r="M19" i="7" s="1"/>
  <c r="K19" i="7"/>
  <c r="L19" i="7"/>
  <c r="N19" i="7"/>
  <c r="O19" i="7"/>
  <c r="H20" i="7"/>
  <c r="H17" i="8"/>
  <c r="K17" i="8" s="1"/>
  <c r="H18" i="8"/>
  <c r="K18" i="8" s="1"/>
  <c r="H19" i="8"/>
  <c r="K19" i="8"/>
  <c r="H20" i="8"/>
  <c r="M20" i="8" s="1"/>
  <c r="P20" i="8" s="1"/>
  <c r="L20" i="8"/>
  <c r="N20" i="8"/>
  <c r="O20" i="8"/>
  <c r="H21" i="8"/>
  <c r="K21" i="8" s="1"/>
  <c r="H22" i="8"/>
  <c r="K22" i="8" s="1"/>
  <c r="H23" i="8"/>
  <c r="K23" i="8"/>
  <c r="H24" i="8"/>
  <c r="K24" i="8" s="1"/>
  <c r="H25" i="8"/>
  <c r="L25" i="8"/>
  <c r="N25" i="8"/>
  <c r="O25" i="8"/>
  <c r="H26" i="8"/>
  <c r="K26" i="8" s="1"/>
  <c r="L26" i="8"/>
  <c r="N26" i="8"/>
  <c r="O26" i="8"/>
  <c r="H27" i="8"/>
  <c r="K27" i="8" s="1"/>
  <c r="H28" i="8"/>
  <c r="H29" i="8"/>
  <c r="K29" i="8" s="1"/>
  <c r="H30" i="8"/>
  <c r="K30" i="8" s="1"/>
  <c r="L30" i="8"/>
  <c r="N30" i="8"/>
  <c r="O30" i="8"/>
  <c r="H31" i="8"/>
  <c r="K31" i="8" s="1"/>
  <c r="H32" i="8"/>
  <c r="K32" i="8" s="1"/>
  <c r="H33" i="8"/>
  <c r="K33" i="8" s="1"/>
  <c r="H34" i="8"/>
  <c r="K34" i="8" s="1"/>
  <c r="H35" i="8"/>
  <c r="M35" i="8" s="1"/>
  <c r="P35" i="8" s="1"/>
  <c r="K35" i="8"/>
  <c r="L35" i="8"/>
  <c r="N35" i="8"/>
  <c r="O35" i="8"/>
  <c r="H36" i="8"/>
  <c r="M36" i="8" s="1"/>
  <c r="L36" i="8"/>
  <c r="N36" i="8"/>
  <c r="O36" i="8"/>
  <c r="H37" i="8"/>
  <c r="K37" i="8" s="1"/>
  <c r="L37" i="8"/>
  <c r="M37" i="8"/>
  <c r="P37" i="8" s="1"/>
  <c r="N37" i="8"/>
  <c r="O37" i="8"/>
  <c r="H38" i="8"/>
  <c r="K38" i="8" s="1"/>
  <c r="L38" i="8"/>
  <c r="N38" i="8"/>
  <c r="O38" i="8"/>
  <c r="H39" i="8"/>
  <c r="K39" i="8"/>
  <c r="L39" i="8"/>
  <c r="M39" i="8"/>
  <c r="N39" i="8"/>
  <c r="O39" i="8"/>
  <c r="H40" i="8"/>
  <c r="K40" i="8" s="1"/>
  <c r="H16" i="34"/>
  <c r="K16" i="34" s="1"/>
  <c r="L16" i="34"/>
  <c r="N16" i="34"/>
  <c r="O16" i="34"/>
  <c r="H17" i="34"/>
  <c r="K17" i="34" s="1"/>
  <c r="L17" i="34"/>
  <c r="N17" i="34"/>
  <c r="O17" i="34"/>
  <c r="H18" i="34"/>
  <c r="H19" i="34"/>
  <c r="K19" i="34" s="1"/>
  <c r="H20" i="34"/>
  <c r="K20" i="34" s="1"/>
  <c r="L20" i="34"/>
  <c r="M20" i="34"/>
  <c r="P20" i="34" s="1"/>
  <c r="N20" i="34"/>
  <c r="O20" i="34"/>
  <c r="H21" i="34"/>
  <c r="K21" i="34" s="1"/>
  <c r="H22" i="34"/>
  <c r="K22" i="34" s="1"/>
  <c r="L22" i="34"/>
  <c r="N22" i="34"/>
  <c r="O22" i="34"/>
  <c r="H23" i="34"/>
  <c r="K23" i="34" s="1"/>
  <c r="L23" i="34"/>
  <c r="M23" i="34"/>
  <c r="N23" i="34"/>
  <c r="O23" i="34"/>
  <c r="P23" i="34"/>
  <c r="H24" i="34"/>
  <c r="K24" i="34" s="1"/>
  <c r="L24" i="34"/>
  <c r="N24" i="34"/>
  <c r="O24" i="34"/>
  <c r="H25" i="34"/>
  <c r="K25" i="34" s="1"/>
  <c r="H26" i="34"/>
  <c r="M26" i="34" s="1"/>
  <c r="L26" i="34"/>
  <c r="N26" i="34"/>
  <c r="O26" i="34"/>
  <c r="H27" i="34"/>
  <c r="M27" i="34" s="1"/>
  <c r="L27" i="34"/>
  <c r="N27" i="34"/>
  <c r="O27" i="34"/>
  <c r="H28" i="34"/>
  <c r="K28" i="34"/>
  <c r="L28" i="34"/>
  <c r="M28" i="34"/>
  <c r="N28" i="34"/>
  <c r="O28" i="34"/>
  <c r="H29" i="34"/>
  <c r="K29" i="34" s="1"/>
  <c r="L29" i="34"/>
  <c r="N29" i="34"/>
  <c r="O29" i="34"/>
  <c r="H30" i="34"/>
  <c r="K30" i="34" s="1"/>
  <c r="H31" i="34"/>
  <c r="K31" i="34"/>
  <c r="L31" i="34"/>
  <c r="M31" i="34"/>
  <c r="N31" i="34"/>
  <c r="O31" i="34"/>
  <c r="P31" i="34" s="1"/>
  <c r="H32" i="34"/>
  <c r="K32" i="34" s="1"/>
  <c r="L32" i="34"/>
  <c r="M32" i="34"/>
  <c r="P32" i="34" s="1"/>
  <c r="N32" i="34"/>
  <c r="O32" i="34"/>
  <c r="H33" i="34"/>
  <c r="K33" i="34" s="1"/>
  <c r="L33" i="34"/>
  <c r="N33" i="34"/>
  <c r="O33" i="34"/>
  <c r="H34" i="34"/>
  <c r="M34" i="34" s="1"/>
  <c r="L34" i="34"/>
  <c r="N34" i="34"/>
  <c r="O34" i="34"/>
  <c r="H35" i="34"/>
  <c r="M35" i="34" s="1"/>
  <c r="L35" i="34"/>
  <c r="N35" i="34"/>
  <c r="O35" i="34"/>
  <c r="H36" i="34"/>
  <c r="K36" i="34" s="1"/>
  <c r="L36" i="34"/>
  <c r="M36" i="34"/>
  <c r="P36" i="34" s="1"/>
  <c r="N36" i="34"/>
  <c r="O36" i="34"/>
  <c r="H37" i="34"/>
  <c r="K37" i="34" s="1"/>
  <c r="L37" i="34"/>
  <c r="N37" i="34"/>
  <c r="O37" i="34"/>
  <c r="H38" i="34"/>
  <c r="K38" i="34" s="1"/>
  <c r="H39" i="34"/>
  <c r="K39" i="34" s="1"/>
  <c r="H40" i="34"/>
  <c r="K40" i="34" s="1"/>
  <c r="H41" i="34"/>
  <c r="K41" i="34" s="1"/>
  <c r="H42" i="34"/>
  <c r="K42" i="34" s="1"/>
  <c r="H43" i="34"/>
  <c r="K43" i="34" s="1"/>
  <c r="H44" i="34"/>
  <c r="K44" i="34" s="1"/>
  <c r="H45" i="34"/>
  <c r="K45" i="34" s="1"/>
  <c r="H46" i="34"/>
  <c r="K46" i="34" s="1"/>
  <c r="H47" i="34"/>
  <c r="K47" i="34" s="1"/>
  <c r="L47" i="34"/>
  <c r="N47" i="34"/>
  <c r="O47" i="34"/>
  <c r="H48" i="34"/>
  <c r="K48" i="34" s="1"/>
  <c r="H49" i="34"/>
  <c r="K49" i="34" s="1"/>
  <c r="L49" i="34"/>
  <c r="N49" i="34"/>
  <c r="O49" i="34"/>
  <c r="H50" i="34"/>
  <c r="M50" i="34" s="1"/>
  <c r="L50" i="34"/>
  <c r="N50" i="34"/>
  <c r="O50" i="34"/>
  <c r="H51" i="34"/>
  <c r="M51" i="34" s="1"/>
  <c r="L51" i="34"/>
  <c r="N51" i="34"/>
  <c r="O51" i="34"/>
  <c r="H52" i="34"/>
  <c r="K52" i="34"/>
  <c r="L52" i="34"/>
  <c r="M52" i="34"/>
  <c r="N52" i="34"/>
  <c r="O52" i="34"/>
  <c r="H53" i="34"/>
  <c r="K53" i="34" s="1"/>
  <c r="L53" i="34"/>
  <c r="N53" i="34"/>
  <c r="O53" i="34"/>
  <c r="H54" i="34"/>
  <c r="K54" i="34" s="1"/>
  <c r="H55" i="34"/>
  <c r="K55" i="34" s="1"/>
  <c r="L55" i="34"/>
  <c r="N55" i="34"/>
  <c r="O55" i="34"/>
  <c r="H56" i="34"/>
  <c r="K56" i="34" s="1"/>
  <c r="L56" i="34"/>
  <c r="N56" i="34"/>
  <c r="O56" i="34"/>
  <c r="H57" i="34"/>
  <c r="K57" i="34" s="1"/>
  <c r="L57" i="34"/>
  <c r="N57" i="34"/>
  <c r="O57" i="34"/>
  <c r="H58" i="34"/>
  <c r="M58" i="34" s="1"/>
  <c r="K58" i="34"/>
  <c r="L58" i="34"/>
  <c r="N58" i="34"/>
  <c r="O58" i="34"/>
  <c r="H59" i="34"/>
  <c r="M59" i="34" s="1"/>
  <c r="L59" i="34"/>
  <c r="N59" i="34"/>
  <c r="O59" i="34"/>
  <c r="H60" i="34"/>
  <c r="K60" i="34" s="1"/>
  <c r="L60" i="34"/>
  <c r="M60" i="34"/>
  <c r="P60" i="34" s="1"/>
  <c r="N60" i="34"/>
  <c r="O60" i="34"/>
  <c r="H61" i="34"/>
  <c r="K61" i="34" s="1"/>
  <c r="L61" i="34"/>
  <c r="M61" i="34"/>
  <c r="P61" i="34" s="1"/>
  <c r="N61" i="34"/>
  <c r="O61" i="34"/>
  <c r="H62" i="34"/>
  <c r="K62" i="34" s="1"/>
  <c r="L62" i="34"/>
  <c r="N62" i="34"/>
  <c r="O62" i="34"/>
  <c r="H63" i="34"/>
  <c r="K63" i="34" s="1"/>
  <c r="L63" i="34"/>
  <c r="N63" i="34"/>
  <c r="O63" i="34"/>
  <c r="H64" i="34"/>
  <c r="K64" i="34" s="1"/>
  <c r="L64" i="34"/>
  <c r="N64" i="34"/>
  <c r="O64" i="34"/>
  <c r="H65" i="34"/>
  <c r="K65" i="34" s="1"/>
  <c r="L65" i="34"/>
  <c r="N65" i="34"/>
  <c r="O65" i="34"/>
  <c r="H66" i="34"/>
  <c r="M66" i="34" s="1"/>
  <c r="L66" i="34"/>
  <c r="N66" i="34"/>
  <c r="O66" i="34"/>
  <c r="H67" i="34"/>
  <c r="M67" i="34" s="1"/>
  <c r="K67" i="34"/>
  <c r="L67" i="34"/>
  <c r="N67" i="34"/>
  <c r="O67" i="34"/>
  <c r="H68" i="34"/>
  <c r="K68" i="34" s="1"/>
  <c r="L68" i="34"/>
  <c r="N68" i="34"/>
  <c r="O68" i="34"/>
  <c r="H69" i="34"/>
  <c r="K69" i="34" s="1"/>
  <c r="L69" i="34"/>
  <c r="M69" i="34"/>
  <c r="P69" i="34" s="1"/>
  <c r="N69" i="34"/>
  <c r="O69" i="34"/>
  <c r="H70" i="34"/>
  <c r="K70" i="34" s="1"/>
  <c r="L70" i="34"/>
  <c r="M70" i="34"/>
  <c r="P70" i="34" s="1"/>
  <c r="N70" i="34"/>
  <c r="O70" i="34"/>
  <c r="H71" i="34"/>
  <c r="K71" i="34" s="1"/>
  <c r="L71" i="34"/>
  <c r="N71" i="34"/>
  <c r="O71" i="34"/>
  <c r="H72" i="34"/>
  <c r="K72" i="34" s="1"/>
  <c r="H73" i="34"/>
  <c r="K73" i="34" s="1"/>
  <c r="H74" i="34"/>
  <c r="H75" i="34"/>
  <c r="K75" i="34" s="1"/>
  <c r="H76" i="34"/>
  <c r="K76" i="34" s="1"/>
  <c r="H77" i="34"/>
  <c r="H78" i="34"/>
  <c r="K78" i="34" s="1"/>
  <c r="H79" i="34"/>
  <c r="K79" i="34" s="1"/>
  <c r="L79" i="34"/>
  <c r="N79" i="34"/>
  <c r="O79" i="34"/>
  <c r="H80" i="34"/>
  <c r="K80" i="34" s="1"/>
  <c r="L80" i="34"/>
  <c r="N80" i="34"/>
  <c r="O80" i="34"/>
  <c r="H81" i="34"/>
  <c r="K81" i="34" s="1"/>
  <c r="H82" i="34"/>
  <c r="M82" i="34" s="1"/>
  <c r="L82" i="34"/>
  <c r="N82" i="34"/>
  <c r="O82" i="34"/>
  <c r="H83" i="34"/>
  <c r="M83" i="34" s="1"/>
  <c r="K83" i="34"/>
  <c r="L83" i="34"/>
  <c r="N83" i="34"/>
  <c r="O83" i="34"/>
  <c r="H84" i="34"/>
  <c r="H85" i="34"/>
  <c r="K85" i="34" s="1"/>
  <c r="L85" i="34"/>
  <c r="M85" i="34"/>
  <c r="P85" i="34" s="1"/>
  <c r="N85" i="34"/>
  <c r="O85" i="34"/>
  <c r="H86" i="34"/>
  <c r="K86" i="34" s="1"/>
  <c r="H87" i="34"/>
  <c r="K87" i="34" s="1"/>
  <c r="L87" i="34"/>
  <c r="N87" i="34"/>
  <c r="O87" i="34"/>
  <c r="H88" i="34"/>
  <c r="K88" i="34" s="1"/>
  <c r="H89" i="34"/>
  <c r="K89" i="34" s="1"/>
  <c r="L89" i="34"/>
  <c r="N89" i="34"/>
  <c r="O89" i="34"/>
  <c r="H90" i="34"/>
  <c r="H91" i="34"/>
  <c r="K91" i="34"/>
  <c r="H92" i="34"/>
  <c r="M92" i="34" s="1"/>
  <c r="P92" i="34" s="1"/>
  <c r="L92" i="34"/>
  <c r="N92" i="34"/>
  <c r="O92" i="34"/>
  <c r="H93" i="34"/>
  <c r="L93" i="34"/>
  <c r="N93" i="34"/>
  <c r="O93" i="34"/>
  <c r="H16" i="35"/>
  <c r="K16" i="35" s="1"/>
  <c r="L16" i="35"/>
  <c r="N16" i="35"/>
  <c r="O16" i="35"/>
  <c r="H17" i="35"/>
  <c r="K17" i="35" s="1"/>
  <c r="H18" i="35"/>
  <c r="K18" i="35" s="1"/>
  <c r="H19" i="35"/>
  <c r="K19" i="35" s="1"/>
  <c r="L19" i="35"/>
  <c r="M19" i="35"/>
  <c r="N19" i="35"/>
  <c r="O19" i="35"/>
  <c r="H20" i="35"/>
  <c r="K20" i="35" s="1"/>
  <c r="H21" i="35"/>
  <c r="L21" i="35"/>
  <c r="N21" i="35"/>
  <c r="O21" i="35"/>
  <c r="H22" i="35"/>
  <c r="K22" i="35" s="1"/>
  <c r="H23" i="35"/>
  <c r="K23" i="35" s="1"/>
  <c r="L23" i="35"/>
  <c r="M23" i="35"/>
  <c r="P23" i="35" s="1"/>
  <c r="N23" i="35"/>
  <c r="O23" i="35"/>
  <c r="H24" i="35"/>
  <c r="H25" i="35"/>
  <c r="K25" i="35" s="1"/>
  <c r="H26" i="35"/>
  <c r="M26" i="35" s="1"/>
  <c r="L26" i="35"/>
  <c r="N26" i="35"/>
  <c r="O26" i="35"/>
  <c r="H27" i="35"/>
  <c r="K27" i="35" s="1"/>
  <c r="L27" i="35"/>
  <c r="M27" i="35"/>
  <c r="N27" i="35"/>
  <c r="O27" i="35"/>
  <c r="H28" i="35"/>
  <c r="K28" i="35" s="1"/>
  <c r="H29" i="35"/>
  <c r="H30" i="35"/>
  <c r="K30" i="35" s="1"/>
  <c r="H31" i="35"/>
  <c r="K31" i="35" s="1"/>
  <c r="H32" i="35"/>
  <c r="L32" i="35"/>
  <c r="N32" i="35"/>
  <c r="O32" i="35"/>
  <c r="H33" i="35"/>
  <c r="K33" i="35" s="1"/>
  <c r="H16" i="36"/>
  <c r="M16" i="36" s="1"/>
  <c r="L16" i="36"/>
  <c r="N16" i="36"/>
  <c r="O16" i="36"/>
  <c r="H17" i="36"/>
  <c r="K17" i="36" s="1"/>
  <c r="L17" i="36"/>
  <c r="N17" i="36"/>
  <c r="O17" i="36"/>
  <c r="H18" i="36"/>
  <c r="M18" i="36" s="1"/>
  <c r="L18" i="36"/>
  <c r="N18" i="36"/>
  <c r="O18" i="36"/>
  <c r="H19" i="36"/>
  <c r="M19" i="36" s="1"/>
  <c r="K19" i="36"/>
  <c r="L19" i="36"/>
  <c r="N19" i="36"/>
  <c r="O19" i="36"/>
  <c r="H20" i="36"/>
  <c r="H21" i="36"/>
  <c r="K21" i="36" s="1"/>
  <c r="H22" i="36"/>
  <c r="L22" i="36"/>
  <c r="N22" i="36"/>
  <c r="O22" i="36"/>
  <c r="H23" i="36"/>
  <c r="H24" i="36"/>
  <c r="K24" i="36" s="1"/>
  <c r="H25" i="36"/>
  <c r="K25" i="36" s="1"/>
  <c r="H26" i="36"/>
  <c r="K26" i="36"/>
  <c r="H27" i="36"/>
  <c r="M27" i="36" s="1"/>
  <c r="L27" i="36"/>
  <c r="N27" i="36"/>
  <c r="O27" i="36"/>
  <c r="H28" i="36"/>
  <c r="L28" i="36"/>
  <c r="N28" i="36"/>
  <c r="O28" i="36"/>
  <c r="H29" i="36"/>
  <c r="K29" i="36"/>
  <c r="L29" i="36"/>
  <c r="M29" i="36"/>
  <c r="P29" i="36" s="1"/>
  <c r="N29" i="36"/>
  <c r="O29" i="36"/>
  <c r="H30" i="36"/>
  <c r="L30" i="36"/>
  <c r="N30" i="36"/>
  <c r="O30" i="36"/>
  <c r="H31" i="36"/>
  <c r="L31" i="36"/>
  <c r="N31" i="36"/>
  <c r="O31" i="36"/>
  <c r="H32" i="36"/>
  <c r="K32" i="36" s="1"/>
  <c r="H33" i="36"/>
  <c r="K33" i="36" s="1"/>
  <c r="H34" i="36"/>
  <c r="M34" i="36" s="1"/>
  <c r="K34" i="36"/>
  <c r="L34" i="36"/>
  <c r="N34" i="36"/>
  <c r="O34" i="36"/>
  <c r="H35" i="36"/>
  <c r="M35" i="36" s="1"/>
  <c r="K35" i="36"/>
  <c r="L35" i="36"/>
  <c r="N35" i="36"/>
  <c r="O35" i="36"/>
  <c r="H36" i="36"/>
  <c r="H37" i="36"/>
  <c r="K37" i="36"/>
  <c r="H38" i="36"/>
  <c r="L38" i="36"/>
  <c r="N38" i="36"/>
  <c r="O38" i="36"/>
  <c r="H39" i="36"/>
  <c r="K39" i="36" s="1"/>
  <c r="L39" i="36"/>
  <c r="M39" i="36"/>
  <c r="P39" i="36" s="1"/>
  <c r="N39" i="36"/>
  <c r="O39" i="36"/>
  <c r="H40" i="36"/>
  <c r="K40" i="36" s="1"/>
  <c r="L40" i="36"/>
  <c r="N40" i="36"/>
  <c r="O40" i="36"/>
  <c r="H41" i="36"/>
  <c r="K41" i="36" s="1"/>
  <c r="L41" i="36"/>
  <c r="N41" i="36"/>
  <c r="O41" i="36"/>
  <c r="H42" i="36"/>
  <c r="M42" i="36" s="1"/>
  <c r="K42" i="36"/>
  <c r="L42" i="36"/>
  <c r="N42" i="36"/>
  <c r="O42" i="36"/>
  <c r="H43" i="36"/>
  <c r="M43" i="36" s="1"/>
  <c r="L43" i="36"/>
  <c r="N43" i="36"/>
  <c r="O43" i="36"/>
  <c r="H44" i="36"/>
  <c r="K44" i="36" s="1"/>
  <c r="L44" i="36"/>
  <c r="N44" i="36"/>
  <c r="O44" i="36"/>
  <c r="H45" i="36"/>
  <c r="K45" i="36"/>
  <c r="H46" i="36"/>
  <c r="K46" i="36" s="1"/>
  <c r="H47" i="36"/>
  <c r="K47" i="36" s="1"/>
  <c r="H48" i="36"/>
  <c r="K48" i="36" s="1"/>
  <c r="H49" i="36"/>
  <c r="K49" i="36" s="1"/>
  <c r="L49" i="36"/>
  <c r="N49" i="36"/>
  <c r="O49" i="36"/>
  <c r="H50" i="36"/>
  <c r="M50" i="36" s="1"/>
  <c r="K50" i="36"/>
  <c r="L50" i="36"/>
  <c r="N50" i="36"/>
  <c r="O50" i="36"/>
  <c r="H51" i="36"/>
  <c r="M51" i="36" s="1"/>
  <c r="L51" i="36"/>
  <c r="N51" i="36"/>
  <c r="O51" i="36"/>
  <c r="H52" i="36"/>
  <c r="K52" i="36" s="1"/>
  <c r="L52" i="36"/>
  <c r="N52" i="36"/>
  <c r="O52" i="36"/>
  <c r="H53" i="36"/>
  <c r="K53" i="36"/>
  <c r="H54" i="36"/>
  <c r="K54" i="36" s="1"/>
  <c r="L54" i="36"/>
  <c r="N54" i="36"/>
  <c r="O54" i="36"/>
  <c r="H55" i="36"/>
  <c r="K55" i="36" s="1"/>
  <c r="H56" i="36"/>
  <c r="K56" i="36" s="1"/>
  <c r="H57" i="36"/>
  <c r="K57" i="36" s="1"/>
  <c r="H58" i="36"/>
  <c r="K58" i="36"/>
  <c r="H59" i="36"/>
  <c r="H60" i="36"/>
  <c r="K60" i="36" s="1"/>
  <c r="H61" i="36"/>
  <c r="K61" i="36"/>
  <c r="H62" i="36"/>
  <c r="K62" i="36" s="1"/>
  <c r="L62" i="36"/>
  <c r="N62" i="36"/>
  <c r="O62" i="36"/>
  <c r="H63" i="36"/>
  <c r="K63" i="36" s="1"/>
  <c r="L63" i="36"/>
  <c r="N63" i="36"/>
  <c r="O63" i="36"/>
  <c r="H64" i="36"/>
  <c r="K64" i="36" s="1"/>
  <c r="L64" i="36"/>
  <c r="N64" i="36"/>
  <c r="O64" i="36"/>
  <c r="H65" i="36"/>
  <c r="K65" i="36" s="1"/>
  <c r="L65" i="36"/>
  <c r="N65" i="36"/>
  <c r="O65" i="36"/>
  <c r="H66" i="36"/>
  <c r="K66" i="36"/>
  <c r="H67" i="36"/>
  <c r="H68" i="36"/>
  <c r="K68" i="36" s="1"/>
  <c r="H69" i="36"/>
  <c r="M69" i="36" s="1"/>
  <c r="P69" i="36" s="1"/>
  <c r="K69" i="36"/>
  <c r="L69" i="36"/>
  <c r="N69" i="36"/>
  <c r="O69" i="36"/>
  <c r="H70" i="36"/>
  <c r="K70" i="36" s="1"/>
  <c r="L70" i="36"/>
  <c r="N70" i="36"/>
  <c r="O70" i="36"/>
  <c r="H71" i="36"/>
  <c r="K71" i="36" s="1"/>
  <c r="L71" i="36"/>
  <c r="M71" i="36"/>
  <c r="P71" i="36" s="1"/>
  <c r="N71" i="36"/>
  <c r="O71" i="36"/>
  <c r="H72" i="36"/>
  <c r="K72" i="36" s="1"/>
  <c r="L72" i="36"/>
  <c r="N72" i="36"/>
  <c r="O72" i="36"/>
  <c r="H73" i="36"/>
  <c r="K73" i="36" s="1"/>
  <c r="L73" i="36"/>
  <c r="N73" i="36"/>
  <c r="O73" i="36"/>
  <c r="H74" i="36"/>
  <c r="H75" i="36"/>
  <c r="K75" i="36" s="1"/>
  <c r="H76" i="36"/>
  <c r="K76" i="36"/>
  <c r="H77" i="36"/>
  <c r="K77" i="36" s="1"/>
  <c r="L77" i="36"/>
  <c r="N77" i="36"/>
  <c r="O77" i="36"/>
  <c r="H78" i="36"/>
  <c r="K78" i="36" s="1"/>
  <c r="L78" i="36"/>
  <c r="M78" i="36"/>
  <c r="P78" i="36" s="1"/>
  <c r="N78" i="36"/>
  <c r="O78" i="36"/>
  <c r="H79" i="36"/>
  <c r="K79" i="36" s="1"/>
  <c r="L79" i="36"/>
  <c r="M79" i="36"/>
  <c r="N79" i="36"/>
  <c r="O79" i="36"/>
  <c r="P79" i="36"/>
  <c r="H80" i="36"/>
  <c r="K80" i="36" s="1"/>
  <c r="L80" i="36"/>
  <c r="N80" i="36"/>
  <c r="O80" i="36"/>
  <c r="H81" i="36"/>
  <c r="K81" i="36" s="1"/>
  <c r="L81" i="36"/>
  <c r="N81" i="36"/>
  <c r="O81" i="36"/>
  <c r="H82" i="36"/>
  <c r="M82" i="36" s="1"/>
  <c r="K82" i="36"/>
  <c r="L82" i="36"/>
  <c r="N82" i="36"/>
  <c r="O82" i="36"/>
  <c r="H83" i="36"/>
  <c r="H84" i="36"/>
  <c r="K84" i="36" s="1"/>
  <c r="H85" i="36"/>
  <c r="K85" i="36" s="1"/>
  <c r="H86" i="36"/>
  <c r="K86" i="36"/>
  <c r="H87" i="36"/>
  <c r="K87" i="36" s="1"/>
  <c r="L87" i="36"/>
  <c r="M87" i="36"/>
  <c r="P87" i="36" s="1"/>
  <c r="N87" i="36"/>
  <c r="O87" i="36"/>
  <c r="H88" i="36"/>
  <c r="K88" i="36" s="1"/>
  <c r="L88" i="36"/>
  <c r="N88" i="36"/>
  <c r="O88" i="36"/>
  <c r="H89" i="36"/>
  <c r="K89" i="36" s="1"/>
  <c r="L89" i="36"/>
  <c r="N89" i="36"/>
  <c r="O89" i="36"/>
  <c r="H90" i="36"/>
  <c r="M90" i="36" s="1"/>
  <c r="K90" i="36"/>
  <c r="L90" i="36"/>
  <c r="N90" i="36"/>
  <c r="O90" i="36"/>
  <c r="H91" i="36"/>
  <c r="M91" i="36" s="1"/>
  <c r="K91" i="36"/>
  <c r="L91" i="36"/>
  <c r="N91" i="36"/>
  <c r="O91" i="36"/>
  <c r="H92" i="36"/>
  <c r="K92" i="36" s="1"/>
  <c r="L92" i="36"/>
  <c r="N92" i="36"/>
  <c r="O92" i="36"/>
  <c r="H93" i="36"/>
  <c r="K93" i="36" s="1"/>
  <c r="L93" i="36"/>
  <c r="N93" i="36"/>
  <c r="O93" i="36"/>
  <c r="H94" i="36"/>
  <c r="K94" i="36"/>
  <c r="L94" i="36"/>
  <c r="M94" i="36"/>
  <c r="P94" i="36" s="1"/>
  <c r="N94" i="36"/>
  <c r="O94" i="36"/>
  <c r="H95" i="36"/>
  <c r="K95" i="36" s="1"/>
  <c r="L95" i="36"/>
  <c r="N95" i="36"/>
  <c r="O95" i="36"/>
  <c r="H96" i="36"/>
  <c r="K96" i="36" s="1"/>
  <c r="L96" i="36"/>
  <c r="M96" i="36"/>
  <c r="N96" i="36"/>
  <c r="O96" i="36"/>
  <c r="P96" i="36"/>
  <c r="H97" i="36"/>
  <c r="K97" i="36" s="1"/>
  <c r="L97" i="36"/>
  <c r="N97" i="36"/>
  <c r="O97" i="36"/>
  <c r="H98" i="36"/>
  <c r="M98" i="36" s="1"/>
  <c r="L98" i="36"/>
  <c r="N98" i="36"/>
  <c r="O98" i="36"/>
  <c r="H99" i="36"/>
  <c r="M99" i="36" s="1"/>
  <c r="K99" i="36"/>
  <c r="L99" i="36"/>
  <c r="N99" i="36"/>
  <c r="O99" i="36"/>
  <c r="H100" i="36"/>
  <c r="K100" i="36" s="1"/>
  <c r="L100" i="36"/>
  <c r="M100" i="36"/>
  <c r="P100" i="36" s="1"/>
  <c r="N100" i="36"/>
  <c r="O100" i="36"/>
  <c r="H101" i="36"/>
  <c r="K101" i="36" s="1"/>
  <c r="L101" i="36"/>
  <c r="N101" i="36"/>
  <c r="O101" i="36"/>
  <c r="H102" i="36"/>
  <c r="K102" i="36" s="1"/>
  <c r="L102" i="36"/>
  <c r="M102" i="36"/>
  <c r="P102" i="36" s="1"/>
  <c r="N102" i="36"/>
  <c r="O102" i="36"/>
  <c r="H103" i="36"/>
  <c r="K103" i="36"/>
  <c r="H104" i="36"/>
  <c r="K104" i="36" s="1"/>
  <c r="L104" i="36"/>
  <c r="M104" i="36"/>
  <c r="P104" i="36" s="1"/>
  <c r="N104" i="36"/>
  <c r="O104" i="36"/>
  <c r="H105" i="36"/>
  <c r="K105" i="36" s="1"/>
  <c r="H106" i="36"/>
  <c r="M106" i="36" s="1"/>
  <c r="L106" i="36"/>
  <c r="N106" i="36"/>
  <c r="O106" i="36"/>
  <c r="H107" i="36"/>
  <c r="K107" i="36" s="1"/>
  <c r="H16" i="37"/>
  <c r="K16" i="37" s="1"/>
  <c r="H17" i="37"/>
  <c r="K17" i="37" s="1"/>
  <c r="H18" i="37"/>
  <c r="H19" i="37"/>
  <c r="K19" i="37" s="1"/>
  <c r="H20" i="37"/>
  <c r="K20" i="37"/>
  <c r="H21" i="37"/>
  <c r="K21" i="37" s="1"/>
  <c r="H22" i="37"/>
  <c r="K22" i="37" s="1"/>
  <c r="H23" i="37"/>
  <c r="K23" i="37" s="1"/>
  <c r="L23" i="37"/>
  <c r="N23" i="37"/>
  <c r="O23" i="37"/>
  <c r="H24" i="37"/>
  <c r="K24" i="37" s="1"/>
  <c r="H25" i="37"/>
  <c r="K25" i="37" s="1"/>
  <c r="H26" i="37"/>
  <c r="M26" i="37" s="1"/>
  <c r="L26" i="37"/>
  <c r="N26" i="37"/>
  <c r="O26" i="37"/>
  <c r="H27" i="37"/>
  <c r="M27" i="37" s="1"/>
  <c r="L27" i="37"/>
  <c r="N27" i="37"/>
  <c r="O27" i="37"/>
  <c r="H28" i="37"/>
  <c r="K28" i="37" s="1"/>
  <c r="H29" i="37"/>
  <c r="K29" i="37" s="1"/>
  <c r="H30" i="37"/>
  <c r="K30" i="37" s="1"/>
  <c r="H31" i="37"/>
  <c r="K31" i="37" s="1"/>
  <c r="H32" i="37"/>
  <c r="K32" i="37" s="1"/>
  <c r="H33" i="37"/>
  <c r="K33" i="37" s="1"/>
  <c r="H34" i="37"/>
  <c r="M34" i="37" s="1"/>
  <c r="L34" i="37"/>
  <c r="N34" i="37"/>
  <c r="O34" i="37"/>
  <c r="H35" i="37"/>
  <c r="K35" i="37" s="1"/>
  <c r="H36" i="37"/>
  <c r="K36" i="37"/>
  <c r="H37" i="37"/>
  <c r="K37" i="37" s="1"/>
  <c r="H38" i="37"/>
  <c r="K38" i="37" s="1"/>
  <c r="H39" i="37"/>
  <c r="K39" i="37" s="1"/>
  <c r="H40" i="37"/>
  <c r="K40" i="37" s="1"/>
  <c r="L40" i="37"/>
  <c r="M40" i="37"/>
  <c r="P40" i="37" s="1"/>
  <c r="N40" i="37"/>
  <c r="O40" i="37"/>
  <c r="H41" i="37"/>
  <c r="K41" i="37" s="1"/>
  <c r="H42" i="37"/>
  <c r="H43" i="37"/>
  <c r="K43" i="37"/>
  <c r="H44" i="37"/>
  <c r="K44" i="37" s="1"/>
  <c r="L44" i="37"/>
  <c r="N44" i="37"/>
  <c r="O44" i="37"/>
  <c r="H16" i="38"/>
  <c r="K16" i="38" s="1"/>
  <c r="L16" i="38"/>
  <c r="N16" i="38"/>
  <c r="O16" i="38"/>
  <c r="H17" i="38"/>
  <c r="K17" i="38" s="1"/>
  <c r="L17" i="38"/>
  <c r="N17" i="38"/>
  <c r="O17" i="38"/>
  <c r="H18" i="38"/>
  <c r="M18" i="38" s="1"/>
  <c r="L18" i="38"/>
  <c r="N18" i="38"/>
  <c r="O18" i="38"/>
  <c r="H19" i="38"/>
  <c r="K19" i="38" s="1"/>
  <c r="L19" i="38"/>
  <c r="M19" i="38"/>
  <c r="P19" i="38" s="1"/>
  <c r="N19" i="38"/>
  <c r="O19" i="38"/>
  <c r="H20" i="38"/>
  <c r="K20" i="38" s="1"/>
  <c r="L20" i="38"/>
  <c r="M20" i="38"/>
  <c r="P20" i="38" s="1"/>
  <c r="N20" i="38"/>
  <c r="O20" i="38"/>
  <c r="H21" i="38"/>
  <c r="K21" i="38" s="1"/>
  <c r="L21" i="38"/>
  <c r="N21" i="38"/>
  <c r="O21" i="38"/>
  <c r="H22" i="38"/>
  <c r="K22" i="38"/>
  <c r="L22" i="38"/>
  <c r="M22" i="38"/>
  <c r="N22" i="38"/>
  <c r="O22" i="38"/>
  <c r="H23" i="38"/>
  <c r="K23" i="38" s="1"/>
  <c r="L23" i="38"/>
  <c r="N23" i="38"/>
  <c r="O23" i="38"/>
  <c r="H24" i="38"/>
  <c r="K24" i="38" s="1"/>
  <c r="L24" i="38"/>
  <c r="N24" i="38"/>
  <c r="O24" i="38"/>
  <c r="H25" i="38"/>
  <c r="K25" i="38" s="1"/>
  <c r="L25" i="38"/>
  <c r="N25" i="38"/>
  <c r="O25" i="38"/>
  <c r="H26" i="38"/>
  <c r="M26" i="38" s="1"/>
  <c r="K26" i="38"/>
  <c r="L26" i="38"/>
  <c r="N26" i="38"/>
  <c r="O26" i="38"/>
  <c r="H27" i="38"/>
  <c r="K27" i="38" s="1"/>
  <c r="L27" i="38"/>
  <c r="N27" i="38"/>
  <c r="O27" i="38"/>
  <c r="H28" i="38"/>
  <c r="K28" i="38" s="1"/>
  <c r="L28" i="38"/>
  <c r="M28" i="38"/>
  <c r="P28" i="38" s="1"/>
  <c r="N28" i="38"/>
  <c r="O28" i="38"/>
  <c r="H29" i="38"/>
  <c r="M29" i="38" s="1"/>
  <c r="P29" i="38" s="1"/>
  <c r="K29" i="38"/>
  <c r="L29" i="38"/>
  <c r="N29" i="38"/>
  <c r="O29" i="38"/>
  <c r="H30" i="38"/>
  <c r="K30" i="38" s="1"/>
  <c r="L30" i="38"/>
  <c r="M30" i="38"/>
  <c r="N30" i="38"/>
  <c r="O30" i="38"/>
  <c r="H31" i="38"/>
  <c r="M31" i="38" s="1"/>
  <c r="P31" i="38" s="1"/>
  <c r="K31" i="38"/>
  <c r="L31" i="38"/>
  <c r="N31" i="38"/>
  <c r="O31" i="38"/>
  <c r="H32" i="38"/>
  <c r="K32" i="38" s="1"/>
  <c r="L32" i="38"/>
  <c r="N32" i="38"/>
  <c r="O32" i="38"/>
  <c r="H33" i="38"/>
  <c r="K33" i="38" s="1"/>
  <c r="L33" i="38"/>
  <c r="N33" i="38"/>
  <c r="O33" i="38"/>
  <c r="H34" i="38"/>
  <c r="M34" i="38" s="1"/>
  <c r="K34" i="38"/>
  <c r="L34" i="38"/>
  <c r="N34" i="38"/>
  <c r="O34" i="38"/>
  <c r="H35" i="38"/>
  <c r="M35" i="38" s="1"/>
  <c r="P35" i="38" s="1"/>
  <c r="K35" i="38"/>
  <c r="L35" i="38"/>
  <c r="N35" i="38"/>
  <c r="O35" i="38"/>
  <c r="H36" i="38"/>
  <c r="K36" i="38" s="1"/>
  <c r="L36" i="38"/>
  <c r="N36" i="38"/>
  <c r="O36" i="38"/>
  <c r="H37" i="38"/>
  <c r="K37" i="38"/>
  <c r="L37" i="38"/>
  <c r="M37" i="38"/>
  <c r="P37" i="38" s="1"/>
  <c r="N37" i="38"/>
  <c r="O37" i="38"/>
  <c r="H38" i="38"/>
  <c r="K38" i="38" s="1"/>
  <c r="L38" i="38"/>
  <c r="N38" i="38"/>
  <c r="O38" i="38"/>
  <c r="H39" i="38"/>
  <c r="K39" i="38"/>
  <c r="L39" i="38"/>
  <c r="M39" i="38"/>
  <c r="N39" i="38"/>
  <c r="O39" i="38"/>
  <c r="P39" i="38"/>
  <c r="H40" i="38"/>
  <c r="K40" i="38" s="1"/>
  <c r="L40" i="38"/>
  <c r="N40" i="38"/>
  <c r="O40" i="38"/>
  <c r="H41" i="38"/>
  <c r="K41" i="38" s="1"/>
  <c r="L41" i="38"/>
  <c r="N41" i="38"/>
  <c r="O41" i="38"/>
  <c r="H42" i="38"/>
  <c r="M42" i="38" s="1"/>
  <c r="L42" i="38"/>
  <c r="N42" i="38"/>
  <c r="O42" i="38"/>
  <c r="H43" i="38"/>
  <c r="K43" i="38"/>
  <c r="L43" i="38"/>
  <c r="M43" i="38"/>
  <c r="P43" i="38" s="1"/>
  <c r="N43" i="38"/>
  <c r="O43" i="38"/>
  <c r="H44" i="38"/>
  <c r="K44" i="38" s="1"/>
  <c r="L44" i="38"/>
  <c r="N44" i="38"/>
  <c r="O44" i="38"/>
  <c r="H45" i="38"/>
  <c r="K45" i="38" s="1"/>
  <c r="L45" i="38"/>
  <c r="M45" i="38"/>
  <c r="P45" i="38" s="1"/>
  <c r="N45" i="38"/>
  <c r="O45" i="38"/>
  <c r="H46" i="38"/>
  <c r="M46" i="38" s="1"/>
  <c r="K46" i="38"/>
  <c r="L46" i="38"/>
  <c r="N46" i="38"/>
  <c r="O46" i="38"/>
  <c r="H47" i="38"/>
  <c r="K47" i="38" s="1"/>
  <c r="L47" i="38"/>
  <c r="M47" i="38"/>
  <c r="P47" i="38" s="1"/>
  <c r="N47" i="38"/>
  <c r="O47" i="38"/>
  <c r="H48" i="38"/>
  <c r="K48" i="38" s="1"/>
  <c r="L48" i="38"/>
  <c r="N48" i="38"/>
  <c r="O48" i="38"/>
  <c r="H49" i="38"/>
  <c r="K49" i="38" s="1"/>
  <c r="L49" i="38"/>
  <c r="N49" i="38"/>
  <c r="O49" i="38"/>
  <c r="H50" i="38"/>
  <c r="M50" i="38" s="1"/>
  <c r="L50" i="38"/>
  <c r="N50" i="38"/>
  <c r="O50" i="38"/>
  <c r="H51" i="38"/>
  <c r="K51" i="38" s="1"/>
  <c r="L51" i="38"/>
  <c r="M51" i="38"/>
  <c r="P51" i="38" s="1"/>
  <c r="N51" i="38"/>
  <c r="O51" i="38"/>
  <c r="H52" i="38"/>
  <c r="K52" i="38" s="1"/>
  <c r="L52" i="38"/>
  <c r="M52" i="38"/>
  <c r="P52" i="38" s="1"/>
  <c r="N52" i="38"/>
  <c r="O52" i="38"/>
  <c r="H53" i="38"/>
  <c r="K53" i="38" s="1"/>
  <c r="L53" i="38"/>
  <c r="N53" i="38"/>
  <c r="O53" i="38"/>
  <c r="H54" i="38"/>
  <c r="K54" i="38" s="1"/>
  <c r="L54" i="38"/>
  <c r="N54" i="38"/>
  <c r="O54" i="38"/>
  <c r="H55" i="38"/>
  <c r="K55" i="38"/>
  <c r="L55" i="38"/>
  <c r="M55" i="38"/>
  <c r="N55" i="38"/>
  <c r="O55" i="38"/>
  <c r="P55" i="38"/>
  <c r="H56" i="38"/>
  <c r="K56" i="38" s="1"/>
  <c r="L56" i="38"/>
  <c r="N56" i="38"/>
  <c r="O56" i="38"/>
  <c r="H57" i="38"/>
  <c r="K57" i="38" s="1"/>
  <c r="L57" i="38"/>
  <c r="N57" i="38"/>
  <c r="O57" i="38"/>
  <c r="H58" i="38"/>
  <c r="M58" i="38" s="1"/>
  <c r="L58" i="38"/>
  <c r="N58" i="38"/>
  <c r="O58" i="38"/>
  <c r="H59" i="38"/>
  <c r="K59" i="38"/>
  <c r="L59" i="38"/>
  <c r="M59" i="38"/>
  <c r="P59" i="38" s="1"/>
  <c r="N59" i="38"/>
  <c r="O59" i="38"/>
  <c r="H60" i="38"/>
  <c r="K60" i="38" s="1"/>
  <c r="L60" i="38"/>
  <c r="N60" i="38"/>
  <c r="O60" i="38"/>
  <c r="H61" i="38"/>
  <c r="K61" i="38" s="1"/>
  <c r="L61" i="38"/>
  <c r="M61" i="38"/>
  <c r="P61" i="38" s="1"/>
  <c r="N61" i="38"/>
  <c r="O61" i="38"/>
  <c r="H62" i="38"/>
  <c r="K62" i="38" s="1"/>
  <c r="L62" i="38"/>
  <c r="N62" i="38"/>
  <c r="O62" i="38"/>
  <c r="H63" i="38"/>
  <c r="M63" i="38" s="1"/>
  <c r="P63" i="38" s="1"/>
  <c r="K63" i="38"/>
  <c r="L63" i="38"/>
  <c r="N63" i="38"/>
  <c r="O63" i="38"/>
  <c r="H64" i="38"/>
  <c r="K64" i="38" s="1"/>
  <c r="L64" i="38"/>
  <c r="N64" i="38"/>
  <c r="O64" i="38"/>
  <c r="H65" i="38"/>
  <c r="K65" i="38" s="1"/>
  <c r="L65" i="38"/>
  <c r="N65" i="38"/>
  <c r="O65" i="38"/>
  <c r="H66" i="38"/>
  <c r="M66" i="38" s="1"/>
  <c r="K66" i="38"/>
  <c r="L66" i="38"/>
  <c r="N66" i="38"/>
  <c r="O66" i="38"/>
  <c r="H67" i="38"/>
  <c r="M67" i="38" s="1"/>
  <c r="P67" i="38" s="1"/>
  <c r="K67" i="38"/>
  <c r="L67" i="38"/>
  <c r="N67" i="38"/>
  <c r="O67" i="38"/>
  <c r="H68" i="38"/>
  <c r="K68" i="38" s="1"/>
  <c r="L68" i="38"/>
  <c r="N68" i="38"/>
  <c r="O68" i="38"/>
  <c r="H69" i="38"/>
  <c r="K69" i="38"/>
  <c r="L69" i="38"/>
  <c r="M69" i="38"/>
  <c r="P69" i="38" s="1"/>
  <c r="N69" i="38"/>
  <c r="O69" i="38"/>
  <c r="H70" i="38"/>
  <c r="K70" i="38" s="1"/>
  <c r="L70" i="38"/>
  <c r="N70" i="38"/>
  <c r="O70" i="38"/>
  <c r="H71" i="38"/>
  <c r="K71" i="38" s="1"/>
  <c r="L71" i="38"/>
  <c r="N71" i="38"/>
  <c r="O71" i="38"/>
  <c r="H72" i="38"/>
  <c r="K72" i="38" s="1"/>
  <c r="L72" i="38"/>
  <c r="N72" i="38"/>
  <c r="O72" i="38"/>
  <c r="H73" i="38"/>
  <c r="K73" i="38" s="1"/>
  <c r="L73" i="38"/>
  <c r="N73" i="38"/>
  <c r="O73" i="38"/>
  <c r="H74" i="38"/>
  <c r="M74" i="38" s="1"/>
  <c r="K74" i="38"/>
  <c r="L74" i="38"/>
  <c r="N74" i="38"/>
  <c r="O74" i="38"/>
  <c r="H75" i="38"/>
  <c r="L75" i="38"/>
  <c r="N75" i="38"/>
  <c r="O75" i="38"/>
  <c r="H76" i="38"/>
  <c r="K76" i="38" s="1"/>
  <c r="L76" i="38"/>
  <c r="M76" i="38"/>
  <c r="P76" i="38" s="1"/>
  <c r="N76" i="38"/>
  <c r="O76" i="38"/>
  <c r="H77" i="38"/>
  <c r="M77" i="38" s="1"/>
  <c r="P77" i="38" s="1"/>
  <c r="K77" i="38"/>
  <c r="L77" i="38"/>
  <c r="N77" i="38"/>
  <c r="O77" i="38"/>
  <c r="H78" i="38"/>
  <c r="K78" i="38" s="1"/>
  <c r="L78" i="38"/>
  <c r="N78" i="38"/>
  <c r="O78" i="38"/>
  <c r="H79" i="38"/>
  <c r="K79" i="38" s="1"/>
  <c r="L79" i="38"/>
  <c r="M79" i="38"/>
  <c r="P79" i="38" s="1"/>
  <c r="N79" i="38"/>
  <c r="O79" i="38"/>
  <c r="H80" i="38"/>
  <c r="K80" i="38" s="1"/>
  <c r="L80" i="38"/>
  <c r="N80" i="38"/>
  <c r="O80" i="38"/>
  <c r="H81" i="38"/>
  <c r="K81" i="38" s="1"/>
  <c r="L81" i="38"/>
  <c r="N81" i="38"/>
  <c r="O81" i="38"/>
  <c r="H82" i="38"/>
  <c r="L82" i="38"/>
  <c r="N82" i="38"/>
  <c r="O82" i="38"/>
  <c r="H83" i="38"/>
  <c r="K83" i="38" s="1"/>
  <c r="L83" i="38"/>
  <c r="M83" i="38"/>
  <c r="P83" i="38" s="1"/>
  <c r="N83" i="38"/>
  <c r="O83" i="38"/>
  <c r="H84" i="38"/>
  <c r="K84" i="38" s="1"/>
  <c r="L84" i="38"/>
  <c r="M84" i="38"/>
  <c r="P84" i="38" s="1"/>
  <c r="N84" i="38"/>
  <c r="O84" i="38"/>
  <c r="H85" i="38"/>
  <c r="L85" i="38"/>
  <c r="N85" i="38"/>
  <c r="O85" i="38"/>
  <c r="H86" i="38"/>
  <c r="K86" i="38" s="1"/>
  <c r="L86" i="38"/>
  <c r="N86" i="38"/>
  <c r="O86" i="38"/>
  <c r="H87" i="38"/>
  <c r="K87" i="38"/>
  <c r="L87" i="38"/>
  <c r="M87" i="38"/>
  <c r="N87" i="38"/>
  <c r="O87" i="38"/>
  <c r="P87" i="38"/>
  <c r="H88" i="38"/>
  <c r="K88" i="38" s="1"/>
  <c r="L88" i="38"/>
  <c r="N88" i="38"/>
  <c r="O88" i="38"/>
  <c r="H89" i="38"/>
  <c r="K89" i="38" s="1"/>
  <c r="L89" i="38"/>
  <c r="N89" i="38"/>
  <c r="O89" i="38"/>
  <c r="H16" i="44"/>
  <c r="K16" i="44" s="1"/>
  <c r="L16" i="44"/>
  <c r="M16" i="44"/>
  <c r="P16" i="44" s="1"/>
  <c r="N16" i="44"/>
  <c r="O16" i="44"/>
  <c r="H17" i="44"/>
  <c r="K17" i="44" s="1"/>
  <c r="L17" i="44"/>
  <c r="N17" i="44"/>
  <c r="O17" i="44"/>
  <c r="H18" i="44"/>
  <c r="M18" i="44" s="1"/>
  <c r="P18" i="44" s="1"/>
  <c r="K18" i="44"/>
  <c r="L18" i="44"/>
  <c r="N18" i="44"/>
  <c r="O18" i="44"/>
  <c r="H19" i="44"/>
  <c r="M19" i="44" s="1"/>
  <c r="K19" i="44"/>
  <c r="L19" i="44"/>
  <c r="N19" i="44"/>
  <c r="O19" i="44"/>
  <c r="H20" i="44"/>
  <c r="K20" i="44" s="1"/>
  <c r="L20" i="44"/>
  <c r="N20" i="44"/>
  <c r="O20" i="44"/>
  <c r="H21" i="44"/>
  <c r="M21" i="44" s="1"/>
  <c r="K21" i="44"/>
  <c r="L21" i="44"/>
  <c r="N21" i="44"/>
  <c r="O21" i="44"/>
  <c r="H22" i="44"/>
  <c r="L22" i="44"/>
  <c r="N22" i="44"/>
  <c r="O22" i="44"/>
  <c r="H23" i="44"/>
  <c r="K23" i="44" s="1"/>
  <c r="L23" i="44"/>
  <c r="M23" i="44"/>
  <c r="P23" i="44" s="1"/>
  <c r="N23" i="44"/>
  <c r="O23" i="44"/>
  <c r="H24" i="44"/>
  <c r="M24" i="44" s="1"/>
  <c r="P24" i="44" s="1"/>
  <c r="K24" i="44"/>
  <c r="L24" i="44"/>
  <c r="N24" i="44"/>
  <c r="O24" i="44"/>
  <c r="H16" i="40"/>
  <c r="M16" i="40" s="1"/>
  <c r="L16" i="40"/>
  <c r="N16" i="40"/>
  <c r="O16" i="40"/>
  <c r="H17" i="40"/>
  <c r="K17" i="40" s="1"/>
  <c r="L17" i="40"/>
  <c r="M17" i="40"/>
  <c r="P17" i="40" s="1"/>
  <c r="N17" i="40"/>
  <c r="O17" i="40"/>
  <c r="H18" i="40"/>
  <c r="M18" i="40" s="1"/>
  <c r="K18" i="40"/>
  <c r="L18" i="40"/>
  <c r="N18" i="40"/>
  <c r="O18" i="40"/>
  <c r="H19" i="40"/>
  <c r="K19" i="40" s="1"/>
  <c r="L19" i="40"/>
  <c r="M19" i="40"/>
  <c r="P19" i="40" s="1"/>
  <c r="N19" i="40"/>
  <c r="O19" i="40"/>
  <c r="H20" i="40"/>
  <c r="M20" i="40" s="1"/>
  <c r="P20" i="40" s="1"/>
  <c r="K20" i="40"/>
  <c r="L20" i="40"/>
  <c r="N20" i="40"/>
  <c r="O20" i="40"/>
  <c r="H21" i="40"/>
  <c r="K21" i="40"/>
  <c r="L21" i="40"/>
  <c r="M21" i="40"/>
  <c r="N21" i="40"/>
  <c r="O21" i="40"/>
  <c r="H22" i="40"/>
  <c r="K22" i="40" s="1"/>
  <c r="L22" i="40"/>
  <c r="N22" i="40"/>
  <c r="O22" i="40"/>
  <c r="H23" i="40"/>
  <c r="L23" i="40"/>
  <c r="N23" i="40"/>
  <c r="O23" i="40"/>
  <c r="H24" i="40"/>
  <c r="M24" i="40" s="1"/>
  <c r="L24" i="40"/>
  <c r="N24" i="40"/>
  <c r="O24" i="40"/>
  <c r="H25" i="40"/>
  <c r="K25" i="40" s="1"/>
  <c r="L25" i="40"/>
  <c r="M25" i="40"/>
  <c r="P25" i="40" s="1"/>
  <c r="N25" i="40"/>
  <c r="O25" i="40"/>
  <c r="H26" i="40"/>
  <c r="M26" i="40" s="1"/>
  <c r="K26" i="40"/>
  <c r="L26" i="40"/>
  <c r="N26" i="40"/>
  <c r="O26" i="40"/>
  <c r="H27" i="40"/>
  <c r="K27" i="40" s="1"/>
  <c r="L27" i="40"/>
  <c r="M27" i="40"/>
  <c r="P27" i="40" s="1"/>
  <c r="N27" i="40"/>
  <c r="O27" i="40"/>
  <c r="H28" i="40"/>
  <c r="M28" i="40" s="1"/>
  <c r="K28" i="40"/>
  <c r="L28" i="40"/>
  <c r="N28" i="40"/>
  <c r="O28" i="40"/>
  <c r="H29" i="40"/>
  <c r="K29" i="40" s="1"/>
  <c r="L29" i="40"/>
  <c r="M29" i="40"/>
  <c r="N29" i="40"/>
  <c r="O29" i="40"/>
  <c r="H30" i="40"/>
  <c r="K30" i="40" s="1"/>
  <c r="L30" i="40"/>
  <c r="N30" i="40"/>
  <c r="O30" i="40"/>
  <c r="H31" i="40"/>
  <c r="M31" i="40" s="1"/>
  <c r="K31" i="40"/>
  <c r="L31" i="40"/>
  <c r="N31" i="40"/>
  <c r="O31" i="40"/>
  <c r="H32" i="40"/>
  <c r="L32" i="40"/>
  <c r="N32" i="40"/>
  <c r="O32" i="40"/>
  <c r="H33" i="40"/>
  <c r="K33" i="40" s="1"/>
  <c r="L33" i="40"/>
  <c r="N33" i="40"/>
  <c r="O33" i="40"/>
  <c r="H34" i="40"/>
  <c r="K34" i="40"/>
  <c r="L34" i="40"/>
  <c r="M34" i="40"/>
  <c r="P34" i="40" s="1"/>
  <c r="N34" i="40"/>
  <c r="O34" i="40"/>
  <c r="H35" i="40"/>
  <c r="L35" i="40"/>
  <c r="N35" i="40"/>
  <c r="O35" i="40"/>
  <c r="H36" i="40"/>
  <c r="K36" i="40"/>
  <c r="L36" i="40"/>
  <c r="M36" i="40"/>
  <c r="N36" i="40"/>
  <c r="O36" i="40"/>
  <c r="P36" i="40"/>
  <c r="H37" i="40"/>
  <c r="K37" i="40" s="1"/>
  <c r="L37" i="40"/>
  <c r="N37" i="40"/>
  <c r="O37" i="40"/>
  <c r="H38" i="40"/>
  <c r="K38" i="40" s="1"/>
  <c r="L38" i="40"/>
  <c r="N38" i="40"/>
  <c r="O38" i="40"/>
  <c r="H39" i="40"/>
  <c r="M39" i="40" s="1"/>
  <c r="K39" i="40"/>
  <c r="L39" i="40"/>
  <c r="N39" i="40"/>
  <c r="O39" i="40"/>
  <c r="H40" i="40"/>
  <c r="M40" i="40" s="1"/>
  <c r="K40" i="40"/>
  <c r="L40" i="40"/>
  <c r="N40" i="40"/>
  <c r="O40" i="40"/>
  <c r="H41" i="40"/>
  <c r="L41" i="40"/>
  <c r="N41" i="40"/>
  <c r="O41" i="40"/>
  <c r="H42" i="40"/>
  <c r="K42" i="40" s="1"/>
  <c r="L42" i="40"/>
  <c r="M42" i="40"/>
  <c r="P42" i="40" s="1"/>
  <c r="N42" i="40"/>
  <c r="O42" i="40"/>
  <c r="H43" i="40"/>
  <c r="M43" i="40" s="1"/>
  <c r="K43" i="40"/>
  <c r="L43" i="40"/>
  <c r="N43" i="40"/>
  <c r="O43" i="40"/>
  <c r="H44" i="40"/>
  <c r="K44" i="40" s="1"/>
  <c r="L44" i="40"/>
  <c r="M44" i="40"/>
  <c r="P44" i="40" s="1"/>
  <c r="N44" i="40"/>
  <c r="O44" i="40"/>
  <c r="H45" i="40"/>
  <c r="L45" i="40"/>
  <c r="N45" i="40"/>
  <c r="O45" i="40"/>
  <c r="H46" i="40"/>
  <c r="K46" i="40" s="1"/>
  <c r="L46" i="40"/>
  <c r="N46" i="40"/>
  <c r="O46" i="40"/>
  <c r="H47" i="40"/>
  <c r="M47" i="40" s="1"/>
  <c r="K47" i="40"/>
  <c r="L47" i="40"/>
  <c r="N47" i="40"/>
  <c r="O47" i="40"/>
  <c r="H48" i="40"/>
  <c r="M48" i="40" s="1"/>
  <c r="K48" i="40"/>
  <c r="L48" i="40"/>
  <c r="N48" i="40"/>
  <c r="O48" i="40"/>
  <c r="H49" i="40"/>
  <c r="L49" i="40"/>
  <c r="N49" i="40"/>
  <c r="O49" i="40"/>
  <c r="H50" i="40"/>
  <c r="K50" i="40" s="1"/>
  <c r="L50" i="40"/>
  <c r="M50" i="40"/>
  <c r="P50" i="40" s="1"/>
  <c r="N50" i="40"/>
  <c r="O50" i="40"/>
  <c r="H51" i="40"/>
  <c r="M51" i="40" s="1"/>
  <c r="K51" i="40"/>
  <c r="L51" i="40"/>
  <c r="N51" i="40"/>
  <c r="O51" i="40"/>
  <c r="H52" i="40"/>
  <c r="K52" i="40" s="1"/>
  <c r="L52" i="40"/>
  <c r="M52" i="40"/>
  <c r="P52" i="40" s="1"/>
  <c r="N52" i="40"/>
  <c r="O52" i="40"/>
  <c r="H53" i="40"/>
  <c r="L53" i="40"/>
  <c r="N53" i="40"/>
  <c r="O53" i="40"/>
  <c r="O15" i="40"/>
  <c r="N15" i="40"/>
  <c r="L15" i="40"/>
  <c r="H15" i="40"/>
  <c r="M15" i="40" s="1"/>
  <c r="P15" i="40" s="1"/>
  <c r="O14" i="40"/>
  <c r="N14" i="40"/>
  <c r="M14" i="40"/>
  <c r="L14" i="40"/>
  <c r="H14" i="40"/>
  <c r="K14" i="40" s="1"/>
  <c r="O15" i="44"/>
  <c r="N15" i="44"/>
  <c r="L15" i="44"/>
  <c r="H15" i="44"/>
  <c r="K15" i="44" s="1"/>
  <c r="O14" i="44"/>
  <c r="N14" i="44"/>
  <c r="L14" i="44"/>
  <c r="H14" i="44"/>
  <c r="M14" i="44" s="1"/>
  <c r="O15" i="38"/>
  <c r="N15" i="38"/>
  <c r="L15" i="38"/>
  <c r="H15" i="38"/>
  <c r="K15" i="38" s="1"/>
  <c r="O14" i="38"/>
  <c r="N14" i="38"/>
  <c r="L14" i="38"/>
  <c r="H14" i="38"/>
  <c r="M14" i="38" s="1"/>
  <c r="H15" i="37"/>
  <c r="O14" i="37"/>
  <c r="N14" i="37"/>
  <c r="L14" i="37"/>
  <c r="H14" i="37"/>
  <c r="M14" i="37" s="1"/>
  <c r="O15" i="36"/>
  <c r="N15" i="36"/>
  <c r="L15" i="36"/>
  <c r="H15" i="36"/>
  <c r="M15" i="36" s="1"/>
  <c r="O14" i="36"/>
  <c r="N14" i="36"/>
  <c r="L14" i="36"/>
  <c r="H14" i="36"/>
  <c r="O15" i="35"/>
  <c r="N15" i="35"/>
  <c r="L15" i="35"/>
  <c r="H15" i="35"/>
  <c r="M15" i="35" s="1"/>
  <c r="P15" i="35" s="1"/>
  <c r="O14" i="35"/>
  <c r="N14" i="35"/>
  <c r="L14" i="35"/>
  <c r="H14" i="35"/>
  <c r="M14" i="35" s="1"/>
  <c r="O15" i="34"/>
  <c r="N15" i="34"/>
  <c r="L15" i="34"/>
  <c r="H15" i="34"/>
  <c r="M15" i="34" s="1"/>
  <c r="P15" i="34" s="1"/>
  <c r="O14" i="34"/>
  <c r="N14" i="34"/>
  <c r="L14" i="34"/>
  <c r="H14" i="34"/>
  <c r="M14" i="34" s="1"/>
  <c r="H16" i="8"/>
  <c r="O15" i="8"/>
  <c r="N15" i="8"/>
  <c r="L15" i="8"/>
  <c r="H15" i="8"/>
  <c r="H15" i="7"/>
  <c r="O14" i="7"/>
  <c r="N14" i="7"/>
  <c r="L14" i="7"/>
  <c r="H14" i="7"/>
  <c r="M14" i="7" s="1"/>
  <c r="O15" i="6"/>
  <c r="N15" i="6"/>
  <c r="L15" i="6"/>
  <c r="H15" i="6"/>
  <c r="M15" i="6" s="1"/>
  <c r="P15" i="6" s="1"/>
  <c r="O14" i="6"/>
  <c r="N14" i="6"/>
  <c r="L14" i="6"/>
  <c r="H14" i="6"/>
  <c r="M14" i="6" s="1"/>
  <c r="K15" i="4"/>
  <c r="H15" i="4"/>
  <c r="O14" i="4"/>
  <c r="N14" i="4"/>
  <c r="L14" i="4"/>
  <c r="H14" i="4"/>
  <c r="M14" i="4" s="1"/>
  <c r="H15" i="3"/>
  <c r="O14" i="3"/>
  <c r="N14" i="3"/>
  <c r="H14" i="3"/>
  <c r="M14" i="3" s="1"/>
  <c r="A78" i="3"/>
  <c r="A79" i="3"/>
  <c r="K85" i="38" l="1"/>
  <c r="M85" i="38"/>
  <c r="P85" i="38" s="1"/>
  <c r="K15" i="8"/>
  <c r="M15" i="8"/>
  <c r="K45" i="40"/>
  <c r="M45" i="40"/>
  <c r="P45" i="40" s="1"/>
  <c r="K35" i="40"/>
  <c r="M35" i="40"/>
  <c r="P35" i="40" s="1"/>
  <c r="M23" i="40"/>
  <c r="P23" i="40" s="1"/>
  <c r="K23" i="40"/>
  <c r="K22" i="44"/>
  <c r="M22" i="44"/>
  <c r="P22" i="44" s="1"/>
  <c r="K75" i="38"/>
  <c r="M75" i="38"/>
  <c r="P75" i="38" s="1"/>
  <c r="K41" i="40"/>
  <c r="M41" i="40"/>
  <c r="P41" i="40" s="1"/>
  <c r="P26" i="40"/>
  <c r="P14" i="3"/>
  <c r="N90" i="38"/>
  <c r="N25" i="44"/>
  <c r="P14" i="40"/>
  <c r="P51" i="40"/>
  <c r="P28" i="40"/>
  <c r="P18" i="40"/>
  <c r="M82" i="38"/>
  <c r="P82" i="38" s="1"/>
  <c r="K82" i="38"/>
  <c r="K53" i="40"/>
  <c r="M53" i="40"/>
  <c r="P53" i="40" s="1"/>
  <c r="P14" i="6"/>
  <c r="P14" i="7"/>
  <c r="P14" i="34"/>
  <c r="P14" i="35"/>
  <c r="M14" i="36"/>
  <c r="K14" i="36"/>
  <c r="K49" i="40"/>
  <c r="M49" i="40"/>
  <c r="P49" i="40" s="1"/>
  <c r="P43" i="40"/>
  <c r="M32" i="40"/>
  <c r="P32" i="40" s="1"/>
  <c r="K32" i="40"/>
  <c r="P50" i="38"/>
  <c r="P18" i="38"/>
  <c r="P106" i="36"/>
  <c r="P51" i="36"/>
  <c r="P43" i="36"/>
  <c r="P27" i="36"/>
  <c r="K23" i="36"/>
  <c r="K22" i="36"/>
  <c r="M22" i="36"/>
  <c r="P22" i="36" s="1"/>
  <c r="K93" i="34"/>
  <c r="M93" i="34"/>
  <c r="P93" i="34" s="1"/>
  <c r="K74" i="34"/>
  <c r="P15" i="36"/>
  <c r="O90" i="38"/>
  <c r="O25" i="44"/>
  <c r="N54" i="40"/>
  <c r="P48" i="40"/>
  <c r="P40" i="40"/>
  <c r="M37" i="40"/>
  <c r="P37" i="40" s="1"/>
  <c r="M33" i="40"/>
  <c r="P33" i="40" s="1"/>
  <c r="P31" i="40"/>
  <c r="P21" i="44"/>
  <c r="P74" i="38"/>
  <c r="M71" i="38"/>
  <c r="P71" i="38" s="1"/>
  <c r="M68" i="38"/>
  <c r="P68" i="38" s="1"/>
  <c r="M53" i="38"/>
  <c r="P53" i="38" s="1"/>
  <c r="P46" i="38"/>
  <c r="M38" i="38"/>
  <c r="P38" i="38" s="1"/>
  <c r="M36" i="38"/>
  <c r="P36" i="38" s="1"/>
  <c r="M27" i="38"/>
  <c r="P27" i="38" s="1"/>
  <c r="P26" i="38"/>
  <c r="M23" i="38"/>
  <c r="P23" i="38" s="1"/>
  <c r="M21" i="38"/>
  <c r="P21" i="38" s="1"/>
  <c r="M95" i="36"/>
  <c r="P95" i="36" s="1"/>
  <c r="M93" i="36"/>
  <c r="P93" i="36" s="1"/>
  <c r="P91" i="36"/>
  <c r="P82" i="36"/>
  <c r="M80" i="36"/>
  <c r="P80" i="36" s="1"/>
  <c r="M70" i="36"/>
  <c r="P70" i="36" s="1"/>
  <c r="M66" i="36"/>
  <c r="M63" i="36"/>
  <c r="P63" i="36" s="1"/>
  <c r="M55" i="36"/>
  <c r="M52" i="36"/>
  <c r="P52" i="36" s="1"/>
  <c r="P50" i="36"/>
  <c r="M44" i="36"/>
  <c r="P44" i="36" s="1"/>
  <c r="P42" i="36"/>
  <c r="K36" i="36"/>
  <c r="K31" i="36"/>
  <c r="M31" i="36"/>
  <c r="P31" i="36" s="1"/>
  <c r="K30" i="36"/>
  <c r="M30" i="36"/>
  <c r="P30" i="36" s="1"/>
  <c r="K32" i="35"/>
  <c r="M32" i="35"/>
  <c r="P32" i="35" s="1"/>
  <c r="M21" i="35"/>
  <c r="P21" i="35" s="1"/>
  <c r="K21" i="35"/>
  <c r="K90" i="34"/>
  <c r="P14" i="4"/>
  <c r="P14" i="38"/>
  <c r="P14" i="44"/>
  <c r="O54" i="40"/>
  <c r="P47" i="40"/>
  <c r="P39" i="40"/>
  <c r="K24" i="40"/>
  <c r="P21" i="40"/>
  <c r="K16" i="40"/>
  <c r="P19" i="44"/>
  <c r="P66" i="38"/>
  <c r="M60" i="38"/>
  <c r="P60" i="38" s="1"/>
  <c r="K58" i="38"/>
  <c r="M44" i="38"/>
  <c r="P44" i="38" s="1"/>
  <c r="K42" i="38"/>
  <c r="P34" i="38"/>
  <c r="P22" i="38"/>
  <c r="M101" i="36"/>
  <c r="P101" i="36" s="1"/>
  <c r="P99" i="36"/>
  <c r="K98" i="36"/>
  <c r="M92" i="36"/>
  <c r="P92" i="36" s="1"/>
  <c r="P90" i="36"/>
  <c r="M88" i="36"/>
  <c r="P88" i="36" s="1"/>
  <c r="M77" i="36"/>
  <c r="P77" i="36" s="1"/>
  <c r="M62" i="36"/>
  <c r="P62" i="36" s="1"/>
  <c r="M54" i="36"/>
  <c r="P54" i="36" s="1"/>
  <c r="M46" i="36"/>
  <c r="K38" i="36"/>
  <c r="M38" i="36"/>
  <c r="P38" i="36" s="1"/>
  <c r="P35" i="36"/>
  <c r="K20" i="36"/>
  <c r="K24" i="35"/>
  <c r="K77" i="34"/>
  <c r="L90" i="38"/>
  <c r="L25" i="44"/>
  <c r="L54" i="40"/>
  <c r="P29" i="40"/>
  <c r="P24" i="40"/>
  <c r="P16" i="40"/>
  <c r="P58" i="38"/>
  <c r="K50" i="38"/>
  <c r="P42" i="38"/>
  <c r="P30" i="38"/>
  <c r="K18" i="38"/>
  <c r="K27" i="37"/>
  <c r="K106" i="36"/>
  <c r="P98" i="36"/>
  <c r="K83" i="36"/>
  <c r="K74" i="36"/>
  <c r="K67" i="36"/>
  <c r="K59" i="36"/>
  <c r="K51" i="36"/>
  <c r="K43" i="36"/>
  <c r="K28" i="36"/>
  <c r="M28" i="36"/>
  <c r="P28" i="36" s="1"/>
  <c r="K27" i="36"/>
  <c r="P19" i="36"/>
  <c r="M29" i="35"/>
  <c r="K29" i="35"/>
  <c r="K84" i="34"/>
  <c r="K18" i="36"/>
  <c r="K92" i="34"/>
  <c r="P83" i="34"/>
  <c r="K82" i="34"/>
  <c r="M68" i="34"/>
  <c r="P68" i="34" s="1"/>
  <c r="P67" i="34"/>
  <c r="K66" i="34"/>
  <c r="M62" i="34"/>
  <c r="P62" i="34" s="1"/>
  <c r="P58" i="34"/>
  <c r="M56" i="34"/>
  <c r="P56" i="34" s="1"/>
  <c r="M53" i="34"/>
  <c r="P53" i="34" s="1"/>
  <c r="K51" i="34"/>
  <c r="M29" i="34"/>
  <c r="P29" i="34" s="1"/>
  <c r="K27" i="34"/>
  <c r="M22" i="34"/>
  <c r="P22" i="34" s="1"/>
  <c r="P34" i="36"/>
  <c r="P18" i="36"/>
  <c r="K16" i="36"/>
  <c r="P27" i="35"/>
  <c r="K26" i="35"/>
  <c r="P19" i="35"/>
  <c r="P82" i="34"/>
  <c r="P66" i="34"/>
  <c r="P52" i="34"/>
  <c r="P51" i="34"/>
  <c r="K50" i="34"/>
  <c r="M37" i="34"/>
  <c r="P37" i="34" s="1"/>
  <c r="K35" i="34"/>
  <c r="P28" i="34"/>
  <c r="P27" i="34"/>
  <c r="K26" i="34"/>
  <c r="P39" i="8"/>
  <c r="M28" i="8"/>
  <c r="P16" i="36"/>
  <c r="P26" i="35"/>
  <c r="K59" i="34"/>
  <c r="P50" i="34"/>
  <c r="P35" i="34"/>
  <c r="K34" i="34"/>
  <c r="P26" i="34"/>
  <c r="P36" i="8"/>
  <c r="P59" i="34"/>
  <c r="P34" i="34"/>
  <c r="M25" i="8"/>
  <c r="P25" i="8" s="1"/>
  <c r="K25" i="8"/>
  <c r="K20" i="7"/>
  <c r="K75" i="6"/>
  <c r="P58" i="6"/>
  <c r="M55" i="6"/>
  <c r="P55" i="6" s="1"/>
  <c r="K46" i="6"/>
  <c r="K39" i="6"/>
  <c r="P26" i="6"/>
  <c r="P22" i="6"/>
  <c r="K21" i="6"/>
  <c r="K18" i="6"/>
  <c r="K63" i="4"/>
  <c r="K45" i="4"/>
  <c r="M44" i="4"/>
  <c r="P44" i="4" s="1"/>
  <c r="K37" i="4"/>
  <c r="M30" i="4"/>
  <c r="P30" i="4" s="1"/>
  <c r="K30" i="4"/>
  <c r="K41" i="3"/>
  <c r="P46" i="6"/>
  <c r="M44" i="6"/>
  <c r="P44" i="6" s="1"/>
  <c r="P21" i="6"/>
  <c r="P18" i="6"/>
  <c r="P45" i="4"/>
  <c r="M81" i="3"/>
  <c r="P81" i="3" s="1"/>
  <c r="K81" i="3"/>
  <c r="K33" i="3"/>
  <c r="K29" i="3"/>
  <c r="M29" i="3"/>
  <c r="P29" i="3" s="1"/>
  <c r="P19" i="7"/>
  <c r="P70" i="6"/>
  <c r="K69" i="6"/>
  <c r="M68" i="6"/>
  <c r="P68" i="6" s="1"/>
  <c r="K66" i="6"/>
  <c r="P45" i="6"/>
  <c r="P42" i="6"/>
  <c r="P38" i="6"/>
  <c r="K37" i="6"/>
  <c r="M36" i="6"/>
  <c r="P36" i="6" s="1"/>
  <c r="K34" i="6"/>
  <c r="K27" i="4"/>
  <c r="M65" i="3"/>
  <c r="K65" i="3"/>
  <c r="K57" i="3"/>
  <c r="P69" i="6"/>
  <c r="P66" i="6"/>
  <c r="K61" i="6"/>
  <c r="K58" i="6"/>
  <c r="P37" i="6"/>
  <c r="P34" i="6"/>
  <c r="K29" i="6"/>
  <c r="K26" i="6"/>
  <c r="K22" i="6"/>
  <c r="P61" i="4"/>
  <c r="P58" i="4"/>
  <c r="K53" i="4"/>
  <c r="K50" i="4"/>
  <c r="K46" i="4"/>
  <c r="M34" i="4"/>
  <c r="P34" i="4" s="1"/>
  <c r="K34" i="4"/>
  <c r="K23" i="4"/>
  <c r="M73" i="3"/>
  <c r="P73" i="3" s="1"/>
  <c r="K73" i="3"/>
  <c r="K49" i="3"/>
  <c r="K27" i="3"/>
  <c r="P26" i="4"/>
  <c r="M20" i="4"/>
  <c r="P20" i="4" s="1"/>
  <c r="K18" i="4"/>
  <c r="M77" i="3"/>
  <c r="P77" i="3" s="1"/>
  <c r="M61" i="3"/>
  <c r="P61" i="3" s="1"/>
  <c r="M37" i="3"/>
  <c r="P37" i="3" s="1"/>
  <c r="K30" i="3"/>
  <c r="K28" i="3"/>
  <c r="P18" i="3"/>
  <c r="K38" i="4"/>
  <c r="P19" i="4"/>
  <c r="P18" i="4"/>
  <c r="P78" i="3"/>
  <c r="P76" i="3"/>
  <c r="P68" i="3"/>
  <c r="P38" i="3"/>
  <c r="P30" i="3"/>
  <c r="P21" i="3"/>
  <c r="P36" i="4"/>
  <c r="P82" i="3"/>
  <c r="M50" i="3"/>
  <c r="P22" i="3"/>
  <c r="K82" i="3"/>
  <c r="K74" i="3"/>
  <c r="K66" i="3"/>
  <c r="K58" i="3"/>
  <c r="K50" i="3"/>
  <c r="K42" i="3"/>
  <c r="K34" i="3"/>
  <c r="K26" i="3"/>
  <c r="K18" i="3"/>
  <c r="M79" i="3"/>
  <c r="P79" i="3" s="1"/>
  <c r="M71" i="3"/>
  <c r="P71" i="3" s="1"/>
  <c r="M55" i="3"/>
  <c r="P55" i="3" s="1"/>
  <c r="M47" i="3"/>
  <c r="P47" i="3" s="1"/>
  <c r="M39" i="3"/>
  <c r="P39" i="3" s="1"/>
  <c r="M31" i="3"/>
  <c r="P31" i="3" s="1"/>
  <c r="M23" i="3"/>
  <c r="P23" i="3" s="1"/>
  <c r="M80" i="3"/>
  <c r="P80" i="3" s="1"/>
  <c r="M72" i="3"/>
  <c r="P72" i="3" s="1"/>
  <c r="M64" i="3"/>
  <c r="P64" i="3" s="1"/>
  <c r="M56" i="3"/>
  <c r="P56" i="3" s="1"/>
  <c r="M48" i="3"/>
  <c r="P48" i="3" s="1"/>
  <c r="M40" i="3"/>
  <c r="P40" i="3" s="1"/>
  <c r="M32" i="3"/>
  <c r="P32" i="3" s="1"/>
  <c r="M24" i="3"/>
  <c r="P24" i="3" s="1"/>
  <c r="M16" i="4"/>
  <c r="M57" i="4"/>
  <c r="P57" i="4" s="1"/>
  <c r="M41" i="4"/>
  <c r="P41" i="4" s="1"/>
  <c r="M25" i="4"/>
  <c r="P25" i="4" s="1"/>
  <c r="M17" i="4"/>
  <c r="P17" i="4" s="1"/>
  <c r="M56" i="6"/>
  <c r="P56" i="6" s="1"/>
  <c r="M48" i="6"/>
  <c r="P48" i="6" s="1"/>
  <c r="M40" i="6"/>
  <c r="P40" i="6" s="1"/>
  <c r="M24" i="6"/>
  <c r="P24" i="6" s="1"/>
  <c r="M16" i="6"/>
  <c r="P16" i="6" s="1"/>
  <c r="M57" i="6"/>
  <c r="P57" i="6" s="1"/>
  <c r="M49" i="6"/>
  <c r="P49" i="6" s="1"/>
  <c r="M41" i="6"/>
  <c r="P41" i="6" s="1"/>
  <c r="M25" i="6"/>
  <c r="P25" i="6" s="1"/>
  <c r="M17" i="6"/>
  <c r="P17" i="6" s="1"/>
  <c r="K18" i="7"/>
  <c r="M38" i="8"/>
  <c r="P38" i="8" s="1"/>
  <c r="K36" i="8"/>
  <c r="M30" i="8"/>
  <c r="P30" i="8" s="1"/>
  <c r="K28" i="8"/>
  <c r="K20" i="8"/>
  <c r="M26" i="8"/>
  <c r="P26" i="8" s="1"/>
  <c r="K18" i="34"/>
  <c r="M87" i="34"/>
  <c r="P87" i="34" s="1"/>
  <c r="M79" i="34"/>
  <c r="P79" i="34" s="1"/>
  <c r="M71" i="34"/>
  <c r="P71" i="34" s="1"/>
  <c r="M63" i="34"/>
  <c r="P63" i="34" s="1"/>
  <c r="M55" i="34"/>
  <c r="P55" i="34" s="1"/>
  <c r="M47" i="34"/>
  <c r="P47" i="34" s="1"/>
  <c r="M80" i="34"/>
  <c r="P80" i="34" s="1"/>
  <c r="M72" i="34"/>
  <c r="M64" i="34"/>
  <c r="P64" i="34" s="1"/>
  <c r="M24" i="34"/>
  <c r="P24" i="34" s="1"/>
  <c r="M16" i="34"/>
  <c r="P16" i="34" s="1"/>
  <c r="M89" i="34"/>
  <c r="P89" i="34" s="1"/>
  <c r="M65" i="34"/>
  <c r="P65" i="34" s="1"/>
  <c r="M57" i="34"/>
  <c r="P57" i="34" s="1"/>
  <c r="M49" i="34"/>
  <c r="P49" i="34" s="1"/>
  <c r="M33" i="34"/>
  <c r="P33" i="34" s="1"/>
  <c r="M17" i="34"/>
  <c r="P17" i="34" s="1"/>
  <c r="M16" i="35"/>
  <c r="P16" i="35" s="1"/>
  <c r="M72" i="36"/>
  <c r="P72" i="36" s="1"/>
  <c r="M64" i="36"/>
  <c r="P64" i="36" s="1"/>
  <c r="M40" i="36"/>
  <c r="P40" i="36" s="1"/>
  <c r="M97" i="36"/>
  <c r="P97" i="36" s="1"/>
  <c r="M89" i="36"/>
  <c r="P89" i="36" s="1"/>
  <c r="M81" i="36"/>
  <c r="P81" i="36" s="1"/>
  <c r="M73" i="36"/>
  <c r="P73" i="36" s="1"/>
  <c r="M65" i="36"/>
  <c r="P65" i="36" s="1"/>
  <c r="M49" i="36"/>
  <c r="P49" i="36" s="1"/>
  <c r="M41" i="36"/>
  <c r="P41" i="36" s="1"/>
  <c r="M33" i="36"/>
  <c r="M17" i="36"/>
  <c r="P17" i="36" s="1"/>
  <c r="P27" i="37"/>
  <c r="P14" i="37"/>
  <c r="K34" i="37"/>
  <c r="M23" i="37"/>
  <c r="P23" i="37" s="1"/>
  <c r="P34" i="37"/>
  <c r="M44" i="37"/>
  <c r="P44" i="37" s="1"/>
  <c r="P26" i="37"/>
  <c r="K26" i="37"/>
  <c r="K18" i="37"/>
  <c r="K42" i="37"/>
  <c r="M86" i="38"/>
  <c r="P86" i="38" s="1"/>
  <c r="M78" i="38"/>
  <c r="P78" i="38" s="1"/>
  <c r="M70" i="38"/>
  <c r="P70" i="38" s="1"/>
  <c r="M62" i="38"/>
  <c r="P62" i="38" s="1"/>
  <c r="M54" i="38"/>
  <c r="P54" i="38" s="1"/>
  <c r="M88" i="38"/>
  <c r="P88" i="38" s="1"/>
  <c r="M80" i="38"/>
  <c r="P80" i="38" s="1"/>
  <c r="M72" i="38"/>
  <c r="P72" i="38" s="1"/>
  <c r="M64" i="38"/>
  <c r="P64" i="38" s="1"/>
  <c r="M56" i="38"/>
  <c r="P56" i="38" s="1"/>
  <c r="M48" i="38"/>
  <c r="P48" i="38" s="1"/>
  <c r="M40" i="38"/>
  <c r="P40" i="38" s="1"/>
  <c r="M32" i="38"/>
  <c r="P32" i="38" s="1"/>
  <c r="M24" i="38"/>
  <c r="P24" i="38" s="1"/>
  <c r="M16" i="38"/>
  <c r="P16" i="38" s="1"/>
  <c r="M89" i="38"/>
  <c r="P89" i="38" s="1"/>
  <c r="M81" i="38"/>
  <c r="P81" i="38" s="1"/>
  <c r="M73" i="38"/>
  <c r="P73" i="38" s="1"/>
  <c r="M65" i="38"/>
  <c r="P65" i="38" s="1"/>
  <c r="M57" i="38"/>
  <c r="P57" i="38" s="1"/>
  <c r="M49" i="38"/>
  <c r="P49" i="38" s="1"/>
  <c r="M41" i="38"/>
  <c r="P41" i="38" s="1"/>
  <c r="M33" i="38"/>
  <c r="P33" i="38" s="1"/>
  <c r="M25" i="38"/>
  <c r="P25" i="38" s="1"/>
  <c r="M17" i="38"/>
  <c r="P17" i="38" s="1"/>
  <c r="M20" i="44"/>
  <c r="P20" i="44" s="1"/>
  <c r="M17" i="44"/>
  <c r="P17" i="44" s="1"/>
  <c r="M46" i="40"/>
  <c r="P46" i="40" s="1"/>
  <c r="M38" i="40"/>
  <c r="P38" i="40" s="1"/>
  <c r="M30" i="40"/>
  <c r="P30" i="40" s="1"/>
  <c r="M22" i="40"/>
  <c r="P22" i="40" s="1"/>
  <c r="K15" i="40"/>
  <c r="K14" i="44"/>
  <c r="M15" i="44"/>
  <c r="P15" i="44" s="1"/>
  <c r="M15" i="38"/>
  <c r="P15" i="38" s="1"/>
  <c r="K14" i="38"/>
  <c r="K15" i="37"/>
  <c r="K14" i="37"/>
  <c r="K15" i="36"/>
  <c r="K15" i="35"/>
  <c r="K14" i="35"/>
  <c r="K15" i="34"/>
  <c r="K14" i="34"/>
  <c r="K16" i="8"/>
  <c r="K15" i="7"/>
  <c r="K14" i="7"/>
  <c r="K15" i="6"/>
  <c r="K14" i="6"/>
  <c r="K14" i="4"/>
  <c r="K15" i="3"/>
  <c r="K14" i="3"/>
  <c r="E74" i="3"/>
  <c r="G24" i="2"/>
  <c r="D6" i="2"/>
  <c r="D5" i="38"/>
  <c r="D7" i="2"/>
  <c r="D6" i="38" s="1"/>
  <c r="D8" i="2"/>
  <c r="D7" i="38" s="1"/>
  <c r="D9" i="2"/>
  <c r="D8" i="38" s="1"/>
  <c r="A97" i="36"/>
  <c r="E29" i="35"/>
  <c r="E38" i="4"/>
  <c r="A15" i="44"/>
  <c r="A16" i="44"/>
  <c r="A17" i="44"/>
  <c r="A18" i="44"/>
  <c r="A19" i="44"/>
  <c r="A20" i="44"/>
  <c r="A21" i="44"/>
  <c r="A22" i="44"/>
  <c r="A23" i="44"/>
  <c r="A24" i="44"/>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61" i="38"/>
  <c r="A62" i="38"/>
  <c r="A63" i="38"/>
  <c r="A64" i="38"/>
  <c r="A65" i="38"/>
  <c r="A66" i="38"/>
  <c r="A67" i="38"/>
  <c r="A68" i="38"/>
  <c r="A69" i="38"/>
  <c r="A70" i="38"/>
  <c r="A71" i="38"/>
  <c r="A72" i="38"/>
  <c r="A73" i="38"/>
  <c r="A74" i="38"/>
  <c r="A75" i="38"/>
  <c r="A76" i="38"/>
  <c r="A77" i="38"/>
  <c r="A78" i="38"/>
  <c r="A79" i="38"/>
  <c r="A80" i="38"/>
  <c r="A81" i="38"/>
  <c r="A82" i="38"/>
  <c r="A83" i="38"/>
  <c r="A84" i="38"/>
  <c r="A85" i="38"/>
  <c r="A86" i="38"/>
  <c r="A87" i="38"/>
  <c r="A88" i="38"/>
  <c r="A89" i="38"/>
  <c r="A14" i="38"/>
  <c r="A15" i="37"/>
  <c r="A16" i="37"/>
  <c r="A17" i="37"/>
  <c r="A18" i="37"/>
  <c r="A19" i="37"/>
  <c r="A20" i="37"/>
  <c r="A21" i="37"/>
  <c r="A22" i="37"/>
  <c r="A23" i="37"/>
  <c r="A24" i="37"/>
  <c r="A25" i="37"/>
  <c r="A26" i="37"/>
  <c r="A27" i="37"/>
  <c r="A28" i="37"/>
  <c r="A29" i="37"/>
  <c r="A30" i="37"/>
  <c r="A31" i="37"/>
  <c r="A32" i="37"/>
  <c r="A33" i="37"/>
  <c r="A34" i="37"/>
  <c r="A35" i="37"/>
  <c r="A36" i="37"/>
  <c r="A37" i="37"/>
  <c r="A38" i="37"/>
  <c r="A39" i="37"/>
  <c r="A40" i="37"/>
  <c r="A41" i="37"/>
  <c r="A42" i="37"/>
  <c r="A43" i="37"/>
  <c r="A44" i="37"/>
  <c r="A14" i="37"/>
  <c r="A15" i="35"/>
  <c r="A16" i="35"/>
  <c r="A17" i="35"/>
  <c r="A18" i="35"/>
  <c r="A19" i="35"/>
  <c r="A20" i="35"/>
  <c r="A21" i="35"/>
  <c r="A22" i="35"/>
  <c r="A23" i="35"/>
  <c r="A24" i="35"/>
  <c r="A25" i="35"/>
  <c r="A26" i="35"/>
  <c r="A27" i="35"/>
  <c r="A28" i="35"/>
  <c r="A29" i="35"/>
  <c r="A30" i="35"/>
  <c r="A31" i="35"/>
  <c r="A32" i="35"/>
  <c r="A33" i="35"/>
  <c r="E28" i="35"/>
  <c r="E30" i="35"/>
  <c r="M30" i="35" s="1"/>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A83" i="36"/>
  <c r="A84" i="36"/>
  <c r="A85" i="36"/>
  <c r="A86" i="36"/>
  <c r="A87" i="36"/>
  <c r="A88" i="36"/>
  <c r="A89" i="36"/>
  <c r="A90" i="36"/>
  <c r="A91" i="36"/>
  <c r="A92" i="36"/>
  <c r="A93" i="36"/>
  <c r="A94" i="36"/>
  <c r="A95" i="36"/>
  <c r="A98" i="36"/>
  <c r="A99" i="36"/>
  <c r="A100" i="36"/>
  <c r="A101" i="36"/>
  <c r="A102" i="36"/>
  <c r="A103" i="36"/>
  <c r="A104" i="36"/>
  <c r="A105" i="36"/>
  <c r="A106" i="36"/>
  <c r="A107" i="36"/>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57" i="34"/>
  <c r="A58" i="34"/>
  <c r="A59" i="34"/>
  <c r="A60" i="34"/>
  <c r="A61" i="34"/>
  <c r="A62" i="34"/>
  <c r="A63" i="34"/>
  <c r="A64" i="34"/>
  <c r="A65" i="34"/>
  <c r="A66" i="34"/>
  <c r="A67" i="34"/>
  <c r="A68" i="34"/>
  <c r="A69" i="34"/>
  <c r="A70" i="34"/>
  <c r="A71" i="34"/>
  <c r="A72" i="34"/>
  <c r="A73" i="34"/>
  <c r="A74" i="34"/>
  <c r="A75" i="34"/>
  <c r="A76" i="34"/>
  <c r="A77" i="34"/>
  <c r="A78" i="34"/>
  <c r="A79" i="34"/>
  <c r="A80" i="34"/>
  <c r="A81" i="34"/>
  <c r="A82" i="34"/>
  <c r="A83" i="34"/>
  <c r="A84" i="34"/>
  <c r="A85" i="34"/>
  <c r="A86" i="34"/>
  <c r="A87" i="34"/>
  <c r="A88" i="34"/>
  <c r="A89" i="34"/>
  <c r="A90" i="34"/>
  <c r="A91" i="34"/>
  <c r="A92" i="34"/>
  <c r="A93" i="34"/>
  <c r="A14" i="34"/>
  <c r="A14" i="7"/>
  <c r="A15" i="8"/>
  <c r="A16" i="8"/>
  <c r="A17" i="8"/>
  <c r="A18" i="8"/>
  <c r="A19" i="8"/>
  <c r="A20" i="8"/>
  <c r="A21" i="8"/>
  <c r="A22" i="8"/>
  <c r="A23" i="8"/>
  <c r="A24" i="8"/>
  <c r="A25" i="8"/>
  <c r="A26" i="8"/>
  <c r="A27" i="8"/>
  <c r="A28" i="8"/>
  <c r="A29" i="8"/>
  <c r="A30" i="8"/>
  <c r="A31" i="8"/>
  <c r="A32" i="8"/>
  <c r="A33" i="8"/>
  <c r="A34" i="8"/>
  <c r="A35" i="8"/>
  <c r="A36" i="8"/>
  <c r="A37" i="8"/>
  <c r="A38" i="8"/>
  <c r="A39" i="8"/>
  <c r="A40" i="8"/>
  <c r="A15" i="7"/>
  <c r="A16" i="7"/>
  <c r="A17" i="7"/>
  <c r="A18" i="7"/>
  <c r="A19" i="7"/>
  <c r="A20" i="7"/>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80" i="3"/>
  <c r="A81" i="3"/>
  <c r="A82" i="3"/>
  <c r="A83" i="3"/>
  <c r="A66" i="4"/>
  <c r="A14" i="4"/>
  <c r="A18" i="40"/>
  <c r="A19" i="40"/>
  <c r="A15" i="40"/>
  <c r="A16" i="40"/>
  <c r="A17" i="40"/>
  <c r="A20" i="40"/>
  <c r="A21" i="40"/>
  <c r="A22" i="40"/>
  <c r="A23" i="40"/>
  <c r="A24" i="40"/>
  <c r="A25" i="40"/>
  <c r="A26" i="40"/>
  <c r="E105" i="36"/>
  <c r="E103" i="36"/>
  <c r="M103" i="36" s="1"/>
  <c r="E74" i="36"/>
  <c r="E68" i="36"/>
  <c r="E67" i="36"/>
  <c r="E66" i="36"/>
  <c r="E61" i="36"/>
  <c r="E60" i="36"/>
  <c r="M60" i="36" s="1"/>
  <c r="E59" i="36"/>
  <c r="E58" i="36"/>
  <c r="E56" i="36"/>
  <c r="M56" i="36" s="1"/>
  <c r="E55" i="36"/>
  <c r="E53" i="36"/>
  <c r="E107" i="36"/>
  <c r="M107" i="36" s="1"/>
  <c r="E48" i="36"/>
  <c r="E46" i="36"/>
  <c r="E45" i="36"/>
  <c r="E37" i="36"/>
  <c r="E32" i="36"/>
  <c r="M32" i="36" s="1"/>
  <c r="E33" i="36"/>
  <c r="E36" i="36"/>
  <c r="E25" i="36"/>
  <c r="M25" i="36" s="1"/>
  <c r="E26" i="36"/>
  <c r="E23" i="36"/>
  <c r="M23" i="36" s="1"/>
  <c r="E21" i="36"/>
  <c r="E20" i="36"/>
  <c r="M20" i="36" s="1"/>
  <c r="E81" i="34"/>
  <c r="E54" i="34"/>
  <c r="E36" i="3"/>
  <c r="M36" i="3" s="1"/>
  <c r="E25" i="34"/>
  <c r="E21" i="34"/>
  <c r="E19" i="34"/>
  <c r="E18" i="34"/>
  <c r="E30" i="34"/>
  <c r="E40" i="8"/>
  <c r="E32" i="8"/>
  <c r="E21" i="8"/>
  <c r="E34" i="8"/>
  <c r="E27" i="8"/>
  <c r="M27" i="8" s="1"/>
  <c r="E24" i="8"/>
  <c r="E28" i="8"/>
  <c r="E22" i="8"/>
  <c r="E29" i="8"/>
  <c r="E31" i="8"/>
  <c r="E33" i="35"/>
  <c r="M33" i="35" s="1"/>
  <c r="E24" i="35"/>
  <c r="E25" i="35"/>
  <c r="M25" i="35" s="1"/>
  <c r="E22" i="35"/>
  <c r="E20" i="35"/>
  <c r="E18" i="35"/>
  <c r="E17" i="35"/>
  <c r="D18" i="7"/>
  <c r="E54" i="6"/>
  <c r="M54" i="6" s="1"/>
  <c r="E52" i="6"/>
  <c r="E50" i="6"/>
  <c r="M50" i="6" s="1"/>
  <c r="E33" i="6"/>
  <c r="E27" i="6"/>
  <c r="E62" i="4"/>
  <c r="E59" i="4"/>
  <c r="E39" i="4"/>
  <c r="E40" i="4"/>
  <c r="M40" i="4" s="1"/>
  <c r="E37" i="4"/>
  <c r="E33" i="4"/>
  <c r="E32" i="4"/>
  <c r="E31" i="4"/>
  <c r="E27" i="4"/>
  <c r="E16" i="4"/>
  <c r="E15" i="4"/>
  <c r="E52" i="3"/>
  <c r="E44" i="3"/>
  <c r="E83" i="3"/>
  <c r="E70" i="3"/>
  <c r="E69" i="3"/>
  <c r="E66" i="3"/>
  <c r="M66" i="3" s="1"/>
  <c r="E65" i="3"/>
  <c r="E63" i="3"/>
  <c r="E62" i="3"/>
  <c r="E60" i="3"/>
  <c r="E59" i="3"/>
  <c r="E58" i="3"/>
  <c r="E57" i="3"/>
  <c r="M57" i="3" s="1"/>
  <c r="E54" i="3"/>
  <c r="E53" i="3"/>
  <c r="E51" i="3"/>
  <c r="E50" i="3"/>
  <c r="E49" i="3"/>
  <c r="E46" i="3"/>
  <c r="E45" i="3"/>
  <c r="E43" i="3"/>
  <c r="E42" i="3"/>
  <c r="M42" i="3" s="1"/>
  <c r="E41" i="3"/>
  <c r="E25" i="3"/>
  <c r="E34" i="3"/>
  <c r="M34" i="3" s="1"/>
  <c r="E33" i="3"/>
  <c r="E15" i="3"/>
  <c r="M15" i="3" s="1"/>
  <c r="E27" i="3"/>
  <c r="E26" i="3"/>
  <c r="M26" i="3" s="1"/>
  <c r="E16" i="3"/>
  <c r="M16" i="3" s="1"/>
  <c r="E17" i="3"/>
  <c r="M17" i="3" s="1"/>
  <c r="E19" i="3"/>
  <c r="A14" i="44"/>
  <c r="C26" i="2"/>
  <c r="J41" i="33"/>
  <c r="E42" i="33"/>
  <c r="J42" i="33"/>
  <c r="E48" i="33"/>
  <c r="J48" i="33" s="1"/>
  <c r="E46" i="33"/>
  <c r="J46" i="33" s="1"/>
  <c r="E45" i="33"/>
  <c r="J45" i="33"/>
  <c r="E44" i="33"/>
  <c r="J44" i="33" s="1"/>
  <c r="I43" i="33"/>
  <c r="E43" i="33"/>
  <c r="G43" i="33" s="1"/>
  <c r="J43" i="33" s="1"/>
  <c r="E47" i="33"/>
  <c r="J47" i="33" s="1"/>
  <c r="E20" i="33"/>
  <c r="T20" i="33" s="1"/>
  <c r="E21" i="33"/>
  <c r="K21" i="33" s="1"/>
  <c r="E22" i="33"/>
  <c r="K22" i="33" s="1"/>
  <c r="E23" i="33"/>
  <c r="R23" i="33" s="1"/>
  <c r="S23" i="33" s="1"/>
  <c r="E24" i="33"/>
  <c r="E19" i="33"/>
  <c r="R19" i="33" s="1"/>
  <c r="S19" i="33" s="1"/>
  <c r="E4" i="33"/>
  <c r="E5" i="33"/>
  <c r="E6" i="33"/>
  <c r="E8" i="33"/>
  <c r="T8" i="33" s="1"/>
  <c r="U8" i="33" s="1"/>
  <c r="E10" i="33"/>
  <c r="E11" i="33"/>
  <c r="E12" i="33"/>
  <c r="E13" i="33"/>
  <c r="K13" i="33" s="1"/>
  <c r="E14" i="33"/>
  <c r="P14" i="33" s="1"/>
  <c r="E15" i="33"/>
  <c r="E16" i="33"/>
  <c r="K16" i="33" s="1"/>
  <c r="E17" i="33"/>
  <c r="T17" i="33" s="1"/>
  <c r="U17" i="33" s="1"/>
  <c r="A15" i="36"/>
  <c r="A14" i="36"/>
  <c r="E83" i="36"/>
  <c r="M83" i="36" s="1"/>
  <c r="E24" i="36"/>
  <c r="M24" i="36" s="1"/>
  <c r="C7" i="33"/>
  <c r="C9" i="33"/>
  <c r="D9" i="33"/>
  <c r="E9" i="33" s="1"/>
  <c r="D7" i="33"/>
  <c r="E7" i="33" s="1"/>
  <c r="H21" i="33"/>
  <c r="J21" i="33" s="1"/>
  <c r="L21" i="33"/>
  <c r="M21" i="33"/>
  <c r="O21" i="33" s="1"/>
  <c r="H22" i="33"/>
  <c r="M22" i="33"/>
  <c r="O22" i="33"/>
  <c r="H23" i="33"/>
  <c r="L23" i="33"/>
  <c r="M23" i="33"/>
  <c r="O23" i="33" s="1"/>
  <c r="H14" i="33"/>
  <c r="J14" i="33" s="1"/>
  <c r="K14" i="33"/>
  <c r="M14" i="33"/>
  <c r="O14" i="33" s="1"/>
  <c r="Q14" i="33"/>
  <c r="H15" i="33"/>
  <c r="J15" i="33" s="1"/>
  <c r="M15" i="33"/>
  <c r="O15" i="33" s="1"/>
  <c r="Q15" i="33"/>
  <c r="H16" i="33"/>
  <c r="J16" i="33" s="1"/>
  <c r="L16" i="33"/>
  <c r="N16" i="33" s="1"/>
  <c r="M16" i="33"/>
  <c r="O16" i="33"/>
  <c r="P16" i="33"/>
  <c r="Q16" i="33"/>
  <c r="H17" i="33"/>
  <c r="I17" i="33" s="1"/>
  <c r="J17" i="33"/>
  <c r="M17" i="33"/>
  <c r="O17" i="33" s="1"/>
  <c r="Q17" i="33"/>
  <c r="E60" i="6"/>
  <c r="M60" i="6" s="1"/>
  <c r="I21" i="33"/>
  <c r="I15" i="33"/>
  <c r="C24" i="2"/>
  <c r="C23" i="2"/>
  <c r="E41" i="37"/>
  <c r="E42" i="37" s="1"/>
  <c r="M42" i="37" s="1"/>
  <c r="E17" i="37"/>
  <c r="E16" i="37"/>
  <c r="E15" i="37"/>
  <c r="M15" i="37" s="1"/>
  <c r="C22" i="2"/>
  <c r="A14" i="35"/>
  <c r="C21" i="2"/>
  <c r="E90" i="34"/>
  <c r="M90" i="34" s="1"/>
  <c r="E88" i="34"/>
  <c r="M88" i="34" s="1"/>
  <c r="E84" i="34"/>
  <c r="E44" i="34"/>
  <c r="E40" i="34"/>
  <c r="E38" i="34"/>
  <c r="A14" i="6"/>
  <c r="D38" i="8"/>
  <c r="D39" i="8" s="1"/>
  <c r="E18" i="8"/>
  <c r="M18" i="8" s="1"/>
  <c r="E17" i="8"/>
  <c r="M17" i="8" s="1"/>
  <c r="E16" i="8"/>
  <c r="E16" i="7"/>
  <c r="E15" i="7"/>
  <c r="M15" i="7" s="1"/>
  <c r="E24" i="4"/>
  <c r="E28" i="4" s="1"/>
  <c r="E21" i="4"/>
  <c r="A14" i="3"/>
  <c r="E22" i="4"/>
  <c r="E23" i="4" s="1"/>
  <c r="E39" i="37"/>
  <c r="E21" i="37"/>
  <c r="E24" i="37"/>
  <c r="E32" i="37"/>
  <c r="E35" i="37"/>
  <c r="M35" i="37" s="1"/>
  <c r="E18" i="37"/>
  <c r="M18" i="37" s="1"/>
  <c r="E25" i="37"/>
  <c r="E33" i="37"/>
  <c r="E28" i="37"/>
  <c r="E91" i="34"/>
  <c r="E20" i="7"/>
  <c r="M20" i="7" s="1"/>
  <c r="E64" i="6"/>
  <c r="E56" i="4"/>
  <c r="E42" i="4"/>
  <c r="M42" i="4" s="1"/>
  <c r="E48" i="34"/>
  <c r="E31" i="37"/>
  <c r="E32" i="6"/>
  <c r="E28" i="6"/>
  <c r="E31" i="6"/>
  <c r="E65" i="4"/>
  <c r="M65" i="4" s="1"/>
  <c r="E64" i="4"/>
  <c r="M64" i="4" s="1"/>
  <c r="E46" i="4"/>
  <c r="E52" i="4"/>
  <c r="E53" i="4" s="1"/>
  <c r="E48" i="4"/>
  <c r="M48" i="4" s="1"/>
  <c r="C19" i="2"/>
  <c r="E75" i="34"/>
  <c r="E74" i="34"/>
  <c r="E72" i="34"/>
  <c r="E77" i="34"/>
  <c r="E76" i="34"/>
  <c r="E66" i="4"/>
  <c r="G31" i="33"/>
  <c r="G32" i="33" s="1"/>
  <c r="C31" i="33"/>
  <c r="C32" i="33"/>
  <c r="E78" i="34"/>
  <c r="E73" i="34"/>
  <c r="M73" i="34" s="1"/>
  <c r="F31" i="33"/>
  <c r="C20" i="2"/>
  <c r="K5" i="33"/>
  <c r="K6" i="33"/>
  <c r="K10" i="33"/>
  <c r="K11" i="33"/>
  <c r="K12" i="33"/>
  <c r="K20" i="33"/>
  <c r="K24" i="33"/>
  <c r="K26" i="33"/>
  <c r="K27" i="33"/>
  <c r="J3" i="33"/>
  <c r="L24" i="33"/>
  <c r="M20" i="33"/>
  <c r="M24" i="33"/>
  <c r="O24" i="33" s="1"/>
  <c r="M19" i="33"/>
  <c r="O19" i="33" s="1"/>
  <c r="L20" i="33"/>
  <c r="C95" i="3"/>
  <c r="C87" i="3"/>
  <c r="C92" i="3" s="1"/>
  <c r="C44" i="2"/>
  <c r="C35" i="44" s="1"/>
  <c r="C36" i="2"/>
  <c r="C44" i="8" s="1"/>
  <c r="I3" i="33"/>
  <c r="H4" i="33"/>
  <c r="J4" i="33"/>
  <c r="M4" i="33"/>
  <c r="O4" i="33" s="1"/>
  <c r="Q4" i="33"/>
  <c r="H5" i="33"/>
  <c r="I5" i="33" s="1"/>
  <c r="L5" i="33"/>
  <c r="N5" i="33" s="1"/>
  <c r="M5" i="33"/>
  <c r="O5" i="33" s="1"/>
  <c r="Q5" i="33"/>
  <c r="T5" i="33"/>
  <c r="U5" i="33" s="1"/>
  <c r="H6" i="33"/>
  <c r="J6" i="33" s="1"/>
  <c r="L6" i="33"/>
  <c r="N6" i="33" s="1"/>
  <c r="M6" i="33"/>
  <c r="O6" i="33" s="1"/>
  <c r="Q6" i="33"/>
  <c r="P6" i="33"/>
  <c r="R6" i="33"/>
  <c r="S6" i="33" s="1"/>
  <c r="T6" i="33"/>
  <c r="U6" i="33" s="1"/>
  <c r="H7" i="33"/>
  <c r="H8" i="33"/>
  <c r="J8" i="33" s="1"/>
  <c r="L8" i="33"/>
  <c r="N8" i="33" s="1"/>
  <c r="M8" i="33"/>
  <c r="O8" i="33" s="1"/>
  <c r="Q8" i="33"/>
  <c r="P8" i="33"/>
  <c r="H9" i="33"/>
  <c r="H10" i="33"/>
  <c r="L10" i="33"/>
  <c r="N10" i="33" s="1"/>
  <c r="M10" i="33"/>
  <c r="O10" i="33" s="1"/>
  <c r="Q10" i="33"/>
  <c r="P10" i="33"/>
  <c r="R10" i="33"/>
  <c r="S10" i="33" s="1"/>
  <c r="T10" i="33"/>
  <c r="U10" i="33"/>
  <c r="H11" i="33"/>
  <c r="L11" i="33"/>
  <c r="N11" i="33" s="1"/>
  <c r="M11" i="33"/>
  <c r="O11" i="33" s="1"/>
  <c r="Q11" i="33"/>
  <c r="P11" i="33"/>
  <c r="R11" i="33"/>
  <c r="S11" i="33" s="1"/>
  <c r="T11" i="33"/>
  <c r="U11" i="33" s="1"/>
  <c r="H12" i="33"/>
  <c r="L12" i="33"/>
  <c r="N12" i="33" s="1"/>
  <c r="M12" i="33"/>
  <c r="O12" i="33" s="1"/>
  <c r="Q12" i="33"/>
  <c r="P12" i="33"/>
  <c r="R12" i="33"/>
  <c r="S12" i="33" s="1"/>
  <c r="T12" i="33"/>
  <c r="U12" i="33" s="1"/>
  <c r="H13" i="33"/>
  <c r="I13" i="33" s="1"/>
  <c r="M13" i="33"/>
  <c r="O13" i="33" s="1"/>
  <c r="Q13" i="33"/>
  <c r="T13" i="33"/>
  <c r="U13" i="33" s="1"/>
  <c r="H19" i="33"/>
  <c r="I19" i="33" s="1"/>
  <c r="T19" i="33"/>
  <c r="H20" i="33"/>
  <c r="I20" i="33" s="1"/>
  <c r="O20" i="33"/>
  <c r="R20" i="33"/>
  <c r="S20" i="33" s="1"/>
  <c r="H24" i="33"/>
  <c r="J24" i="33" s="1"/>
  <c r="R24" i="33"/>
  <c r="S24" i="33" s="1"/>
  <c r="T24" i="33"/>
  <c r="C26" i="33"/>
  <c r="H26" i="33"/>
  <c r="I26" i="33" s="1"/>
  <c r="O26" i="33"/>
  <c r="R26" i="33"/>
  <c r="S26" i="33" s="1"/>
  <c r="T26" i="33"/>
  <c r="C27" i="33"/>
  <c r="H27" i="33"/>
  <c r="J27" i="33" s="1"/>
  <c r="O27" i="33"/>
  <c r="R27" i="33"/>
  <c r="S27" i="33"/>
  <c r="T27" i="33"/>
  <c r="I10" i="33"/>
  <c r="M7" i="33"/>
  <c r="O7" i="33"/>
  <c r="Q9" i="33"/>
  <c r="J7" i="33"/>
  <c r="I6" i="33"/>
  <c r="Q7" i="33"/>
  <c r="I9" i="33"/>
  <c r="M9" i="33"/>
  <c r="O9" i="33" s="1"/>
  <c r="J10" i="33"/>
  <c r="J9" i="33"/>
  <c r="J20" i="33"/>
  <c r="A39" i="2"/>
  <c r="A27" i="7" s="1"/>
  <c r="P10" i="7" s="1"/>
  <c r="D8" i="44"/>
  <c r="D7" i="44"/>
  <c r="D6" i="44"/>
  <c r="D5" i="44"/>
  <c r="C18" i="2"/>
  <c r="C17" i="2"/>
  <c r="C16" i="2"/>
  <c r="C15" i="2"/>
  <c r="D7" i="36"/>
  <c r="D7" i="40"/>
  <c r="D7" i="37"/>
  <c r="D8" i="36"/>
  <c r="D8" i="37"/>
  <c r="D8" i="40"/>
  <c r="D5" i="40"/>
  <c r="D5" i="37"/>
  <c r="D6" i="36"/>
  <c r="D6" i="40"/>
  <c r="D6" i="37"/>
  <c r="D5" i="3"/>
  <c r="D5" i="36"/>
  <c r="D5" i="35"/>
  <c r="D5" i="34"/>
  <c r="D7" i="4"/>
  <c r="D7" i="35"/>
  <c r="D7" i="34"/>
  <c r="D8" i="6"/>
  <c r="D8" i="35"/>
  <c r="D8" i="34"/>
  <c r="D6" i="35"/>
  <c r="D6" i="34"/>
  <c r="D5" i="7"/>
  <c r="D5" i="4"/>
  <c r="D8" i="4"/>
  <c r="D6" i="8"/>
  <c r="D6" i="4"/>
  <c r="D8" i="7"/>
  <c r="D8" i="3"/>
  <c r="D8" i="8"/>
  <c r="D7" i="6"/>
  <c r="D5" i="6"/>
  <c r="D7" i="7"/>
  <c r="D7" i="8"/>
  <c r="D7" i="3"/>
  <c r="D5" i="8"/>
  <c r="D6" i="3"/>
  <c r="D6" i="6"/>
  <c r="D6" i="7"/>
  <c r="E76" i="6"/>
  <c r="E72" i="6"/>
  <c r="E74" i="6"/>
  <c r="M74" i="6" s="1"/>
  <c r="E71" i="6"/>
  <c r="M71" i="6" s="1"/>
  <c r="E75" i="6"/>
  <c r="E73" i="6"/>
  <c r="A16" i="2"/>
  <c r="D1" i="4" s="1"/>
  <c r="B15" i="2"/>
  <c r="D1" i="3"/>
  <c r="A18" i="2"/>
  <c r="B18" i="2" s="1"/>
  <c r="A19" i="2"/>
  <c r="B19" i="2" s="1"/>
  <c r="D1" i="8"/>
  <c r="A20" i="2"/>
  <c r="A21" i="2" s="1"/>
  <c r="D1" i="6"/>
  <c r="B17" i="2"/>
  <c r="D1" i="7"/>
  <c r="P4" i="33"/>
  <c r="I4" i="33"/>
  <c r="T4" i="33"/>
  <c r="U4" i="33" s="1"/>
  <c r="R4" i="33"/>
  <c r="L4" i="33"/>
  <c r="K4" i="33"/>
  <c r="N4" i="33"/>
  <c r="D1" i="37"/>
  <c r="B23" i="2"/>
  <c r="A24" i="2"/>
  <c r="B24" i="2" s="1"/>
  <c r="B26" i="2"/>
  <c r="E1" i="38"/>
  <c r="D1" i="40"/>
  <c r="P64" i="4" l="1"/>
  <c r="N28" i="4"/>
  <c r="O28" i="4"/>
  <c r="L28" i="4"/>
  <c r="M28" i="4"/>
  <c r="P28" i="4" s="1"/>
  <c r="T7" i="33"/>
  <c r="U7" i="33" s="1"/>
  <c r="E28" i="33"/>
  <c r="L53" i="4"/>
  <c r="N53" i="4"/>
  <c r="O53" i="4"/>
  <c r="M53" i="4"/>
  <c r="J32" i="33"/>
  <c r="G33" i="33"/>
  <c r="O23" i="4"/>
  <c r="L23" i="4"/>
  <c r="N23" i="4"/>
  <c r="M23" i="4"/>
  <c r="P9" i="33"/>
  <c r="R9" i="33"/>
  <c r="S9" i="33" s="1"/>
  <c r="L9" i="33"/>
  <c r="N9" i="33" s="1"/>
  <c r="T9" i="33"/>
  <c r="U9" i="33" s="1"/>
  <c r="K9" i="33"/>
  <c r="P16" i="3"/>
  <c r="O78" i="34"/>
  <c r="L78" i="34"/>
  <c r="N78" i="34"/>
  <c r="L33" i="3"/>
  <c r="N33" i="3"/>
  <c r="O33" i="3"/>
  <c r="L49" i="3"/>
  <c r="N49" i="3"/>
  <c r="O49" i="3"/>
  <c r="L44" i="3"/>
  <c r="M44" i="3"/>
  <c r="N44" i="3"/>
  <c r="O44" i="3"/>
  <c r="L37" i="4"/>
  <c r="N37" i="4"/>
  <c r="O37" i="4"/>
  <c r="O18" i="35"/>
  <c r="L18" i="35"/>
  <c r="N18" i="35"/>
  <c r="L34" i="8"/>
  <c r="N34" i="8"/>
  <c r="O34" i="8"/>
  <c r="O81" i="34"/>
  <c r="L81" i="34"/>
  <c r="N81" i="34"/>
  <c r="N48" i="36"/>
  <c r="O48" i="36"/>
  <c r="L48" i="36"/>
  <c r="L74" i="36"/>
  <c r="N74" i="36"/>
  <c r="O74" i="36"/>
  <c r="O73" i="6"/>
  <c r="L73" i="6"/>
  <c r="N73" i="6"/>
  <c r="O72" i="6"/>
  <c r="L72" i="6"/>
  <c r="N72" i="6"/>
  <c r="J26" i="33"/>
  <c r="R13" i="33"/>
  <c r="S13" i="33" s="1"/>
  <c r="K19" i="33"/>
  <c r="L77" i="34"/>
  <c r="N77" i="34"/>
  <c r="O77" i="34"/>
  <c r="L46" i="4"/>
  <c r="N46" i="4"/>
  <c r="O46" i="4"/>
  <c r="N28" i="6"/>
  <c r="O28" i="6"/>
  <c r="L28" i="6"/>
  <c r="L48" i="34"/>
  <c r="M48" i="34"/>
  <c r="N48" i="34"/>
  <c r="O48" i="34"/>
  <c r="O91" i="34"/>
  <c r="L91" i="34"/>
  <c r="N91" i="34"/>
  <c r="O16" i="7"/>
  <c r="L16" i="7"/>
  <c r="N16" i="7"/>
  <c r="L44" i="34"/>
  <c r="M44" i="34"/>
  <c r="P44" i="34" s="1"/>
  <c r="N44" i="34"/>
  <c r="O44" i="34"/>
  <c r="R16" i="33"/>
  <c r="S16" i="33" s="1"/>
  <c r="L14" i="33"/>
  <c r="N14" i="33" s="1"/>
  <c r="L19" i="3"/>
  <c r="M19" i="3"/>
  <c r="N19" i="3"/>
  <c r="O19" i="3"/>
  <c r="O27" i="3"/>
  <c r="L27" i="3"/>
  <c r="N27" i="3"/>
  <c r="L25" i="3"/>
  <c r="N25" i="3"/>
  <c r="O25" i="3"/>
  <c r="O45" i="3"/>
  <c r="L45" i="3"/>
  <c r="N45" i="3"/>
  <c r="N51" i="3"/>
  <c r="O51" i="3"/>
  <c r="L51" i="3"/>
  <c r="M51" i="3"/>
  <c r="P51" i="3" s="1"/>
  <c r="L58" i="3"/>
  <c r="N58" i="3"/>
  <c r="O58" i="3"/>
  <c r="L63" i="3"/>
  <c r="N63" i="3"/>
  <c r="O63" i="3"/>
  <c r="M70" i="3"/>
  <c r="N70" i="3"/>
  <c r="O70" i="3"/>
  <c r="L70" i="3"/>
  <c r="O15" i="4"/>
  <c r="N15" i="4"/>
  <c r="L15" i="4"/>
  <c r="L32" i="4"/>
  <c r="N32" i="4"/>
  <c r="O32" i="4"/>
  <c r="O39" i="4"/>
  <c r="L39" i="4"/>
  <c r="M39" i="4"/>
  <c r="P39" i="4" s="1"/>
  <c r="N39" i="4"/>
  <c r="L33" i="6"/>
  <c r="N33" i="6"/>
  <c r="O33" i="6"/>
  <c r="L22" i="35"/>
  <c r="N22" i="35"/>
  <c r="O22" i="35"/>
  <c r="N31" i="8"/>
  <c r="O31" i="8"/>
  <c r="L31" i="8"/>
  <c r="L24" i="8"/>
  <c r="N24" i="8"/>
  <c r="O24" i="8"/>
  <c r="N32" i="8"/>
  <c r="O32" i="8"/>
  <c r="L32" i="8"/>
  <c r="N19" i="34"/>
  <c r="O19" i="34"/>
  <c r="L19" i="34"/>
  <c r="E57" i="36"/>
  <c r="N21" i="36"/>
  <c r="O21" i="36"/>
  <c r="L21" i="36"/>
  <c r="M21" i="36"/>
  <c r="P21" i="36" s="1"/>
  <c r="L36" i="36"/>
  <c r="O36" i="36"/>
  <c r="N36" i="36"/>
  <c r="M45" i="36"/>
  <c r="P45" i="36" s="1"/>
  <c r="N45" i="36"/>
  <c r="O45" i="36"/>
  <c r="L45" i="36"/>
  <c r="M53" i="36"/>
  <c r="P53" i="36" s="1"/>
  <c r="N53" i="36"/>
  <c r="O53" i="36"/>
  <c r="L53" i="36"/>
  <c r="L59" i="36"/>
  <c r="N59" i="36"/>
  <c r="O59" i="36"/>
  <c r="L67" i="36"/>
  <c r="N67" i="36"/>
  <c r="O67" i="36"/>
  <c r="L105" i="36"/>
  <c r="N105" i="36"/>
  <c r="O105" i="36"/>
  <c r="L38" i="4"/>
  <c r="N38" i="4"/>
  <c r="O38" i="4"/>
  <c r="M32" i="8"/>
  <c r="P32" i="8" s="1"/>
  <c r="M32" i="4"/>
  <c r="M25" i="3"/>
  <c r="P25" i="3" s="1"/>
  <c r="M45" i="3"/>
  <c r="P45" i="3" s="1"/>
  <c r="M22" i="4"/>
  <c r="P22" i="4" s="1"/>
  <c r="M52" i="4"/>
  <c r="M33" i="3"/>
  <c r="M19" i="34"/>
  <c r="P19" i="34" s="1"/>
  <c r="M91" i="34"/>
  <c r="P91" i="34" s="1"/>
  <c r="M90" i="38"/>
  <c r="L64" i="6"/>
  <c r="N64" i="6"/>
  <c r="O64" i="6"/>
  <c r="E39" i="34"/>
  <c r="N38" i="34"/>
  <c r="O38" i="34"/>
  <c r="L38" i="34"/>
  <c r="O24" i="36"/>
  <c r="N24" i="36"/>
  <c r="P24" i="36" s="1"/>
  <c r="L24" i="36"/>
  <c r="L60" i="3"/>
  <c r="M60" i="3"/>
  <c r="N60" i="3"/>
  <c r="O60" i="3"/>
  <c r="N62" i="4"/>
  <c r="O62" i="4"/>
  <c r="L62" i="4"/>
  <c r="O22" i="8"/>
  <c r="L22" i="8"/>
  <c r="N22" i="8"/>
  <c r="N26" i="36"/>
  <c r="O26" i="36"/>
  <c r="L26" i="36"/>
  <c r="L75" i="6"/>
  <c r="N75" i="6"/>
  <c r="O75" i="6"/>
  <c r="O76" i="6"/>
  <c r="L76" i="6"/>
  <c r="N76" i="6"/>
  <c r="A47" i="8"/>
  <c r="P10" i="8" s="1"/>
  <c r="I7" i="33"/>
  <c r="C65" i="40"/>
  <c r="P13" i="33"/>
  <c r="L13" i="33"/>
  <c r="N13" i="33" s="1"/>
  <c r="R8" i="33"/>
  <c r="S8" i="33" s="1"/>
  <c r="L19" i="33"/>
  <c r="K28" i="33"/>
  <c r="K8" i="33"/>
  <c r="L73" i="34"/>
  <c r="N73" i="34"/>
  <c r="P73" i="34" s="1"/>
  <c r="O73" i="34"/>
  <c r="L72" i="34"/>
  <c r="N72" i="34"/>
  <c r="O72" i="34"/>
  <c r="E43" i="4"/>
  <c r="O64" i="4"/>
  <c r="L64" i="4"/>
  <c r="N64" i="4"/>
  <c r="L32" i="6"/>
  <c r="N32" i="6"/>
  <c r="O32" i="6"/>
  <c r="E61" i="6"/>
  <c r="N21" i="4"/>
  <c r="O21" i="4"/>
  <c r="L21" i="4"/>
  <c r="N16" i="8"/>
  <c r="L16" i="8"/>
  <c r="O16" i="8"/>
  <c r="O84" i="34"/>
  <c r="L84" i="34"/>
  <c r="N84" i="34"/>
  <c r="I14" i="33"/>
  <c r="E75" i="36"/>
  <c r="L17" i="33"/>
  <c r="N17" i="33" s="1"/>
  <c r="N17" i="3"/>
  <c r="P17" i="3" s="1"/>
  <c r="O17" i="3"/>
  <c r="L17" i="3"/>
  <c r="O15" i="3"/>
  <c r="N15" i="3"/>
  <c r="P15" i="3" s="1"/>
  <c r="L15" i="3"/>
  <c r="L41" i="3"/>
  <c r="N41" i="3"/>
  <c r="O41" i="3"/>
  <c r="M46" i="3"/>
  <c r="N46" i="3"/>
  <c r="O46" i="3"/>
  <c r="L46" i="3"/>
  <c r="O53" i="3"/>
  <c r="L53" i="3"/>
  <c r="N53" i="3"/>
  <c r="N59" i="3"/>
  <c r="O59" i="3"/>
  <c r="L59" i="3"/>
  <c r="M59" i="3"/>
  <c r="L65" i="3"/>
  <c r="N65" i="3"/>
  <c r="O65" i="3"/>
  <c r="O83" i="3"/>
  <c r="L83" i="3"/>
  <c r="N83" i="3"/>
  <c r="O16" i="4"/>
  <c r="L16" i="4"/>
  <c r="N16" i="4"/>
  <c r="P16" i="4" s="1"/>
  <c r="L33" i="4"/>
  <c r="N33" i="4"/>
  <c r="O33" i="4"/>
  <c r="N59" i="4"/>
  <c r="O59" i="4"/>
  <c r="L59" i="4"/>
  <c r="E51" i="6"/>
  <c r="L50" i="6"/>
  <c r="N50" i="6"/>
  <c r="P50" i="6" s="1"/>
  <c r="O50" i="6"/>
  <c r="L17" i="35"/>
  <c r="N17" i="35"/>
  <c r="O17" i="35"/>
  <c r="L25" i="35"/>
  <c r="N25" i="35"/>
  <c r="P25" i="35" s="1"/>
  <c r="O25" i="35"/>
  <c r="L29" i="8"/>
  <c r="M29" i="8"/>
  <c r="N29" i="8"/>
  <c r="O29" i="8"/>
  <c r="N27" i="8"/>
  <c r="P27" i="8" s="1"/>
  <c r="O27" i="8"/>
  <c r="L27" i="8"/>
  <c r="O40" i="8"/>
  <c r="L40" i="8"/>
  <c r="N40" i="8"/>
  <c r="O21" i="34"/>
  <c r="L21" i="34"/>
  <c r="N21" i="34"/>
  <c r="L54" i="34"/>
  <c r="M54" i="34"/>
  <c r="N54" i="34"/>
  <c r="O54" i="34"/>
  <c r="L23" i="36"/>
  <c r="N23" i="36"/>
  <c r="O23" i="36"/>
  <c r="P23" i="36" s="1"/>
  <c r="O33" i="36"/>
  <c r="L33" i="36"/>
  <c r="N33" i="36"/>
  <c r="E47" i="36"/>
  <c r="L46" i="36"/>
  <c r="N46" i="36"/>
  <c r="O46" i="36"/>
  <c r="O55" i="36"/>
  <c r="L55" i="36"/>
  <c r="N55" i="36"/>
  <c r="O60" i="36"/>
  <c r="L60" i="36"/>
  <c r="N60" i="36"/>
  <c r="P60" i="36" s="1"/>
  <c r="N68" i="36"/>
  <c r="O68" i="36"/>
  <c r="L68" i="36"/>
  <c r="M68" i="36"/>
  <c r="P68" i="36" s="1"/>
  <c r="L29" i="35"/>
  <c r="N29" i="35"/>
  <c r="O29" i="35"/>
  <c r="P29" i="35" s="1"/>
  <c r="L74" i="3"/>
  <c r="N74" i="3"/>
  <c r="O74" i="3"/>
  <c r="M81" i="34"/>
  <c r="M40" i="8"/>
  <c r="M16" i="7"/>
  <c r="M33" i="6"/>
  <c r="P33" i="6" s="1"/>
  <c r="M32" i="6"/>
  <c r="P32" i="6" s="1"/>
  <c r="M64" i="6"/>
  <c r="P64" i="6" s="1"/>
  <c r="M33" i="4"/>
  <c r="P33" i="4" s="1"/>
  <c r="M74" i="3"/>
  <c r="P74" i="3" s="1"/>
  <c r="M21" i="4"/>
  <c r="M53" i="3"/>
  <c r="M83" i="3"/>
  <c r="P83" i="3" s="1"/>
  <c r="M38" i="4"/>
  <c r="P38" i="4" s="1"/>
  <c r="M59" i="4"/>
  <c r="M18" i="35"/>
  <c r="M21" i="34"/>
  <c r="P21" i="34" s="1"/>
  <c r="M31" i="8"/>
  <c r="P31" i="8" s="1"/>
  <c r="M38" i="34"/>
  <c r="M77" i="34"/>
  <c r="P77" i="34" s="1"/>
  <c r="P90" i="38"/>
  <c r="M15" i="4"/>
  <c r="M59" i="36"/>
  <c r="P59" i="36" s="1"/>
  <c r="L74" i="34"/>
  <c r="N74" i="34"/>
  <c r="O74" i="34"/>
  <c r="O65" i="4"/>
  <c r="L65" i="4"/>
  <c r="N65" i="4"/>
  <c r="P65" i="4" s="1"/>
  <c r="N24" i="4"/>
  <c r="O24" i="4"/>
  <c r="L24" i="4"/>
  <c r="L88" i="34"/>
  <c r="N88" i="34"/>
  <c r="P88" i="34" s="1"/>
  <c r="O88" i="34"/>
  <c r="E65" i="6"/>
  <c r="N60" i="6"/>
  <c r="P60" i="6" s="1"/>
  <c r="O60" i="6"/>
  <c r="L60" i="6"/>
  <c r="O16" i="3"/>
  <c r="L16" i="3"/>
  <c r="N16" i="3"/>
  <c r="L42" i="3"/>
  <c r="N42" i="3"/>
  <c r="P42" i="3" s="1"/>
  <c r="O42" i="3"/>
  <c r="L66" i="3"/>
  <c r="N66" i="3"/>
  <c r="P66" i="3" s="1"/>
  <c r="O66" i="3"/>
  <c r="N52" i="6"/>
  <c r="O52" i="6"/>
  <c r="L52" i="6"/>
  <c r="M52" i="6"/>
  <c r="O25" i="34"/>
  <c r="L25" i="34"/>
  <c r="N25" i="34"/>
  <c r="N56" i="36"/>
  <c r="P56" i="36" s="1"/>
  <c r="O56" i="36"/>
  <c r="L56" i="36"/>
  <c r="L30" i="35"/>
  <c r="N30" i="35"/>
  <c r="P30" i="35" s="1"/>
  <c r="O30" i="35"/>
  <c r="P33" i="36"/>
  <c r="M25" i="34"/>
  <c r="P72" i="34"/>
  <c r="M34" i="8"/>
  <c r="P34" i="8" s="1"/>
  <c r="M73" i="6"/>
  <c r="P73" i="6" s="1"/>
  <c r="M72" i="6"/>
  <c r="M49" i="3"/>
  <c r="P65" i="3"/>
  <c r="M62" i="4"/>
  <c r="P62" i="4" s="1"/>
  <c r="M76" i="6"/>
  <c r="P76" i="6" s="1"/>
  <c r="M46" i="4"/>
  <c r="M26" i="36"/>
  <c r="M78" i="34"/>
  <c r="P78" i="34" s="1"/>
  <c r="P46" i="36"/>
  <c r="M25" i="44"/>
  <c r="P55" i="36"/>
  <c r="M67" i="36"/>
  <c r="M54" i="40"/>
  <c r="M16" i="8"/>
  <c r="P16" i="8" s="1"/>
  <c r="L71" i="6"/>
  <c r="N71" i="6"/>
  <c r="P71" i="6" s="1"/>
  <c r="O71" i="6"/>
  <c r="N66" i="4"/>
  <c r="O66" i="4"/>
  <c r="L66" i="4"/>
  <c r="L48" i="4"/>
  <c r="N48" i="4"/>
  <c r="P48" i="4" s="1"/>
  <c r="O48" i="4"/>
  <c r="L42" i="4"/>
  <c r="N42" i="4"/>
  <c r="P42" i="4" s="1"/>
  <c r="O42" i="4"/>
  <c r="O17" i="8"/>
  <c r="L17" i="8"/>
  <c r="N17" i="8"/>
  <c r="P17" i="8" s="1"/>
  <c r="M54" i="3"/>
  <c r="N54" i="3"/>
  <c r="O54" i="3"/>
  <c r="L54" i="3"/>
  <c r="O27" i="4"/>
  <c r="L27" i="4"/>
  <c r="N27" i="4"/>
  <c r="L24" i="35"/>
  <c r="N24" i="35"/>
  <c r="O24" i="35"/>
  <c r="M30" i="34"/>
  <c r="P30" i="34" s="1"/>
  <c r="N30" i="34"/>
  <c r="O30" i="34"/>
  <c r="L30" i="34"/>
  <c r="O32" i="36"/>
  <c r="N32" i="36"/>
  <c r="P32" i="36" s="1"/>
  <c r="L32" i="36"/>
  <c r="M61" i="36"/>
  <c r="N61" i="36"/>
  <c r="O61" i="36"/>
  <c r="L61" i="36"/>
  <c r="N74" i="6"/>
  <c r="P74" i="6" s="1"/>
  <c r="O74" i="6"/>
  <c r="L74" i="6"/>
  <c r="A83" i="6"/>
  <c r="P10" i="6" s="1"/>
  <c r="A95" i="38"/>
  <c r="I24" i="33"/>
  <c r="I27" i="33"/>
  <c r="J31" i="33"/>
  <c r="M76" i="34"/>
  <c r="N76" i="34"/>
  <c r="O76" i="34"/>
  <c r="L76" i="34"/>
  <c r="O75" i="34"/>
  <c r="L75" i="34"/>
  <c r="N75" i="34"/>
  <c r="E54" i="4"/>
  <c r="N52" i="4"/>
  <c r="O52" i="4"/>
  <c r="L52" i="4"/>
  <c r="M31" i="6"/>
  <c r="N31" i="6"/>
  <c r="O31" i="6"/>
  <c r="L31" i="6"/>
  <c r="L56" i="4"/>
  <c r="N56" i="4"/>
  <c r="O56" i="4"/>
  <c r="L20" i="7"/>
  <c r="N20" i="7"/>
  <c r="P20" i="7" s="1"/>
  <c r="O20" i="7"/>
  <c r="L22" i="4"/>
  <c r="N22" i="4"/>
  <c r="O22" i="4"/>
  <c r="O15" i="7"/>
  <c r="N15" i="7"/>
  <c r="L15" i="7"/>
  <c r="O18" i="8"/>
  <c r="L18" i="8"/>
  <c r="N18" i="8"/>
  <c r="P18" i="8" s="1"/>
  <c r="M40" i="34"/>
  <c r="N40" i="34"/>
  <c r="O40" i="34"/>
  <c r="L40" i="34"/>
  <c r="L90" i="34"/>
  <c r="N90" i="34"/>
  <c r="P90" i="34" s="1"/>
  <c r="O90" i="34"/>
  <c r="I16" i="33"/>
  <c r="L83" i="36"/>
  <c r="N83" i="36"/>
  <c r="P83" i="36" s="1"/>
  <c r="O83" i="36"/>
  <c r="L26" i="3"/>
  <c r="N26" i="3"/>
  <c r="P26" i="3" s="1"/>
  <c r="O26" i="3"/>
  <c r="L34" i="3"/>
  <c r="N34" i="3"/>
  <c r="P34" i="3" s="1"/>
  <c r="O34" i="3"/>
  <c r="N43" i="3"/>
  <c r="O43" i="3"/>
  <c r="L43" i="3"/>
  <c r="M43" i="3"/>
  <c r="P43" i="3" s="1"/>
  <c r="L50" i="3"/>
  <c r="N50" i="3"/>
  <c r="O50" i="3"/>
  <c r="P50" i="3" s="1"/>
  <c r="L57" i="3"/>
  <c r="N57" i="3"/>
  <c r="P57" i="3" s="1"/>
  <c r="O57" i="3"/>
  <c r="M62" i="3"/>
  <c r="N62" i="3"/>
  <c r="O62" i="3"/>
  <c r="L62" i="3"/>
  <c r="O69" i="3"/>
  <c r="L69" i="3"/>
  <c r="N69" i="3"/>
  <c r="L52" i="3"/>
  <c r="M52" i="3"/>
  <c r="P52" i="3" s="1"/>
  <c r="N52" i="3"/>
  <c r="O52" i="3"/>
  <c r="N31" i="4"/>
  <c r="O31" i="4"/>
  <c r="L31" i="4"/>
  <c r="M31" i="4"/>
  <c r="N40" i="4"/>
  <c r="P40" i="4" s="1"/>
  <c r="L40" i="4"/>
  <c r="O40" i="4"/>
  <c r="N27" i="6"/>
  <c r="O27" i="6"/>
  <c r="L27" i="6"/>
  <c r="M27" i="6"/>
  <c r="P27" i="6" s="1"/>
  <c r="L54" i="6"/>
  <c r="N54" i="6"/>
  <c r="P54" i="6" s="1"/>
  <c r="O54" i="6"/>
  <c r="M20" i="35"/>
  <c r="P20" i="35" s="1"/>
  <c r="N20" i="35"/>
  <c r="O20" i="35"/>
  <c r="L20" i="35"/>
  <c r="L33" i="35"/>
  <c r="N33" i="35"/>
  <c r="P33" i="35" s="1"/>
  <c r="O33" i="35"/>
  <c r="N28" i="8"/>
  <c r="P28" i="8" s="1"/>
  <c r="O28" i="8"/>
  <c r="L28" i="8"/>
  <c r="O21" i="8"/>
  <c r="L21" i="8"/>
  <c r="N21" i="8"/>
  <c r="O18" i="34"/>
  <c r="L18" i="34"/>
  <c r="N18" i="34"/>
  <c r="L36" i="3"/>
  <c r="N36" i="3"/>
  <c r="P36" i="3" s="1"/>
  <c r="O36" i="3"/>
  <c r="L20" i="36"/>
  <c r="N20" i="36"/>
  <c r="P20" i="36" s="1"/>
  <c r="O20" i="36"/>
  <c r="O25" i="36"/>
  <c r="L25" i="36"/>
  <c r="N25" i="36"/>
  <c r="P25" i="36" s="1"/>
  <c r="N37" i="36"/>
  <c r="O37" i="36"/>
  <c r="M37" i="36"/>
  <c r="P37" i="36" s="1"/>
  <c r="L37" i="36"/>
  <c r="O107" i="36"/>
  <c r="L107" i="36"/>
  <c r="N107" i="36"/>
  <c r="P107" i="36" s="1"/>
  <c r="L58" i="36"/>
  <c r="N58" i="36"/>
  <c r="O58" i="36"/>
  <c r="L66" i="36"/>
  <c r="N66" i="36"/>
  <c r="P66" i="36" s="1"/>
  <c r="O66" i="36"/>
  <c r="L103" i="36"/>
  <c r="N103" i="36"/>
  <c r="P103" i="36" s="1"/>
  <c r="O103" i="36"/>
  <c r="M28" i="35"/>
  <c r="N28" i="35"/>
  <c r="O28" i="35"/>
  <c r="L28" i="35"/>
  <c r="M105" i="36"/>
  <c r="M48" i="36"/>
  <c r="P48" i="36" s="1"/>
  <c r="M17" i="35"/>
  <c r="P17" i="35" s="1"/>
  <c r="M22" i="35"/>
  <c r="P22" i="35" s="1"/>
  <c r="M24" i="8"/>
  <c r="M22" i="8"/>
  <c r="P22" i="8" s="1"/>
  <c r="M24" i="4"/>
  <c r="P24" i="4" s="1"/>
  <c r="M56" i="4"/>
  <c r="M63" i="3"/>
  <c r="P63" i="3" s="1"/>
  <c r="M58" i="3"/>
  <c r="P58" i="3" s="1"/>
  <c r="M69" i="3"/>
  <c r="P69" i="3" s="1"/>
  <c r="M27" i="3"/>
  <c r="P27" i="3" s="1"/>
  <c r="M28" i="6"/>
  <c r="P28" i="6" s="1"/>
  <c r="M27" i="4"/>
  <c r="M66" i="4"/>
  <c r="P66" i="4" s="1"/>
  <c r="M21" i="8"/>
  <c r="P21" i="8" s="1"/>
  <c r="M41" i="3"/>
  <c r="M37" i="4"/>
  <c r="P37" i="4" s="1"/>
  <c r="M75" i="6"/>
  <c r="P75" i="6" s="1"/>
  <c r="M18" i="34"/>
  <c r="M75" i="34"/>
  <c r="P75" i="34" s="1"/>
  <c r="M84" i="34"/>
  <c r="M24" i="35"/>
  <c r="P24" i="35" s="1"/>
  <c r="P25" i="44"/>
  <c r="M36" i="36"/>
  <c r="P36" i="36" s="1"/>
  <c r="M58" i="36"/>
  <c r="P58" i="36" s="1"/>
  <c r="M74" i="34"/>
  <c r="M74" i="36"/>
  <c r="P74" i="36" s="1"/>
  <c r="P14" i="36"/>
  <c r="P54" i="40"/>
  <c r="P15" i="8"/>
  <c r="A73" i="4"/>
  <c r="P10" i="4" s="1"/>
  <c r="A60" i="40"/>
  <c r="P10" i="40" s="1"/>
  <c r="A100" i="34"/>
  <c r="P10" i="34" s="1"/>
  <c r="A90" i="3"/>
  <c r="P10" i="3" s="1"/>
  <c r="A114" i="36"/>
  <c r="P10" i="36" s="1"/>
  <c r="A51" i="37"/>
  <c r="P10" i="37" s="1"/>
  <c r="A30" i="44"/>
  <c r="A40" i="35"/>
  <c r="P10" i="35" s="1"/>
  <c r="C88" i="6"/>
  <c r="C119" i="36"/>
  <c r="C32" i="7"/>
  <c r="C100" i="38"/>
  <c r="C45" i="35"/>
  <c r="C52" i="8"/>
  <c r="C78" i="4"/>
  <c r="C105" i="34"/>
  <c r="C111" i="36"/>
  <c r="C27" i="44"/>
  <c r="C57" i="40"/>
  <c r="L31" i="37"/>
  <c r="N31" i="37"/>
  <c r="O31" i="37"/>
  <c r="L24" i="37"/>
  <c r="O24" i="37"/>
  <c r="N24" i="37"/>
  <c r="L16" i="37"/>
  <c r="N16" i="37"/>
  <c r="O16" i="37"/>
  <c r="L21" i="37"/>
  <c r="N21" i="37"/>
  <c r="O21" i="37"/>
  <c r="L17" i="37"/>
  <c r="O17" i="37"/>
  <c r="N17" i="37"/>
  <c r="L28" i="37"/>
  <c r="O28" i="37"/>
  <c r="N28" i="37"/>
  <c r="N42" i="37"/>
  <c r="O42" i="37"/>
  <c r="L42" i="37"/>
  <c r="L41" i="37"/>
  <c r="N41" i="37"/>
  <c r="O41" i="37"/>
  <c r="L33" i="37"/>
  <c r="N33" i="37"/>
  <c r="O33" i="37"/>
  <c r="M39" i="37"/>
  <c r="N39" i="37"/>
  <c r="O39" i="37"/>
  <c r="L39" i="37"/>
  <c r="M17" i="37"/>
  <c r="O25" i="37"/>
  <c r="L25" i="37"/>
  <c r="N25" i="37"/>
  <c r="M25" i="37"/>
  <c r="M31" i="37"/>
  <c r="L18" i="37"/>
  <c r="O18" i="37"/>
  <c r="N18" i="37"/>
  <c r="P18" i="37" s="1"/>
  <c r="M33" i="37"/>
  <c r="M21" i="37"/>
  <c r="L35" i="37"/>
  <c r="N35" i="37"/>
  <c r="P35" i="37" s="1"/>
  <c r="O35" i="37"/>
  <c r="N15" i="37"/>
  <c r="P15" i="37" s="1"/>
  <c r="L15" i="37"/>
  <c r="O15" i="37"/>
  <c r="M41" i="37"/>
  <c r="M24" i="37"/>
  <c r="L32" i="37"/>
  <c r="M32" i="37"/>
  <c r="N32" i="37"/>
  <c r="O32" i="37"/>
  <c r="E43" i="37"/>
  <c r="M16" i="37"/>
  <c r="M28" i="37"/>
  <c r="I26" i="2"/>
  <c r="I25" i="2"/>
  <c r="H25" i="2"/>
  <c r="G25" i="2"/>
  <c r="E36" i="37"/>
  <c r="E31" i="35"/>
  <c r="E33" i="8"/>
  <c r="E23" i="8"/>
  <c r="E17" i="7"/>
  <c r="E18" i="7"/>
  <c r="E63" i="6"/>
  <c r="E29" i="6"/>
  <c r="E30" i="6"/>
  <c r="E29" i="4"/>
  <c r="E47" i="4"/>
  <c r="A22" i="2"/>
  <c r="D1" i="35"/>
  <c r="B21" i="2"/>
  <c r="B20" i="2"/>
  <c r="J5" i="33"/>
  <c r="C92" i="38"/>
  <c r="I12" i="33"/>
  <c r="J12" i="33"/>
  <c r="I11" i="33"/>
  <c r="J11" i="33"/>
  <c r="D1" i="34"/>
  <c r="E41" i="34"/>
  <c r="E42" i="34"/>
  <c r="K7" i="33"/>
  <c r="R7" i="33"/>
  <c r="S7" i="33" s="1"/>
  <c r="P7" i="33"/>
  <c r="L7" i="33"/>
  <c r="N7" i="33" s="1"/>
  <c r="S4" i="33"/>
  <c r="E49" i="4"/>
  <c r="J23" i="33"/>
  <c r="I23" i="33"/>
  <c r="M28" i="33"/>
  <c r="B16" i="2"/>
  <c r="I8" i="33"/>
  <c r="Q28" i="33"/>
  <c r="E50" i="4"/>
  <c r="R15" i="33"/>
  <c r="S15" i="33" s="1"/>
  <c r="K15" i="33"/>
  <c r="P15" i="33"/>
  <c r="T15" i="33"/>
  <c r="U15" i="33" s="1"/>
  <c r="L15" i="33"/>
  <c r="N15" i="33" s="1"/>
  <c r="N28" i="33" s="1"/>
  <c r="P5" i="33"/>
  <c r="R5" i="33"/>
  <c r="S5" i="33" s="1"/>
  <c r="E19" i="37"/>
  <c r="C24" i="7"/>
  <c r="C80" i="6"/>
  <c r="C37" i="35"/>
  <c r="C48" i="37"/>
  <c r="C97" i="34"/>
  <c r="C70" i="4"/>
  <c r="C41" i="2"/>
  <c r="O28" i="33"/>
  <c r="F32" i="33"/>
  <c r="C33" i="33"/>
  <c r="R21" i="33"/>
  <c r="S21" i="33" s="1"/>
  <c r="T21" i="33"/>
  <c r="E46" i="34"/>
  <c r="E84" i="36"/>
  <c r="E60" i="4"/>
  <c r="F25" i="2"/>
  <c r="E86" i="34"/>
  <c r="T14" i="33"/>
  <c r="J13" i="33"/>
  <c r="J19" i="33"/>
  <c r="E19" i="8"/>
  <c r="E20" i="37"/>
  <c r="E22" i="37"/>
  <c r="E29" i="37"/>
  <c r="E30" i="37"/>
  <c r="K17" i="33"/>
  <c r="T23" i="33"/>
  <c r="L22" i="33"/>
  <c r="R14" i="33"/>
  <c r="S14" i="33" s="1"/>
  <c r="I22" i="33"/>
  <c r="J22" i="33"/>
  <c r="E45" i="34"/>
  <c r="T16" i="33"/>
  <c r="U16" i="33" s="1"/>
  <c r="K23" i="33"/>
  <c r="K25" i="33" s="1"/>
  <c r="P17" i="33"/>
  <c r="R17" i="33"/>
  <c r="S17" i="33" s="1"/>
  <c r="R22" i="33"/>
  <c r="S22" i="33" s="1"/>
  <c r="T22" i="33"/>
  <c r="I24" i="2"/>
  <c r="H24" i="2"/>
  <c r="E53" i="6"/>
  <c r="H26" i="2"/>
  <c r="L41" i="34" l="1"/>
  <c r="N41" i="34"/>
  <c r="O41" i="34"/>
  <c r="M41" i="34"/>
  <c r="N47" i="4"/>
  <c r="O47" i="4"/>
  <c r="L47" i="4"/>
  <c r="M47" i="4"/>
  <c r="L53" i="6"/>
  <c r="N53" i="6"/>
  <c r="O53" i="6"/>
  <c r="M53" i="6"/>
  <c r="M46" i="34"/>
  <c r="N46" i="34"/>
  <c r="O46" i="34"/>
  <c r="L46" i="34"/>
  <c r="L28" i="33"/>
  <c r="L29" i="4"/>
  <c r="N29" i="4"/>
  <c r="O29" i="4"/>
  <c r="M29" i="4"/>
  <c r="P29" i="4" s="1"/>
  <c r="M63" i="6"/>
  <c r="P63" i="6" s="1"/>
  <c r="N63" i="6"/>
  <c r="O63" i="6"/>
  <c r="L63" i="6"/>
  <c r="P84" i="34"/>
  <c r="P27" i="4"/>
  <c r="P76" i="34"/>
  <c r="P61" i="36"/>
  <c r="P54" i="3"/>
  <c r="P26" i="36"/>
  <c r="P52" i="6"/>
  <c r="L65" i="6"/>
  <c r="N65" i="6"/>
  <c r="O65" i="6"/>
  <c r="M65" i="6"/>
  <c r="P65" i="6" s="1"/>
  <c r="P16" i="7"/>
  <c r="P54" i="34"/>
  <c r="O51" i="6"/>
  <c r="L51" i="6"/>
  <c r="M51" i="6"/>
  <c r="N51" i="6"/>
  <c r="P59" i="3"/>
  <c r="O84" i="3"/>
  <c r="H15" i="2" s="1"/>
  <c r="L61" i="6"/>
  <c r="N61" i="6"/>
  <c r="O61" i="6"/>
  <c r="M61" i="6"/>
  <c r="E62" i="6"/>
  <c r="P60" i="3"/>
  <c r="L39" i="34"/>
  <c r="M39" i="34"/>
  <c r="N39" i="34"/>
  <c r="O39" i="34"/>
  <c r="P23" i="4"/>
  <c r="M23" i="8"/>
  <c r="N23" i="8"/>
  <c r="O23" i="8"/>
  <c r="O41" i="8" s="1"/>
  <c r="H19" i="2" s="1"/>
  <c r="L23" i="8"/>
  <c r="L41" i="8" s="1"/>
  <c r="I19" i="2" s="1"/>
  <c r="M19" i="8"/>
  <c r="N19" i="8"/>
  <c r="N41" i="8" s="1"/>
  <c r="G19" i="2" s="1"/>
  <c r="O19" i="8"/>
  <c r="L19" i="8"/>
  <c r="M86" i="34"/>
  <c r="N86" i="34"/>
  <c r="O86" i="34"/>
  <c r="L86" i="34"/>
  <c r="L49" i="4"/>
  <c r="N49" i="4"/>
  <c r="O49" i="4"/>
  <c r="M49" i="4"/>
  <c r="L33" i="8"/>
  <c r="N33" i="8"/>
  <c r="O33" i="8"/>
  <c r="M33" i="8"/>
  <c r="P16" i="37"/>
  <c r="O45" i="34"/>
  <c r="L45" i="34"/>
  <c r="N45" i="34"/>
  <c r="M45" i="34"/>
  <c r="L50" i="4"/>
  <c r="N50" i="4"/>
  <c r="O50" i="4"/>
  <c r="M50" i="4"/>
  <c r="P50" i="4" s="1"/>
  <c r="K18" i="33"/>
  <c r="O18" i="7"/>
  <c r="L18" i="7"/>
  <c r="N18" i="7"/>
  <c r="M18" i="7"/>
  <c r="P18" i="7" s="1"/>
  <c r="N31" i="35"/>
  <c r="O31" i="35"/>
  <c r="L31" i="35"/>
  <c r="L34" i="35" s="1"/>
  <c r="I21" i="2" s="1"/>
  <c r="M31" i="35"/>
  <c r="P31" i="35" s="1"/>
  <c r="P42" i="37"/>
  <c r="P41" i="3"/>
  <c r="P24" i="8"/>
  <c r="P105" i="36"/>
  <c r="P28" i="35"/>
  <c r="P31" i="4"/>
  <c r="P31" i="6"/>
  <c r="O54" i="4"/>
  <c r="L54" i="4"/>
  <c r="N54" i="4"/>
  <c r="M54" i="4"/>
  <c r="P54" i="4" s="1"/>
  <c r="P67" i="36"/>
  <c r="P72" i="6"/>
  <c r="P25" i="34"/>
  <c r="P18" i="35"/>
  <c r="P34" i="35" s="1"/>
  <c r="P53" i="3"/>
  <c r="P40" i="8"/>
  <c r="P29" i="8"/>
  <c r="P46" i="3"/>
  <c r="E76" i="36"/>
  <c r="O75" i="36"/>
  <c r="L75" i="36"/>
  <c r="N75" i="36"/>
  <c r="M75" i="36"/>
  <c r="P33" i="3"/>
  <c r="P84" i="3" s="1"/>
  <c r="P19" i="3"/>
  <c r="P48" i="34"/>
  <c r="P44" i="3"/>
  <c r="P53" i="4"/>
  <c r="L29" i="6"/>
  <c r="N29" i="6"/>
  <c r="O29" i="6"/>
  <c r="M29" i="6"/>
  <c r="P29" i="6" s="1"/>
  <c r="L60" i="4"/>
  <c r="M60" i="4"/>
  <c r="N60" i="4"/>
  <c r="O60" i="4"/>
  <c r="O42" i="34"/>
  <c r="L42" i="34"/>
  <c r="N42" i="34"/>
  <c r="M42" i="34"/>
  <c r="J28" i="33"/>
  <c r="O30" i="6"/>
  <c r="L30" i="6"/>
  <c r="N30" i="6"/>
  <c r="M30" i="6"/>
  <c r="O17" i="7"/>
  <c r="O21" i="7" s="1"/>
  <c r="H18" i="2" s="1"/>
  <c r="L17" i="7"/>
  <c r="N17" i="7"/>
  <c r="N21" i="7" s="1"/>
  <c r="G18" i="2" s="1"/>
  <c r="M17" i="7"/>
  <c r="P24" i="37"/>
  <c r="P74" i="34"/>
  <c r="P18" i="34"/>
  <c r="P56" i="4"/>
  <c r="P62" i="3"/>
  <c r="P40" i="34"/>
  <c r="L21" i="7"/>
  <c r="I18" i="2" s="1"/>
  <c r="P46" i="4"/>
  <c r="P49" i="3"/>
  <c r="P38" i="34"/>
  <c r="P59" i="4"/>
  <c r="P21" i="4"/>
  <c r="P81" i="34"/>
  <c r="O34" i="35"/>
  <c r="H21" i="2" s="1"/>
  <c r="L84" i="3"/>
  <c r="I15" i="2" s="1"/>
  <c r="P52" i="4"/>
  <c r="P32" i="4"/>
  <c r="P70" i="3"/>
  <c r="J33" i="33"/>
  <c r="G34" i="33"/>
  <c r="O84" i="36"/>
  <c r="L84" i="36"/>
  <c r="N84" i="36"/>
  <c r="M84" i="36"/>
  <c r="P84" i="36" s="1"/>
  <c r="P15" i="4"/>
  <c r="O47" i="36"/>
  <c r="L47" i="36"/>
  <c r="N47" i="36"/>
  <c r="M47" i="36"/>
  <c r="N34" i="35"/>
  <c r="G21" i="2" s="1"/>
  <c r="N84" i="3"/>
  <c r="G15" i="2" s="1"/>
  <c r="O43" i="4"/>
  <c r="L43" i="4"/>
  <c r="M43" i="4"/>
  <c r="P43" i="4" s="1"/>
  <c r="N43" i="4"/>
  <c r="N57" i="36"/>
  <c r="O57" i="36"/>
  <c r="L57" i="36"/>
  <c r="M57" i="36"/>
  <c r="P15" i="7"/>
  <c r="M84" i="3"/>
  <c r="M30" i="37"/>
  <c r="N30" i="37"/>
  <c r="O30" i="37"/>
  <c r="L30" i="37"/>
  <c r="P32" i="37"/>
  <c r="P25" i="37"/>
  <c r="P39" i="37"/>
  <c r="P21" i="37"/>
  <c r="L20" i="37"/>
  <c r="M20" i="37"/>
  <c r="N20" i="37"/>
  <c r="O20" i="37"/>
  <c r="O19" i="37"/>
  <c r="L19" i="37"/>
  <c r="N19" i="37"/>
  <c r="M19" i="37"/>
  <c r="P28" i="37"/>
  <c r="P41" i="37"/>
  <c r="P33" i="37"/>
  <c r="L29" i="37"/>
  <c r="N29" i="37"/>
  <c r="O29" i="37"/>
  <c r="M29" i="37"/>
  <c r="P29" i="37" s="1"/>
  <c r="N22" i="37"/>
  <c r="O22" i="37"/>
  <c r="M22" i="37"/>
  <c r="L22" i="37"/>
  <c r="P17" i="37"/>
  <c r="L43" i="37"/>
  <c r="N43" i="37"/>
  <c r="O43" i="37"/>
  <c r="M43" i="37"/>
  <c r="M36" i="37"/>
  <c r="N36" i="37"/>
  <c r="O36" i="37"/>
  <c r="L36" i="37"/>
  <c r="P31" i="37"/>
  <c r="E25" i="2"/>
  <c r="E37" i="37"/>
  <c r="C34" i="33"/>
  <c r="F33" i="33"/>
  <c r="F24" i="2"/>
  <c r="E43" i="34"/>
  <c r="R28" i="33"/>
  <c r="S28" i="33"/>
  <c r="E51" i="4"/>
  <c r="E26" i="2"/>
  <c r="F15" i="2"/>
  <c r="U14" i="33"/>
  <c r="U28" i="33" s="1"/>
  <c r="T28" i="33"/>
  <c r="E85" i="36"/>
  <c r="C97" i="38"/>
  <c r="C32" i="44"/>
  <c r="C53" i="37"/>
  <c r="C49" i="8"/>
  <c r="C116" i="36"/>
  <c r="C42" i="35"/>
  <c r="C62" i="40"/>
  <c r="C102" i="34"/>
  <c r="C85" i="6"/>
  <c r="C29" i="7"/>
  <c r="C75" i="4"/>
  <c r="P28" i="33"/>
  <c r="D1" i="36"/>
  <c r="B22" i="2"/>
  <c r="F26" i="2"/>
  <c r="N94" i="34" l="1"/>
  <c r="G20" i="2" s="1"/>
  <c r="P60" i="4"/>
  <c r="G35" i="33"/>
  <c r="J34" i="33"/>
  <c r="P20" i="37"/>
  <c r="P45" i="34"/>
  <c r="P86" i="34"/>
  <c r="P46" i="34"/>
  <c r="N85" i="36"/>
  <c r="O85" i="36"/>
  <c r="L85" i="36"/>
  <c r="M85" i="36"/>
  <c r="N43" i="34"/>
  <c r="O43" i="34"/>
  <c r="O94" i="34" s="1"/>
  <c r="H20" i="2" s="1"/>
  <c r="L43" i="34"/>
  <c r="L94" i="34" s="1"/>
  <c r="I20" i="2" s="1"/>
  <c r="M43" i="34"/>
  <c r="P47" i="36"/>
  <c r="M67" i="4"/>
  <c r="M21" i="7"/>
  <c r="P17" i="7"/>
  <c r="P21" i="7" s="1"/>
  <c r="P30" i="6"/>
  <c r="M34" i="35"/>
  <c r="F21" i="2" s="1"/>
  <c r="P33" i="8"/>
  <c r="P49" i="4"/>
  <c r="O62" i="6"/>
  <c r="O77" i="6" s="1"/>
  <c r="H17" i="2" s="1"/>
  <c r="L62" i="6"/>
  <c r="L77" i="6" s="1"/>
  <c r="I17" i="2" s="1"/>
  <c r="N62" i="6"/>
  <c r="N77" i="6" s="1"/>
  <c r="G17" i="2" s="1"/>
  <c r="M62" i="6"/>
  <c r="P53" i="6"/>
  <c r="M77" i="6"/>
  <c r="P19" i="8"/>
  <c r="M41" i="8"/>
  <c r="F19" i="2" s="1"/>
  <c r="N51" i="4"/>
  <c r="N67" i="4" s="1"/>
  <c r="O51" i="4"/>
  <c r="O67" i="4" s="1"/>
  <c r="H16" i="2" s="1"/>
  <c r="L51" i="4"/>
  <c r="L67" i="4" s="1"/>
  <c r="M51" i="4"/>
  <c r="P57" i="36"/>
  <c r="P42" i="34"/>
  <c r="P75" i="36"/>
  <c r="M76" i="36"/>
  <c r="P76" i="36" s="1"/>
  <c r="N76" i="36"/>
  <c r="O76" i="36"/>
  <c r="L76" i="36"/>
  <c r="P23" i="8"/>
  <c r="P39" i="34"/>
  <c r="P61" i="6"/>
  <c r="P51" i="6"/>
  <c r="P47" i="4"/>
  <c r="P41" i="34"/>
  <c r="P43" i="37"/>
  <c r="P19" i="37"/>
  <c r="L37" i="37"/>
  <c r="N37" i="37"/>
  <c r="O37" i="37"/>
  <c r="M37" i="37"/>
  <c r="P37" i="37" s="1"/>
  <c r="P22" i="37"/>
  <c r="P36" i="37"/>
  <c r="P30" i="37"/>
  <c r="O9" i="44"/>
  <c r="N9" i="40"/>
  <c r="G26" i="2" s="1"/>
  <c r="E38" i="37"/>
  <c r="F18" i="2"/>
  <c r="N9" i="3"/>
  <c r="E15" i="2"/>
  <c r="E86" i="36"/>
  <c r="F17" i="2"/>
  <c r="O9" i="38"/>
  <c r="E24" i="2"/>
  <c r="G16" i="2"/>
  <c r="I16" i="2"/>
  <c r="C35" i="33"/>
  <c r="F34" i="33"/>
  <c r="L86" i="36" l="1"/>
  <c r="L108" i="36" s="1"/>
  <c r="N86" i="36"/>
  <c r="N108" i="36" s="1"/>
  <c r="G22" i="2" s="1"/>
  <c r="O86" i="36"/>
  <c r="M86" i="36"/>
  <c r="O108" i="36"/>
  <c r="P41" i="8"/>
  <c r="E19" i="2" s="1"/>
  <c r="P62" i="6"/>
  <c r="P77" i="6" s="1"/>
  <c r="G36" i="33"/>
  <c r="J35" i="33"/>
  <c r="P51" i="4"/>
  <c r="P67" i="4" s="1"/>
  <c r="E16" i="2" s="1"/>
  <c r="M108" i="36"/>
  <c r="P43" i="34"/>
  <c r="P94" i="34" s="1"/>
  <c r="M94" i="34"/>
  <c r="F20" i="2" s="1"/>
  <c r="P85" i="36"/>
  <c r="L38" i="37"/>
  <c r="L45" i="37" s="1"/>
  <c r="N38" i="37"/>
  <c r="N45" i="37" s="1"/>
  <c r="O38" i="37"/>
  <c r="O45" i="37" s="1"/>
  <c r="H23" i="2" s="1"/>
  <c r="M38" i="37"/>
  <c r="I23" i="2"/>
  <c r="G23" i="2"/>
  <c r="N9" i="35"/>
  <c r="E21" i="2"/>
  <c r="E18" i="2"/>
  <c r="N9" i="7"/>
  <c r="F16" i="2"/>
  <c r="C36" i="33"/>
  <c r="F35" i="33"/>
  <c r="N9" i="34"/>
  <c r="E20" i="2"/>
  <c r="N9" i="6"/>
  <c r="E17" i="2"/>
  <c r="H22" i="2"/>
  <c r="I22" i="2"/>
  <c r="N9" i="8" l="1"/>
  <c r="J36" i="33"/>
  <c r="G37" i="33"/>
  <c r="P86" i="36"/>
  <c r="P108" i="36" s="1"/>
  <c r="P38" i="37"/>
  <c r="P45" i="37" s="1"/>
  <c r="N9" i="37" s="1"/>
  <c r="M45" i="37"/>
  <c r="I27" i="2"/>
  <c r="D11" i="2" s="1"/>
  <c r="H27" i="2"/>
  <c r="G27" i="2"/>
  <c r="F23" i="2"/>
  <c r="N9" i="4"/>
  <c r="F36" i="33"/>
  <c r="C37" i="33"/>
  <c r="F22" i="2"/>
  <c r="E22" i="2"/>
  <c r="N9" i="36"/>
  <c r="G38" i="33" l="1"/>
  <c r="J38" i="33" s="1"/>
  <c r="J37" i="33"/>
  <c r="J39" i="33" s="1"/>
  <c r="E23" i="2"/>
  <c r="E27" i="2" s="1"/>
  <c r="E30" i="2" s="1"/>
  <c r="F27" i="2"/>
  <c r="F37" i="33"/>
  <c r="C38" i="33"/>
  <c r="F38" i="33" s="1"/>
  <c r="E28" i="2" l="1"/>
  <c r="E29" i="2" s="1"/>
  <c r="F39" i="33"/>
  <c r="E31" i="2" l="1"/>
  <c r="D10" i="2" s="1"/>
  <c r="C19" i="1" l="1"/>
  <c r="C20" i="1" s="1"/>
  <c r="C2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D6" authorId="0" shapeId="0" xr:uid="{00000000-0006-0000-0100-000001000000}">
      <text>
        <r>
          <rPr>
            <b/>
            <sz val="9"/>
            <color rgb="FF000000"/>
            <rFont val="Tahoma"/>
            <family val="2"/>
            <charset val="186"/>
          </rPr>
          <t xml:space="preserve">ALTUM Kompetentces centrs:
</t>
        </r>
        <r>
          <rPr>
            <sz val="9"/>
            <color rgb="FF000000"/>
            <rFont val="Tahoma"/>
            <family val="2"/>
            <charset val="186"/>
          </rPr>
          <t>Excel šūnu krāsas:
Zaļa- aizpildāmas šūnas
Dzeltena- šūnas automātiski aizpildās
Liekos excel sheet, darba grāmatas, izdēts.
Liekās excel rindas izdzēst
Ar detalizēta informācija, par tāmju aizpildīšanu var iepazīties altum.lv
ALTUM Forma 2 sistēma atpazīst un darbojas tikai ar altum.lv publicētajām tāmju sagatavēm.
Tel. 67774064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D5" authorId="0" shapeId="0" xr:uid="{00000000-0006-0000-0200-000001000000}">
      <text>
        <r>
          <rPr>
            <b/>
            <sz val="9"/>
            <color rgb="FF000000"/>
            <rFont val="Tahoma"/>
            <family val="2"/>
            <charset val="186"/>
          </rPr>
          <t xml:space="preserve">ALTUM Kompetentces centrs:
</t>
        </r>
        <r>
          <rPr>
            <sz val="9"/>
            <color rgb="FF000000"/>
            <rFont val="Tahoma"/>
            <family val="2"/>
            <charset val="186"/>
          </rPr>
          <t>Excel šūnu krāsas:
Zaļa- aizpildāmas šūnas
Dzeltena- šūnas automātiski aizpildās
Liekos excel sheet, darba grāmatas, izdēts.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sharedStrings.xml><?xml version="1.0" encoding="utf-8"?>
<sst xmlns="http://schemas.openxmlformats.org/spreadsheetml/2006/main" count="2226" uniqueCount="690">
  <si>
    <t>APSTIPRINU</t>
  </si>
  <si>
    <t>(pasūtītāja paraksts un tā atsifrējums)</t>
  </si>
  <si>
    <t>Z.v.</t>
  </si>
  <si>
    <t>Būvniecības koptāme</t>
  </si>
  <si>
    <t>Attiecināmās izmaksas</t>
  </si>
  <si>
    <t xml:space="preserve">Būves nosaukums: </t>
  </si>
  <si>
    <t xml:space="preserve">Objekta nosaukums: </t>
  </si>
  <si>
    <t xml:space="preserve">Objekta adrese: </t>
  </si>
  <si>
    <t xml:space="preserve">Pasūtījuma Nr: </t>
  </si>
  <si>
    <t>Nr. P.k.</t>
  </si>
  <si>
    <t>Objekta nosaukums</t>
  </si>
  <si>
    <t>Objekta izmaksas (EUR)</t>
  </si>
  <si>
    <t>Kopā:</t>
  </si>
  <si>
    <t>PVN (21%)</t>
  </si>
  <si>
    <t>Sastādīja</t>
  </si>
  <si>
    <t>(paraksts un tā atšifrējums, datums)</t>
  </si>
  <si>
    <t>Sertifikāta Nr.</t>
  </si>
  <si>
    <t>Kopsavilkuma aprēķini pa darbu veidiem vai konstruktīvo elementu veidiem</t>
  </si>
  <si>
    <t>(darba veids vai konstruktīvā elementa nosaukums)</t>
  </si>
  <si>
    <t>Būves nosaukums:</t>
  </si>
  <si>
    <t>Objekta adrese:</t>
  </si>
  <si>
    <t>Pasūtījuma Nr.</t>
  </si>
  <si>
    <t>Par kopejo summu, EUR</t>
  </si>
  <si>
    <t>Kopējā darbietilpība, c/h</t>
  </si>
  <si>
    <t>Nr.p.k.</t>
  </si>
  <si>
    <t>kods; tāmes Nr:</t>
  </si>
  <si>
    <t>Darba veids vai konstruktīvā elementa nosaukums</t>
  </si>
  <si>
    <t>Tāmes izmaksas (EUR)</t>
  </si>
  <si>
    <t>Tai skaitā</t>
  </si>
  <si>
    <t>Darbietilpība (c/h)</t>
  </si>
  <si>
    <t>darba alga (EUR)</t>
  </si>
  <si>
    <t>materiāli (EUR)</t>
  </si>
  <si>
    <t>mehānismi (EUR)</t>
  </si>
  <si>
    <t>Kopā</t>
  </si>
  <si>
    <t xml:space="preserve">Virsizdevumi </t>
  </si>
  <si>
    <t>t.sk.darba aizsardzība</t>
  </si>
  <si>
    <t xml:space="preserve">Peļņa </t>
  </si>
  <si>
    <t>Pavisam kopā</t>
  </si>
  <si>
    <t>Pārbaudīja</t>
  </si>
  <si>
    <t xml:space="preserve">Lokālā tāme Nr. </t>
  </si>
  <si>
    <t>Tāmes  izmaksas  EUR</t>
  </si>
  <si>
    <t>Kods</t>
  </si>
  <si>
    <t>Darba nosaukums</t>
  </si>
  <si>
    <t>Mērvienība</t>
  </si>
  <si>
    <t>Daudzums</t>
  </si>
  <si>
    <t>Vienības izmaksas</t>
  </si>
  <si>
    <t>Kopā uz visu apjomu</t>
  </si>
  <si>
    <t>Laika norma (c/h)</t>
  </si>
  <si>
    <t>Darba samaksas likme (EUR/h)</t>
  </si>
  <si>
    <t>Darba alga (EUR)</t>
  </si>
  <si>
    <t>Būvizstrādājumi (EUR)</t>
  </si>
  <si>
    <t>Mehānismi (EUR)</t>
  </si>
  <si>
    <t>Kopā (EUR)</t>
  </si>
  <si>
    <t>Sertifikāta Nr</t>
  </si>
  <si>
    <t>Daudzīvokļu dzīvojamā māja</t>
  </si>
  <si>
    <t>fasādes vienkāršotā atjaunošana</t>
  </si>
  <si>
    <t>m²</t>
  </si>
  <si>
    <t>gb.</t>
  </si>
  <si>
    <t>SILTINĀJUMS</t>
  </si>
  <si>
    <t>difūzijas</t>
  </si>
  <si>
    <t>hidroizolācijas</t>
  </si>
  <si>
    <t xml:space="preserve">1.gb. </t>
  </si>
  <si>
    <t>h</t>
  </si>
  <si>
    <t xml:space="preserve">L </t>
  </si>
  <si>
    <t>kopā</t>
  </si>
  <si>
    <t>esošie PVC</t>
  </si>
  <si>
    <t>Cokola profils EB PVC VARIO 220</t>
  </si>
  <si>
    <t>Palodzes montāžas profils EW US01</t>
  </si>
  <si>
    <t>Stūra lāsenis ED CO2</t>
  </si>
  <si>
    <t>Loga pielaiduma profils EW</t>
  </si>
  <si>
    <t>Stūra profils  EC S</t>
  </si>
  <si>
    <t>ārējās</t>
  </si>
  <si>
    <t>iekšējās</t>
  </si>
  <si>
    <t xml:space="preserve">ārējās </t>
  </si>
  <si>
    <t>Logu platība m²</t>
  </si>
  <si>
    <t>Loga izmērs, m</t>
  </si>
  <si>
    <t>skaits</t>
  </si>
  <si>
    <t>tips</t>
  </si>
  <si>
    <t>Profili, m</t>
  </si>
  <si>
    <t>palodzes, m</t>
  </si>
  <si>
    <t>aiļu platums apdares m²</t>
  </si>
  <si>
    <t>Perimetrs lentei, m</t>
  </si>
  <si>
    <t>gb</t>
  </si>
  <si>
    <t>Gružu konteiners</t>
  </si>
  <si>
    <t>m³</t>
  </si>
  <si>
    <t>Būvgružu savākšana un aizvešana</t>
  </si>
  <si>
    <t>līg.c.</t>
  </si>
  <si>
    <t>Metāla karoga kāta turētāja montāža</t>
  </si>
  <si>
    <t>m</t>
  </si>
  <si>
    <t>Stūra profils ar armējumu visā augstumā visos ēkas stūros</t>
  </si>
  <si>
    <t>kg</t>
  </si>
  <si>
    <t>gab</t>
  </si>
  <si>
    <t>l</t>
  </si>
  <si>
    <t>komp</t>
  </si>
  <si>
    <t>Paligmateriāli</t>
  </si>
  <si>
    <t>Atkritumu konteineru izvietošana.</t>
  </si>
  <si>
    <t>Moduļu mājas uzstādīšana. Paredzēts 24 cilvēkiem.</t>
  </si>
  <si>
    <t>Sastatnes</t>
  </si>
  <si>
    <t xml:space="preserve">Sastatņu montēšana </t>
  </si>
  <si>
    <t>Signāllentes novilkšana.</t>
  </si>
  <si>
    <t>Pēda</t>
  </si>
  <si>
    <t>Žogs 3,5×2m</t>
  </si>
  <si>
    <t>Metāla nožogojuma montāža, h=2,0 m</t>
  </si>
  <si>
    <t>Līmlente</t>
  </si>
  <si>
    <t>krāsa</t>
  </si>
  <si>
    <t>perfix</t>
  </si>
  <si>
    <t>reģipsis</t>
  </si>
  <si>
    <t>šinas</t>
  </si>
  <si>
    <t>skrūves</t>
  </si>
  <si>
    <t>dibeļi</t>
  </si>
  <si>
    <t>montāžas skavas</t>
  </si>
  <si>
    <t>kmpl.</t>
  </si>
  <si>
    <t>palodzes profils</t>
  </si>
  <si>
    <t>Esošo skārda āra palodžu demontāža, b=0,25.</t>
  </si>
  <si>
    <t xml:space="preserve">Esošo koka logu, tsk. ārdurvju demontāža </t>
  </si>
  <si>
    <t>šķembas</t>
  </si>
  <si>
    <t xml:space="preserve"> Šķembas (fr.40-70mm) kārtas ieklāšana 100mm </t>
  </si>
  <si>
    <t xml:space="preserve"> Ģeotekstila plēves ieklāšana</t>
  </si>
  <si>
    <t>Jaunu bruģakmens lietusūdens novadīšanas apmaļu ierīkošana:</t>
  </si>
  <si>
    <t>Apmetuma apakšējās daļas izolācija (apmetuma norāvums)</t>
  </si>
  <si>
    <t>Atrakto vietu aizbēršana ar esošo minerālgrunti</t>
  </si>
  <si>
    <t>Līmjava CERESIT ZS vai ekvivalents</t>
  </si>
  <si>
    <t>hidroizolācija Denbit-D (19kg patēriņš aptuveni 1,0kg/m²) vai ekvivalents</t>
  </si>
  <si>
    <t>Jaunas šķidrās hidroizolācijas uzklāšana  visā siltinājuma augstumā</t>
  </si>
  <si>
    <t>Grunts hidroizolācijai Denbit-R (11kg patēriņš aptuveni 0,5kg/m²) vai ekvivalents</t>
  </si>
  <si>
    <t>Cokola sienas sagatavošana siltināšanai - virsmu notīrīšana un gruntēšana,</t>
  </si>
  <si>
    <t xml:space="preserve">Grunts rakšanas darbi 1,2m dziļumā,1000 mm platumā </t>
  </si>
  <si>
    <t>Fasādes atjaunošanas darbi</t>
  </si>
  <si>
    <t>Pagraba siltināšana</t>
  </si>
  <si>
    <t>Bēniņu siltināšana</t>
  </si>
  <si>
    <t xml:space="preserve"> Siltumizolācija</t>
  </si>
  <si>
    <t xml:space="preserve">Tvaika izolācijas plēves ieklāšana uz esošā seguma </t>
  </si>
  <si>
    <t>Plēve 200 mk</t>
  </si>
  <si>
    <t>Siltumizolācija</t>
  </si>
  <si>
    <t>m2</t>
  </si>
  <si>
    <t>PE aizsargčaula Dn100 ar polipropilēnu un silikonu uz izvada no zemes pie ievada ēkā.</t>
  </si>
  <si>
    <t>Tērauda caurules antikorozijas apstrāde un krāsošana ar eļļas krāsu</t>
  </si>
  <si>
    <t>Indikācijas kabeļu savienojuma nozaruzmava</t>
  </si>
  <si>
    <t>Signālvads S=2×2,5 mm², ar vara dzīslām un izolāciju 
(Ar izvadu)</t>
  </si>
  <si>
    <t>Mitruma izturīga līmlenta signālkabeļa stiprināšanai</t>
  </si>
  <si>
    <t>Marķējuma lenta ar uzrakstu "Gāze"</t>
  </si>
  <si>
    <t>Smilšu seguma pabērums zem un virs gāzes vada B=100 mm</t>
  </si>
  <si>
    <t xml:space="preserve">Caurumu Ø15÷20mm izurbšana citu komunikāciju  aku vākos </t>
  </si>
  <si>
    <t>vietas</t>
  </si>
  <si>
    <t>Metināto šuvju pārbaude 100%</t>
  </si>
  <si>
    <t>Metināto šuvju izolācija</t>
  </si>
  <si>
    <t xml:space="preserve">Zālāja atjaunošanas   </t>
  </si>
  <si>
    <t>Gāzes vada digitālā uzmērīšana un nodošana ekspluatācijā</t>
  </si>
  <si>
    <t>Īscaurule Dn15 ar noslēgtapu kontrolmonometra pielēgšanai (uz gāzes vada Dn50)</t>
  </si>
  <si>
    <t>kmpl</t>
  </si>
  <si>
    <t>Jumta atjaunošana</t>
  </si>
  <si>
    <t>maināmie</t>
  </si>
  <si>
    <t>briestošā lenta</t>
  </si>
  <si>
    <t>R1 0,3×0,3m</t>
  </si>
  <si>
    <t>R2 0,7×0,35m</t>
  </si>
  <si>
    <t>Koka brusas ar prettrupes un pretuguns apstrādi 75×125(h)</t>
  </si>
  <si>
    <t>Dēļi ar prettrupes un pretuguns apstrādi130×25(h)</t>
  </si>
  <si>
    <t>imposti</t>
  </si>
  <si>
    <t>garums</t>
  </si>
  <si>
    <t>izmēri m²</t>
  </si>
  <si>
    <t>Imp-1</t>
  </si>
  <si>
    <t>Imp-2</t>
  </si>
  <si>
    <t>Imp-3</t>
  </si>
  <si>
    <t>Imp-4</t>
  </si>
  <si>
    <t>Imp-5</t>
  </si>
  <si>
    <t>Imp-6</t>
  </si>
  <si>
    <t>Imp-7</t>
  </si>
  <si>
    <t>apjoms m³</t>
  </si>
  <si>
    <t>Imp-8</t>
  </si>
  <si>
    <t>pamatkarkass</t>
  </si>
  <si>
    <t>līstes</t>
  </si>
  <si>
    <t>Moduļu tualetes uzstādīšana</t>
  </si>
  <si>
    <t>Būvtāfeles uzstādīšana</t>
  </si>
  <si>
    <t xml:space="preserve">Grunts </t>
  </si>
  <si>
    <t xml:space="preserve">Līmjava </t>
  </si>
  <si>
    <t>Līmjava</t>
  </si>
  <si>
    <r>
      <t>m</t>
    </r>
    <r>
      <rPr>
        <sz val="8"/>
        <rFont val="Calibri"/>
        <family val="2"/>
        <charset val="186"/>
      </rPr>
      <t>²</t>
    </r>
  </si>
  <si>
    <t>Dībeli virsmas klasifikācija ETA A,B,C,D,E, galvas Ø60, nagla tērauda Ø8/10, Punkta siltumatdeves koeficients 0,001 W/K, min iestrādes dziļums &gt;35mm, vai ekvivalents 135mm</t>
  </si>
  <si>
    <t xml:space="preserve"> Šķembas (fr.0-40mm) kārtas ieklāšana 50mm </t>
  </si>
  <si>
    <t xml:space="preserve"> Grants kārtas ieklāšana 50mm</t>
  </si>
  <si>
    <t>grants</t>
  </si>
  <si>
    <t xml:space="preserve"> Bruģakmens 700mm biez.likšana 26gb./m²</t>
  </si>
  <si>
    <t>Betona bruģis b=50</t>
  </si>
  <si>
    <t>Izsijas -50mm</t>
  </si>
  <si>
    <t xml:space="preserve"> Bortakmens 80x200x1000  malas likšana 1gb/t.m</t>
  </si>
  <si>
    <t>betons klase C16/20</t>
  </si>
  <si>
    <t xml:space="preserve">Melnzemes uzbēršana zālāju sējumiem </t>
  </si>
  <si>
    <t>Melnzeme</t>
  </si>
  <si>
    <t>Zālāju sējumu ierīkošana</t>
  </si>
  <si>
    <t>zālāju sēklas</t>
  </si>
  <si>
    <t>Cokola siltināšana</t>
  </si>
  <si>
    <t>Logu montāžas palīgmateriāli uz  apjomu</t>
  </si>
  <si>
    <t>Durvju montāžas palīgmateriāli uz  apjomu</t>
  </si>
  <si>
    <t xml:space="preserve">Špaktels </t>
  </si>
  <si>
    <t>Dzelzsbetona pārsegumu notīrīšana, izlīdzināšana, sagatavošana siltināšanai</t>
  </si>
  <si>
    <t xml:space="preserve">Gružu konteiners </t>
  </si>
  <si>
    <t>Koka laipu izvietošana (skatīt bēniņu plāna lapā specifikāciju) astrādātas ar pretrupes un pretuguns sastāvu</t>
  </si>
  <si>
    <t>Esošo kāpņu demontāža</t>
  </si>
  <si>
    <t>betons</t>
  </si>
  <si>
    <t>Betons B20, F50 kāpņu pamatu izveidošanai</t>
  </si>
  <si>
    <t xml:space="preserve">   * atsegto stiegru pretkorozijas apstrāde, precizēt pēc vietas</t>
  </si>
  <si>
    <t xml:space="preserve">   * virsmas apstrāde ar sasaistes uzlabotāju</t>
  </si>
  <si>
    <t xml:space="preserve">   * izlīdzinātās virsmas špaktelēšana un gruntēšana</t>
  </si>
  <si>
    <t xml:space="preserve">   * sagatavotas virsmas krāsošana ar betona virsmai paredzētu fasādes krāsu( 2x kārtas)</t>
  </si>
  <si>
    <t>Jumta skārda lāseņa nostiprināšana pa jumtiņa garumu, b=250, tonis pēc AR norādēm</t>
  </si>
  <si>
    <t>gaze</t>
  </si>
  <si>
    <t>bal</t>
  </si>
  <si>
    <t>Tekne ar turētāju, Ø100, tonis pēc AR norādēm</t>
  </si>
  <si>
    <t xml:space="preserve">teknes </t>
  </si>
  <si>
    <t xml:space="preserve">teknes  āķis  </t>
  </si>
  <si>
    <t>teknes gals</t>
  </si>
  <si>
    <t xml:space="preserve">skrūves </t>
  </si>
  <si>
    <t>silikons</t>
  </si>
  <si>
    <t>kniedes</t>
  </si>
  <si>
    <t xml:space="preserve">Noteka, Ø100, krāsu tonis pēc AR norādēm </t>
  </si>
  <si>
    <t xml:space="preserve">notekcaurules </t>
  </si>
  <si>
    <t>caurules stiprinājums  ar dībeli</t>
  </si>
  <si>
    <t>piltuves</t>
  </si>
  <si>
    <t xml:space="preserve">veidgabali, līkums </t>
  </si>
  <si>
    <t xml:space="preserve">Jumta dzegas izbūve pie garensienu siltināšanas. </t>
  </si>
  <si>
    <t>Saduršuvju attīrīšana no vecās javas , mastikas fasādē</t>
  </si>
  <si>
    <t>Antisēptizēts dēlis 40x150 gar jumta paneļu ārmalu fasādē</t>
  </si>
  <si>
    <t xml:space="preserve">Antisēptizēts dēlis 40x150 </t>
  </si>
  <si>
    <t>Pašenkurojošas bultas M12x110  dēļa enkurošanai pie paneļa, s=0,5 m</t>
  </si>
  <si>
    <t>Cementa javas b=20x100  izlīdzinošā kārta uz paneļu galiem (garenvirzienā pie dzegas)</t>
  </si>
  <si>
    <t xml:space="preserve">  jaukta java</t>
  </si>
  <si>
    <t>m3</t>
  </si>
  <si>
    <t>Jumta skārda  apšuvums gar dzegu pēc ārsienu siltināšanas, kop.b=0,5 m(pēc krāsu pases)</t>
  </si>
  <si>
    <t xml:space="preserve">skārds </t>
  </si>
  <si>
    <t>Dībeļi Ø8x100 enkuru stiprināšanai pie paneļa un dēļa (2 gab uz enkuru)</t>
  </si>
  <si>
    <t>Saduršuvju iztīrīšana starp tekņu elementiem un sadurvietās ar jumta paneļiem</t>
  </si>
  <si>
    <t>Riboto paneļu saduru nosedzošo jumtiņu virsmas remonts</t>
  </si>
  <si>
    <t>Jumtiņu pilnas virsmas mehāniska attīrīšana ar smilšpapīru</t>
  </si>
  <si>
    <t>Plaisu remonts pēc SIKA vai ekvivalentas tehnoloģijas:</t>
  </si>
  <si>
    <t>Jumta seguma atjaunošana</t>
  </si>
  <si>
    <t>Slīpuma izveide vetkanālu vietās betona B25, F50,</t>
  </si>
  <si>
    <t>kompl.</t>
  </si>
  <si>
    <t>L75x50x5</t>
  </si>
  <si>
    <t>Enkuri M12x80</t>
  </si>
  <si>
    <t xml:space="preserve">Siets ∅8 AI, 100x100 </t>
  </si>
  <si>
    <t xml:space="preserve">Siets ∅6 AI, 100x100 </t>
  </si>
  <si>
    <t>Tērauda profilu apstrāde ar pretkorozijas sastāvu</t>
  </si>
  <si>
    <t>Betons B15 F50</t>
  </si>
  <si>
    <t>Savienojuma šuvju hermetizēšana</t>
  </si>
  <si>
    <t>Gāzesvada atvirzīšana</t>
  </si>
  <si>
    <t>Esošā gāzes ievada demontāža</t>
  </si>
  <si>
    <t>Pieslēgšana pie esošā gāzes vada</t>
  </si>
  <si>
    <t>Pieslēgšanās pie esošā gāzes vada ievada un MR</t>
  </si>
  <si>
    <t>Gāzes vadu un iekārtu sazemēšana</t>
  </si>
  <si>
    <t>Gāzes pievienojuma veidgabals, dn50</t>
  </si>
  <si>
    <t>Termosarūkošā materiāla uzmava l=700mm;  caurulei Dn50</t>
  </si>
  <si>
    <t>Uzmavu krāns gāzei PN1 bar (gali piemetināmi) Dn50</t>
  </si>
  <si>
    <t>Izolējošais izjaucams, savienojums Pn10 Dn50</t>
  </si>
  <si>
    <t>Atloku savienojumssavienojums Pn10 Dn50</t>
  </si>
  <si>
    <t>Tērauda ievadlīkums PN16, EN10208-1 Dn50</t>
  </si>
  <si>
    <t xml:space="preserve"> ar trīskāršo PE pretkarozijas pārklājumu EN10285 Dn50</t>
  </si>
  <si>
    <t>Tērauda caurule ar polimēra izolāciju EN10285 Ø60,3×3.6</t>
  </si>
  <si>
    <t>Tērauda caurules ar polimēra izolāciju līkums 3D-90° EN10253-1 Ø60,3×3.6</t>
  </si>
  <si>
    <t>Tērauda caurules pāreja   Pn=4 bar; 
LVS EN 10208-2, Dn50&gt;Dn40</t>
  </si>
  <si>
    <t>Tērauda caurule gar ēkas fasādi;   Pn=4 bar; 
LVS EN 10208-2, Dn40</t>
  </si>
  <si>
    <r>
      <t>Dn40 līkumi 90</t>
    </r>
    <r>
      <rPr>
        <vertAlign val="superscript"/>
        <sz val="8"/>
        <rFont val="Arial"/>
        <family val="2"/>
      </rPr>
      <t>o, Dn40</t>
    </r>
  </si>
  <si>
    <t>Ūdensapgādes sistēmas atjaunošana</t>
  </si>
  <si>
    <t>Projektēto ūdensvadu pieslēgšana pie siltummezgla</t>
  </si>
  <si>
    <t>Izbūvētās ūdensvada sistēmas pārbaude un nodošana</t>
  </si>
  <si>
    <t>L1 1,2×1,4m</t>
  </si>
  <si>
    <t>L2 2,4×1,1m</t>
  </si>
  <si>
    <t>L3 logs 1,2×1,4m</t>
  </si>
  <si>
    <t>L3 durvis 0,7×2m</t>
  </si>
  <si>
    <t>L4 logs 1,2×1,4m</t>
  </si>
  <si>
    <t>L4 durvis 0,7×2m</t>
  </si>
  <si>
    <t>L5  2,9×0,555</t>
  </si>
  <si>
    <t>L5a 2,9×0,555</t>
  </si>
  <si>
    <t>L6 1,45×0,555</t>
  </si>
  <si>
    <t>L7 2,9×0,8</t>
  </si>
  <si>
    <t>L8 1,2×1,1</t>
  </si>
  <si>
    <t>L9 3×1,5</t>
  </si>
  <si>
    <t>L10 1,58×0,675</t>
  </si>
  <si>
    <t>L11 1,47×1,4</t>
  </si>
  <si>
    <t>D5 esošās durvis 1×2,1</t>
  </si>
  <si>
    <t>Alumīnija konstrukcijas durvju bloks. Ar rokturi un enģēm, ar pašaizvēršanās mehānismu, ar speciālām blīvgumijām un piedurlīstēm, vienpunktu slēdzeni, kodatslēgu. Stikla paketes siltumcaurlaidības koef.:1.0w/m²*K.  Uw=1,6w/m²*K 
Krāsa - pēc krāsu pases,  D1 1,3×2</t>
  </si>
  <si>
    <t>Projektētas cinkotas tērauda (ar karsto cinkošanu 80mm)  ārdurvis ar siltinājumu, rokturi, eņģēm, ar  speciālām  blīvgumijām un piedurlīstēm. 
Tonis: skatīt krāsu pasē  D2 1,22×2</t>
  </si>
  <si>
    <t>Projektētas cinkotas tērauda (ar karsto cinkošanu 80mm)  ārdurvis ar siltinājumu, rokturi, eņģēm, ar  speciālām  blīvgumijām un piedurlīstēm. 
Tonis: skatīt krāsu pasē.  D3 0,9×1,84</t>
  </si>
  <si>
    <t>Alumīnija konstrukcijas ārdurvis.
Ārdurvis ar rokturi un eņģēm, ar pašaizvēršanās mehānismu, speciālām  blīvgumijām un piedurlīstēm, elektronisko slēdzeni ar iespējamību aprīkot ar domofona sistēmu ar nodrošinājumu visas kāpņu telpas dzīvokļiem.
Stikla paketes siltumcaurlaidības koef.:1.1w/m*K
Uw = 1.6w/m*K. Krāsu tonis RAL 7037.  D4 1,4×2,8</t>
  </si>
  <si>
    <t>Cinkotas krāsotas 80mm metāla durvis ar ugunsizturību EI30, automātisko pašaizvēršanās mehānismu. Ugunsdrošo durvju vienpunkta slēdzene un viras izgatavo no materiāla, kas nodrošina ugunsizturīgām konstrukcijām izvirzīto prasību minimālāko pakāpi. Nepieciešamo hermētiskumu nodrošina speciālas ugunsizturīgas blīvgumijas, kas izvietotas pa durvju kārbas perimetru. Uw=1.6w/m²*K,  D6 0,9×1,9</t>
  </si>
  <si>
    <t xml:space="preserve"> plaisas jāattīra, jāpaplatina ÷5mm, neskarot stiegrojumu</t>
  </si>
  <si>
    <t>Jaunas PEH lietusūdens savācējpiltuves Ø110*, uzstādīšana ar aizsargrežģi pamatni un aizsargrežģi montāža</t>
  </si>
  <si>
    <t>Demontējams izvads starp 1.-5. starpstāvu paneli un jumtu, ∅500</t>
  </si>
  <si>
    <t>Poz.
 Nr</t>
  </si>
  <si>
    <t>Nosaukums</t>
  </si>
  <si>
    <t>Mērv.</t>
  </si>
  <si>
    <t xml:space="preserve">Daudzums 
</t>
  </si>
  <si>
    <t>Viena elementa garums (mm)</t>
  </si>
  <si>
    <t>Kopējais  garums (m)</t>
  </si>
  <si>
    <t>Elementa 1 metra 
 svars  (kg)</t>
  </si>
  <si>
    <t>1 elementa
 masa (kg)</t>
  </si>
  <si>
    <t>Kopējā
 masa (kg)</t>
  </si>
  <si>
    <t>Jumta daļas aizbetonējums</t>
  </si>
  <si>
    <r>
      <t>m</t>
    </r>
    <r>
      <rPr>
        <vertAlign val="superscript"/>
        <sz val="6"/>
        <rFont val="Arial"/>
        <family val="2"/>
        <charset val="186"/>
      </rPr>
      <t>3</t>
    </r>
  </si>
  <si>
    <t>Lēņu iela 2, Liepājā</t>
  </si>
  <si>
    <t>WS-90-17 Līg.Nr. 2017/3-62/479</t>
  </si>
  <si>
    <t>Zībens aizsardzības sistēmas zibuve</t>
  </si>
  <si>
    <t>Uztvērējs, alumīnija ø 16 mm, l-1,50 m.</t>
  </si>
  <si>
    <t xml:space="preserve">Stieple cinkota tērauda ø 8 mm, sieta montāžai </t>
  </si>
  <si>
    <t xml:space="preserve">Stieple alumīnija, ø 8 mm, novadītāju montāžai </t>
  </si>
  <si>
    <t>Uztvērēja stieples kronšteins (jumts), .ø8÷10mm</t>
  </si>
  <si>
    <t>Uztvērēja pamatne</t>
  </si>
  <si>
    <t>Novadītāja PVC caurules kronšteins (sienas), .ø8÷10mm</t>
  </si>
  <si>
    <t xml:space="preserve">Speciālā atdalītājcaurule, Dn12mm, 100 kV.Novadītāja stieples kronšteins (sienas), </t>
  </si>
  <si>
    <t xml:space="preserve">Kompensācijas savienojums  , </t>
  </si>
  <si>
    <t xml:space="preserve">Savienojums universālsT-veida , </t>
  </si>
  <si>
    <t xml:space="preserve">Savienojums krustveida , </t>
  </si>
  <si>
    <t xml:space="preserve">Savienojums universāls , </t>
  </si>
  <si>
    <t xml:space="preserve"> Kontūra mērklemmes kaste, montējama gruntī, Ip 67</t>
  </si>
  <si>
    <t xml:space="preserve"> Kontūra mērklemme, mērklemmes kastē</t>
  </si>
  <si>
    <t xml:space="preserve"> Adapters kontūra mērklemmei</t>
  </si>
  <si>
    <t xml:space="preserve">Zemējuma ievads, tērauda cinkots, ø 16 mm, l- 1,50 m, </t>
  </si>
  <si>
    <t xml:space="preserve">Zemējuma lenta, tērauda cinkota, 30×3,5 mm, </t>
  </si>
  <si>
    <t xml:space="preserve"> Zemēšanas elektrods ø 20 mm, l-1,5 m, cinkots </t>
  </si>
  <si>
    <t xml:space="preserve"> Elektrodu spice</t>
  </si>
  <si>
    <t xml:space="preserve"> Elektrodu uzmava, M 20</t>
  </si>
  <si>
    <t xml:space="preserve"> Elektrodu pievienojuma klemme</t>
  </si>
  <si>
    <t>Margas  kronšteins</t>
  </si>
  <si>
    <t xml:space="preserve"> Pretkorozijas mastika</t>
  </si>
  <si>
    <t xml:space="preserve"> Dalīta caurule kabeļu aizsardzībai, D 110 mm, l- 2,0 m.</t>
  </si>
  <si>
    <t>Palīgmateriāli</t>
  </si>
  <si>
    <t>kompl</t>
  </si>
  <si>
    <t>Darbi</t>
  </si>
  <si>
    <t xml:space="preserve">Zibens uztvērēja sieta un stiepļu montāža </t>
  </si>
  <si>
    <t>Novadītāja stieples ievilkšana PVC caurulē, l~305m</t>
  </si>
  <si>
    <t>Novadītāja PVC caurules montāža zem siltinājuma, l~30m</t>
  </si>
  <si>
    <t xml:space="preserve"> Kontūra mērklemmes kaste, montāža gruntī</t>
  </si>
  <si>
    <t>Zemējuma ievada montāža</t>
  </si>
  <si>
    <t>Zemējuma lenta, zemē ~ 0,8 m dziļumā.</t>
  </si>
  <si>
    <t xml:space="preserve"> Zemēšanas elektrods ø 20 mm, l-1,5 m, iedzīšana</t>
  </si>
  <si>
    <t>Esošo komunikāciju apsekošana</t>
  </si>
  <si>
    <t>Tranšejas rakšana un aizbēršana zemējuma kontūram</t>
  </si>
  <si>
    <t xml:space="preserve"> Zemējuma kontūra ierīkošana, mērījumi</t>
  </si>
  <si>
    <t xml:space="preserve"> Šķērsojums ar citām inženierkomunikācijām.precizēt </t>
  </si>
  <si>
    <t>Grunts blietēšana, virskārtas atjaunošana</t>
  </si>
  <si>
    <t>Sistēmas montāža, palaišana</t>
  </si>
  <si>
    <t>Sistēmas nodošana ekspluatācijā</t>
  </si>
  <si>
    <t>iepak</t>
  </si>
  <si>
    <t>Materiāli</t>
  </si>
  <si>
    <t>Jaunizbūvējamā aukstā  ūdensvada  pievienošanās pie esošā  ūdensapgāda ievada</t>
  </si>
  <si>
    <t>-</t>
  </si>
  <si>
    <t xml:space="preserve">Pārseguma šķērsošana ar PPR cauruli  </t>
  </si>
  <si>
    <t>Ēkas ūdens patēriņa uzskaites mezgls</t>
  </si>
  <si>
    <t>Dzīvokļu aukstā  ūdens patēriņa uzskaites mezgli</t>
  </si>
  <si>
    <t>Dzīvokļu karstā  ūdens patēriņa uzskaites mezgli</t>
  </si>
  <si>
    <t xml:space="preserve">Dvieļu žāvētāja pieslēgums </t>
  </si>
  <si>
    <t>Kronšteini dvieļu žāvētāja stiprināšanai</t>
  </si>
  <si>
    <t xml:space="preserve">vietas </t>
  </si>
  <si>
    <t>Sadzīves  kanalizācijas atjaunošana</t>
  </si>
  <si>
    <t xml:space="preserve">Ugundrošās manžetes uzstādīšana </t>
  </si>
  <si>
    <t>Tērauda aizsargcaurule Dn80, l=0,5m</t>
  </si>
  <si>
    <t>Hilti kronšteins gāzes vadam t.sk. konsule MQK-21/300-F, kas stiprināta ar  vītņstieņi AM12, apaplāksne A13/24, uzgrieznis M12, cauruļvada skava MP-M-F-2" ar pagarinātājstieni M10 un uzgriezni M10</t>
  </si>
  <si>
    <r>
      <t>m</t>
    </r>
    <r>
      <rPr>
        <sz val="8"/>
        <rFont val="Calibri"/>
        <family val="2"/>
        <charset val="186"/>
      </rPr>
      <t>³</t>
    </r>
  </si>
  <si>
    <t xml:space="preserve">Ārsienu  siltināšana ar akmensvati līmējot un piestiprinot to pie ārsienas ar mehāniskajiem stiprinājumiem </t>
  </si>
  <si>
    <t>S1, S2,S6,S7 P4</t>
  </si>
  <si>
    <t>Grunts</t>
  </si>
  <si>
    <r>
      <rPr>
        <b/>
        <sz val="8"/>
        <rFont val="Arial"/>
        <family val="2"/>
        <charset val="186"/>
      </rPr>
      <t xml:space="preserve"> S1 -</t>
    </r>
    <r>
      <rPr>
        <sz val="8"/>
        <rFont val="Arial"/>
        <family val="2"/>
        <charset val="186"/>
      </rPr>
      <t xml:space="preserve"> Apmetuma sistēma virs siltinājuma - AS1 (b=7mm), grunts, siltinājums-akmensvate, λ=0,036W/m</t>
    </r>
    <r>
      <rPr>
        <sz val="8"/>
        <rFont val="Calibri"/>
        <family val="2"/>
        <charset val="186"/>
      </rPr>
      <t>²</t>
    </r>
    <r>
      <rPr>
        <sz val="8"/>
        <rFont val="Arial"/>
        <family val="2"/>
        <charset val="186"/>
      </rPr>
      <t>K</t>
    </r>
    <r>
      <rPr>
        <b/>
        <sz val="8"/>
        <rFont val="Arial"/>
        <family val="2"/>
        <charset val="186"/>
      </rPr>
      <t>, b=150mm</t>
    </r>
    <r>
      <rPr>
        <sz val="8"/>
        <rFont val="Arial"/>
        <family val="2"/>
        <charset val="186"/>
      </rPr>
      <t>, līmjava grunts, esošā siena - betona panelis (b=250/370mm)</t>
    </r>
  </si>
  <si>
    <r>
      <rPr>
        <b/>
        <sz val="8"/>
        <rFont val="Arial"/>
        <family val="2"/>
        <charset val="186"/>
      </rPr>
      <t xml:space="preserve"> S2 - </t>
    </r>
    <r>
      <rPr>
        <sz val="8"/>
        <rFont val="Arial"/>
        <family val="2"/>
        <charset val="186"/>
      </rPr>
      <t xml:space="preserve"> Apmetuma sistēma virs siltinājuma - AS1  (b=7mm), grunts, siltinājums-akmensvate, λ=0,036W/m</t>
    </r>
    <r>
      <rPr>
        <sz val="8"/>
        <rFont val="Calibri"/>
        <family val="2"/>
        <charset val="186"/>
      </rPr>
      <t>²</t>
    </r>
    <r>
      <rPr>
        <sz val="8"/>
        <rFont val="Arial"/>
        <family val="2"/>
        <charset val="186"/>
      </rPr>
      <t>K,</t>
    </r>
    <r>
      <rPr>
        <b/>
        <sz val="8"/>
        <rFont val="Arial"/>
        <family val="2"/>
        <charset val="186"/>
      </rPr>
      <t xml:space="preserve"> b=180mm</t>
    </r>
    <r>
      <rPr>
        <sz val="8"/>
        <rFont val="Arial"/>
        <family val="2"/>
        <charset val="186"/>
      </rPr>
      <t>, līmjava grunts, esošā siena - betona paneļi (b=500/300mm)</t>
    </r>
  </si>
  <si>
    <r>
      <rPr>
        <b/>
        <sz val="8"/>
        <rFont val="Arial"/>
        <family val="2"/>
        <charset val="186"/>
      </rPr>
      <t xml:space="preserve"> S6 </t>
    </r>
    <r>
      <rPr>
        <sz val="8"/>
        <rFont val="Arial"/>
        <family val="2"/>
        <charset val="186"/>
      </rPr>
      <t>- Apmetuma sistēma virs siltinājuma -AS1 (b=7mm), siltinājums putupolistirola plāksne</t>
    </r>
    <r>
      <rPr>
        <b/>
        <sz val="8"/>
        <rFont val="Arial"/>
        <family val="2"/>
        <charset val="186"/>
      </rPr>
      <t xml:space="preserve"> </t>
    </r>
    <r>
      <rPr>
        <sz val="8"/>
        <rFont val="Arial"/>
        <family val="2"/>
        <charset val="186"/>
      </rPr>
      <t>λ=0,034W/mK,</t>
    </r>
    <r>
      <rPr>
        <b/>
        <sz val="8"/>
        <rFont val="Arial"/>
        <family val="2"/>
        <charset val="186"/>
      </rPr>
      <t xml:space="preserve"> b=50mm</t>
    </r>
    <r>
      <rPr>
        <sz val="8"/>
        <rFont val="Arial"/>
        <family val="2"/>
        <charset val="186"/>
      </rPr>
      <t>, līmjava , grunts, esoša siena betona panelis (b=250mm)</t>
    </r>
  </si>
  <si>
    <r>
      <rPr>
        <b/>
        <sz val="8"/>
        <rFont val="Arial"/>
        <family val="2"/>
        <charset val="186"/>
      </rPr>
      <t xml:space="preserve"> S7</t>
    </r>
    <r>
      <rPr>
        <sz val="8"/>
        <rFont val="Arial"/>
        <family val="2"/>
        <charset val="186"/>
      </rPr>
      <t xml:space="preserve"> - Apmetuma sistēma virs siltinājuma -AS1, AS2 (b=7mm), siltinājums SPU materiāls, λ=0,021W/mK, </t>
    </r>
    <r>
      <rPr>
        <b/>
        <sz val="8"/>
        <rFont val="Arial"/>
        <family val="2"/>
        <charset val="186"/>
      </rPr>
      <t>b=50mm</t>
    </r>
    <r>
      <rPr>
        <sz val="8"/>
        <rFont val="Arial"/>
        <family val="2"/>
        <charset val="186"/>
      </rPr>
      <t>, līmjava , grunts, esoša siena -betona panelis (b=150/220/300mm)</t>
    </r>
  </si>
  <si>
    <r>
      <rPr>
        <b/>
        <sz val="8"/>
        <rFont val="Arial"/>
        <family val="2"/>
        <charset val="186"/>
      </rPr>
      <t xml:space="preserve"> P4</t>
    </r>
    <r>
      <rPr>
        <sz val="8"/>
        <rFont val="Arial"/>
        <family val="2"/>
        <charset val="186"/>
      </rPr>
      <t xml:space="preserve"> - Apmetums , apmetuma sistēma AS1,siltinājums putupolistirola plāksnes , λ=0,031W/mK </t>
    </r>
    <r>
      <rPr>
        <b/>
        <sz val="8"/>
        <rFont val="Arial"/>
        <family val="2"/>
        <charset val="186"/>
      </rPr>
      <t>b=150mm</t>
    </r>
    <r>
      <rPr>
        <sz val="8"/>
        <rFont val="Arial"/>
        <family val="2"/>
        <charset val="186"/>
      </rPr>
      <t>, līmjava, grunts, esošs dz-betona pārsegums, b=220mm</t>
    </r>
  </si>
  <si>
    <t>gab.</t>
  </si>
  <si>
    <t>Dekoratīvas joslas dobumu pie loga ( sendvičpaneļu un ārsienas ) aizpildījums ar akmensvati , λ=0,036W/m²K</t>
  </si>
  <si>
    <t>Stiprākas klases apmetums fasādē saskaņa ar shēmu  AR-4, AR-5  lapās (ieejas mezgls un tam pieder. elementi)</t>
  </si>
  <si>
    <t>Līmjava 4mm</t>
  </si>
  <si>
    <t>Armējošais stiklšķiedras siets - 160g/m², 2 kārtas</t>
  </si>
  <si>
    <t>Stūra profils</t>
  </si>
  <si>
    <t xml:space="preserve">m </t>
  </si>
  <si>
    <t xml:space="preserve"> dekoratīvais apmetums</t>
  </si>
  <si>
    <t>kpl</t>
  </si>
  <si>
    <t>Armējošais stiklšķiedras siets - 160g/m², 1 kārta</t>
  </si>
  <si>
    <t>Siliktā-silikona homogēnais apmetums, 2 mm graudu lielums</t>
  </si>
  <si>
    <t>Logu, durvju  aiļu apdare ar akmensvates plātnēm, λ=0,037 W/m²K  platums~0.18*m, b=0,03m</t>
  </si>
  <si>
    <t>Logu, durvju  aiļu apdare ar akmensvates plātnēm, λ=0,037 W/m²K  platums~0.25m, b=0,03m</t>
  </si>
  <si>
    <t>Dziļumgrunts</t>
  </si>
  <si>
    <t>Siltumizolācija sienām</t>
  </si>
  <si>
    <t>Dībeli virsmas klasifikācija ETA A,B,C,D,E, galvas Ø60, nagla tērauda Ø8/10, Punkta siltumatdeves koeficients 0,001 W/K, min iestrādes dziļums &gt;35mm, vai ekvivalents 95mm</t>
  </si>
  <si>
    <t>Armējošais stiklšķiedras siets - 160g/m², 2kārtas</t>
  </si>
  <si>
    <t>Pielaiduma profils</t>
  </si>
  <si>
    <t>Profils ar lāsēni</t>
  </si>
  <si>
    <t>Skārda palodžu montāža  , b=250*-350*mm</t>
  </si>
  <si>
    <t>palodzes montāžas profils (ārpusē)</t>
  </si>
  <si>
    <t xml:space="preserve">Skārda apšuvums pa perimetru kāpņu telpas logiem ( ārsiena nosiltināta ar sendvičpaneļiem 80mm biez.)b=0,3*m </t>
  </si>
  <si>
    <t>Vēdināšanas komplekts FRESH 100 Thermo vai ekvivalents, montāža ārsienā</t>
  </si>
  <si>
    <t xml:space="preserve">Piekarāķu uzstādišana un kābeļu pārmontēšana. Piekarāķa parametri (paredzētas  3 vietas):
Piekarāķis M20, L=520*mm SOT101.2  cauri balstam -  esošai bēniņu sienai 250+ 180mm siltinājums. Piekarāķi izmanto izolētiem gaisvadiem, servisa  kabeļiem, kā arī XLP - izolētiem kabeļiem. pagrieziena vai enkurbalstos. Piekarāķis ir aprīkots ar  noslēgplāksni un izgatavots no karsti cinkota  tērauda.Svars: 1.8 kg. Pārbaudes slodze: 30.6 Fx/kN.  Pārbaudes slodze: 6.7 Fy/kN </t>
  </si>
  <si>
    <t xml:space="preserve">Piekarāķu uzstādišana un kābeļu pārmontēšana. Piekarāķa parametri (paredzētas  4 vietas):
Piekarāķis M20, L=320*mm SOT101.2  cauri balstam -  esošai bēniņu sienai 250+50mm siltinājums . Piekarāķi izmanto izolētiem gaisvadiem, servisa  kabeļiem, kā arī XLP - izolētiem kabeļiem. pagrieziena vai enkurbalstos. Piekarāķis ir aprīkots ar  noslēgplāksni un izgatavots no karsti cinkota  tērauda.Svars: 1.8 kg. Pārbaudes slodze: 30.6 Fx/kN.  Pārbaudes slodze: 6.7 Fy/kN </t>
  </si>
  <si>
    <t>Ailu aiztaisīšana Z un D fasādes pusēs ar 150-200mm biez keramzītbetona bloku mūri</t>
  </si>
  <si>
    <t xml:space="preserve">Java </t>
  </si>
  <si>
    <t xml:space="preserve">Bloki </t>
  </si>
  <si>
    <t>Putupolistirola siltumizolācija, λ=0,031W/mK, b=150mm</t>
  </si>
  <si>
    <t>Dībeli virsmas klasifikācija ETA A,B,C,D,E, galvas Ø60, nagla tērauda Ø8/10, Punkta siltumatdeves koeficients 0,001 W/K, min iestrādes dziļums &gt;35mm, vai ekvivalents 195mm</t>
  </si>
  <si>
    <t>Putupolistirola siltumizolācija, λ=0,031 W/mK, b=50mm</t>
  </si>
  <si>
    <t>Apmetums:</t>
  </si>
  <si>
    <t>Cokola daļas siltināšana atbilstoši tehnoloģijai:</t>
  </si>
  <si>
    <t>Cokola sagatavošana:</t>
  </si>
  <si>
    <t>Dībeli virsmas klasifikācija ETA A,B,C,D,E, galvas Ø60, nagla tērauda Ø8/10, Punkta siltumatdeves koeficients 0,001 W/K, min iestrādes dziļums &gt;35mm, vai ekvivalents 255mm</t>
  </si>
  <si>
    <t>Armējošā līmjava</t>
  </si>
  <si>
    <t>Šķembu pārklājums zem lodžijām:</t>
  </si>
  <si>
    <t>Ģeotekstila plēves ieklāšana</t>
  </si>
  <si>
    <t xml:space="preserve">Šķembas (fr.20-60mm) kārtas ieklāšana 200mm </t>
  </si>
  <si>
    <t>Bortakmens 80x200x1000  malas likšana 1gb/t.m</t>
  </si>
  <si>
    <t>Logu un durvju nomaiņa</t>
  </si>
  <si>
    <t>Esošo metāla durvju D*  krāsošana.Tonis pēc krāsu pases.</t>
  </si>
  <si>
    <t>Esošo  lodžiju stiklojuma (gan koka gan PVC) demontāža</t>
  </si>
  <si>
    <t>Metāla režģa demontāža (lodžijās)</t>
  </si>
  <si>
    <t>Jaunu iekštelpu MDF palodžu montēšana iekštelpās , b=300mm. (profilu sk.pie logu montāžas)</t>
  </si>
  <si>
    <t>Skārda palodzes logiem sk. pie AR</t>
  </si>
  <si>
    <t>Lodžiju aizstiklojums:</t>
  </si>
  <si>
    <t>silikona hermētiķis</t>
  </si>
  <si>
    <t xml:space="preserve">savienojuma profils </t>
  </si>
  <si>
    <t>PVC palodzes stiklotām lodžijām b=120*mm</t>
  </si>
  <si>
    <t>Durvis:</t>
  </si>
  <si>
    <t>Difūzujas lentas montēšana nomaināmajos logos pa visu perimetru</t>
  </si>
  <si>
    <t>Gaisa pieplūdes vārsts logu ramjos</t>
  </si>
  <si>
    <t>Apmetuma atjaunošana pēc logu nomaiņas telpu iekšpusē, remonts ap logu ailu, b=0,3m</t>
  </si>
  <si>
    <t xml:space="preserve">stūra profils </t>
  </si>
  <si>
    <r>
      <t xml:space="preserve"> </t>
    </r>
    <r>
      <rPr>
        <b/>
        <sz val="8"/>
        <rFont val="Arial"/>
        <family val="2"/>
        <charset val="186"/>
      </rPr>
      <t>P2</t>
    </r>
    <r>
      <rPr>
        <sz val="8"/>
        <rFont val="Arial"/>
        <family val="2"/>
        <charset val="186"/>
      </rPr>
      <t xml:space="preserve"> - Pagraba pārseguma siltinājums,  esošs grīdas sastāvs, Esošais pārsegums -betona pārsegums b=220mm.Līmjava. Siltinājums – akmensvates lameles , gruntētās; λ=0,037W/mK,  b=150mm. </t>
    </r>
  </si>
  <si>
    <t xml:space="preserve"> Līmjava</t>
  </si>
  <si>
    <t>Lodžiju margas atjaunošana</t>
  </si>
  <si>
    <t xml:space="preserve"> Lodžiju margas atbalstkonstrukcijas montēšana </t>
  </si>
  <si>
    <t>Enkurplātne 10x200(h)x100 (pa vienai katrā pusē)</t>
  </si>
  <si>
    <t xml:space="preserve">ter.konstrukcijas </t>
  </si>
  <si>
    <t>ķīlenkuri M12x80, s=500</t>
  </si>
  <si>
    <t>Cauruļveida metāla profila sija 100(h)x60x4; l=2,85-3,1*m</t>
  </si>
  <si>
    <t>tēr konstrukcijas</t>
  </si>
  <si>
    <t>Skārds lodžijas pārseguma malas apšuvumam b=0,45*</t>
  </si>
  <si>
    <t>enkurdetaļa 4x40x310*, s=500 (782gb)</t>
  </si>
  <si>
    <t>Leņķveida stiprinājumi  L 75x75x6 4 gb/lodž</t>
  </si>
  <si>
    <t xml:space="preserve">ķīļenkuri M10x70, 1 gab uz detaļu </t>
  </si>
  <si>
    <t>Betona plātnes remonts</t>
  </si>
  <si>
    <r>
      <t>Cementa java izlīdzinošā kārta 10</t>
    </r>
    <r>
      <rPr>
        <sz val="8"/>
        <rFont val="Calibri"/>
        <family val="2"/>
        <charset val="186"/>
      </rPr>
      <t>÷</t>
    </r>
    <r>
      <rPr>
        <sz val="8"/>
        <rFont val="Arial"/>
        <family val="2"/>
        <charset val="186"/>
      </rPr>
      <t>15mm</t>
    </r>
  </si>
  <si>
    <t>java</t>
  </si>
  <si>
    <t>Plātnes apakšvirsmas špaktelēšana un krāsošana</t>
  </si>
  <si>
    <t>špaktele</t>
  </si>
  <si>
    <t>Lodžiju margas demontāža 126gb (betona paneļi)+ koka rokturi</t>
  </si>
  <si>
    <t>Siltumizolācijas pielīmēšana pa bēniņu perimetru, h=500; siltinājums-akmensvate, λ=0,036W/m²K, b=50mm</t>
  </si>
  <si>
    <r>
      <rPr>
        <b/>
        <sz val="8"/>
        <rFont val="Arial"/>
        <family val="2"/>
        <charset val="186"/>
      </rPr>
      <t xml:space="preserve"> P2</t>
    </r>
    <r>
      <rPr>
        <sz val="8"/>
        <rFont val="Arial"/>
        <family val="2"/>
        <charset val="186"/>
      </rPr>
      <t xml:space="preserve"> - Siltumizolācijas ieklāšana - beramā akmensvate , λ=0,041W/m²K, b=400mm</t>
    </r>
  </si>
  <si>
    <r>
      <rPr>
        <b/>
        <sz val="8"/>
        <rFont val="Arial"/>
        <family val="2"/>
        <charset val="186"/>
      </rPr>
      <t xml:space="preserve"> P3</t>
    </r>
    <r>
      <rPr>
        <sz val="8"/>
        <rFont val="Arial"/>
        <family val="2"/>
        <charset val="186"/>
      </rPr>
      <t xml:space="preserve"> - Siltumizolācijas pielīmēšana, akmensvates gruntētas lameles ,  λ=0,037W/m²K , b=150mm</t>
    </r>
  </si>
  <si>
    <t>Jumta pārseguma - kāpņu telpas griestu un sienu siltināšana no bēniņu telpas( Nr.1 un Nr.2 pēc ekspl.)</t>
  </si>
  <si>
    <r>
      <rPr>
        <b/>
        <sz val="8"/>
        <rFont val="Arial"/>
        <family val="2"/>
        <charset val="186"/>
      </rPr>
      <t>S8</t>
    </r>
    <r>
      <rPr>
        <sz val="8"/>
        <rFont val="Arial"/>
        <family val="2"/>
        <charset val="186"/>
      </rPr>
      <t xml:space="preserve"> - Kāpņu telpas sienu siltināšana, siltinājums - akmensvate,λ=0,036W/mK ;   b=150mm</t>
    </r>
  </si>
  <si>
    <t>Dībeli virsmas klasifikācija ETA A,B,C,D,E, galvas Ø60, nagla tērauda Ø8-10, Punkta siltumatdeves koeficients 0,002 W/K, min iestrādes dziļums &gt;25mm, vai ekvivalents 135mm</t>
  </si>
  <si>
    <t>Dībeli virsmas klasifikācija ETA A,B,C,D,E, galvas Ø60, nagla tērauda Ø8-10, Punkta siltumatdeves koeficients 0,002 W/K, min iestrādes dziļums &gt;25mm, vai ekvivalents 195mm</t>
  </si>
  <si>
    <t>Koka laipas:</t>
  </si>
  <si>
    <t>Papes loksne</t>
  </si>
  <si>
    <t>Ieejas atjaunošana</t>
  </si>
  <si>
    <t>Esoša pandusa demontāža</t>
  </si>
  <si>
    <t>Esošas betona  platformas un elementu demontāža</t>
  </si>
  <si>
    <t>Ieejas laukuma virsmas remonts, virsmas sagatavošana flīzēšanai</t>
  </si>
  <si>
    <t>Akmensmasas flīzes ieklāšana, b=10mm</t>
  </si>
  <si>
    <t>virsslaņa nokalšana, b=30*mm</t>
  </si>
  <si>
    <r>
      <t xml:space="preserve">betona B20F50 ar sietu </t>
    </r>
    <r>
      <rPr>
        <sz val="8"/>
        <rFont val="Calibri"/>
        <family val="2"/>
        <charset val="186"/>
      </rPr>
      <t>Ø</t>
    </r>
    <r>
      <rPr>
        <sz val="8"/>
        <rFont val="Arial"/>
        <family val="2"/>
        <charset val="186"/>
      </rPr>
      <t>3 Bpl, 100x100; b=50*mm iestrāde</t>
    </r>
  </si>
  <si>
    <t>Pamatu izbūve jaunam kāpnēm un pandusam</t>
  </si>
  <si>
    <t>Betons B20, F50 pandusa pamatiem izveidošanai</t>
  </si>
  <si>
    <t>Grunts izstrāde  pamatu iebūvei</t>
  </si>
  <si>
    <t>Blietētas šķembu sagatavošana zem betona laukuma un pakāpieniem</t>
  </si>
  <si>
    <t xml:space="preserve">      betons</t>
  </si>
  <si>
    <t xml:space="preserve"> Smilts pildījums, ja nepieciešams</t>
  </si>
  <si>
    <t>Stiegrojums Ø6AI</t>
  </si>
  <si>
    <t>Apakšējā pakāpiena atbalstdetaļas montēšana, Ø14AIII, s=200*, l=200, 8 gab uz elem.,</t>
  </si>
  <si>
    <t>Saliekamo betona pakāpienu montēšana (h×b×l= 0,15×0,3×1,5* m), ekviv. X-sēta ražojumam</t>
  </si>
  <si>
    <t xml:space="preserve"> Ieejas jumtiņu atjaunošana</t>
  </si>
  <si>
    <t xml:space="preserve"> siets Ø3 Bpl, 100x100</t>
  </si>
  <si>
    <t>Nerūsējošā tērauda margu h=1,0m montažā ieejas laukumā, ts,k, stati rokturi stirpinājumu un ķim dībeļi pamatnei, 4 posmi, kop.l= 6,5m</t>
  </si>
  <si>
    <t>Nerūsējošā tērauda margas h=1,0m montažā pie pandusa, ts,k, stati rokturi stirpinājumu un ķim dībeļi pamatnei, 1.elements 4,5m</t>
  </si>
  <si>
    <t>Nerūsējošā tērauda margas h=1,0m montažā pie pakāpieniem, ts,k, stati rokturi stirpinājumu un ķim dībeļi pamatnei, 1.elements 1,5m</t>
  </si>
  <si>
    <t>Nerūsējošā tērauda margas h=0,3m montažā pie pandusa, ts,k, ķim dībeļi pamatnei viens elements 4,5m</t>
  </si>
  <si>
    <t>Bruģēta laukuma izveidošana:</t>
  </si>
  <si>
    <t>Lietusūdens kanalizācijas caurules demontāža</t>
  </si>
  <si>
    <t>Atveruma aizbetonēšana</t>
  </si>
  <si>
    <t>Jumtiņa virsmas un malu remonts, pielietojot Sakret ekvivalentu tehnoloģiju:</t>
  </si>
  <si>
    <t>Jumtiņa betona  ribota paneļa virsmas notīrīšana un apstrāde ar biocīdu</t>
  </si>
  <si>
    <t xml:space="preserve">līg.c. </t>
  </si>
  <si>
    <t>Antiseptizēta koka brusa 50x175* l=6250mm enkurošana</t>
  </si>
  <si>
    <t>Antiseptizēta koka brusa 50x400* l=6250mm enkurošana pie jumtiņa malas</t>
  </si>
  <si>
    <r>
      <t>Cementa javas kārta 20</t>
    </r>
    <r>
      <rPr>
        <sz val="8"/>
        <rFont val="Calibri"/>
        <family val="2"/>
        <charset val="186"/>
      </rPr>
      <t>÷</t>
    </r>
    <r>
      <rPr>
        <sz val="8"/>
        <rFont val="Arial"/>
        <family val="2"/>
        <charset val="186"/>
      </rPr>
      <t>50*mm( ar slīpumu)</t>
    </r>
  </si>
  <si>
    <t>Tvaika izolācija</t>
  </si>
  <si>
    <t>Akmensvates siltinājums λ=0,034W/mK , b=100</t>
  </si>
  <si>
    <t>Akmensvates siltinājums λ=0,034W/mK , b=130</t>
  </si>
  <si>
    <t>OSB mitrumizturīga plātne b=22mm</t>
  </si>
  <si>
    <t>Betona virsmas remonts- atsegto stiegru pretkorozijas  apstrāde</t>
  </si>
  <si>
    <t>Seguma ieklāšana:</t>
  </si>
  <si>
    <t>Jumtiņa apakšvirsmas remonts:</t>
  </si>
  <si>
    <t>Ārsienas pie jumtiņa siltinājums:</t>
  </si>
  <si>
    <t xml:space="preserve">Jumtiņa dzegas un sānu apšuvums ar rūpnieciski krāsotu skārdu, b=600*, (pēc krāsu pases) </t>
  </si>
  <si>
    <t xml:space="preserve">Krāsota skārda ieliekta noseglīste ar lāseni gar pieslēgumu, b=250, enkurojuma solis 20 cm </t>
  </si>
  <si>
    <t>Mezgls "D"</t>
  </si>
  <si>
    <t>Jumta skārda  apšuvums gar dzegu pēc ārsienu siltināšanas, kop.b=0,4 m(pēc krāsu pases)</t>
  </si>
  <si>
    <t xml:space="preserve">Enkuri -4x40x200 jumta skārda apšuvumam, s=500; 87gab </t>
  </si>
  <si>
    <t>Mezgls "C"</t>
  </si>
  <si>
    <t>Antisēptizēts dēlis 50x200 gar jumta paneļu ārmalu fasādē</t>
  </si>
  <si>
    <t xml:space="preserve">Antisēptizēts dēlis 50x250 </t>
  </si>
  <si>
    <t xml:space="preserve">Enkuri -4x40x250 jumta skārda apšuvumam, s=500; 11gab </t>
  </si>
  <si>
    <t>Mezgls "F"</t>
  </si>
  <si>
    <t>Akmensvate λ=0,036W/m²K  0,4m joslā virs sendvičpaneļiem ,b=50-100*, l=6,25m</t>
  </si>
  <si>
    <t>Antisēptizēts dēlis 100x20(h) gar jumta paneļu ārmalu fasādē</t>
  </si>
  <si>
    <t xml:space="preserve">Antisēptizēts dēlis 100x20(h) </t>
  </si>
  <si>
    <t xml:space="preserve">Enkuri -4x40x500 jumta skārda apšuvumam, s=500; 13gab </t>
  </si>
  <si>
    <t xml:space="preserve">Veco betona jumtiņu virs ventilācijas izvadiem demontāža </t>
  </si>
  <si>
    <t xml:space="preserve">Jaunu skārda jumtiņu likšana axb=4300x500; </t>
  </si>
  <si>
    <t>līg .c.</t>
  </si>
  <si>
    <t xml:space="preserve">Jumta parapeta izbūve pēc galasienu siltināšanas. </t>
  </si>
  <si>
    <r>
      <t>Cementa javas b=20</t>
    </r>
    <r>
      <rPr>
        <sz val="8"/>
        <rFont val="Calibri"/>
        <family val="2"/>
        <charset val="186"/>
      </rPr>
      <t>÷</t>
    </r>
    <r>
      <rPr>
        <sz val="8"/>
        <rFont val="Arial"/>
        <family val="2"/>
        <charset val="186"/>
      </rPr>
      <t xml:space="preserve"> 40  izlīdzinošā kārta ar slīpumu</t>
    </r>
  </si>
  <si>
    <t>Jumta skārda  apšuvums gar dzegu pēc ārsienu siltināšanas, kop.b=0,8* m(pēc krāsu pases)</t>
  </si>
  <si>
    <t xml:space="preserve">Enkuri -4x40x300 jumta skārda apšuvumam, s=500;5gab </t>
  </si>
  <si>
    <t xml:space="preserve">Enkuri -4x40x450 jumta skārda apšuvumam, s=500; 38gab </t>
  </si>
  <si>
    <t xml:space="preserve">Enkuri -4x40x500 jumta skārda apšuvumam, s=500; 3gab </t>
  </si>
  <si>
    <t>Tekņu betona virsmas remonts:</t>
  </si>
  <si>
    <t>Šuvju iztīrīšana gar jumtiņiem, abas puses</t>
  </si>
  <si>
    <t>Vent.kanālu piesleguma papildus apstrāde</t>
  </si>
  <si>
    <t>jumtiņi 4300x500</t>
  </si>
  <si>
    <t>Marga:</t>
  </si>
  <si>
    <t>Ventilācijas izvadu jumtiņi:</t>
  </si>
  <si>
    <t>JM1 , h=600* gar garenfasādi</t>
  </si>
  <si>
    <t>JM 2 pie parapeta</t>
  </si>
  <si>
    <t>ķīlenkurs M10x60</t>
  </si>
  <si>
    <t>* stati -5x50, l=500*, s=1,1* m; 44 gab</t>
  </si>
  <si>
    <t>* 3x30, kop.l=2x22,9* metināt pie statiem; 91,6m</t>
  </si>
  <si>
    <t>Līg.c.</t>
  </si>
  <si>
    <t>2019.gada 10.decembrī</t>
  </si>
  <si>
    <t>Hidroizolācijas lentas montēšana logos (pie siltumizolācijas iestrādes,  arī lodžijās iestiklojumam)</t>
  </si>
  <si>
    <r>
      <t>PVC stiklota konstrukcija</t>
    </r>
    <r>
      <rPr>
        <b/>
        <sz val="8"/>
        <rFont val="Arial"/>
        <family val="2"/>
        <charset val="186"/>
      </rPr>
      <t xml:space="preserve"> </t>
    </r>
    <r>
      <rPr>
        <sz val="8"/>
        <rFont val="Arial"/>
        <family val="2"/>
        <charset val="186"/>
      </rPr>
      <t>lodžijām</t>
    </r>
    <r>
      <rPr>
        <b/>
        <sz val="8"/>
        <rFont val="Arial"/>
        <family val="2"/>
        <charset val="186"/>
      </rPr>
      <t xml:space="preserve"> LS , Uw = 1,1 W / m² K;</t>
    </r>
  </si>
  <si>
    <t>lig.c.</t>
  </si>
  <si>
    <r>
      <t xml:space="preserve">Demontējamas ūdensvada caurules un tās stiprinājumi </t>
    </r>
    <r>
      <rPr>
        <b/>
        <sz val="8"/>
        <rFont val="Arial"/>
        <family val="2"/>
        <charset val="186"/>
      </rPr>
      <t xml:space="preserve"> Dn20÷50</t>
    </r>
  </si>
  <si>
    <r>
      <t xml:space="preserve">Pretkondensāta izolācija ar pašlīmējošo maliņu     - ekvivalents "K-Flex" EC/R  kaučuka izolācijas čaulām, Siltumvadības koeficients λ pie +10°С = 0,034 W/mK; difūzijas tvaika pretestība pēc DIN 52516 μ≥ 7 000T   </t>
    </r>
    <r>
      <rPr>
        <b/>
        <sz val="8"/>
        <rFont val="Arial"/>
        <family val="2"/>
        <charset val="186"/>
      </rPr>
      <t>Dn42x9mm</t>
    </r>
  </si>
  <si>
    <t>Iesitamais enkurs stiprinājumiem M6</t>
  </si>
  <si>
    <t>Vītņstienis cauruļvadu stiprinājumiem  M6</t>
  </si>
  <si>
    <r>
      <t xml:space="preserve">Cauruļvadu stiprinājumi ar izolāciju cauruļvadu nostiprināšanai      </t>
    </r>
    <r>
      <rPr>
        <b/>
        <sz val="8"/>
        <rFont val="Arial"/>
        <family val="2"/>
        <charset val="186"/>
      </rPr>
      <t>Dn 50</t>
    </r>
  </si>
  <si>
    <r>
      <t xml:space="preserve">Cauruļvadu stiprinājumi ar izolāciju cauruļvadu nostiprināšanai      </t>
    </r>
    <r>
      <rPr>
        <b/>
        <sz val="8"/>
        <rFont val="Arial"/>
        <family val="2"/>
        <charset val="186"/>
      </rPr>
      <t>Dn 40</t>
    </r>
  </si>
  <si>
    <r>
      <t xml:space="preserve">Cauruļvadu stiprinājumi ar izolāciju cauruļvadu nostiprināšanai      </t>
    </r>
    <r>
      <rPr>
        <b/>
        <sz val="8"/>
        <rFont val="Arial"/>
        <family val="2"/>
        <charset val="186"/>
      </rPr>
      <t>Dn 32</t>
    </r>
  </si>
  <si>
    <r>
      <t xml:space="preserve">Cauruļvadu stiprinājumi ar izolāciju cauruļvadu nostiprināšanai      </t>
    </r>
    <r>
      <rPr>
        <b/>
        <sz val="8"/>
        <rFont val="Arial"/>
        <family val="2"/>
        <charset val="186"/>
      </rPr>
      <t>Dn 25</t>
    </r>
  </si>
  <si>
    <r>
      <t xml:space="preserve">Cauruļvadu stiprinājumi ar izolāciju cauruļvadu nostiprināšanai   </t>
    </r>
    <r>
      <rPr>
        <b/>
        <sz val="8"/>
        <rFont val="Arial"/>
        <family val="2"/>
        <charset val="186"/>
      </rPr>
      <t xml:space="preserve">  Dn 20</t>
    </r>
  </si>
  <si>
    <r>
      <t xml:space="preserve">Cauruļvadu stiprinājumi ar izolāciju cauruļvadu nostiprināšanai    </t>
    </r>
    <r>
      <rPr>
        <b/>
        <sz val="8"/>
        <rFont val="Arial"/>
        <family val="2"/>
        <charset val="186"/>
      </rPr>
      <t xml:space="preserve"> Dn 16</t>
    </r>
  </si>
  <si>
    <r>
      <t xml:space="preserve">PPR ventilis aukstajam ūdenim  </t>
    </r>
    <r>
      <rPr>
        <b/>
        <sz val="8"/>
        <rFont val="Arial"/>
        <family val="2"/>
        <charset val="186"/>
      </rPr>
      <t>D50</t>
    </r>
  </si>
  <si>
    <r>
      <t xml:space="preserve">PPR ventilis aukstajam ūdenim  </t>
    </r>
    <r>
      <rPr>
        <b/>
        <sz val="8"/>
        <rFont val="Arial"/>
        <family val="2"/>
        <charset val="186"/>
      </rPr>
      <t>D40</t>
    </r>
  </si>
  <si>
    <r>
      <t xml:space="preserve">PPR ventilis aukstajam ūdenim  </t>
    </r>
    <r>
      <rPr>
        <b/>
        <sz val="8"/>
        <rFont val="Arial"/>
        <family val="2"/>
        <charset val="186"/>
      </rPr>
      <t>D32</t>
    </r>
  </si>
  <si>
    <r>
      <t xml:space="preserve">PPR ventilis karstajam ūdenim  </t>
    </r>
    <r>
      <rPr>
        <b/>
        <sz val="8"/>
        <rFont val="Arial"/>
        <family val="2"/>
        <charset val="186"/>
      </rPr>
      <t>D50</t>
    </r>
  </si>
  <si>
    <r>
      <t xml:space="preserve">PPR ventilis karstajam ūdenim  </t>
    </r>
    <r>
      <rPr>
        <b/>
        <sz val="8"/>
        <rFont val="Arial"/>
        <family val="2"/>
        <charset val="186"/>
      </rPr>
      <t>D40</t>
    </r>
  </si>
  <si>
    <r>
      <t xml:space="preserve">PPR ventilis karstajam ūdenim  </t>
    </r>
    <r>
      <rPr>
        <b/>
        <sz val="8"/>
        <rFont val="Arial"/>
        <family val="2"/>
        <charset val="186"/>
      </rPr>
      <t>D32</t>
    </r>
  </si>
  <si>
    <r>
      <t xml:space="preserve">PPR savienojums ar ārējo vītni termostatiskā vārsta pievienošanai caurulei </t>
    </r>
    <r>
      <rPr>
        <b/>
        <sz val="8"/>
        <rFont val="Arial"/>
        <family val="2"/>
        <charset val="186"/>
      </rPr>
      <t xml:space="preserve"> Ø25 &gt; ½"</t>
    </r>
  </si>
  <si>
    <r>
      <t xml:space="preserve">PPR savienojums ar ārējo vītni termostatiskā vārsta pievienošanai caurulei </t>
    </r>
    <r>
      <rPr>
        <b/>
        <sz val="8"/>
        <rFont val="Arial"/>
        <family val="2"/>
        <charset val="186"/>
      </rPr>
      <t xml:space="preserve"> Ø16 &gt; ½"</t>
    </r>
  </si>
  <si>
    <r>
      <t xml:space="preserve">Automātiskais atgaisotājs </t>
    </r>
    <r>
      <rPr>
        <b/>
        <sz val="8"/>
        <rFont val="Arial"/>
        <family val="2"/>
        <charset val="186"/>
      </rPr>
      <t xml:space="preserve"> ½"</t>
    </r>
  </si>
  <si>
    <r>
      <t xml:space="preserve">Lodveida ventilis - tukšošanas krāns </t>
    </r>
    <r>
      <rPr>
        <b/>
        <sz val="8"/>
        <rFont val="Arial"/>
        <family val="2"/>
        <charset val="186"/>
      </rPr>
      <t xml:space="preserve"> ½"</t>
    </r>
  </si>
  <si>
    <r>
      <t xml:space="preserve">PPR trejgabals ar iekšējo vītni tukšošanas krānu pievienošanai  </t>
    </r>
    <r>
      <rPr>
        <b/>
        <sz val="8"/>
        <rFont val="Arial"/>
        <family val="2"/>
        <charset val="186"/>
      </rPr>
      <t>D16 × ½" × D16</t>
    </r>
  </si>
  <si>
    <r>
      <t>PPR trejgabals ar iekšējo vītni tukšošanas krānu pievienošanai</t>
    </r>
    <r>
      <rPr>
        <b/>
        <sz val="8"/>
        <rFont val="Arial"/>
        <family val="2"/>
        <charset val="186"/>
      </rPr>
      <t xml:space="preserve"> D25 × ½" × D25</t>
    </r>
  </si>
  <si>
    <r>
      <t xml:space="preserve">PPR trejgabals ar iekšējo vītni tukšošanas krānu pievienošanai  </t>
    </r>
    <r>
      <rPr>
        <b/>
        <sz val="8"/>
        <rFont val="Arial"/>
        <family val="2"/>
        <charset val="186"/>
      </rPr>
      <t xml:space="preserve"> D32 × ½" × D32</t>
    </r>
  </si>
  <si>
    <r>
      <t xml:space="preserve">PPR pārēja ar iekšējo vītni   </t>
    </r>
    <r>
      <rPr>
        <b/>
        <sz val="8"/>
        <rFont val="Arial"/>
        <family val="2"/>
        <charset val="186"/>
      </rPr>
      <t>D50 &gt;1 ¼" i.v.</t>
    </r>
  </si>
  <si>
    <r>
      <t xml:space="preserve">Lodveida ventilis  </t>
    </r>
    <r>
      <rPr>
        <b/>
        <sz val="8"/>
        <rFont val="Arial"/>
        <family val="2"/>
        <charset val="186"/>
      </rPr>
      <t>1¼"</t>
    </r>
  </si>
  <si>
    <r>
      <t xml:space="preserve">Lodveida ventilis - tukšošanas krāns </t>
    </r>
    <r>
      <rPr>
        <b/>
        <sz val="8"/>
        <rFont val="Arial"/>
        <family val="2"/>
        <charset val="186"/>
      </rPr>
      <t xml:space="preserve"> 1"</t>
    </r>
  </si>
  <si>
    <r>
      <t xml:space="preserve">Vienvirziena vārsts </t>
    </r>
    <r>
      <rPr>
        <b/>
        <sz val="8"/>
        <rFont val="Arial"/>
        <family val="2"/>
        <charset val="186"/>
      </rPr>
      <t xml:space="preserve"> 1¼"</t>
    </r>
  </si>
  <si>
    <r>
      <t xml:space="preserve">Rupjais netīrumu savācējs </t>
    </r>
    <r>
      <rPr>
        <b/>
        <sz val="8"/>
        <rFont val="Arial"/>
        <family val="2"/>
        <charset val="186"/>
      </rPr>
      <t>1¼"</t>
    </r>
  </si>
  <si>
    <t>PPR pārēja ar iekšējo vītni  Ø20 x ½"</t>
  </si>
  <si>
    <t>Lodveida ventilis ar tauriņu  ½"</t>
  </si>
  <si>
    <t>Vienvirziena vārsts   ½"</t>
  </si>
  <si>
    <t>Rupjais netīrumu savācējs  ½"</t>
  </si>
  <si>
    <t>PPR pērēja ar iekšējo vītni   Ø20 x ½"</t>
  </si>
  <si>
    <t>Vienvirziena vārsts  ½"</t>
  </si>
  <si>
    <t xml:space="preserve">PPR pāreja ar ārējo vītni   Ø25 &gt; ½" </t>
  </si>
  <si>
    <t>Iesitamais enkurs stiprinājumiem  M6</t>
  </si>
  <si>
    <r>
      <t xml:space="preserve">Iekšdarbu kanalizācijas caurule, tsk. veidgabali atbilstoši proj risinājumiem   </t>
    </r>
    <r>
      <rPr>
        <b/>
        <sz val="8"/>
        <rFont val="Arial"/>
        <family val="2"/>
        <charset val="186"/>
      </rPr>
      <t>Ø110, SN4</t>
    </r>
  </si>
  <si>
    <r>
      <t>Kanalizācijas sistēmas iekšdarbu revīzija</t>
    </r>
    <r>
      <rPr>
        <b/>
        <sz val="8"/>
        <rFont val="Arial"/>
        <family val="2"/>
        <charset val="186"/>
      </rPr>
      <t xml:space="preserve"> Ø110</t>
    </r>
  </si>
  <si>
    <r>
      <t xml:space="preserve">Cauruļvadu stiprinājumi ar izolāciju cauruļvadu nostiprināšanai  </t>
    </r>
    <r>
      <rPr>
        <b/>
        <sz val="8"/>
        <rFont val="Arial"/>
        <family val="2"/>
        <charset val="186"/>
      </rPr>
      <t>Dn 110</t>
    </r>
  </si>
  <si>
    <r>
      <t xml:space="preserve">Dzīvokļu kanalizācijas tīklu pievienojums pie jauizbūvētā stāvvada  </t>
    </r>
    <r>
      <rPr>
        <b/>
        <sz val="8"/>
        <rFont val="Arial"/>
        <family val="2"/>
        <charset val="186"/>
      </rPr>
      <t>d100˃Ø110</t>
    </r>
  </si>
  <si>
    <r>
      <t xml:space="preserve">Demontējamā kanalizācija (t.sk. - cauruļvadi, stiprinājumi) </t>
    </r>
    <r>
      <rPr>
        <b/>
        <sz val="8"/>
        <rFont val="Arial"/>
        <family val="2"/>
        <charset val="186"/>
      </rPr>
      <t>Dn100</t>
    </r>
  </si>
  <si>
    <t>PVC loga  bloks ar  stikla paketi krāsa - balta
Stikla paketes 2k4+4LowE-Arg.Siltuma caurlaidības koef.: 
 Uw = 1,1 W / m² K; Dziļums: &gt;80 mm; Logu vēja noturības klase- ne zemāka par C2 (pēc LVS EN 12210) Logu gaisa caurlaidības klase - ne zemāka par 3 (pēc LVS EN 12207) ūdensnecaurlaidības klase -  8A  (pēc LVS EN 12208) ar sekojošu logu tipu, kas ietver to montāžu</t>
  </si>
  <si>
    <t xml:space="preserve">Vajākas klases apmetums fasādē saskaņā ar shēmu AR-4, AR-5 lapās </t>
  </si>
  <si>
    <t>Esošo ventilācijas kanālu (skursteņu, cuku) apskate, tīrīšana</t>
  </si>
  <si>
    <t>Skārda apšuvums pārējai S7/S2 ( sk. AR-12 šķēlums 3-3), b=200mm</t>
  </si>
  <si>
    <r>
      <t xml:space="preserve">PVC logu montāža </t>
    </r>
    <r>
      <rPr>
        <b/>
        <sz val="8"/>
        <rFont val="Arial"/>
        <family val="2"/>
        <charset val="186"/>
      </rPr>
      <t xml:space="preserve"> L1 </t>
    </r>
    <r>
      <rPr>
        <sz val="8"/>
        <rFont val="Arial"/>
        <family val="2"/>
        <charset val="186"/>
      </rPr>
      <t xml:space="preserve"> (b×h=1,2×1,4m, t.sk. durvis 0,8×2,10m);  kopā 60,48 m</t>
    </r>
    <r>
      <rPr>
        <sz val="8"/>
        <rFont val="Calibri"/>
        <family val="2"/>
        <charset val="186"/>
      </rPr>
      <t>²</t>
    </r>
  </si>
  <si>
    <r>
      <t xml:space="preserve">PVC logu montāža </t>
    </r>
    <r>
      <rPr>
        <b/>
        <sz val="8"/>
        <rFont val="Arial"/>
        <family val="2"/>
        <charset val="186"/>
      </rPr>
      <t xml:space="preserve"> L2</t>
    </r>
    <r>
      <rPr>
        <sz val="8"/>
        <rFont val="Arial"/>
        <family val="2"/>
        <charset val="186"/>
      </rPr>
      <t xml:space="preserve">  (b×h=1,2×1,4m, t.sk. durvis 0,8×2,10m); kopā 30,24 m</t>
    </r>
    <r>
      <rPr>
        <sz val="8"/>
        <rFont val="Calibri"/>
        <family val="2"/>
        <charset val="186"/>
      </rPr>
      <t>²</t>
    </r>
  </si>
  <si>
    <r>
      <t xml:space="preserve">PVC logu montāža </t>
    </r>
    <r>
      <rPr>
        <b/>
        <sz val="8"/>
        <rFont val="Arial"/>
        <family val="2"/>
        <charset val="186"/>
      </rPr>
      <t xml:space="preserve"> L3</t>
    </r>
    <r>
      <rPr>
        <sz val="8"/>
        <rFont val="Arial"/>
        <family val="2"/>
        <charset val="186"/>
      </rPr>
      <t xml:space="preserve">  (b×h=1,4×1,4m); kopā 50,96 m</t>
    </r>
    <r>
      <rPr>
        <sz val="8"/>
        <rFont val="Calibri"/>
        <family val="2"/>
        <charset val="186"/>
      </rPr>
      <t>²</t>
    </r>
  </si>
  <si>
    <r>
      <t xml:space="preserve">PVC logu montāža  </t>
    </r>
    <r>
      <rPr>
        <b/>
        <sz val="8"/>
        <rFont val="Arial"/>
        <family val="2"/>
        <charset val="186"/>
      </rPr>
      <t>L4</t>
    </r>
    <r>
      <rPr>
        <sz val="8"/>
        <rFont val="Arial"/>
        <family val="2"/>
        <charset val="186"/>
      </rPr>
      <t xml:space="preserve">  (b×h=0,4x0,4m); kopā 1,12 m</t>
    </r>
    <r>
      <rPr>
        <sz val="8"/>
        <rFont val="Calibri"/>
        <family val="2"/>
        <charset val="186"/>
      </rPr>
      <t>²</t>
    </r>
  </si>
  <si>
    <r>
      <t xml:space="preserve">PVC logu montāža </t>
    </r>
    <r>
      <rPr>
        <b/>
        <sz val="8"/>
        <rFont val="Arial"/>
        <family val="2"/>
        <charset val="186"/>
      </rPr>
      <t xml:space="preserve"> L5</t>
    </r>
    <r>
      <rPr>
        <sz val="8"/>
        <rFont val="Arial"/>
        <family val="2"/>
        <charset val="186"/>
      </rPr>
      <t xml:space="preserve">  (b×h=0,4x0,4); kopā 1,12 m</t>
    </r>
    <r>
      <rPr>
        <sz val="8"/>
        <rFont val="Calibri"/>
        <family val="2"/>
        <charset val="186"/>
      </rPr>
      <t>²</t>
    </r>
  </si>
  <si>
    <r>
      <t xml:space="preserve">PVC logu montāža </t>
    </r>
    <r>
      <rPr>
        <b/>
        <sz val="8"/>
        <rFont val="Arial"/>
        <family val="2"/>
        <charset val="186"/>
      </rPr>
      <t xml:space="preserve"> L6</t>
    </r>
    <r>
      <rPr>
        <sz val="8"/>
        <rFont val="Arial"/>
        <family val="2"/>
        <charset val="186"/>
      </rPr>
      <t xml:space="preserve">  (b×h=0,9x0,3); kopā 3,78 m</t>
    </r>
    <r>
      <rPr>
        <sz val="8"/>
        <rFont val="Calibri"/>
        <family val="2"/>
        <charset val="186"/>
      </rPr>
      <t>²</t>
    </r>
  </si>
  <si>
    <r>
      <t xml:space="preserve">PVC logu montāža </t>
    </r>
    <r>
      <rPr>
        <b/>
        <sz val="8"/>
        <rFont val="Arial"/>
        <family val="2"/>
        <charset val="186"/>
      </rPr>
      <t xml:space="preserve"> L7</t>
    </r>
    <r>
      <rPr>
        <sz val="8"/>
        <rFont val="Arial"/>
        <family val="2"/>
        <charset val="186"/>
      </rPr>
      <t xml:space="preserve">  (b×h=0,9x0,6); kopā 0,54 m</t>
    </r>
    <r>
      <rPr>
        <sz val="8"/>
        <rFont val="Calibri"/>
        <family val="2"/>
        <charset val="186"/>
      </rPr>
      <t>²</t>
    </r>
  </si>
  <si>
    <r>
      <t>bxh=2830*x1500*mm ; kopā 38,25m</t>
    </r>
    <r>
      <rPr>
        <sz val="8"/>
        <rFont val="Calibri"/>
        <family val="2"/>
        <charset val="186"/>
      </rPr>
      <t>²</t>
    </r>
  </si>
  <si>
    <r>
      <t>bxh=2900*x1500*mm ; kopā 39,15m</t>
    </r>
    <r>
      <rPr>
        <sz val="8"/>
        <rFont val="Calibri"/>
        <family val="2"/>
        <charset val="186"/>
      </rPr>
      <t>²</t>
    </r>
  </si>
  <si>
    <r>
      <t>bxh=2950*x1500*mm ; kopā 39,87m</t>
    </r>
    <r>
      <rPr>
        <sz val="8"/>
        <rFont val="Calibri"/>
        <family val="2"/>
        <charset val="186"/>
      </rPr>
      <t>²</t>
    </r>
  </si>
  <si>
    <r>
      <t>bxh=3000*x1500*mm ; kopā 364,5m</t>
    </r>
    <r>
      <rPr>
        <sz val="8"/>
        <rFont val="Calibri"/>
        <family val="2"/>
        <charset val="186"/>
      </rPr>
      <t>²</t>
    </r>
  </si>
  <si>
    <r>
      <t>bxh=3080*x1500*mm ; kopā 83,16m</t>
    </r>
    <r>
      <rPr>
        <sz val="8"/>
        <rFont val="Calibri"/>
        <family val="2"/>
        <charset val="186"/>
      </rPr>
      <t>²</t>
    </r>
  </si>
  <si>
    <r>
      <t xml:space="preserve">PVC  konstrukcija ar pildiņu - lodžijas marga </t>
    </r>
    <r>
      <rPr>
        <b/>
        <sz val="8"/>
        <rFont val="Arial"/>
        <family val="2"/>
        <charset val="186"/>
      </rPr>
      <t>LP</t>
    </r>
  </si>
  <si>
    <r>
      <t>bxh=2830*x1000*mm ; kopā 25,47m</t>
    </r>
    <r>
      <rPr>
        <sz val="8"/>
        <rFont val="Calibri"/>
        <family val="2"/>
        <charset val="186"/>
      </rPr>
      <t>²</t>
    </r>
  </si>
  <si>
    <r>
      <t>bxh=2900*x1000*mm ; kopā 26,1m</t>
    </r>
    <r>
      <rPr>
        <sz val="8"/>
        <rFont val="Calibri"/>
        <family val="2"/>
        <charset val="186"/>
      </rPr>
      <t>²</t>
    </r>
  </si>
  <si>
    <r>
      <t>bxh=2950*x1000*mm ; kopā 26,55m</t>
    </r>
    <r>
      <rPr>
        <sz val="8"/>
        <rFont val="Calibri"/>
        <family val="2"/>
        <charset val="186"/>
      </rPr>
      <t>²</t>
    </r>
  </si>
  <si>
    <r>
      <t>bxh=3000*x1000*mm ; kopā 243,0m</t>
    </r>
    <r>
      <rPr>
        <sz val="8"/>
        <rFont val="Calibri"/>
        <family val="2"/>
        <charset val="186"/>
      </rPr>
      <t>²</t>
    </r>
  </si>
  <si>
    <r>
      <t>bxh=3080*x1000*mm ; kopā 55,44m</t>
    </r>
    <r>
      <rPr>
        <sz val="8"/>
        <rFont val="Calibri"/>
        <family val="2"/>
        <charset val="186"/>
      </rPr>
      <t>²</t>
    </r>
  </si>
  <si>
    <r>
      <t>Logu montāžas palīgmateriāli uz  apjomu ( m</t>
    </r>
    <r>
      <rPr>
        <sz val="8"/>
        <rFont val="Calibri"/>
        <family val="2"/>
        <charset val="186"/>
      </rPr>
      <t>²</t>
    </r>
    <r>
      <rPr>
        <sz val="7.6"/>
        <rFont val="Arial"/>
        <family val="2"/>
        <charset val="186"/>
      </rPr>
      <t xml:space="preserve"> )</t>
    </r>
  </si>
  <si>
    <r>
      <t>Alumīnija konstrukcijas durvju bloks. Ar rokturi un enģēm, ar pašaizvēršanās mehānismu, ar speciālām blīvgumijām un piedurlīstēm, vienpunktu slēdzeni, kodatslēgu. Stikla paketes siltumcaurlaidības koef.:1.1w/m²*K.  UW=1,6w/m²*K  D1(bxh)=1,25x2,25; kopā 2,81m</t>
    </r>
    <r>
      <rPr>
        <sz val="8"/>
        <rFont val="Calibri"/>
        <family val="2"/>
        <charset val="186"/>
      </rPr>
      <t>²</t>
    </r>
  </si>
  <si>
    <r>
      <t xml:space="preserve">120 mikroni cinkotas tērauda bēniņu durvis ugunsdrošās (ar EI 30) ar siltinājumu, rokturi, eņģēm, speciālām blīvgumijām un piedurlīstēm, vienpuktu slēdzeni </t>
    </r>
    <r>
      <rPr>
        <b/>
        <sz val="8"/>
        <rFont val="Arial"/>
        <family val="2"/>
        <charset val="186"/>
      </rPr>
      <t>UD-1</t>
    </r>
    <r>
      <rPr>
        <sz val="8"/>
        <rFont val="Arial"/>
        <family val="2"/>
        <charset val="186"/>
      </rPr>
      <t xml:space="preserve"> (b×h=0,95×1,9); 1,81m</t>
    </r>
    <r>
      <rPr>
        <sz val="8"/>
        <rFont val="Calibri"/>
        <family val="2"/>
        <charset val="186"/>
      </rPr>
      <t>²</t>
    </r>
  </si>
  <si>
    <r>
      <rPr>
        <b/>
        <sz val="8"/>
        <rFont val="Arial"/>
        <family val="2"/>
        <charset val="186"/>
      </rPr>
      <t>S3</t>
    </r>
    <r>
      <rPr>
        <sz val="8"/>
        <rFont val="Arial"/>
        <family val="2"/>
        <charset val="186"/>
      </rPr>
      <t xml:space="preserve"> apmetuma sistēma virs siltinājuma- AS2 (b=7mm), putupolistirola plāksne, λ=0,031W/mK, </t>
    </r>
    <r>
      <rPr>
        <b/>
        <sz val="8"/>
        <rFont val="Arial"/>
        <family val="2"/>
        <charset val="186"/>
      </rPr>
      <t>b=150mm</t>
    </r>
    <r>
      <rPr>
        <sz val="8"/>
        <rFont val="Arial"/>
        <family val="2"/>
        <charset val="186"/>
      </rPr>
      <t>, līmjava, vertikāla hidroizolācija, grunts, esoša betona siena (b=300mm), 1,0m dzīļumā no zemes atzīmes</t>
    </r>
  </si>
  <si>
    <r>
      <rPr>
        <b/>
        <sz val="8"/>
        <rFont val="Arial"/>
        <family val="2"/>
        <charset val="186"/>
      </rPr>
      <t>S4</t>
    </r>
    <r>
      <rPr>
        <sz val="8"/>
        <rFont val="Arial"/>
        <family val="2"/>
        <charset val="186"/>
      </rPr>
      <t xml:space="preserve"> apmetuma sistēma virs siltinājuma- AS2 (b=7mm), putupolistirola plāksne</t>
    </r>
    <r>
      <rPr>
        <b/>
        <sz val="8"/>
        <rFont val="Arial"/>
        <family val="2"/>
        <charset val="186"/>
      </rPr>
      <t>,</t>
    </r>
    <r>
      <rPr>
        <sz val="8"/>
        <rFont val="Arial"/>
        <family val="2"/>
        <charset val="186"/>
      </rPr>
      <t xml:space="preserve"> λ=0,031 W/mK, </t>
    </r>
    <r>
      <rPr>
        <b/>
        <sz val="8"/>
        <rFont val="Arial"/>
        <family val="2"/>
        <charset val="186"/>
      </rPr>
      <t>b=150mm</t>
    </r>
    <r>
      <rPr>
        <sz val="8"/>
        <rFont val="Arial"/>
        <family val="2"/>
        <charset val="186"/>
      </rPr>
      <t>, līmjava, vertikāla hidroizolācija, grunts, esoša betona  siena (b=400*mm), 1,0m dzīļumā no zemes atzīmes</t>
    </r>
  </si>
  <si>
    <r>
      <rPr>
        <b/>
        <sz val="8"/>
        <rFont val="Arial"/>
        <family val="2"/>
        <charset val="186"/>
      </rPr>
      <t>S5</t>
    </r>
    <r>
      <rPr>
        <sz val="8"/>
        <rFont val="Arial"/>
        <family val="2"/>
        <charset val="186"/>
      </rPr>
      <t xml:space="preserve"> apmetuma sistēma virs siltinājuma- AS2 (b=7mm), putupolistirola plāksne</t>
    </r>
    <r>
      <rPr>
        <b/>
        <sz val="8"/>
        <rFont val="Arial"/>
        <family val="2"/>
        <charset val="186"/>
      </rPr>
      <t>,</t>
    </r>
    <r>
      <rPr>
        <sz val="8"/>
        <rFont val="Arial"/>
        <family val="2"/>
        <charset val="186"/>
      </rPr>
      <t xml:space="preserve"> λ=0,031W/mK,</t>
    </r>
    <r>
      <rPr>
        <b/>
        <sz val="8"/>
        <rFont val="Arial"/>
        <family val="2"/>
        <charset val="186"/>
      </rPr>
      <t xml:space="preserve"> b=50mm</t>
    </r>
    <r>
      <rPr>
        <sz val="8"/>
        <rFont val="Arial"/>
        <family val="2"/>
        <charset val="186"/>
      </rPr>
      <t>, līmjava, vertikāla hidroizolācija, grunts, esošs betona panelis- pilastrs cokola līmenī (b=150mm), 1 m dziļumā no zemes atzīmes</t>
    </r>
  </si>
  <si>
    <r>
      <t>1. meh. klases</t>
    </r>
    <r>
      <rPr>
        <b/>
        <sz val="8"/>
        <rFont val="Arial"/>
        <family val="2"/>
        <charset val="186"/>
      </rPr>
      <t xml:space="preserve"> (AS2) </t>
    </r>
    <r>
      <rPr>
        <sz val="8"/>
        <rFont val="Arial"/>
        <family val="2"/>
        <charset val="186"/>
      </rPr>
      <t>apmetuma izveidošana: 2 kārtas armējošās javas un armējošā stikla šķiedras sieta uzklāšana, zemapmetuma grunts uzklāšana, drupināta granīta un akrila dispersijas saistvielas dekoratīvais apmetums pēc krāsu pases</t>
    </r>
  </si>
  <si>
    <t>Cokola profila līstes montēšana gala fasādēs</t>
  </si>
  <si>
    <t xml:space="preserve">  HAT profils H20 100x1,5 l=26,3x 8gab; kopā 210,4m</t>
  </si>
  <si>
    <r>
      <t xml:space="preserve">  ķīļenkuri </t>
    </r>
    <r>
      <rPr>
        <sz val="8"/>
        <rFont val="Calibri"/>
        <family val="2"/>
        <charset val="186"/>
      </rPr>
      <t>Ø</t>
    </r>
    <r>
      <rPr>
        <sz val="8"/>
        <rFont val="Arial"/>
        <family val="2"/>
        <charset val="186"/>
      </rPr>
      <t>8</t>
    </r>
  </si>
  <si>
    <r>
      <t xml:space="preserve">1. meh. klases </t>
    </r>
    <r>
      <rPr>
        <b/>
        <sz val="8"/>
        <rFont val="Arial"/>
        <family val="2"/>
        <charset val="186"/>
      </rPr>
      <t>(AS2)</t>
    </r>
    <r>
      <rPr>
        <sz val="8"/>
        <rFont val="Arial"/>
        <family val="2"/>
        <charset val="186"/>
      </rPr>
      <t xml:space="preserve"> apmetuma izveidošana: 2 kārtas armējošās javas un armējošā stikla šķiedras sieta uzklāšana, zemapmetuma grunts uzklāšana,drupināta granīta un akrila dispersijas saistvielas dekoratīvais apmetums pēc krāsu pases</t>
    </r>
  </si>
  <si>
    <r>
      <t xml:space="preserve">Loga armēšana ar stikla šķiedras loksnēm  axb=500x300mm stūros; marķējums </t>
    </r>
    <r>
      <rPr>
        <b/>
        <sz val="8"/>
        <rFont val="Arial"/>
        <family val="2"/>
        <charset val="186"/>
      </rPr>
      <t>(1)</t>
    </r>
    <r>
      <rPr>
        <sz val="8"/>
        <rFont val="Arial"/>
        <family val="2"/>
        <charset val="186"/>
      </rPr>
      <t xml:space="preserve"> sk.AR-14 lapā</t>
    </r>
  </si>
  <si>
    <r>
      <t xml:space="preserve">Loga armēšana ar stikla šķiedras loksnēm stūros iekšpusē          axb=  200*x300; marķējums </t>
    </r>
    <r>
      <rPr>
        <b/>
        <sz val="8"/>
        <rFont val="Arial"/>
        <family val="2"/>
        <charset val="186"/>
      </rPr>
      <t>(2)</t>
    </r>
    <r>
      <rPr>
        <sz val="8"/>
        <rFont val="Arial"/>
        <family val="2"/>
        <charset val="186"/>
      </rPr>
      <t xml:space="preserve"> sk.AR-14 lapā</t>
    </r>
  </si>
  <si>
    <r>
      <t xml:space="preserve">Loga armēšana ar stikla šķiedras loksnēm pa ailu perimetru, b=150mm; marķējums </t>
    </r>
    <r>
      <rPr>
        <b/>
        <sz val="8"/>
        <rFont val="Arial"/>
        <family val="2"/>
        <charset val="186"/>
      </rPr>
      <t>(3)</t>
    </r>
    <r>
      <rPr>
        <sz val="8"/>
        <rFont val="Arial"/>
        <family val="2"/>
        <charset val="186"/>
      </rPr>
      <t xml:space="preserve"> sk.AR-14 lapā </t>
    </r>
  </si>
  <si>
    <t>Tāme sastādīta 2021. gada</t>
  </si>
  <si>
    <t>Daudzdzīvokļu dzīvojamās mājas Lēņu ielā 2, Liepājā, energoefektivitātes paagsutināšanas pasākumi</t>
  </si>
  <si>
    <t>Finanšu rezerve</t>
  </si>
  <si>
    <t>Kopā ar finanšu rezervi</t>
  </si>
  <si>
    <t>Tāme sastādīta 2021. gada tirgus cenās, pamatojoties uz AR un BK daļas rasējumiem</t>
  </si>
  <si>
    <r>
      <rPr>
        <b/>
        <sz val="8"/>
        <rFont val="Arial"/>
        <family val="2"/>
        <charset val="186"/>
      </rPr>
      <t xml:space="preserve"> SP-1 </t>
    </r>
    <r>
      <rPr>
        <sz val="8"/>
        <rFont val="Arial"/>
        <family val="2"/>
        <charset val="186"/>
      </rPr>
      <t>- Sendvičpanelis, KS 1000 AWP H, KINGSPAN ražot. Vai ekvivalents,  λ=0,028W/mK , b=</t>
    </r>
    <r>
      <rPr>
        <b/>
        <sz val="8"/>
        <rFont val="Arial"/>
        <family val="2"/>
        <charset val="186"/>
      </rPr>
      <t>80</t>
    </r>
    <r>
      <rPr>
        <sz val="8"/>
        <rFont val="Arial"/>
        <family val="2"/>
        <charset val="186"/>
      </rPr>
      <t>mm</t>
    </r>
  </si>
  <si>
    <t>grunts SAKRET QG vai ekvivalents</t>
  </si>
  <si>
    <t xml:space="preserve"> 2. meh. klases (AS1) apmetuma izveidošana: 1 kārta armējošās javas un armējošā stikla šķiedras sieta uzklāšana, zemapmetuma grunts uzklāšana,silikona sveķu bāzes maisījuma , ārmēto ar sintētisko šķiedru uznešana.Tonis pēc krāsu pases.</t>
  </si>
  <si>
    <t>grunts SAKRET PG vai ekvivalents</t>
  </si>
  <si>
    <t xml:space="preserve">Tiešās izmaksas kopā, t. sk. darba devēja sociālais nodoklis 23.59% </t>
  </si>
  <si>
    <t>Grunts SAKRET QG vai ekvivalents</t>
  </si>
  <si>
    <t>AQUAFIN-1K izolācija vai ekvivalents</t>
  </si>
  <si>
    <t>AQUAFIN-2K/M hidroizolācija vai ekvivalents</t>
  </si>
  <si>
    <t>montāžas putas</t>
  </si>
  <si>
    <t>Gāzbetona bloks Eco Term Plus 300 vai ekvivalents (200x300x600). 
(Piezāģēts pēc gabarītiem 200x300x300)</t>
  </si>
  <si>
    <t>CERESIT CD30 (25kg) patēriņš aptuveni 1,7 kg/m² vai ekvivalents</t>
  </si>
  <si>
    <t xml:space="preserve">Apakšējais segums Bipol EPP (3,5 kg/m²) vai ekvivalents, ar uzliekumu uz jumtiņa malu, </t>
  </si>
  <si>
    <t>Augšējais segums Bipol EKP (4,5 kg/m²) vai ekvivalents, ar uzliekumu uz ārsienas</t>
  </si>
  <si>
    <t>Papildus seguma kārta Bipol EPP (3,5 kg/m²) vai ekvivalents, uz dzegas, b=250mm, l=6,25m</t>
  </si>
  <si>
    <t>Bipol EPP (3,5 kg/m²) vai ekvivalents</t>
  </si>
  <si>
    <t xml:space="preserve">   * betona aizsargkārtas atjaunošana (remontjava Sika Mono Top 412N vai ekvivalents)</t>
  </si>
  <si>
    <t>CERESIT CD25 (25kg) patēriņš aptuveni 2,0 kg/m²/mm vai ekvivalents</t>
  </si>
  <si>
    <t>Putupolistirola siltinājums, enkurots pie ārsienas gar jumtiņu, EPS 150 vai ekvivalents, b=150, h=150</t>
  </si>
  <si>
    <t xml:space="preserve">Ģeotekstils+MARISEAL 250 vai ekvivalents vienā kārtā gar dzegu fasadē, b=300 </t>
  </si>
  <si>
    <t>Saduršuves gar dzegu fasādē  hermetizēšana ar MARIFLEX PU 30 vai ekvivalents</t>
  </si>
  <si>
    <t xml:space="preserve">Ģeotekstils+MARISEAL 250 vai ekvivalents vienā kārtā gar parapetu fasadē, b=300 </t>
  </si>
  <si>
    <t>Saduršuves gar nosedzošo jumtiņu  hermetizēšana ar MARIFLEX PU 30 vai ekvivalents</t>
  </si>
  <si>
    <t>Attīrītās virsmas samitrināšana un gruntēšana ar virsmas saķeres uzlabotāju, MARISEL 710 vai ekvivalents</t>
  </si>
  <si>
    <t>Hidroizolācijas membrānas, MARISEL 250 vai ekvivalents, uzklāšana 2 kārtās</t>
  </si>
  <si>
    <t>Hidroizolācijas aizsargslāņa, MARISEL 400 vai ekvivalents, ieklāšana 1 kārtā</t>
  </si>
  <si>
    <t xml:space="preserve">   *atsegto stiegrojumu attīrīšana lidz kl.Sa, pretkorozijas pastrāde ar Ceresit CD30 vai ekvivalents</t>
  </si>
  <si>
    <t xml:space="preserve">   *virsmas samitrināšana un apstrāde ar pielipšanas uzlabotāju Ceresit CC81 vai ekvivalents</t>
  </si>
  <si>
    <t xml:space="preserve">   *remotjavas uzklāšana Ceresit CD24 vai ekvivalents</t>
  </si>
  <si>
    <t>Speciālā apstrāde savācējpiltuves pieslegumu vietām- 0,5m plata joslā apkārt elementu (0,78m² uz vien.): ar MARISEAL DETAIL vai ekvivalents izolējošu materiālu savācējpiltuves  piesleguma vietu pārklāšana</t>
  </si>
  <si>
    <t xml:space="preserve">    ģeotekstila MARISEAL FABRIC vai ekvivalents ieklāšana</t>
  </si>
  <si>
    <t xml:space="preserve">    MARISEAL DETAIL vai ekvivalents dublejoša kārta piesl.vietām</t>
  </si>
  <si>
    <t xml:space="preserve">     plaisas jāaizpilda ar fiksotropisku (biezu) remontjavu  SIKA DVR 31CF vai ekvivalents</t>
  </si>
  <si>
    <t>Plaisu hermetizēšana ar poliuretāna hermetiķi, MARIFLEX PU30 vai ekvivalents</t>
  </si>
  <si>
    <t>Gruntējuma-saķeres uzlabotāja, MARISEAL 710 vai ekvivalents, uzklāšana uz tīras, samitrinātas virsmas</t>
  </si>
  <si>
    <t>Hidroizolācijas, MARISEAL 250 vai ekvivalents, uzklāšana   ar augstspied. uzsmidzināšanas iekārtu</t>
  </si>
  <si>
    <t>Virsmas armēšana ar ģeotekstilu, MARISEAL FABRIC vai ekvivalents</t>
  </si>
  <si>
    <t>Hidroizolācijas, MARISEAL 250 vai ekvivalents, uzklāšana ar augstspied. uzsmidzināšanas iekārtu</t>
  </si>
  <si>
    <t>Aizsargslāņa, MARISEAL 400 vai ekvivalents, ieklāšana 1 kārtā ar augstspied. uzsmidzināšanas iekārtu</t>
  </si>
  <si>
    <t>Mehāniski verama jumta lūka ar stiklplasta virsmu (Lamilux 100 vai ekvivalents; axb=700*x800*)</t>
  </si>
  <si>
    <t xml:space="preserve">      hidroizolācijas pārklājums, MARISEAL 250 vai ekvivalents, pa elementa perimetru b=0,25m joslā*</t>
  </si>
  <si>
    <t xml:space="preserve">      armējums ar MARISEAL FABRIC vai ekvivalents, b=0,25m joslā*</t>
  </si>
  <si>
    <t>Tāme sastādīta 2021. gada tirgus cenās, pamatojoties uz GA daļas rasējumiem</t>
  </si>
  <si>
    <t>Tāme sastādīta 2021. gada tirgus cenās, pamatojoties uz UK daļas rasējumiem</t>
  </si>
  <si>
    <r>
      <t xml:space="preserve">PPR caurules un veidgabali aukstā ūdens apgādei - "Wavin" EKOPLASTIK PN10 vai ekvivalents </t>
    </r>
    <r>
      <rPr>
        <b/>
        <sz val="8"/>
        <rFont val="Arial"/>
        <family val="2"/>
        <charset val="186"/>
      </rPr>
      <t>Ø50×4,6mm</t>
    </r>
  </si>
  <si>
    <r>
      <t xml:space="preserve">PPR caurules un veidgabali aukstā ūdens apgādei -  "Wavin" EKOPLASTIK PN10 vai ekvivalents </t>
    </r>
    <r>
      <rPr>
        <b/>
        <sz val="8"/>
        <rFont val="Arial"/>
        <family val="2"/>
        <charset val="186"/>
      </rPr>
      <t>Ø40×3,7mm</t>
    </r>
  </si>
  <si>
    <r>
      <t xml:space="preserve">PPR caurules un veidgabali aukstā ūdens apgādei -  "Wavin" EKOPLASTIK PN10 vai ekvivalents </t>
    </r>
    <r>
      <rPr>
        <b/>
        <sz val="8"/>
        <rFont val="Arial"/>
        <family val="2"/>
        <charset val="186"/>
      </rPr>
      <t>Ø32×2,9mm</t>
    </r>
  </si>
  <si>
    <r>
      <t>PPR caurules un veidgabali aukstā ūdens apgādei -  "Wavin" EKOPLASTIK PN10 vai ekvivalents</t>
    </r>
    <r>
      <rPr>
        <b/>
        <sz val="8"/>
        <rFont val="Arial"/>
        <family val="2"/>
        <charset val="186"/>
      </rPr>
      <t xml:space="preserve"> Ø25×2,3mm</t>
    </r>
  </si>
  <si>
    <r>
      <t>PPR caurules un veidgabali aukstā ūdens apgādei -  "Wavin" EKOPLASTIK PN10 vai ekvivalents</t>
    </r>
    <r>
      <rPr>
        <b/>
        <sz val="8"/>
        <rFont val="Arial"/>
        <family val="2"/>
        <charset val="186"/>
      </rPr>
      <t xml:space="preserve"> Ø20×2,3mm</t>
    </r>
  </si>
  <si>
    <r>
      <t xml:space="preserve">Pretkondensāta izolācija ar pašlīmējošo maliņu     - "K-Flex" EC/R  vai ekvivalents kaučuka izolācijas čaulām, Siltumvadības koeficients λ pie +10°С = 0,034 W/mK; difūzijas tvaika pretestība pēc DIN 52516 μ≥ 7 000T  </t>
    </r>
    <r>
      <rPr>
        <b/>
        <sz val="8"/>
        <rFont val="Arial"/>
        <family val="2"/>
        <charset val="186"/>
      </rPr>
      <t>Dn54x9mm</t>
    </r>
  </si>
  <si>
    <r>
      <t xml:space="preserve">Pretkondensāta izolācija ar pašlīmējošo maliņu     -  "K-Flex" EC/R vai ekvivalents kaučuka izolācijas čaulām, Siltumvadības koeficients λ pie +10°С = 0,034 W/mK; difūzijas tvaika pretestība pēc DIN 52516 μ≥ 7 000T </t>
    </r>
    <r>
      <rPr>
        <b/>
        <sz val="8"/>
        <rFont val="Arial"/>
        <family val="2"/>
        <charset val="186"/>
      </rPr>
      <t>Dn35x9mm</t>
    </r>
  </si>
  <si>
    <r>
      <t xml:space="preserve">Pretkondensāta izolācija ar pašlīmējošo maliņu     -  "K-Flex" EC/R vai ekvivalents kaučuka izolācijas čaulām, Siltumvadības koeficients λ pie +10°С = 0,034 W/mK; difūzijas tvaika pretestība pēc DIN 52516 μ≥ 7 000T  </t>
    </r>
    <r>
      <rPr>
        <b/>
        <sz val="8"/>
        <rFont val="Arial"/>
        <family val="2"/>
        <charset val="186"/>
      </rPr>
      <t>Dn28x9mm</t>
    </r>
  </si>
  <si>
    <r>
      <t xml:space="preserve">Pretkondensāta izolācija ar pašlīmējošo maliņu     -  "K-Flex" EC/R vai ekvivalents kaučuka izolācijas čaulām, Siltumvadības koeficients λ pie +10°С = 0,034 W/mK; difūzijas tvaika pretestība pēc DIN 52516 μ≥ 7 000T  </t>
    </r>
    <r>
      <rPr>
        <b/>
        <sz val="8"/>
        <rFont val="Arial"/>
        <family val="2"/>
        <charset val="186"/>
      </rPr>
      <t>Dn22x9mm</t>
    </r>
  </si>
  <si>
    <r>
      <t xml:space="preserve">PPR caurules un veidgabali karstā ūdens apgādei -  "Wavin" EKOPLASTIK PN20 vai ekvivalents </t>
    </r>
    <r>
      <rPr>
        <b/>
        <sz val="8"/>
        <rFont val="Arial"/>
        <family val="2"/>
        <charset val="186"/>
      </rPr>
      <t>Ø50×8,3mm</t>
    </r>
  </si>
  <si>
    <r>
      <t xml:space="preserve">PPR caurules un veidgabali karstā ūdens apgādei -  "Wavin" EKOPLASTIK PN20 vai ekvivalents </t>
    </r>
    <r>
      <rPr>
        <b/>
        <sz val="8"/>
        <rFont val="Arial"/>
        <family val="2"/>
        <charset val="186"/>
      </rPr>
      <t>Ø40×6,7mm</t>
    </r>
  </si>
  <si>
    <r>
      <t>PPR caurules un veidgabali karstā ūdens apgādei -  "Wavin" EKOPLASTIK PN20 vai ekvivalents</t>
    </r>
    <r>
      <rPr>
        <b/>
        <sz val="8"/>
        <rFont val="Arial"/>
        <family val="2"/>
        <charset val="186"/>
      </rPr>
      <t xml:space="preserve"> Ø32×5,4mm</t>
    </r>
  </si>
  <si>
    <r>
      <t xml:space="preserve">PPR caurules un veidgabali karstā ūdens apgādei -  "Wavin" EKOPLASTIK PN20 vai ekvivalents </t>
    </r>
    <r>
      <rPr>
        <b/>
        <sz val="8"/>
        <rFont val="Arial"/>
        <family val="2"/>
        <charset val="186"/>
      </rPr>
      <t>Ø25×4,2mm</t>
    </r>
  </si>
  <si>
    <r>
      <t xml:space="preserve">PPR caurules un veidgabali karstā ūdens apgādei -  "Wavin" EKOPLASTIK PN20 vai ekvivalents </t>
    </r>
    <r>
      <rPr>
        <b/>
        <sz val="8"/>
        <rFont val="Arial"/>
        <family val="2"/>
        <charset val="186"/>
      </rPr>
      <t>Ø20×3,4mm</t>
    </r>
  </si>
  <si>
    <r>
      <t xml:space="preserve">PPR caurules un veidgabali karstā ūdens apgādei -  "Wavin" EKOPLASTIK PN20 vai ekvivalents </t>
    </r>
    <r>
      <rPr>
        <b/>
        <sz val="8"/>
        <rFont val="Arial"/>
        <family val="2"/>
        <charset val="186"/>
      </rPr>
      <t>Ø16×2,7mm</t>
    </r>
  </si>
  <si>
    <r>
      <t xml:space="preserve">Akmens vates izolācijas čaula karstā ūdens apgādei pagrabstāvā - "Paroc" vai ekvivalents akmens vates cauruļvadu izolācijas čaulas ar armētu alumīnija folijas pārklājumu un garenšuvē iestrādātu līmlentu - Paroc Hvac Section AluCoat T vai ekvivalents. Siltumvadītspēja pie +10°С - 0,034W/mK </t>
    </r>
    <r>
      <rPr>
        <b/>
        <sz val="8"/>
        <rFont val="Arial"/>
        <family val="2"/>
        <charset val="186"/>
      </rPr>
      <t>Dn54×30mm</t>
    </r>
  </si>
  <si>
    <r>
      <t xml:space="preserve">Akmens vates izolācijas čaula karstā ūdens apgādei pagrabstāvā - "Paroc" vai ekvivalents akmens vates cauruļvadu izolācijas čaulas ar armētu alumīnija folijas pārklājumu un garenšuvē iestrādātu līmlentu - Paroc Hvac Section AluCoat T vai ekvivalents. Siltumvadītspēja pie +10°С - 0,034W/mK </t>
    </r>
    <r>
      <rPr>
        <b/>
        <sz val="8"/>
        <rFont val="Arial"/>
        <family val="2"/>
        <charset val="186"/>
      </rPr>
      <t>Dn42×30mm</t>
    </r>
  </si>
  <si>
    <r>
      <t xml:space="preserve">Akmens vates izolācijas čaula karstā ūdens apgādei pagrabstāvā - "Paroc" vai ekvivalents akmens vates cauruļvadu izolācijas čaulas ar armētu alumīnija folijas pārklājumu un garenšuvē iestrādātu līmlentu - Paroc Hvac Section AluCoat T vai ekvivalents. Siltumvadītspēja pie +10°С - 0,034W/mK </t>
    </r>
    <r>
      <rPr>
        <b/>
        <sz val="8"/>
        <rFont val="Arial"/>
        <family val="2"/>
        <charset val="186"/>
      </rPr>
      <t>Dn35×30mm</t>
    </r>
  </si>
  <si>
    <r>
      <t>Kaučuka siltumizolācija ar pašlīmējošo maliņu karstā ūdens apgādes stāvadiem  - "K-Flex" EC/R vai ekvivalents kaučuka izolācijas čaulām, Siltumvadības koeficients λ pie +40°С = 0,040 W/mK; difūzijas tvaika pretestība pēc DIN 52516 μ≥ 7 000T</t>
    </r>
    <r>
      <rPr>
        <b/>
        <sz val="8"/>
        <rFont val="Arial"/>
        <family val="2"/>
        <charset val="186"/>
      </rPr>
      <t xml:space="preserve"> Dn35x19mm</t>
    </r>
  </si>
  <si>
    <r>
      <t xml:space="preserve">Kaučuka siltumizolācija ar pašlīmējošo maliņu karstā ūdens apgādes stāvadiem  - "K-Flex" EC/R vai ekvivalents kaučuka izolācijas čaulām, Siltumvadības koeficients λ pie +40°С = 0,040 W/mK; difūzijas tvaika pretestība pēc DIN 52516 μ≥ 7 000T </t>
    </r>
    <r>
      <rPr>
        <b/>
        <sz val="8"/>
        <rFont val="Arial"/>
        <family val="2"/>
        <charset val="186"/>
      </rPr>
      <t>Dn28x19mm</t>
    </r>
  </si>
  <si>
    <r>
      <t xml:space="preserve">Kaučuka siltumizolācija ar pašlīmējošo maliņu karstā ūdens apgādes stāvadiem  - "K-Flex" EC/R vai ekvivalents kaučuka izolācijas čaulām, Siltumvadības koeficients λ pie +40°С = 0,040 W/mK; difūzijas tvaika pretestība pēc DIN 52516 μ≥ 7 000T </t>
    </r>
    <r>
      <rPr>
        <b/>
        <sz val="8"/>
        <rFont val="Arial"/>
        <family val="2"/>
        <charset val="186"/>
      </rPr>
      <t>Dn22x19mm</t>
    </r>
  </si>
  <si>
    <r>
      <t>Elektroniska ūdens atkaļķošanas iekārta  "AQUA CLEAN" EKS 50 I vai ekvivalents komplektā ar vadu 30m 3x2,5mm</t>
    </r>
    <r>
      <rPr>
        <sz val="8"/>
        <rFont val="Calibri"/>
        <family val="2"/>
        <charset val="186"/>
      </rPr>
      <t xml:space="preserve">² </t>
    </r>
    <r>
      <rPr>
        <b/>
        <sz val="8"/>
        <rFont val="Calibri"/>
        <family val="2"/>
        <charset val="186"/>
      </rPr>
      <t>līdz 50mm</t>
    </r>
  </si>
  <si>
    <r>
      <t>Termostatisks, automātisks, proporcionāls vārsts -  "Danfoss" termostatiskais vārsts MTCV-A vai ekvivalents</t>
    </r>
    <r>
      <rPr>
        <b/>
        <sz val="8"/>
        <rFont val="Arial"/>
        <family val="2"/>
        <charset val="186"/>
      </rPr>
      <t xml:space="preserve"> ½"</t>
    </r>
  </si>
  <si>
    <t>"Promat" PROMASEAL-PL vai ekvivalents loksne - kārstā ūdens šķērsošana 100x300mm</t>
  </si>
  <si>
    <t>"Promat" PROMASTOP vai ekvivalents ugunsdrošā java MG III PROMASEAL vai ekvivalents blīves iestrādāšanai  30kg</t>
  </si>
  <si>
    <t>Mehāniskais ūdens filtrs - "Cintropur" NW32 vai ekvivalents Q=6,5m³/h, 1¼"</t>
  </si>
  <si>
    <t xml:space="preserve">Nerūsējošā tērauda dvieļu žāvētājs ar saskrūvi -  "GOD" M15 vai ekvivalents Dn15, L=500mm, h=500mm </t>
  </si>
  <si>
    <t>Attālināti nolasāms aukstā ūdens skaitītājs komplektā ar saskrūvi - "Wehrle" vai ekvivalents dzīvokļa ūdens skaitītājs , metroloģiskā klase C/R160-H; jūtīguma robeža l/h&lt;8; Qn= 1,5 m³/h,½"</t>
  </si>
  <si>
    <t>Attālināti nolasāms karstā  ūdens skaitītājs komplektā ar saskrūvi - "Wehrle" vai ekvivalents dzīvokļa ūdens skaitītājs , metroloģiskā klase C/R160-H; jūtīguma robeža l/h&lt;8; Qn= 1,5 m³/h,½"</t>
  </si>
  <si>
    <r>
      <t>Attālināti nolasāms aukstā ūdens skaitītājs komplektā ar saskrūvi - "Wehrle" vai ekvivalents dzīvokļa ūdens skaitītājs , metroloģiskā klase C/R160H; jūtīguma robeža l/h&lt;18; Qn= 3,5 m</t>
    </r>
    <r>
      <rPr>
        <sz val="8"/>
        <rFont val="Calibri"/>
        <family val="2"/>
        <charset val="186"/>
      </rPr>
      <t>³</t>
    </r>
    <r>
      <rPr>
        <sz val="8"/>
        <rFont val="Arial"/>
        <family val="2"/>
        <charset val="186"/>
      </rPr>
      <t>/h,1</t>
    </r>
    <r>
      <rPr>
        <sz val="8"/>
        <rFont val="Calibri"/>
        <family val="2"/>
        <charset val="186"/>
      </rPr>
      <t>¼"</t>
    </r>
  </si>
  <si>
    <r>
      <t xml:space="preserve">Pretkondensāta izolācijas čaula  beniņstāvā - "K-Flex" EC vai ekvivalents kaučuka izolācijas čaulām, Siltumvadības koeficients λ pie +40°С = 0,040 W/mK; difūzijas tvaika pretestība pēc DIN 52516 μ≥ 7 000     </t>
    </r>
    <r>
      <rPr>
        <b/>
        <sz val="8"/>
        <rFont val="Arial"/>
        <family val="2"/>
        <charset val="186"/>
      </rPr>
      <t xml:space="preserve"> Dn114×9mm</t>
    </r>
  </si>
  <si>
    <r>
      <t xml:space="preserve">Siltināts kanalizācijas stāvvada ventilācijas izvads, "Vilpe' vai ekvivalents  </t>
    </r>
    <r>
      <rPr>
        <b/>
        <sz val="8"/>
        <rFont val="Arial"/>
        <family val="2"/>
        <charset val="186"/>
      </rPr>
      <t>Ø110</t>
    </r>
  </si>
  <si>
    <r>
      <t xml:space="preserve">Ugundrošā manžetes kanalizācijas caurulei pirms pārseguma šķērsošanas  - "PROMAT" PROMASTOP UniCollar R60 vai ekvivalents  </t>
    </r>
    <r>
      <rPr>
        <b/>
        <sz val="8"/>
        <rFont val="Arial"/>
        <family val="2"/>
        <charset val="186"/>
      </rPr>
      <t>Ø110, vietas 60</t>
    </r>
  </si>
  <si>
    <t>Tāme sastādīta 2021. gada tirgus cenās, pamatojoties uz ELT daļas rasējumiem</t>
  </si>
  <si>
    <t>Ievērībai!</t>
  </si>
  <si>
    <t>Pretendents ir tiesīgs izmantot tikai Pasūtītāja pievienoto būvizmaksu noteikšanas tāmes veidni.</t>
  </si>
  <si>
    <t>Piezīme:</t>
  </si>
  <si>
    <t>• Siltināšanas un apmešanas darbi veicami saskaņā ar ETAG 004 „Eiropas tehniskā apstiprinājuma pamatnostādne ārējās siltumizolācijas sistēmām un
 apmetumam”.</t>
  </si>
  <si>
    <t xml:space="preserve">• Visiem būvmateriāliem jābūt marķētiem ar CE zīmi.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</si>
</sst>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0.00;;;"/>
    <numFmt numFmtId="165" formatCode="0;;;"/>
    <numFmt numFmtId="166" formatCode="0.0%"/>
    <numFmt numFmtId="167" formatCode="_-* #,##0.00_-;\-* #,##0.00_-;_-* \-??_-;_-@_-"/>
    <numFmt numFmtId="168" formatCode="0.0"/>
    <numFmt numFmtId="169" formatCode="0;;"/>
    <numFmt numFmtId="170" formatCode="0.000"/>
    <numFmt numFmtId="171" formatCode="_-* #,##0.00_р_._-;\-* #,##0.00_р_._-;_-* &quot;-&quot;??_р_._-;_-@_-"/>
    <numFmt numFmtId="172" formatCode="0.00;;"/>
  </numFmts>
  <fonts count="40" x14ac:knownFonts="1">
    <font>
      <sz val="8"/>
      <color rgb="FF000000"/>
      <name val="Arial"/>
      <family val="2"/>
      <charset val="186"/>
    </font>
    <font>
      <sz val="8"/>
      <color theme="1"/>
      <name val="Arial"/>
      <family val="2"/>
      <charset val="186"/>
    </font>
    <font>
      <sz val="8"/>
      <color theme="1"/>
      <name val="Arial"/>
      <family val="2"/>
      <charset val="186"/>
    </font>
    <font>
      <sz val="10"/>
      <name val="Arial"/>
      <family val="2"/>
      <charset val="204"/>
    </font>
    <font>
      <sz val="8"/>
      <name val="Arial"/>
      <family val="2"/>
      <charset val="186"/>
    </font>
    <font>
      <b/>
      <sz val="8"/>
      <name val="Arial"/>
      <family val="2"/>
      <charset val="186"/>
    </font>
    <font>
      <b/>
      <sz val="9"/>
      <color rgb="FF000000"/>
      <name val="Tahoma"/>
      <family val="2"/>
      <charset val="186"/>
    </font>
    <font>
      <sz val="9"/>
      <color rgb="FF000000"/>
      <name val="Tahoma"/>
      <family val="2"/>
      <charset val="186"/>
    </font>
    <font>
      <sz val="8"/>
      <color rgb="FFFF0000"/>
      <name val="Arial"/>
      <family val="2"/>
      <charset val="186"/>
    </font>
    <font>
      <b/>
      <sz val="8"/>
      <color rgb="FFFF0000"/>
      <name val="Arial"/>
      <family val="2"/>
      <charset val="186"/>
    </font>
    <font>
      <b/>
      <sz val="8"/>
      <color indexed="8"/>
      <name val="Arial"/>
      <family val="2"/>
      <charset val="186"/>
    </font>
    <font>
      <sz val="8"/>
      <color indexed="8"/>
      <name val="Arial"/>
      <family val="2"/>
      <charset val="186"/>
    </font>
    <font>
      <sz val="8"/>
      <color rgb="FF00B050"/>
      <name val="Arial"/>
      <family val="2"/>
      <charset val="186"/>
    </font>
    <font>
      <b/>
      <sz val="8"/>
      <color rgb="FF00B050"/>
      <name val="Arial"/>
      <family val="2"/>
      <charset val="186"/>
    </font>
    <font>
      <sz val="8"/>
      <color indexed="10"/>
      <name val="Arial"/>
      <family val="2"/>
      <charset val="186"/>
    </font>
    <font>
      <sz val="11"/>
      <color indexed="8"/>
      <name val="Calibri"/>
      <family val="2"/>
      <charset val="186"/>
    </font>
    <font>
      <sz val="12"/>
      <color theme="1"/>
      <name val="Calibri"/>
      <family val="2"/>
      <scheme val="minor"/>
    </font>
    <font>
      <sz val="8"/>
      <color rgb="FF000000"/>
      <name val="Arial"/>
      <family val="2"/>
      <charset val="186"/>
    </font>
    <font>
      <sz val="10"/>
      <name val="Helv"/>
    </font>
    <font>
      <sz val="11"/>
      <color indexed="8"/>
      <name val="Calibri"/>
      <family val="2"/>
      <charset val="204"/>
    </font>
    <font>
      <sz val="10"/>
      <name val="Arial"/>
      <family val="2"/>
      <charset val="186"/>
    </font>
    <font>
      <b/>
      <i/>
      <sz val="8"/>
      <name val="Arial"/>
      <family val="2"/>
      <charset val="186"/>
    </font>
    <font>
      <sz val="8"/>
      <name val="Calibri"/>
      <family val="2"/>
      <charset val="186"/>
    </font>
    <font>
      <sz val="6"/>
      <color theme="1"/>
      <name val="Arial"/>
      <family val="2"/>
      <charset val="186"/>
    </font>
    <font>
      <sz val="6"/>
      <color indexed="8"/>
      <name val="Arial"/>
      <family val="2"/>
      <charset val="186"/>
    </font>
    <font>
      <b/>
      <i/>
      <sz val="6"/>
      <color theme="1"/>
      <name val="Arial"/>
      <family val="2"/>
      <charset val="186"/>
    </font>
    <font>
      <b/>
      <sz val="8"/>
      <color rgb="FF0070C0"/>
      <name val="Arial"/>
      <family val="2"/>
      <charset val="186"/>
    </font>
    <font>
      <sz val="8"/>
      <color rgb="FF0070C0"/>
      <name val="Arial"/>
      <family val="2"/>
      <charset val="186"/>
    </font>
    <font>
      <sz val="10"/>
      <name val="Arial"/>
      <family val="2"/>
      <charset val="1"/>
    </font>
    <font>
      <i/>
      <sz val="8"/>
      <color indexed="23"/>
      <name val="Arial"/>
      <family val="2"/>
      <charset val="186"/>
    </font>
    <font>
      <vertAlign val="superscript"/>
      <sz val="8"/>
      <name val="Arial"/>
      <family val="2"/>
    </font>
    <font>
      <b/>
      <i/>
      <u/>
      <sz val="8"/>
      <name val="Arial"/>
      <family val="2"/>
      <charset val="186"/>
    </font>
    <font>
      <b/>
      <sz val="6"/>
      <color indexed="8"/>
      <name val="Arial"/>
      <family val="2"/>
      <charset val="186"/>
    </font>
    <font>
      <i/>
      <sz val="6"/>
      <color theme="1"/>
      <name val="Arial"/>
      <family val="2"/>
      <charset val="186"/>
    </font>
    <font>
      <sz val="6"/>
      <name val="Arial"/>
      <family val="2"/>
      <charset val="186"/>
    </font>
    <font>
      <vertAlign val="superscript"/>
      <sz val="6"/>
      <name val="Arial"/>
      <family val="2"/>
      <charset val="186"/>
    </font>
    <font>
      <b/>
      <u/>
      <sz val="8"/>
      <name val="Arial"/>
      <family val="2"/>
      <charset val="186"/>
    </font>
    <font>
      <u/>
      <sz val="8"/>
      <name val="Arial"/>
      <family val="2"/>
      <charset val="186"/>
    </font>
    <font>
      <b/>
      <sz val="8"/>
      <name val="Calibri"/>
      <family val="2"/>
      <charset val="186"/>
    </font>
    <font>
      <sz val="7.6"/>
      <name val="Arial"/>
      <family val="2"/>
      <charset val="186"/>
    </font>
  </fonts>
  <fills count="2">
    <fill>
      <patternFill patternType="none"/>
    </fill>
    <fill>
      <patternFill patternType="gray125"/>
    </fill>
  </fills>
  <borders count="147">
    <border>
      <left/>
      <right/>
      <top/>
      <bottom/>
      <diagonal/>
    </border>
    <border>
      <left/>
      <right/>
      <top/>
      <bottom style="thin">
        <color auto="1"/>
      </bottom>
      <diagonal/>
    </border>
    <border>
      <left/>
      <right/>
      <top/>
      <bottom style="hair">
        <color auto="1"/>
      </bottom>
      <diagonal/>
    </border>
    <border>
      <left/>
      <right/>
      <top style="hair">
        <color auto="1"/>
      </top>
      <bottom style="hair">
        <color auto="1"/>
      </bottom>
      <diagonal/>
    </border>
    <border>
      <left style="medium">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thin">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style="medium">
        <color auto="1"/>
      </top>
      <bottom/>
      <diagonal/>
    </border>
    <border>
      <left/>
      <right style="thin">
        <color auto="1"/>
      </right>
      <top style="medium">
        <color auto="1"/>
      </top>
      <bottom style="thin">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medium">
        <color auto="1"/>
      </bottom>
      <diagonal/>
    </border>
    <border>
      <left style="medium">
        <color auto="1"/>
      </left>
      <right style="medium">
        <color auto="1"/>
      </right>
      <top/>
      <bottom style="thin">
        <color auto="1"/>
      </bottom>
      <diagonal/>
    </border>
    <border>
      <left style="medium">
        <color auto="1"/>
      </left>
      <right style="medium">
        <color auto="1"/>
      </right>
      <top/>
      <bottom style="medium">
        <color auto="1"/>
      </bottom>
      <diagonal/>
    </border>
    <border>
      <left style="medium">
        <color auto="1"/>
      </left>
      <right/>
      <top/>
      <bottom/>
      <diagonal/>
    </border>
    <border>
      <left style="thin">
        <color auto="1"/>
      </left>
      <right style="thin">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style="thin">
        <color auto="1"/>
      </left>
      <right/>
      <top style="medium">
        <color auto="1"/>
      </top>
      <bottom/>
      <diagonal/>
    </border>
    <border>
      <left style="thin">
        <color auto="1"/>
      </left>
      <right/>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medium">
        <color auto="1"/>
      </left>
      <right style="thin">
        <color auto="1"/>
      </right>
      <top/>
      <bottom style="medium">
        <color auto="1"/>
      </bottom>
      <diagonal/>
    </border>
    <border>
      <left/>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thin">
        <color indexed="8"/>
      </left>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medium">
        <color indexed="64"/>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64"/>
      </left>
      <right style="thin">
        <color indexed="64"/>
      </right>
      <top/>
      <bottom style="thin">
        <color indexed="64"/>
      </bottom>
      <diagonal/>
    </border>
    <border>
      <left style="thin">
        <color indexed="8"/>
      </left>
      <right style="thin">
        <color indexed="8"/>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8"/>
      </left>
      <right/>
      <top style="thin">
        <color indexed="64"/>
      </top>
      <bottom style="medium">
        <color indexed="64"/>
      </bottom>
      <diagonal/>
    </border>
    <border>
      <left style="thin">
        <color indexed="8"/>
      </left>
      <right style="thin">
        <color indexed="8"/>
      </right>
      <top/>
      <bottom/>
      <diagonal/>
    </border>
    <border>
      <left style="thin">
        <color indexed="64"/>
      </left>
      <right style="thin">
        <color indexed="64"/>
      </right>
      <top style="thin">
        <color indexed="8"/>
      </top>
      <bottom/>
      <diagonal/>
    </border>
    <border>
      <left/>
      <right style="thin">
        <color indexed="64"/>
      </right>
      <top style="thin">
        <color indexed="64"/>
      </top>
      <bottom/>
      <diagonal/>
    </border>
    <border>
      <left style="thin">
        <color indexed="8"/>
      </left>
      <right style="thin">
        <color indexed="8"/>
      </right>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medium">
        <color indexed="64"/>
      </bottom>
      <diagonal/>
    </border>
    <border>
      <left style="thin">
        <color auto="1"/>
      </left>
      <right style="thin">
        <color auto="1"/>
      </right>
      <top style="thin">
        <color indexed="64"/>
      </top>
      <bottom style="medium">
        <color auto="1"/>
      </bottom>
      <diagonal/>
    </border>
    <border>
      <left style="medium">
        <color indexed="64"/>
      </left>
      <right style="thin">
        <color auto="1"/>
      </right>
      <top style="thin">
        <color auto="1"/>
      </top>
      <bottom/>
      <diagonal/>
    </border>
    <border>
      <left style="medium">
        <color auto="1"/>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medium">
        <color auto="1"/>
      </left>
      <right style="thin">
        <color auto="1"/>
      </right>
      <top style="thin">
        <color auto="1"/>
      </top>
      <bottom style="medium">
        <color indexed="64"/>
      </bottom>
      <diagonal/>
    </border>
    <border>
      <left style="thin">
        <color auto="1"/>
      </left>
      <right style="medium">
        <color auto="1"/>
      </right>
      <top style="thin">
        <color auto="1"/>
      </top>
      <bottom style="medium">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auto="1"/>
      </left>
      <right style="medium">
        <color auto="1"/>
      </right>
      <top style="thin">
        <color auto="1"/>
      </top>
      <bottom/>
      <diagonal/>
    </border>
    <border>
      <left style="medium">
        <color auto="1"/>
      </left>
      <right style="medium">
        <color auto="1"/>
      </right>
      <top/>
      <bottom/>
      <diagonal/>
    </border>
  </borders>
  <cellStyleXfs count="23">
    <xf numFmtId="0" fontId="0" fillId="0" borderId="0"/>
    <xf numFmtId="0" fontId="3" fillId="0" borderId="0"/>
    <xf numFmtId="0" fontId="15" fillId="0" borderId="0"/>
    <xf numFmtId="0" fontId="16" fillId="0" borderId="0"/>
    <xf numFmtId="0" fontId="18" fillId="0" borderId="0"/>
    <xf numFmtId="0" fontId="18" fillId="0" borderId="0"/>
    <xf numFmtId="0" fontId="18" fillId="0" borderId="0"/>
    <xf numFmtId="0" fontId="18" fillId="0" borderId="0"/>
    <xf numFmtId="0" fontId="3" fillId="0" borderId="0"/>
    <xf numFmtId="0" fontId="15" fillId="0" borderId="0"/>
    <xf numFmtId="0" fontId="19" fillId="0" borderId="0"/>
    <xf numFmtId="0" fontId="20" fillId="0" borderId="0"/>
    <xf numFmtId="0" fontId="19" fillId="0" borderId="0"/>
    <xf numFmtId="0" fontId="20" fillId="0" borderId="0"/>
    <xf numFmtId="0" fontId="20" fillId="0" borderId="0"/>
    <xf numFmtId="0" fontId="28" fillId="0" borderId="0"/>
    <xf numFmtId="0" fontId="28" fillId="0" borderId="0"/>
    <xf numFmtId="171" fontId="3" fillId="0" borderId="0" applyFont="0" applyFill="0" applyBorder="0" applyAlignment="0" applyProtection="0"/>
    <xf numFmtId="0" fontId="28" fillId="0" borderId="0"/>
    <xf numFmtId="167" fontId="20" fillId="0" borderId="0" applyFill="0" applyBorder="0" applyAlignment="0" applyProtection="0"/>
    <xf numFmtId="0" fontId="29" fillId="0" borderId="0" applyNumberFormat="0" applyFill="0" applyBorder="0" applyAlignment="0" applyProtection="0"/>
    <xf numFmtId="0" fontId="18" fillId="0" borderId="0"/>
    <xf numFmtId="43" fontId="17" fillId="0" borderId="0" applyFont="0" applyFill="0" applyBorder="0" applyAlignment="0" applyProtection="0"/>
  </cellStyleXfs>
  <cellXfs count="696">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9" fillId="0" borderId="0" xfId="0" applyFont="1" applyAlignment="1">
      <alignment horizontal="center" vertical="center"/>
    </xf>
    <xf numFmtId="0" fontId="8"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4" fillId="0" borderId="0" xfId="0" applyFont="1" applyAlignment="1">
      <alignment horizontal="center" vertical="center"/>
    </xf>
    <xf numFmtId="0" fontId="11" fillId="0" borderId="0" xfId="2" applyFont="1" applyAlignment="1">
      <alignment horizontal="center" vertical="center"/>
    </xf>
    <xf numFmtId="0" fontId="14" fillId="0" borderId="0" xfId="3" applyFont="1" applyAlignment="1">
      <alignment horizontal="center" vertical="center"/>
    </xf>
    <xf numFmtId="0" fontId="11" fillId="0" borderId="0" xfId="0" applyFont="1" applyAlignment="1">
      <alignment horizontal="center" vertical="center" wrapText="1"/>
    </xf>
    <xf numFmtId="0" fontId="10" fillId="0" borderId="0" xfId="0" applyFont="1" applyAlignment="1">
      <alignment horizontal="center" vertical="center" wrapText="1"/>
    </xf>
    <xf numFmtId="0" fontId="8" fillId="0" borderId="0" xfId="3" applyFont="1" applyAlignment="1">
      <alignment horizontal="center" vertical="center"/>
    </xf>
    <xf numFmtId="0" fontId="23" fillId="0" borderId="0" xfId="0" applyFont="1" applyAlignment="1">
      <alignment vertical="center"/>
    </xf>
    <xf numFmtId="0" fontId="24" fillId="0" borderId="0" xfId="0" applyFont="1" applyAlignment="1">
      <alignment vertical="center"/>
    </xf>
    <xf numFmtId="0" fontId="24" fillId="0" borderId="0" xfId="0" applyFont="1" applyAlignment="1">
      <alignment horizontal="right" vertical="center"/>
    </xf>
    <xf numFmtId="0" fontId="24" fillId="0" borderId="0" xfId="3" applyFont="1" applyAlignment="1">
      <alignment horizontal="right" vertical="center"/>
    </xf>
    <xf numFmtId="0" fontId="25" fillId="0" borderId="0" xfId="0" applyFont="1" applyAlignment="1">
      <alignment vertical="center" wrapText="1"/>
    </xf>
    <xf numFmtId="0" fontId="23" fillId="0" borderId="0" xfId="0" applyFont="1" applyAlignment="1">
      <alignment vertical="center" wrapText="1"/>
    </xf>
    <xf numFmtId="0" fontId="13" fillId="0" borderId="40" xfId="0" applyFont="1" applyBorder="1" applyAlignment="1">
      <alignment horizontal="center" vertical="center"/>
    </xf>
    <xf numFmtId="0" fontId="13" fillId="0" borderId="41" xfId="0" applyFont="1" applyBorder="1" applyAlignment="1">
      <alignment horizontal="center" vertical="center"/>
    </xf>
    <xf numFmtId="0" fontId="4" fillId="0" borderId="41" xfId="2" applyFont="1" applyBorder="1" applyAlignment="1">
      <alignment horizontal="center" vertical="center"/>
    </xf>
    <xf numFmtId="0" fontId="13" fillId="0" borderId="42" xfId="0" applyFont="1" applyBorder="1" applyAlignment="1">
      <alignment horizontal="center" vertical="center"/>
    </xf>
    <xf numFmtId="1" fontId="26" fillId="0" borderId="0" xfId="0" applyNumberFormat="1" applyFont="1" applyAlignment="1">
      <alignment horizontal="center" vertical="center"/>
    </xf>
    <xf numFmtId="1" fontId="27" fillId="0" borderId="0" xfId="0" applyNumberFormat="1" applyFont="1" applyAlignment="1">
      <alignment horizontal="center" vertical="center"/>
    </xf>
    <xf numFmtId="0" fontId="13" fillId="0" borderId="0" xfId="0" applyFont="1" applyBorder="1" applyAlignment="1">
      <alignment horizontal="center" vertical="center"/>
    </xf>
    <xf numFmtId="0" fontId="26" fillId="0" borderId="0" xfId="0" applyFont="1" applyBorder="1" applyAlignment="1">
      <alignment horizontal="center" vertical="center"/>
    </xf>
    <xf numFmtId="0" fontId="1" fillId="0" borderId="0" xfId="0" applyFont="1" applyAlignment="1">
      <alignment vertical="center"/>
    </xf>
    <xf numFmtId="0" fontId="1" fillId="0" borderId="0" xfId="0" applyFont="1" applyAlignment="1">
      <alignment horizontal="center" vertical="center"/>
    </xf>
    <xf numFmtId="0" fontId="23" fillId="0" borderId="0" xfId="0" applyFont="1" applyAlignment="1">
      <alignment horizontal="right" vertical="center"/>
    </xf>
    <xf numFmtId="0" fontId="1" fillId="0" borderId="0" xfId="0" applyFont="1" applyAlignment="1">
      <alignment horizontal="right" vertical="center"/>
    </xf>
    <xf numFmtId="170" fontId="13" fillId="0" borderId="0" xfId="0" applyNumberFormat="1" applyFont="1" applyAlignment="1">
      <alignment horizontal="center" vertical="center"/>
    </xf>
    <xf numFmtId="0" fontId="24" fillId="0" borderId="0" xfId="0" applyFont="1" applyAlignment="1">
      <alignment horizontal="right" vertical="center"/>
    </xf>
    <xf numFmtId="0" fontId="11" fillId="0" borderId="0" xfId="0" applyFont="1" applyAlignment="1">
      <alignment horizontal="center" vertical="center"/>
    </xf>
    <xf numFmtId="0" fontId="24" fillId="0" borderId="0" xfId="3" applyFont="1" applyAlignment="1">
      <alignment horizontal="right" vertical="center" wrapText="1"/>
    </xf>
    <xf numFmtId="0" fontId="2" fillId="0" borderId="0" xfId="0" applyFont="1" applyAlignment="1">
      <alignment horizontal="center" vertical="center"/>
    </xf>
    <xf numFmtId="0" fontId="4" fillId="0" borderId="65" xfId="16" applyFont="1" applyFill="1" applyBorder="1" applyAlignment="1">
      <alignment horizontal="left" vertical="center" wrapText="1"/>
    </xf>
    <xf numFmtId="2" fontId="32" fillId="0" borderId="76" xfId="0" applyNumberFormat="1" applyFont="1" applyBorder="1" applyAlignment="1">
      <alignment horizontal="center" vertical="center" wrapText="1"/>
    </xf>
    <xf numFmtId="2" fontId="32" fillId="0" borderId="76" xfId="0" applyNumberFormat="1" applyFont="1" applyBorder="1" applyAlignment="1">
      <alignment horizontal="center" vertical="center"/>
    </xf>
    <xf numFmtId="0" fontId="25" fillId="0" borderId="76" xfId="0" applyFont="1" applyBorder="1" applyAlignment="1">
      <alignment horizontal="center"/>
    </xf>
    <xf numFmtId="0" fontId="23" fillId="0" borderId="76" xfId="0" applyFont="1" applyBorder="1" applyAlignment="1">
      <alignment horizontal="center"/>
    </xf>
    <xf numFmtId="0" fontId="23" fillId="0" borderId="77" xfId="0" applyFont="1" applyFill="1" applyBorder="1" applyAlignment="1">
      <alignment horizontal="center"/>
    </xf>
    <xf numFmtId="0" fontId="23" fillId="0" borderId="76" xfId="0" applyFont="1" applyFill="1" applyBorder="1" applyAlignment="1">
      <alignment horizontal="center"/>
    </xf>
    <xf numFmtId="0" fontId="34" fillId="0" borderId="76" xfId="0" applyFont="1" applyFill="1" applyBorder="1"/>
    <xf numFmtId="0" fontId="34" fillId="0" borderId="76" xfId="0" applyFont="1" applyFill="1" applyBorder="1" applyAlignment="1">
      <alignment horizontal="center"/>
    </xf>
    <xf numFmtId="1" fontId="34" fillId="0" borderId="76" xfId="0" applyNumberFormat="1" applyFont="1" applyFill="1" applyBorder="1" applyAlignment="1">
      <alignment horizontal="center"/>
    </xf>
    <xf numFmtId="2" fontId="23" fillId="0" borderId="76" xfId="0" applyNumberFormat="1" applyFont="1" applyFill="1" applyBorder="1" applyAlignment="1">
      <alignment horizontal="center"/>
    </xf>
    <xf numFmtId="2" fontId="34" fillId="0" borderId="76" xfId="0" applyNumberFormat="1" applyFont="1" applyFill="1" applyBorder="1" applyAlignment="1">
      <alignment horizontal="center"/>
    </xf>
    <xf numFmtId="170" fontId="23" fillId="0" borderId="76" xfId="0" applyNumberFormat="1" applyFont="1" applyFill="1" applyBorder="1" applyAlignment="1">
      <alignment horizontal="center"/>
    </xf>
    <xf numFmtId="0" fontId="23" fillId="0" borderId="76" xfId="0" applyFont="1" applyFill="1" applyBorder="1"/>
    <xf numFmtId="0" fontId="23" fillId="0" borderId="0" xfId="0" applyFont="1" applyAlignment="1">
      <alignment horizontal="center" vertical="center"/>
    </xf>
    <xf numFmtId="0" fontId="23" fillId="0" borderId="76" xfId="0" applyFont="1" applyFill="1" applyBorder="1" applyAlignment="1">
      <alignment horizontal="center" wrapText="1"/>
    </xf>
    <xf numFmtId="0" fontId="23" fillId="0" borderId="76" xfId="0" applyFont="1" applyFill="1" applyBorder="1" applyAlignment="1">
      <alignment horizontal="center" vertical="center"/>
    </xf>
    <xf numFmtId="0" fontId="23" fillId="0" borderId="76" xfId="0" applyFont="1" applyBorder="1" applyAlignment="1">
      <alignment horizontal="center" vertical="center"/>
    </xf>
    <xf numFmtId="1" fontId="23" fillId="0" borderId="76" xfId="0" applyNumberFormat="1" applyFont="1" applyFill="1" applyBorder="1" applyAlignment="1">
      <alignment horizontal="center" vertical="center"/>
    </xf>
    <xf numFmtId="2" fontId="23" fillId="0" borderId="76" xfId="0" applyNumberFormat="1" applyFont="1" applyFill="1" applyBorder="1" applyAlignment="1">
      <alignment horizontal="center" vertical="center"/>
    </xf>
    <xf numFmtId="170" fontId="23" fillId="0" borderId="76" xfId="0" applyNumberFormat="1" applyFont="1" applyFill="1" applyBorder="1" applyAlignment="1">
      <alignment horizontal="center" vertical="center"/>
    </xf>
    <xf numFmtId="0" fontId="4" fillId="0" borderId="99" xfId="0" applyFont="1" applyFill="1" applyBorder="1" applyAlignment="1">
      <alignment horizontal="left" vertical="center" wrapText="1"/>
    </xf>
    <xf numFmtId="2" fontId="4" fillId="0" borderId="95" xfId="0" applyNumberFormat="1" applyFont="1" applyFill="1" applyBorder="1" applyAlignment="1">
      <alignment horizontal="center" vertical="center" wrapText="1"/>
    </xf>
    <xf numFmtId="168" fontId="4" fillId="0" borderId="99" xfId="0" applyNumberFormat="1" applyFont="1" applyFill="1" applyBorder="1" applyAlignment="1">
      <alignment horizontal="center" vertical="center" wrapText="1"/>
    </xf>
    <xf numFmtId="2" fontId="4" fillId="0" borderId="109" xfId="0" applyNumberFormat="1" applyFont="1" applyFill="1" applyBorder="1" applyAlignment="1">
      <alignment horizontal="center" vertical="center" wrapText="1"/>
    </xf>
    <xf numFmtId="168" fontId="4" fillId="0" borderId="99" xfId="0" applyNumberFormat="1" applyFont="1" applyFill="1" applyBorder="1" applyAlignment="1">
      <alignment horizontal="center" vertical="center"/>
    </xf>
    <xf numFmtId="168" fontId="4" fillId="0" borderId="99" xfId="13" applyNumberFormat="1" applyFont="1" applyFill="1" applyBorder="1" applyAlignment="1">
      <alignment horizontal="center" vertical="center" wrapText="1"/>
    </xf>
    <xf numFmtId="168" fontId="4" fillId="0" borderId="109" xfId="13" applyNumberFormat="1" applyFont="1" applyFill="1" applyBorder="1" applyAlignment="1">
      <alignment horizontal="center" vertical="center" wrapText="1"/>
    </xf>
    <xf numFmtId="168" fontId="4" fillId="0" borderId="73" xfId="12" applyNumberFormat="1" applyFont="1" applyFill="1" applyBorder="1" applyAlignment="1">
      <alignment horizontal="center" vertical="center" wrapText="1"/>
    </xf>
    <xf numFmtId="2" fontId="4" fillId="0" borderId="73" xfId="12" applyNumberFormat="1" applyFont="1" applyFill="1" applyBorder="1" applyAlignment="1">
      <alignment horizontal="center" vertical="center" wrapText="1"/>
    </xf>
    <xf numFmtId="2" fontId="4" fillId="0" borderId="74" xfId="12" applyNumberFormat="1" applyFont="1" applyFill="1" applyBorder="1" applyAlignment="1">
      <alignment horizontal="center" vertical="center" wrapText="1"/>
    </xf>
    <xf numFmtId="0" fontId="4" fillId="0" borderId="70" xfId="1" applyFont="1" applyFill="1" applyBorder="1" applyAlignment="1">
      <alignment horizontal="center" vertical="center"/>
    </xf>
    <xf numFmtId="0" fontId="4" fillId="0" borderId="95" xfId="1" applyFont="1" applyFill="1" applyBorder="1" applyAlignment="1">
      <alignment horizontal="center" vertical="center"/>
    </xf>
    <xf numFmtId="2" fontId="4" fillId="0" borderId="95" xfId="16" applyNumberFormat="1" applyFont="1" applyFill="1" applyBorder="1" applyAlignment="1">
      <alignment horizontal="center" vertical="center" wrapText="1"/>
    </xf>
    <xf numFmtId="2" fontId="4" fillId="0" borderId="95" xfId="1" applyNumberFormat="1" applyFont="1" applyFill="1" applyBorder="1" applyAlignment="1">
      <alignment horizontal="center" vertical="center" wrapText="1"/>
    </xf>
    <xf numFmtId="1" fontId="4" fillId="0" borderId="95" xfId="1" applyNumberFormat="1" applyFont="1" applyFill="1" applyBorder="1" applyAlignment="1">
      <alignment horizontal="center" vertical="center" wrapText="1"/>
    </xf>
    <xf numFmtId="2" fontId="4" fillId="0" borderId="74" xfId="16" applyNumberFormat="1" applyFont="1" applyFill="1" applyBorder="1" applyAlignment="1">
      <alignment horizontal="center" vertical="center" wrapText="1"/>
    </xf>
    <xf numFmtId="0" fontId="4" fillId="0" borderId="95" xfId="13" applyFont="1" applyFill="1" applyBorder="1" applyAlignment="1">
      <alignment horizontal="left" vertical="center" wrapText="1"/>
    </xf>
    <xf numFmtId="2" fontId="4" fillId="0" borderId="95" xfId="13" applyNumberFormat="1" applyFont="1" applyFill="1" applyBorder="1" applyAlignment="1">
      <alignment horizontal="center" vertical="center" wrapText="1"/>
    </xf>
    <xf numFmtId="0" fontId="4" fillId="0" borderId="85" xfId="0" applyNumberFormat="1" applyFont="1" applyFill="1" applyBorder="1" applyAlignment="1">
      <alignment horizontal="center" vertical="center"/>
    </xf>
    <xf numFmtId="0" fontId="31" fillId="0" borderId="73" xfId="18" applyFont="1" applyFill="1" applyBorder="1" applyAlignment="1">
      <alignment horizontal="center" vertical="center" wrapText="1"/>
    </xf>
    <xf numFmtId="1" fontId="4" fillId="0" borderId="110" xfId="1" applyNumberFormat="1" applyFont="1" applyFill="1" applyBorder="1" applyAlignment="1">
      <alignment horizontal="center" vertical="center" wrapText="1"/>
    </xf>
    <xf numFmtId="168" fontId="4" fillId="0" borderId="95" xfId="18" applyNumberFormat="1" applyFont="1" applyFill="1" applyBorder="1" applyAlignment="1">
      <alignment horizontal="center" vertical="center" wrapText="1"/>
    </xf>
    <xf numFmtId="0" fontId="31" fillId="0" borderId="95" xfId="16" applyFont="1" applyFill="1" applyBorder="1" applyAlignment="1">
      <alignment horizontal="center" vertical="center" wrapText="1"/>
    </xf>
    <xf numFmtId="168" fontId="5" fillId="0" borderId="95" xfId="11" applyNumberFormat="1" applyFont="1" applyFill="1" applyBorder="1" applyAlignment="1">
      <alignment horizontal="center" vertical="center"/>
    </xf>
    <xf numFmtId="2" fontId="4" fillId="0" borderId="94" xfId="0" applyNumberFormat="1" applyFont="1" applyFill="1" applyBorder="1" applyAlignment="1">
      <alignment horizontal="center" vertical="center" wrapText="1"/>
    </xf>
    <xf numFmtId="168" fontId="4" fillId="0" borderId="48" xfId="11" applyNumberFormat="1" applyFont="1" applyFill="1" applyBorder="1" applyAlignment="1">
      <alignment horizontal="center" vertical="center"/>
    </xf>
    <xf numFmtId="168" fontId="4" fillId="0" borderId="98" xfId="11" applyNumberFormat="1" applyFont="1" applyFill="1" applyBorder="1" applyAlignment="1">
      <alignment horizontal="center" vertical="center"/>
    </xf>
    <xf numFmtId="0" fontId="4" fillId="0" borderId="78" xfId="6" applyFont="1" applyFill="1" applyBorder="1" applyAlignment="1">
      <alignment horizontal="left" vertical="center" wrapText="1"/>
    </xf>
    <xf numFmtId="0" fontId="4" fillId="0" borderId="95" xfId="0" applyFont="1" applyFill="1" applyBorder="1" applyAlignment="1">
      <alignment horizontal="left" vertical="center" wrapText="1"/>
    </xf>
    <xf numFmtId="0" fontId="21" fillId="0" borderId="112" xfId="13" applyFont="1" applyFill="1" applyBorder="1" applyAlignment="1">
      <alignment horizontal="left" vertical="center" wrapText="1"/>
    </xf>
    <xf numFmtId="0" fontId="4" fillId="0" borderId="95" xfId="13" applyFont="1" applyFill="1" applyBorder="1" applyAlignment="1">
      <alignment horizontal="center" vertical="center" wrapText="1"/>
    </xf>
    <xf numFmtId="0" fontId="4" fillId="0" borderId="95" xfId="13" applyFont="1" applyFill="1" applyBorder="1" applyAlignment="1">
      <alignment horizontal="right" vertical="center" wrapText="1"/>
    </xf>
    <xf numFmtId="0" fontId="4" fillId="0" borderId="95" xfId="13" applyNumberFormat="1" applyFont="1" applyFill="1" applyBorder="1" applyAlignment="1" applyProtection="1">
      <alignment horizontal="left" vertical="center" wrapText="1"/>
    </xf>
    <xf numFmtId="0" fontId="4" fillId="0" borderId="95" xfId="13" applyNumberFormat="1" applyFont="1" applyFill="1" applyBorder="1" applyAlignment="1" applyProtection="1">
      <alignment horizontal="center" vertical="center" wrapText="1"/>
    </xf>
    <xf numFmtId="0" fontId="4" fillId="0" borderId="73" xfId="12" applyFont="1" applyFill="1" applyBorder="1" applyAlignment="1">
      <alignment vertical="center" wrapText="1"/>
    </xf>
    <xf numFmtId="0" fontId="4" fillId="0" borderId="44" xfId="12" applyFont="1" applyFill="1" applyBorder="1" applyAlignment="1">
      <alignment horizontal="center" vertical="center" wrapText="1"/>
    </xf>
    <xf numFmtId="0" fontId="4" fillId="0" borderId="74" xfId="12" applyFont="1" applyFill="1" applyBorder="1" applyAlignment="1">
      <alignment vertical="center" wrapText="1"/>
    </xf>
    <xf numFmtId="0" fontId="4" fillId="0" borderId="36" xfId="12" applyFont="1" applyFill="1" applyBorder="1" applyAlignment="1">
      <alignment horizontal="center" vertical="center" wrapText="1"/>
    </xf>
    <xf numFmtId="0" fontId="4" fillId="0" borderId="115" xfId="1" applyFont="1" applyFill="1" applyBorder="1" applyAlignment="1">
      <alignment vertical="center" wrapText="1"/>
    </xf>
    <xf numFmtId="0" fontId="4" fillId="0" borderId="115" xfId="1" applyFont="1" applyFill="1" applyBorder="1" applyAlignment="1">
      <alignment horizontal="center" vertical="center" wrapText="1"/>
    </xf>
    <xf numFmtId="0" fontId="4" fillId="0" borderId="70" xfId="1" applyFont="1" applyFill="1" applyBorder="1" applyAlignment="1">
      <alignment vertical="center" wrapText="1"/>
    </xf>
    <xf numFmtId="0" fontId="4" fillId="0" borderId="95" xfId="1" applyFont="1" applyFill="1" applyBorder="1" applyAlignment="1">
      <alignment vertical="center" wrapText="1"/>
    </xf>
    <xf numFmtId="0" fontId="4" fillId="0" borderId="95" xfId="18" applyFont="1" applyFill="1" applyBorder="1" applyAlignment="1">
      <alignment vertical="center" wrapText="1"/>
    </xf>
    <xf numFmtId="0" fontId="4" fillId="0" borderId="95" xfId="18" applyFont="1" applyFill="1" applyBorder="1" applyAlignment="1">
      <alignment horizontal="center" vertical="center" wrapText="1"/>
    </xf>
    <xf numFmtId="0" fontId="4" fillId="0" borderId="95" xfId="16" applyFont="1" applyFill="1" applyBorder="1" applyAlignment="1">
      <alignment vertical="center"/>
    </xf>
    <xf numFmtId="0" fontId="4" fillId="0" borderId="95" xfId="16" applyFont="1" applyFill="1" applyBorder="1" applyAlignment="1">
      <alignment horizontal="center" vertical="center" wrapText="1"/>
    </xf>
    <xf numFmtId="0" fontId="4" fillId="0" borderId="95" xfId="12" applyFont="1" applyFill="1" applyBorder="1" applyAlignment="1">
      <alignment vertical="center" wrapText="1"/>
    </xf>
    <xf numFmtId="0" fontId="4" fillId="0" borderId="92" xfId="1" applyFont="1" applyFill="1" applyBorder="1" applyAlignment="1">
      <alignment horizontal="left" vertical="center" wrapText="1"/>
    </xf>
    <xf numFmtId="0" fontId="4" fillId="0" borderId="110" xfId="12" applyFont="1" applyFill="1" applyBorder="1" applyAlignment="1">
      <alignment horizontal="center" vertical="center" wrapText="1"/>
    </xf>
    <xf numFmtId="0" fontId="4" fillId="0" borderId="91" xfId="1" applyFont="1" applyFill="1" applyBorder="1" applyAlignment="1">
      <alignment horizontal="left" vertical="center" wrapText="1"/>
    </xf>
    <xf numFmtId="0" fontId="4" fillId="0" borderId="95" xfId="12" applyFont="1" applyFill="1" applyBorder="1" applyAlignment="1">
      <alignment horizontal="center" vertical="center" wrapText="1"/>
    </xf>
    <xf numFmtId="0" fontId="4" fillId="0" borderId="0" xfId="1" applyFont="1" applyFill="1" applyBorder="1" applyAlignment="1">
      <alignment horizontal="left" vertical="center" wrapText="1"/>
    </xf>
    <xf numFmtId="0" fontId="4" fillId="0" borderId="87" xfId="1" applyFont="1" applyFill="1" applyBorder="1" applyAlignment="1">
      <alignment horizontal="left" vertical="center" wrapText="1"/>
    </xf>
    <xf numFmtId="0" fontId="4" fillId="0" borderId="109" xfId="12" applyFont="1" applyFill="1" applyBorder="1" applyAlignment="1">
      <alignment horizontal="center" vertical="center" wrapText="1"/>
    </xf>
    <xf numFmtId="0" fontId="4" fillId="0" borderId="73" xfId="12" applyFont="1" applyFill="1" applyBorder="1" applyAlignment="1">
      <alignment horizontal="center" vertical="center" wrapText="1"/>
    </xf>
    <xf numFmtId="2" fontId="4" fillId="0" borderId="73" xfId="12" applyNumberFormat="1" applyFont="1" applyFill="1" applyBorder="1" applyAlignment="1">
      <alignment horizontal="left" vertical="center" wrapText="1"/>
    </xf>
    <xf numFmtId="0" fontId="4" fillId="0" borderId="73" xfId="16" applyFont="1" applyFill="1" applyBorder="1" applyAlignment="1">
      <alignment horizontal="left" vertical="center" wrapText="1"/>
    </xf>
    <xf numFmtId="0" fontId="4" fillId="0" borderId="73" xfId="16" applyFont="1" applyFill="1" applyBorder="1" applyAlignment="1">
      <alignment horizontal="center" vertical="center" wrapText="1"/>
    </xf>
    <xf numFmtId="2" fontId="4" fillId="0" borderId="73" xfId="16" applyNumberFormat="1" applyFont="1" applyFill="1" applyBorder="1" applyAlignment="1">
      <alignment horizontal="left" vertical="center" wrapText="1"/>
    </xf>
    <xf numFmtId="2" fontId="4" fillId="0" borderId="73" xfId="16" applyNumberFormat="1" applyFont="1" applyFill="1" applyBorder="1" applyAlignment="1">
      <alignment horizontal="center" vertical="center" wrapText="1"/>
    </xf>
    <xf numFmtId="0" fontId="4" fillId="0" borderId="109" xfId="16" applyFont="1" applyFill="1" applyBorder="1" applyAlignment="1">
      <alignment horizontal="left" vertical="center" wrapText="1"/>
    </xf>
    <xf numFmtId="0" fontId="4" fillId="0" borderId="109" xfId="16" applyFont="1" applyFill="1" applyBorder="1" applyAlignment="1">
      <alignment horizontal="center" vertical="center" wrapText="1"/>
    </xf>
    <xf numFmtId="2" fontId="4" fillId="0" borderId="109" xfId="12" applyNumberFormat="1" applyFont="1" applyFill="1" applyBorder="1" applyAlignment="1">
      <alignment horizontal="center" vertical="center" wrapText="1"/>
    </xf>
    <xf numFmtId="0" fontId="4" fillId="0" borderId="74" xfId="16" applyFont="1" applyFill="1" applyBorder="1" applyAlignment="1">
      <alignment horizontal="left" vertical="center" wrapText="1"/>
    </xf>
    <xf numFmtId="0" fontId="4" fillId="0" borderId="74" xfId="16" applyFont="1" applyFill="1" applyBorder="1" applyAlignment="1">
      <alignment horizontal="center" vertical="center" wrapText="1"/>
    </xf>
    <xf numFmtId="168" fontId="4" fillId="0" borderId="49" xfId="18" applyNumberFormat="1" applyFont="1" applyFill="1" applyBorder="1" applyAlignment="1">
      <alignment horizontal="center" vertical="center" wrapText="1"/>
    </xf>
    <xf numFmtId="0" fontId="4" fillId="0" borderId="95" xfId="1" applyFont="1" applyFill="1" applyBorder="1" applyAlignment="1">
      <alignment horizontal="left" vertical="center"/>
    </xf>
    <xf numFmtId="1" fontId="31" fillId="0" borderId="112" xfId="13" applyNumberFormat="1" applyFont="1" applyFill="1" applyBorder="1" applyAlignment="1">
      <alignment horizontal="center" vertical="center" wrapText="1"/>
    </xf>
    <xf numFmtId="0" fontId="4" fillId="0" borderId="109" xfId="0" applyFont="1" applyFill="1" applyBorder="1" applyAlignment="1">
      <alignment horizontal="left" vertical="center" wrapText="1"/>
    </xf>
    <xf numFmtId="0" fontId="4" fillId="0" borderId="99" xfId="0" applyFont="1" applyFill="1" applyBorder="1" applyAlignment="1">
      <alignment horizontal="center" vertical="center"/>
    </xf>
    <xf numFmtId="0" fontId="4" fillId="0" borderId="99" xfId="0" applyFont="1" applyFill="1" applyBorder="1" applyAlignment="1">
      <alignment horizontal="center" vertical="center" wrapText="1"/>
    </xf>
    <xf numFmtId="0" fontId="4" fillId="0" borderId="99" xfId="0" applyFont="1" applyFill="1" applyBorder="1" applyAlignment="1">
      <alignment vertical="center" wrapText="1"/>
    </xf>
    <xf numFmtId="0" fontId="4" fillId="0" borderId="109" xfId="13" applyFont="1" applyFill="1" applyBorder="1" applyAlignment="1">
      <alignment horizontal="left" vertical="center" wrapText="1"/>
    </xf>
    <xf numFmtId="0" fontId="4" fillId="0" borderId="99" xfId="13" applyFont="1" applyFill="1" applyBorder="1" applyAlignment="1">
      <alignment vertical="center" wrapText="1"/>
    </xf>
    <xf numFmtId="0" fontId="4" fillId="0" borderId="99" xfId="13" applyFont="1" applyFill="1" applyBorder="1" applyAlignment="1">
      <alignment horizontal="left" vertical="center" wrapText="1"/>
    </xf>
    <xf numFmtId="2" fontId="4" fillId="0" borderId="99" xfId="0" applyNumberFormat="1" applyFont="1" applyFill="1" applyBorder="1" applyAlignment="1">
      <alignment horizontal="center" vertical="center" wrapText="1"/>
    </xf>
    <xf numFmtId="0" fontId="31" fillId="0" borderId="113" xfId="0" applyFont="1" applyFill="1" applyBorder="1" applyAlignment="1">
      <alignment horizontal="center" vertical="center" wrapText="1"/>
    </xf>
    <xf numFmtId="0" fontId="4" fillId="0" borderId="109" xfId="13" applyFont="1" applyFill="1" applyBorder="1" applyAlignment="1">
      <alignment horizontal="center" vertical="center" wrapText="1"/>
    </xf>
    <xf numFmtId="0" fontId="4" fillId="0" borderId="99" xfId="13" applyFont="1" applyFill="1" applyBorder="1" applyAlignment="1">
      <alignment horizontal="center" vertical="center" wrapText="1"/>
    </xf>
    <xf numFmtId="2" fontId="4" fillId="0" borderId="99" xfId="13" applyNumberFormat="1" applyFont="1" applyFill="1" applyBorder="1" applyAlignment="1">
      <alignment horizontal="center" vertical="center" wrapText="1"/>
    </xf>
    <xf numFmtId="0" fontId="5" fillId="0" borderId="95" xfId="0" applyFont="1" applyFill="1" applyBorder="1" applyAlignment="1">
      <alignment horizontal="left" vertical="center" wrapText="1"/>
    </xf>
    <xf numFmtId="0" fontId="4" fillId="0" borderId="95" xfId="0" applyFont="1" applyFill="1" applyBorder="1" applyAlignment="1">
      <alignment horizontal="center" vertical="center" wrapText="1"/>
    </xf>
    <xf numFmtId="0" fontId="4" fillId="0" borderId="41" xfId="0" applyFont="1" applyFill="1" applyBorder="1" applyAlignment="1">
      <alignment horizontal="left" vertical="center" wrapText="1"/>
    </xf>
    <xf numFmtId="0" fontId="31" fillId="0" borderId="112" xfId="0" applyFont="1" applyFill="1" applyBorder="1" applyAlignment="1">
      <alignment vertical="center" wrapText="1"/>
    </xf>
    <xf numFmtId="0" fontId="4" fillId="0" borderId="109" xfId="0" applyFont="1" applyFill="1" applyBorder="1" applyAlignment="1">
      <alignment horizontal="center" vertical="center" wrapText="1"/>
    </xf>
    <xf numFmtId="0" fontId="4" fillId="0" borderId="94" xfId="13" applyFont="1" applyFill="1" applyBorder="1" applyAlignment="1">
      <alignment vertical="center" wrapText="1"/>
    </xf>
    <xf numFmtId="0" fontId="4" fillId="0" borderId="94" xfId="13" applyFont="1" applyFill="1" applyBorder="1" applyAlignment="1">
      <alignment horizontal="center" vertical="center" wrapText="1"/>
    </xf>
    <xf numFmtId="2" fontId="4" fillId="0" borderId="94" xfId="13" applyNumberFormat="1" applyFont="1" applyFill="1" applyBorder="1" applyAlignment="1">
      <alignment horizontal="center" vertical="center" wrapText="1"/>
    </xf>
    <xf numFmtId="0" fontId="4" fillId="0" borderId="94" xfId="0" applyFont="1" applyFill="1" applyBorder="1" applyAlignment="1">
      <alignment vertical="center" wrapText="1"/>
    </xf>
    <xf numFmtId="0" fontId="4" fillId="0" borderId="104" xfId="13" applyFont="1" applyFill="1" applyBorder="1" applyAlignment="1">
      <alignment vertical="center" wrapText="1"/>
    </xf>
    <xf numFmtId="0" fontId="4" fillId="0" borderId="104" xfId="13" applyFont="1" applyFill="1" applyBorder="1" applyAlignment="1">
      <alignment horizontal="center" vertical="center" wrapText="1"/>
    </xf>
    <xf numFmtId="2" fontId="4" fillId="0" borderId="19" xfId="0" applyNumberFormat="1" applyFont="1" applyFill="1" applyBorder="1" applyAlignment="1">
      <alignment horizontal="center" vertical="center" wrapText="1"/>
    </xf>
    <xf numFmtId="0" fontId="31" fillId="0" borderId="113" xfId="13" applyFont="1" applyFill="1" applyBorder="1" applyAlignment="1">
      <alignment vertical="center" wrapText="1"/>
    </xf>
    <xf numFmtId="0" fontId="4" fillId="0" borderId="95" xfId="13" applyFont="1" applyFill="1" applyBorder="1"/>
    <xf numFmtId="0" fontId="4" fillId="0" borderId="108" xfId="13" applyFont="1" applyFill="1" applyBorder="1" applyAlignment="1">
      <alignment horizontal="center" vertical="center" wrapText="1"/>
    </xf>
    <xf numFmtId="0" fontId="4" fillId="0" borderId="98" xfId="13" applyFont="1" applyFill="1" applyBorder="1" applyAlignment="1">
      <alignment horizontal="left" vertical="center" wrapText="1"/>
    </xf>
    <xf numFmtId="0" fontId="4" fillId="0" borderId="107" xfId="13" applyFont="1" applyFill="1" applyBorder="1" applyAlignment="1">
      <alignment vertical="center" wrapText="1"/>
    </xf>
    <xf numFmtId="0" fontId="4" fillId="0" borderId="107" xfId="13" applyFont="1" applyFill="1" applyBorder="1" applyAlignment="1">
      <alignment horizontal="center" vertical="center" wrapText="1"/>
    </xf>
    <xf numFmtId="2" fontId="4" fillId="0" borderId="103" xfId="0" applyNumberFormat="1" applyFont="1" applyFill="1" applyBorder="1" applyAlignment="1">
      <alignment horizontal="center" vertical="center" wrapText="1"/>
    </xf>
    <xf numFmtId="0" fontId="4" fillId="0" borderId="0" xfId="0" applyFont="1" applyFill="1" applyAlignment="1">
      <alignment vertical="center"/>
    </xf>
    <xf numFmtId="0" fontId="4" fillId="0" borderId="0" xfId="0" applyFont="1" applyFill="1" applyAlignment="1">
      <alignment horizontal="right" vertical="center"/>
    </xf>
    <xf numFmtId="165" fontId="4" fillId="0" borderId="0" xfId="0" applyNumberFormat="1" applyFont="1" applyFill="1" applyAlignment="1">
      <alignment vertical="center"/>
    </xf>
    <xf numFmtId="0" fontId="4" fillId="0" borderId="0" xfId="0" applyFont="1" applyFill="1"/>
    <xf numFmtId="0" fontId="4" fillId="0" borderId="0" xfId="0" applyFont="1" applyFill="1" applyAlignment="1">
      <alignment horizontal="left"/>
    </xf>
    <xf numFmtId="0" fontId="4" fillId="0" borderId="0" xfId="0" applyFont="1" applyFill="1" applyAlignment="1">
      <alignment horizontal="left" vertical="center"/>
    </xf>
    <xf numFmtId="0" fontId="5" fillId="0" borderId="0" xfId="0" applyFont="1" applyFill="1" applyAlignment="1">
      <alignment vertical="center"/>
    </xf>
    <xf numFmtId="0" fontId="5" fillId="0" borderId="0" xfId="0" applyFont="1" applyFill="1" applyAlignment="1">
      <alignment horizontal="center" vertical="center"/>
    </xf>
    <xf numFmtId="0" fontId="4" fillId="0" borderId="0" xfId="0" applyFont="1" applyFill="1" applyAlignment="1">
      <alignment horizontal="right"/>
    </xf>
    <xf numFmtId="0" fontId="4" fillId="0" borderId="0" xfId="0" applyFont="1" applyFill="1" applyAlignment="1">
      <alignment vertical="center" wrapText="1"/>
    </xf>
    <xf numFmtId="2" fontId="4" fillId="0" borderId="0" xfId="0" applyNumberFormat="1" applyFont="1" applyFill="1" applyAlignment="1">
      <alignment horizontal="center" vertical="center"/>
    </xf>
    <xf numFmtId="2" fontId="4" fillId="0" borderId="0" xfId="0" applyNumberFormat="1" applyFont="1" applyFill="1" applyAlignment="1">
      <alignment vertical="center"/>
    </xf>
    <xf numFmtId="14" fontId="4" fillId="0" borderId="0" xfId="0" applyNumberFormat="1" applyFont="1" applyFill="1" applyAlignment="1">
      <alignment horizontal="right"/>
    </xf>
    <xf numFmtId="9" fontId="4" fillId="0" borderId="0" xfId="0" applyNumberFormat="1" applyFont="1" applyFill="1" applyAlignment="1">
      <alignment horizontal="right"/>
    </xf>
    <xf numFmtId="0" fontId="5" fillId="0" borderId="0" xfId="0" applyFont="1" applyFill="1" applyAlignment="1">
      <alignment horizontal="right" vertical="center"/>
    </xf>
    <xf numFmtId="14" fontId="4" fillId="0" borderId="0" xfId="0" applyNumberFormat="1" applyFont="1" applyFill="1" applyAlignment="1">
      <alignment horizontal="left"/>
    </xf>
    <xf numFmtId="0" fontId="4" fillId="0" borderId="127" xfId="0" applyFont="1" applyFill="1" applyBorder="1" applyAlignment="1">
      <alignment horizontal="center" vertical="center" textRotation="90" wrapText="1"/>
    </xf>
    <xf numFmtId="0" fontId="4" fillId="0" borderId="125" xfId="0" applyFont="1" applyFill="1" applyBorder="1" applyAlignment="1">
      <alignment horizontal="center" vertical="center" textRotation="90" wrapText="1"/>
    </xf>
    <xf numFmtId="0" fontId="5" fillId="0" borderId="128" xfId="0" applyFont="1" applyFill="1" applyBorder="1" applyAlignment="1">
      <alignment horizontal="center" vertical="center" textRotation="90" wrapText="1"/>
    </xf>
    <xf numFmtId="0" fontId="4" fillId="0" borderId="0" xfId="0" applyFont="1" applyFill="1" applyBorder="1" applyAlignment="1">
      <alignment horizontal="center" vertical="center" textRotation="90" wrapText="1"/>
    </xf>
    <xf numFmtId="0" fontId="5" fillId="0" borderId="89" xfId="0" applyFont="1" applyFill="1" applyBorder="1" applyAlignment="1">
      <alignment horizontal="left" vertical="center"/>
    </xf>
    <xf numFmtId="0" fontId="4" fillId="0" borderId="41" xfId="0" applyFont="1" applyFill="1" applyBorder="1" applyAlignment="1">
      <alignment horizontal="center" vertical="center" textRotation="90"/>
    </xf>
    <xf numFmtId="0" fontId="4" fillId="0" borderId="89" xfId="0" applyFont="1" applyFill="1" applyBorder="1" applyAlignment="1">
      <alignment horizontal="center" vertical="center" textRotation="90" wrapText="1"/>
    </xf>
    <xf numFmtId="0" fontId="4" fillId="0" borderId="64" xfId="0" applyFont="1" applyFill="1" applyBorder="1" applyAlignment="1">
      <alignment horizontal="center" vertical="center" wrapText="1"/>
    </xf>
    <xf numFmtId="49" fontId="4" fillId="0" borderId="64" xfId="16" applyNumberFormat="1" applyFont="1" applyFill="1" applyBorder="1" applyAlignment="1">
      <alignment horizontal="center" vertical="center" wrapText="1"/>
    </xf>
    <xf numFmtId="0" fontId="4" fillId="0" borderId="91" xfId="0" applyFont="1" applyFill="1" applyBorder="1" applyAlignment="1">
      <alignment horizontal="left" vertical="center"/>
    </xf>
    <xf numFmtId="0" fontId="4" fillId="0" borderId="91" xfId="8" applyFont="1" applyFill="1" applyBorder="1" applyAlignment="1">
      <alignment horizontal="left" vertical="center" wrapText="1"/>
    </xf>
    <xf numFmtId="0" fontId="4" fillId="0" borderId="91" xfId="6" applyFont="1" applyFill="1" applyBorder="1" applyAlignment="1">
      <alignment horizontal="left" vertical="center" wrapText="1"/>
    </xf>
    <xf numFmtId="0" fontId="4" fillId="0" borderId="91" xfId="21" applyFont="1" applyFill="1" applyBorder="1" applyAlignment="1">
      <alignment horizontal="left" vertical="center" wrapText="1"/>
    </xf>
    <xf numFmtId="0" fontId="4" fillId="0" borderId="84" xfId="0" applyFont="1" applyFill="1" applyBorder="1" applyAlignment="1">
      <alignment horizontal="center" vertical="center" wrapText="1"/>
    </xf>
    <xf numFmtId="49" fontId="4" fillId="0" borderId="84" xfId="16" applyNumberFormat="1" applyFont="1" applyFill="1" applyBorder="1" applyAlignment="1">
      <alignment horizontal="center" vertical="center" wrapText="1"/>
    </xf>
    <xf numFmtId="0" fontId="5" fillId="0" borderId="91" xfId="8" applyFont="1" applyFill="1" applyBorder="1" applyAlignment="1">
      <alignment horizontal="left" vertical="center" wrapText="1"/>
    </xf>
    <xf numFmtId="0" fontId="4" fillId="0" borderId="85" xfId="8" applyFont="1" applyFill="1" applyBorder="1" applyAlignment="1">
      <alignment horizontal="center" vertical="center"/>
    </xf>
    <xf numFmtId="168" fontId="4" fillId="0" borderId="85" xfId="8" applyNumberFormat="1" applyFont="1" applyFill="1" applyBorder="1" applyAlignment="1">
      <alignment horizontal="center" vertical="center"/>
    </xf>
    <xf numFmtId="49" fontId="4" fillId="0" borderId="86" xfId="16" applyNumberFormat="1" applyFont="1" applyFill="1" applyBorder="1" applyAlignment="1">
      <alignment horizontal="center" vertical="center" wrapText="1"/>
    </xf>
    <xf numFmtId="0" fontId="4" fillId="0" borderId="90" xfId="8" applyFont="1" applyFill="1" applyBorder="1" applyAlignment="1">
      <alignment horizontal="left" vertical="center" wrapText="1"/>
    </xf>
    <xf numFmtId="0" fontId="4" fillId="0" borderId="88" xfId="0" applyNumberFormat="1" applyFont="1" applyFill="1" applyBorder="1" applyAlignment="1">
      <alignment horizontal="center" vertical="center"/>
    </xf>
    <xf numFmtId="0" fontId="4" fillId="0" borderId="0" xfId="5" applyFont="1" applyFill="1" applyBorder="1" applyAlignment="1">
      <alignment horizontal="center" vertical="center" wrapText="1"/>
    </xf>
    <xf numFmtId="49" fontId="4" fillId="0" borderId="0" xfId="8" applyNumberFormat="1" applyFont="1" applyFill="1" applyBorder="1" applyAlignment="1">
      <alignment horizontal="center" vertical="center"/>
    </xf>
    <xf numFmtId="0" fontId="4" fillId="0" borderId="0" xfId="8" applyFont="1" applyFill="1" applyBorder="1" applyAlignment="1">
      <alignment horizontal="left" vertical="center" wrapText="1"/>
    </xf>
    <xf numFmtId="0" fontId="4" fillId="0" borderId="0" xfId="8" applyFont="1" applyFill="1" applyBorder="1" applyAlignment="1">
      <alignment horizontal="center" vertical="center"/>
    </xf>
    <xf numFmtId="168" fontId="4" fillId="0" borderId="0" xfId="8" applyNumberFormat="1" applyFont="1" applyFill="1" applyBorder="1" applyAlignment="1">
      <alignment horizontal="center" vertical="center"/>
    </xf>
    <xf numFmtId="43" fontId="4" fillId="0" borderId="0" xfId="8" applyNumberFormat="1" applyFont="1" applyFill="1" applyBorder="1" applyAlignment="1">
      <alignment horizontal="center" vertical="center"/>
    </xf>
    <xf numFmtId="43" fontId="4" fillId="0" borderId="0" xfId="6" applyNumberFormat="1" applyFont="1" applyFill="1" applyBorder="1" applyAlignment="1">
      <alignment horizontal="center" vertical="center"/>
    </xf>
    <xf numFmtId="0" fontId="4" fillId="0" borderId="0" xfId="6" applyFont="1" applyFill="1" applyBorder="1" applyAlignment="1">
      <alignment vertical="center"/>
    </xf>
    <xf numFmtId="43" fontId="4" fillId="0" borderId="0" xfId="21" applyNumberFormat="1" applyFont="1" applyFill="1" applyBorder="1" applyAlignment="1">
      <alignment horizontal="center" vertical="center"/>
    </xf>
    <xf numFmtId="0" fontId="4" fillId="0" borderId="0" xfId="0" applyFont="1" applyFill="1" applyAlignment="1">
      <alignment wrapText="1"/>
    </xf>
    <xf numFmtId="9" fontId="4" fillId="0" borderId="31" xfId="0" applyNumberFormat="1" applyFont="1" applyFill="1" applyBorder="1" applyAlignment="1"/>
    <xf numFmtId="9" fontId="4" fillId="0" borderId="0" xfId="0" applyNumberFormat="1" applyFont="1" applyFill="1" applyAlignment="1"/>
    <xf numFmtId="9" fontId="4" fillId="0" borderId="0" xfId="0" applyNumberFormat="1" applyFont="1" applyFill="1"/>
    <xf numFmtId="0" fontId="4" fillId="0" borderId="8" xfId="0" applyFont="1" applyFill="1" applyBorder="1" applyAlignment="1">
      <alignment horizontal="center" vertical="center" textRotation="90" wrapText="1"/>
    </xf>
    <xf numFmtId="0" fontId="4" fillId="0" borderId="26" xfId="0" applyFont="1" applyFill="1" applyBorder="1" applyAlignment="1">
      <alignment horizontal="center" vertical="center" textRotation="90" wrapText="1"/>
    </xf>
    <xf numFmtId="0" fontId="5" fillId="0" borderId="27" xfId="0" applyFont="1" applyFill="1" applyBorder="1" applyAlignment="1">
      <alignment horizontal="center" vertical="center" textRotation="90" wrapText="1"/>
    </xf>
    <xf numFmtId="0" fontId="4" fillId="0" borderId="98" xfId="0" applyFont="1" applyFill="1" applyBorder="1" applyAlignment="1">
      <alignment horizontal="center" vertical="center" wrapText="1"/>
    </xf>
    <xf numFmtId="49" fontId="4" fillId="0" borderId="98" xfId="16" applyNumberFormat="1" applyFont="1" applyFill="1" applyBorder="1" applyAlignment="1">
      <alignment horizontal="center" vertical="center" wrapText="1"/>
    </xf>
    <xf numFmtId="0" fontId="4" fillId="0" borderId="93" xfId="8" applyFont="1" applyFill="1" applyBorder="1" applyAlignment="1">
      <alignment vertical="center" wrapText="1"/>
    </xf>
    <xf numFmtId="0" fontId="4" fillId="0" borderId="93" xfId="8" applyFont="1" applyFill="1" applyBorder="1" applyAlignment="1">
      <alignment horizontal="center" vertical="center"/>
    </xf>
    <xf numFmtId="0" fontId="4" fillId="0" borderId="69" xfId="6" applyFont="1" applyFill="1" applyBorder="1" applyAlignment="1">
      <alignment horizontal="left" vertical="center" wrapText="1"/>
    </xf>
    <xf numFmtId="0" fontId="4" fillId="0" borderId="69" xfId="6" applyFont="1" applyFill="1" applyBorder="1" applyAlignment="1">
      <alignment horizontal="center" vertical="center"/>
    </xf>
    <xf numFmtId="0" fontId="4" fillId="0" borderId="69" xfId="8" applyFont="1" applyFill="1" applyBorder="1" applyAlignment="1">
      <alignment vertical="center" wrapText="1"/>
    </xf>
    <xf numFmtId="0" fontId="4" fillId="0" borderId="69" xfId="8" applyFont="1" applyFill="1" applyBorder="1" applyAlignment="1">
      <alignment horizontal="center" vertical="center"/>
    </xf>
    <xf numFmtId="49" fontId="4" fillId="0" borderId="101" xfId="16" applyNumberFormat="1" applyFont="1" applyFill="1" applyBorder="1" applyAlignment="1">
      <alignment horizontal="center" vertical="center" wrapText="1"/>
    </xf>
    <xf numFmtId="0" fontId="4" fillId="0" borderId="100" xfId="6" applyFont="1" applyFill="1" applyBorder="1" applyAlignment="1">
      <alignment horizontal="left" vertical="center" wrapText="1"/>
    </xf>
    <xf numFmtId="0" fontId="4" fillId="0" borderId="100" xfId="6" applyFont="1" applyFill="1" applyBorder="1" applyAlignment="1">
      <alignment horizontal="center" vertical="center"/>
    </xf>
    <xf numFmtId="0" fontId="4" fillId="0" borderId="95" xfId="6" applyFont="1" applyFill="1" applyBorder="1" applyAlignment="1">
      <alignment horizontal="left" vertical="center" wrapText="1"/>
    </xf>
    <xf numFmtId="0" fontId="4" fillId="0" borderId="95" xfId="6" applyFont="1" applyFill="1" applyBorder="1" applyAlignment="1">
      <alignment horizontal="center" vertical="center"/>
    </xf>
    <xf numFmtId="0" fontId="31" fillId="0" borderId="102" xfId="6" applyFont="1" applyFill="1" applyBorder="1" applyAlignment="1">
      <alignment horizontal="left" vertical="center" wrapText="1"/>
    </xf>
    <xf numFmtId="0" fontId="5" fillId="0" borderId="102" xfId="6" applyFont="1" applyFill="1" applyBorder="1" applyAlignment="1">
      <alignment vertical="center"/>
    </xf>
    <xf numFmtId="0" fontId="4" fillId="0" borderId="70" xfId="21" applyFont="1" applyFill="1" applyBorder="1" applyAlignment="1">
      <alignment horizontal="left" vertical="center" wrapText="1"/>
    </xf>
    <xf numFmtId="0" fontId="4" fillId="0" borderId="70" xfId="6" applyFont="1" applyFill="1" applyBorder="1" applyAlignment="1">
      <alignment horizontal="center" vertical="center"/>
    </xf>
    <xf numFmtId="0" fontId="4" fillId="0" borderId="95" xfId="6" applyFont="1" applyFill="1" applyBorder="1" applyAlignment="1">
      <alignment horizontal="center" vertical="center" wrapText="1"/>
    </xf>
    <xf numFmtId="168" fontId="4" fillId="0" borderId="69" xfId="8" applyNumberFormat="1" applyFont="1" applyFill="1" applyBorder="1" applyAlignment="1">
      <alignment horizontal="center" vertical="center"/>
    </xf>
    <xf numFmtId="165" fontId="4" fillId="0" borderId="0" xfId="0" applyNumberFormat="1" applyFont="1" applyFill="1" applyBorder="1" applyAlignment="1"/>
    <xf numFmtId="49" fontId="4" fillId="0" borderId="42" xfId="21" applyNumberFormat="1" applyFont="1" applyFill="1" applyBorder="1" applyAlignment="1">
      <alignment horizontal="center" vertical="center"/>
    </xf>
    <xf numFmtId="0" fontId="4" fillId="0" borderId="42" xfId="21" applyFont="1" applyFill="1" applyBorder="1" applyAlignment="1">
      <alignment vertical="center" wrapText="1"/>
    </xf>
    <xf numFmtId="0" fontId="4" fillId="0" borderId="42" xfId="6" applyFont="1" applyFill="1" applyBorder="1" applyAlignment="1">
      <alignment horizontal="center" vertical="center"/>
    </xf>
    <xf numFmtId="0" fontId="4" fillId="0" borderId="42" xfId="21" applyFont="1" applyFill="1" applyBorder="1" applyAlignment="1">
      <alignment horizontal="center" vertical="center"/>
    </xf>
    <xf numFmtId="0" fontId="4" fillId="0" borderId="66" xfId="21" applyFont="1" applyFill="1" applyBorder="1" applyAlignment="1">
      <alignment vertical="center" wrapText="1"/>
    </xf>
    <xf numFmtId="0" fontId="4" fillId="0" borderId="66" xfId="6" applyFont="1" applyFill="1" applyBorder="1" applyAlignment="1">
      <alignment horizontal="center" vertical="center"/>
    </xf>
    <xf numFmtId="0" fontId="4" fillId="0" borderId="100" xfId="6" applyFont="1" applyFill="1" applyBorder="1" applyAlignment="1">
      <alignment vertical="center" wrapText="1"/>
    </xf>
    <xf numFmtId="0" fontId="4" fillId="0" borderId="85" xfId="6" applyFont="1" applyFill="1" applyBorder="1" applyAlignment="1">
      <alignment horizontal="center" vertical="center"/>
    </xf>
    <xf numFmtId="0" fontId="4" fillId="0" borderId="95" xfId="6" applyFont="1" applyFill="1" applyBorder="1" applyAlignment="1">
      <alignment vertical="center" wrapText="1"/>
    </xf>
    <xf numFmtId="0" fontId="4" fillId="0" borderId="66" xfId="6" applyFont="1" applyFill="1" applyBorder="1" applyAlignment="1">
      <alignment horizontal="left" vertical="center" wrapText="1"/>
    </xf>
    <xf numFmtId="0" fontId="4" fillId="0" borderId="41" xfId="6" applyFont="1" applyFill="1" applyBorder="1" applyAlignment="1">
      <alignment vertical="center" wrapText="1"/>
    </xf>
    <xf numFmtId="0" fontId="4" fillId="0" borderId="110" xfId="6" applyFont="1" applyFill="1" applyBorder="1" applyAlignment="1">
      <alignment vertical="center" wrapText="1"/>
    </xf>
    <xf numFmtId="0" fontId="4" fillId="0" borderId="66" xfId="21" applyFont="1" applyFill="1" applyBorder="1" applyAlignment="1">
      <alignment horizontal="center" vertical="center"/>
    </xf>
    <xf numFmtId="0" fontId="4" fillId="0" borderId="78" xfId="6" applyFont="1" applyFill="1" applyBorder="1" applyAlignment="1">
      <alignment vertical="center" wrapText="1"/>
    </xf>
    <xf numFmtId="0" fontId="4" fillId="0" borderId="66" xfId="21" applyFont="1" applyFill="1" applyBorder="1" applyAlignment="1">
      <alignment horizontal="left" vertical="center" wrapText="1"/>
    </xf>
    <xf numFmtId="0" fontId="4" fillId="0" borderId="100" xfId="21" applyFont="1" applyFill="1" applyBorder="1" applyAlignment="1">
      <alignment vertical="center" wrapText="1"/>
    </xf>
    <xf numFmtId="0" fontId="4" fillId="0" borderId="70" xfId="21" applyFont="1" applyFill="1" applyBorder="1" applyAlignment="1">
      <alignment vertical="center" wrapText="1"/>
    </xf>
    <xf numFmtId="0" fontId="4" fillId="0" borderId="70" xfId="21" applyFont="1" applyFill="1" applyBorder="1" applyAlignment="1">
      <alignment horizontal="center" vertical="center"/>
    </xf>
    <xf numFmtId="49" fontId="4" fillId="0" borderId="90" xfId="21" applyNumberFormat="1" applyFont="1" applyFill="1" applyBorder="1" applyAlignment="1">
      <alignment horizontal="center" vertical="center"/>
    </xf>
    <xf numFmtId="0" fontId="31" fillId="0" borderId="71" xfId="6" applyFont="1" applyFill="1" applyBorder="1" applyAlignment="1">
      <alignment horizontal="left" vertical="center" wrapText="1"/>
    </xf>
    <xf numFmtId="0" fontId="4" fillId="0" borderId="88" xfId="6" applyFont="1" applyFill="1" applyBorder="1" applyAlignment="1">
      <alignment horizontal="center" vertical="center"/>
    </xf>
    <xf numFmtId="0" fontId="4" fillId="0" borderId="88" xfId="21" applyFont="1" applyFill="1" applyBorder="1" applyAlignment="1">
      <alignment horizontal="center" vertical="center"/>
    </xf>
    <xf numFmtId="0" fontId="4" fillId="0" borderId="88" xfId="21" applyFont="1" applyFill="1" applyBorder="1" applyAlignment="1">
      <alignment vertical="center" wrapText="1"/>
    </xf>
    <xf numFmtId="0" fontId="36" fillId="0" borderId="88" xfId="21" applyFont="1" applyFill="1" applyBorder="1" applyAlignment="1">
      <alignment vertical="center" wrapText="1"/>
    </xf>
    <xf numFmtId="0" fontId="4" fillId="0" borderId="95" xfId="21" applyFont="1" applyFill="1" applyBorder="1" applyAlignment="1">
      <alignment horizontal="center" vertical="center" wrapText="1"/>
    </xf>
    <xf numFmtId="0" fontId="4" fillId="0" borderId="95" xfId="21" applyFont="1" applyFill="1" applyBorder="1" applyAlignment="1">
      <alignment horizontal="center" vertical="center"/>
    </xf>
    <xf numFmtId="0" fontId="4" fillId="0" borderId="95" xfId="21" applyFont="1" applyFill="1" applyBorder="1" applyAlignment="1">
      <alignment vertical="center" wrapText="1"/>
    </xf>
    <xf numFmtId="0" fontId="4" fillId="0" borderId="85" xfId="21" applyFont="1" applyFill="1" applyBorder="1" applyAlignment="1">
      <alignment vertical="center" wrapText="1"/>
    </xf>
    <xf numFmtId="0" fontId="4" fillId="0" borderId="85" xfId="21" applyFont="1" applyFill="1" applyBorder="1" applyAlignment="1">
      <alignment horizontal="center" vertical="center"/>
    </xf>
    <xf numFmtId="0" fontId="37" fillId="0" borderId="85" xfId="21" applyFont="1" applyFill="1" applyBorder="1" applyAlignment="1">
      <alignment vertical="center" wrapText="1"/>
    </xf>
    <xf numFmtId="0" fontId="4" fillId="0" borderId="78" xfId="21" applyFont="1" applyFill="1" applyBorder="1" applyAlignment="1">
      <alignment vertical="center" wrapText="1"/>
    </xf>
    <xf numFmtId="0" fontId="5" fillId="0" borderId="72" xfId="6" applyFont="1" applyFill="1" applyBorder="1" applyAlignment="1">
      <alignment vertical="center"/>
    </xf>
    <xf numFmtId="0" fontId="31" fillId="0" borderId="92" xfId="6" applyFont="1" applyFill="1" applyBorder="1" applyAlignment="1">
      <alignment horizontal="left" vertical="center" wrapText="1"/>
    </xf>
    <xf numFmtId="0" fontId="5" fillId="0" borderId="1" xfId="6" applyFont="1" applyFill="1" applyBorder="1" applyAlignment="1">
      <alignment vertical="center"/>
    </xf>
    <xf numFmtId="0" fontId="4" fillId="0" borderId="70" xfId="6" applyFont="1" applyFill="1" applyBorder="1" applyAlignment="1">
      <alignment horizontal="left" vertical="center" wrapText="1"/>
    </xf>
    <xf numFmtId="0" fontId="4" fillId="0" borderId="66" xfId="6" applyFont="1" applyFill="1" applyBorder="1" applyAlignment="1">
      <alignment vertical="center" wrapText="1"/>
    </xf>
    <xf numFmtId="0" fontId="4" fillId="0" borderId="68" xfId="11" applyFont="1" applyFill="1" applyBorder="1" applyAlignment="1">
      <alignment vertical="center"/>
    </xf>
    <xf numFmtId="0" fontId="4" fillId="0" borderId="67" xfId="0" applyFont="1" applyFill="1" applyBorder="1" applyAlignment="1">
      <alignment horizontal="left" vertical="center" wrapText="1"/>
    </xf>
    <xf numFmtId="0" fontId="4" fillId="0" borderId="68" xfId="11" applyFont="1" applyFill="1" applyBorder="1" applyAlignment="1">
      <alignment horizontal="center" vertical="center"/>
    </xf>
    <xf numFmtId="0" fontId="4" fillId="0" borderId="67" xfId="0" applyFont="1" applyFill="1" applyBorder="1" applyAlignment="1">
      <alignment horizontal="center" vertical="center" wrapText="1"/>
    </xf>
    <xf numFmtId="0" fontId="4" fillId="0" borderId="68" xfId="0" applyFont="1" applyFill="1" applyBorder="1" applyAlignment="1">
      <alignment horizontal="left" vertical="center" wrapText="1"/>
    </xf>
    <xf numFmtId="0" fontId="4" fillId="0" borderId="68" xfId="0" applyFont="1" applyFill="1" applyBorder="1" applyAlignment="1">
      <alignment horizontal="center" vertical="center"/>
    </xf>
    <xf numFmtId="0" fontId="4" fillId="0" borderId="68" xfId="0" applyFont="1" applyFill="1" applyBorder="1" applyAlignment="1">
      <alignment vertical="center" wrapText="1"/>
    </xf>
    <xf numFmtId="0" fontId="4" fillId="0" borderId="68" xfId="0" applyFont="1" applyFill="1" applyBorder="1" applyAlignment="1">
      <alignment horizontal="center" vertical="center" wrapText="1"/>
    </xf>
    <xf numFmtId="0" fontId="4" fillId="0" borderId="68" xfId="11" applyFont="1" applyFill="1" applyBorder="1" applyAlignment="1">
      <alignment horizontal="center" vertical="center" wrapText="1"/>
    </xf>
    <xf numFmtId="0" fontId="4" fillId="0" borderId="68" xfId="0" applyFont="1" applyFill="1" applyBorder="1" applyAlignment="1">
      <alignment vertical="center"/>
    </xf>
    <xf numFmtId="0" fontId="4" fillId="0" borderId="0" xfId="0" applyFont="1" applyFill="1" applyAlignment="1">
      <alignment horizontal="center" vertical="center"/>
    </xf>
    <xf numFmtId="0" fontId="4" fillId="0" borderId="0" xfId="0" applyFont="1" applyFill="1" applyAlignment="1">
      <alignment horizontal="center" vertical="center" wrapText="1"/>
    </xf>
    <xf numFmtId="49" fontId="4" fillId="0" borderId="35" xfId="5" applyNumberFormat="1" applyFont="1" applyFill="1" applyBorder="1" applyAlignment="1">
      <alignment horizontal="center" vertical="center" wrapText="1"/>
    </xf>
    <xf numFmtId="0" fontId="5" fillId="0" borderId="112" xfId="7" applyFont="1" applyFill="1" applyBorder="1" applyAlignment="1">
      <alignment vertical="center" wrapText="1"/>
    </xf>
    <xf numFmtId="168" fontId="4" fillId="0" borderId="49" xfId="16" applyNumberFormat="1" applyFont="1" applyFill="1" applyBorder="1" applyAlignment="1">
      <alignment horizontal="center" vertical="center" wrapText="1"/>
    </xf>
    <xf numFmtId="0" fontId="4" fillId="0" borderId="110" xfId="7" applyFont="1" applyFill="1" applyBorder="1" applyAlignment="1">
      <alignment vertical="center" wrapText="1"/>
    </xf>
    <xf numFmtId="49" fontId="4" fillId="0" borderId="99" xfId="5" applyNumberFormat="1" applyFont="1" applyFill="1" applyBorder="1" applyAlignment="1">
      <alignment horizontal="center" vertical="center" wrapText="1"/>
    </xf>
    <xf numFmtId="168" fontId="4" fillId="0" borderId="95" xfId="16" applyNumberFormat="1" applyFont="1" applyFill="1" applyBorder="1" applyAlignment="1">
      <alignment horizontal="center" vertical="center" wrapText="1"/>
    </xf>
    <xf numFmtId="0" fontId="4" fillId="0" borderId="49" xfId="7" applyFont="1" applyFill="1" applyBorder="1" applyAlignment="1">
      <alignment vertical="center" wrapText="1"/>
    </xf>
    <xf numFmtId="49" fontId="4" fillId="0" borderId="62" xfId="5" applyNumberFormat="1" applyFont="1" applyFill="1" applyBorder="1" applyAlignment="1">
      <alignment horizontal="center" vertical="center" wrapText="1"/>
    </xf>
    <xf numFmtId="0" fontId="4" fillId="0" borderId="63" xfId="7" applyFont="1" applyFill="1" applyBorder="1" applyAlignment="1">
      <alignment vertical="center" wrapText="1"/>
    </xf>
    <xf numFmtId="168" fontId="4" fillId="0" borderId="63" xfId="16" applyNumberFormat="1" applyFont="1" applyFill="1" applyBorder="1" applyAlignment="1">
      <alignment horizontal="center" vertical="center" wrapText="1"/>
    </xf>
    <xf numFmtId="2" fontId="4" fillId="0" borderId="63" xfId="16" applyNumberFormat="1" applyFont="1" applyFill="1" applyBorder="1" applyAlignment="1">
      <alignment horizontal="center" vertical="center" wrapText="1"/>
    </xf>
    <xf numFmtId="2" fontId="4" fillId="0" borderId="73" xfId="0" applyNumberFormat="1" applyFont="1" applyFill="1" applyBorder="1" applyAlignment="1">
      <alignment horizontal="center" vertical="center" wrapText="1"/>
    </xf>
    <xf numFmtId="2" fontId="4" fillId="0" borderId="49" xfId="16" applyNumberFormat="1" applyFont="1" applyFill="1" applyBorder="1" applyAlignment="1">
      <alignment horizontal="center" vertical="center" wrapText="1"/>
    </xf>
    <xf numFmtId="170" fontId="4" fillId="0" borderId="49" xfId="16" applyNumberFormat="1" applyFont="1" applyFill="1" applyBorder="1" applyAlignment="1">
      <alignment horizontal="center" vertical="center" wrapText="1"/>
    </xf>
    <xf numFmtId="0" fontId="4" fillId="0" borderId="95" xfId="7" applyFont="1" applyFill="1" applyBorder="1" applyAlignment="1">
      <alignment vertical="center" wrapText="1"/>
    </xf>
    <xf numFmtId="0" fontId="5" fillId="0" borderId="100" xfId="7" applyFont="1" applyFill="1" applyBorder="1" applyAlignment="1">
      <alignment vertical="center" wrapText="1"/>
    </xf>
    <xf numFmtId="0" fontId="4" fillId="0" borderId="0" xfId="7" applyFont="1" applyFill="1" applyBorder="1" applyAlignment="1">
      <alignment vertical="center" wrapText="1"/>
    </xf>
    <xf numFmtId="168" fontId="4" fillId="0" borderId="100" xfId="16" applyNumberFormat="1" applyFont="1" applyFill="1" applyBorder="1" applyAlignment="1">
      <alignment horizontal="center" vertical="center" wrapText="1"/>
    </xf>
    <xf numFmtId="49" fontId="4" fillId="0" borderId="105" xfId="5" applyNumberFormat="1" applyFont="1" applyFill="1" applyBorder="1" applyAlignment="1">
      <alignment horizontal="center" vertical="center" wrapText="1"/>
    </xf>
    <xf numFmtId="168" fontId="4" fillId="0" borderId="0" xfId="16" applyNumberFormat="1" applyFont="1" applyFill="1" applyBorder="1" applyAlignment="1">
      <alignment horizontal="center" vertical="center" wrapText="1"/>
    </xf>
    <xf numFmtId="1" fontId="4" fillId="0" borderId="109" xfId="11" applyNumberFormat="1" applyFont="1" applyFill="1" applyBorder="1" applyAlignment="1">
      <alignment horizontal="center" vertical="center" wrapText="1"/>
    </xf>
    <xf numFmtId="0" fontId="4" fillId="0" borderId="48" xfId="16" applyFont="1" applyFill="1" applyBorder="1" applyAlignment="1">
      <alignment horizontal="left" vertical="center" wrapText="1"/>
    </xf>
    <xf numFmtId="0" fontId="4" fillId="0" borderId="48" xfId="16" applyFont="1" applyFill="1" applyBorder="1" applyAlignment="1">
      <alignment horizontal="center" vertical="center" wrapText="1"/>
    </xf>
    <xf numFmtId="0" fontId="4" fillId="0" borderId="64" xfId="0" applyFont="1" applyFill="1" applyBorder="1" applyAlignment="1">
      <alignment horizontal="center" vertical="center"/>
    </xf>
    <xf numFmtId="168" fontId="5" fillId="0" borderId="64" xfId="0" applyNumberFormat="1" applyFont="1" applyFill="1" applyBorder="1" applyAlignment="1">
      <alignment horizontal="center" vertical="center"/>
    </xf>
    <xf numFmtId="168" fontId="4" fillId="0" borderId="64" xfId="0" applyNumberFormat="1" applyFont="1" applyFill="1" applyBorder="1" applyAlignment="1">
      <alignment horizontal="center" vertical="center"/>
    </xf>
    <xf numFmtId="0" fontId="4" fillId="0" borderId="64" xfId="0" applyFont="1" applyFill="1" applyBorder="1" applyAlignment="1">
      <alignment horizontal="right" vertical="center" wrapText="1"/>
    </xf>
    <xf numFmtId="0" fontId="4" fillId="0" borderId="65" xfId="0" applyFont="1" applyFill="1" applyBorder="1" applyAlignment="1">
      <alignment horizontal="center" vertical="center" wrapText="1"/>
    </xf>
    <xf numFmtId="49" fontId="4" fillId="0" borderId="65" xfId="5" applyNumberFormat="1" applyFont="1" applyFill="1" applyBorder="1" applyAlignment="1">
      <alignment horizontal="center" vertical="center" wrapText="1"/>
    </xf>
    <xf numFmtId="0" fontId="4" fillId="0" borderId="65" xfId="5" applyFont="1" applyFill="1" applyBorder="1" applyAlignment="1">
      <alignment horizontal="center" vertical="center" wrapText="1"/>
    </xf>
    <xf numFmtId="0" fontId="21" fillId="0" borderId="65" xfId="0" applyFont="1" applyFill="1" applyBorder="1" applyAlignment="1">
      <alignment horizontal="center" vertical="center" wrapText="1"/>
    </xf>
    <xf numFmtId="2" fontId="4" fillId="0" borderId="65" xfId="0" applyNumberFormat="1" applyFont="1" applyFill="1" applyBorder="1" applyAlignment="1">
      <alignment horizontal="center" vertical="center"/>
    </xf>
    <xf numFmtId="2" fontId="4" fillId="0" borderId="65" xfId="5" applyNumberFormat="1" applyFont="1" applyFill="1" applyBorder="1" applyAlignment="1">
      <alignment vertical="center" wrapText="1"/>
    </xf>
    <xf numFmtId="2" fontId="4" fillId="0" borderId="65" xfId="5" applyNumberFormat="1" applyFont="1" applyFill="1" applyBorder="1" applyAlignment="1">
      <alignment horizontal="center" vertical="center" wrapText="1"/>
    </xf>
    <xf numFmtId="2" fontId="4" fillId="0" borderId="65" xfId="5" applyNumberFormat="1" applyFont="1" applyFill="1" applyBorder="1" applyAlignment="1">
      <alignment horizontal="center" vertical="center"/>
    </xf>
    <xf numFmtId="0" fontId="4" fillId="0" borderId="65" xfId="0" applyFont="1" applyFill="1" applyBorder="1" applyAlignment="1">
      <alignment vertical="center" wrapText="1"/>
    </xf>
    <xf numFmtId="1" fontId="4" fillId="0" borderId="65" xfId="0" applyNumberFormat="1" applyFont="1" applyFill="1" applyBorder="1" applyAlignment="1">
      <alignment horizontal="center" vertical="center" wrapText="1"/>
    </xf>
    <xf numFmtId="49" fontId="4" fillId="0" borderId="95" xfId="16" applyNumberFormat="1" applyFont="1" applyFill="1" applyBorder="1" applyAlignment="1">
      <alignment horizontal="center" vertical="center" wrapText="1"/>
    </xf>
    <xf numFmtId="2" fontId="4" fillId="0" borderId="95" xfId="13" applyNumberFormat="1" applyFont="1" applyFill="1" applyBorder="1" applyAlignment="1" applyProtection="1">
      <alignment horizontal="center" vertical="center" wrapText="1"/>
    </xf>
    <xf numFmtId="2" fontId="4" fillId="0" borderId="73" xfId="13" applyNumberFormat="1" applyFont="1" applyFill="1" applyBorder="1" applyAlignment="1">
      <alignment horizontal="center" vertical="center" wrapText="1"/>
    </xf>
    <xf numFmtId="49" fontId="4" fillId="0" borderId="95" xfId="5" applyNumberFormat="1" applyFont="1" applyFill="1" applyBorder="1" applyAlignment="1">
      <alignment horizontal="center" vertical="center" wrapText="1"/>
    </xf>
    <xf numFmtId="0" fontId="4" fillId="0" borderId="95" xfId="0" applyFont="1" applyFill="1" applyBorder="1" applyAlignment="1">
      <alignment vertical="center" wrapText="1"/>
    </xf>
    <xf numFmtId="0" fontId="4" fillId="0" borderId="87" xfId="0" applyFont="1" applyFill="1" applyBorder="1" applyAlignment="1">
      <alignment horizontal="center" vertical="center"/>
    </xf>
    <xf numFmtId="0" fontId="4" fillId="0" borderId="95" xfId="0" applyFont="1" applyFill="1" applyBorder="1" applyAlignment="1">
      <alignment horizontal="center" vertical="center"/>
    </xf>
    <xf numFmtId="49" fontId="4" fillId="0" borderId="49" xfId="5" applyNumberFormat="1" applyFont="1" applyFill="1" applyBorder="1" applyAlignment="1">
      <alignment horizontal="center" vertical="center" wrapText="1"/>
    </xf>
    <xf numFmtId="0" fontId="4" fillId="0" borderId="49" xfId="0" applyFont="1" applyFill="1" applyBorder="1" applyAlignment="1">
      <alignment vertical="center"/>
    </xf>
    <xf numFmtId="0" fontId="4" fillId="0" borderId="34" xfId="0" applyFont="1" applyFill="1" applyBorder="1" applyAlignment="1">
      <alignment horizontal="center" vertical="center"/>
    </xf>
    <xf numFmtId="168" fontId="4" fillId="0" borderId="49" xfId="0" applyNumberFormat="1" applyFont="1" applyFill="1" applyBorder="1" applyAlignment="1">
      <alignment horizontal="center" vertical="center"/>
    </xf>
    <xf numFmtId="0" fontId="4" fillId="0" borderId="49" xfId="0" applyFont="1" applyFill="1" applyBorder="1" applyAlignment="1">
      <alignment vertical="center" wrapText="1"/>
    </xf>
    <xf numFmtId="168" fontId="4" fillId="0" borderId="95" xfId="0" applyNumberFormat="1" applyFont="1" applyFill="1" applyBorder="1" applyAlignment="1">
      <alignment horizontal="center" vertical="center"/>
    </xf>
    <xf numFmtId="0" fontId="21" fillId="0" borderId="112" xfId="0" applyFont="1" applyFill="1" applyBorder="1" applyAlignment="1">
      <alignment vertical="center" wrapText="1"/>
    </xf>
    <xf numFmtId="0" fontId="4" fillId="0" borderId="110" xfId="0" applyFont="1" applyFill="1" applyBorder="1" applyAlignment="1">
      <alignment vertical="center" wrapText="1"/>
    </xf>
    <xf numFmtId="2" fontId="4" fillId="0" borderId="49" xfId="0" applyNumberFormat="1" applyFont="1" applyFill="1" applyBorder="1" applyAlignment="1">
      <alignment horizontal="center" vertical="center"/>
    </xf>
    <xf numFmtId="2" fontId="4" fillId="0" borderId="49" xfId="0" applyNumberFormat="1" applyFont="1" applyFill="1" applyBorder="1" applyAlignment="1">
      <alignment horizontal="center" vertical="center" wrapText="1"/>
    </xf>
    <xf numFmtId="0" fontId="4" fillId="0" borderId="49" xfId="0" applyFont="1" applyFill="1" applyBorder="1" applyAlignment="1">
      <alignment horizontal="center" vertical="center"/>
    </xf>
    <xf numFmtId="49" fontId="4" fillId="0" borderId="48" xfId="16" applyNumberFormat="1" applyFont="1" applyFill="1" applyBorder="1" applyAlignment="1">
      <alignment horizontal="center" vertical="center" wrapText="1"/>
    </xf>
    <xf numFmtId="0" fontId="4" fillId="0" borderId="109" xfId="16" applyFont="1" applyFill="1" applyBorder="1" applyAlignment="1">
      <alignment vertical="center" wrapText="1"/>
    </xf>
    <xf numFmtId="168" fontId="4" fillId="0" borderId="48" xfId="16" applyNumberFormat="1" applyFont="1" applyFill="1" applyBorder="1" applyAlignment="1">
      <alignment horizontal="center" vertical="center" wrapText="1"/>
    </xf>
    <xf numFmtId="0" fontId="4" fillId="0" borderId="48" xfId="16" applyFont="1" applyFill="1" applyBorder="1" applyAlignment="1">
      <alignment vertical="center" wrapText="1"/>
    </xf>
    <xf numFmtId="2" fontId="4" fillId="0" borderId="48" xfId="16" applyNumberFormat="1" applyFont="1" applyFill="1" applyBorder="1" applyAlignment="1">
      <alignment horizontal="center" vertical="center" wrapText="1"/>
    </xf>
    <xf numFmtId="0" fontId="5" fillId="0" borderId="46" xfId="0" applyFont="1" applyFill="1" applyBorder="1" applyAlignment="1">
      <alignment vertical="center" wrapText="1"/>
    </xf>
    <xf numFmtId="0" fontId="21" fillId="0" borderId="118" xfId="0" applyFont="1" applyFill="1" applyBorder="1" applyAlignment="1">
      <alignment vertical="center" wrapText="1"/>
    </xf>
    <xf numFmtId="0" fontId="5" fillId="0" borderId="34" xfId="0" applyFont="1" applyFill="1" applyBorder="1" applyAlignment="1">
      <alignment vertical="center" wrapText="1"/>
    </xf>
    <xf numFmtId="0" fontId="4" fillId="0" borderId="110" xfId="0" applyFont="1" applyFill="1" applyBorder="1" applyAlignment="1">
      <alignment horizontal="left" vertical="center" wrapText="1"/>
    </xf>
    <xf numFmtId="0" fontId="4" fillId="0" borderId="49" xfId="0" applyFont="1" applyFill="1" applyBorder="1" applyAlignment="1">
      <alignment horizontal="center" vertical="center" wrapText="1"/>
    </xf>
    <xf numFmtId="168" fontId="4" fillId="0" borderId="49" xfId="0" applyNumberFormat="1" applyFont="1" applyFill="1" applyBorder="1" applyAlignment="1">
      <alignment horizontal="center" vertical="center" wrapText="1"/>
    </xf>
    <xf numFmtId="0" fontId="4" fillId="0" borderId="49" xfId="0" applyFont="1" applyFill="1" applyBorder="1" applyAlignment="1">
      <alignment horizontal="left" vertical="center" wrapText="1"/>
    </xf>
    <xf numFmtId="168" fontId="4" fillId="0" borderId="95" xfId="0" applyNumberFormat="1" applyFont="1" applyFill="1" applyBorder="1" applyAlignment="1">
      <alignment horizontal="center" vertical="center" wrapText="1"/>
    </xf>
    <xf numFmtId="0" fontId="4" fillId="0" borderId="112" xfId="0" applyFont="1" applyFill="1" applyBorder="1" applyAlignment="1">
      <alignment horizontal="left" vertical="center" wrapText="1"/>
    </xf>
    <xf numFmtId="168" fontId="4" fillId="0" borderId="40" xfId="0" applyNumberFormat="1" applyFont="1" applyFill="1" applyBorder="1" applyAlignment="1">
      <alignment horizontal="center" vertical="center" wrapText="1"/>
    </xf>
    <xf numFmtId="168" fontId="4" fillId="0" borderId="100" xfId="0" applyNumberFormat="1" applyFont="1" applyFill="1" applyBorder="1" applyAlignment="1">
      <alignment horizontal="center" vertical="center" wrapText="1"/>
    </xf>
    <xf numFmtId="0" fontId="4" fillId="0" borderId="49" xfId="5" applyFont="1" applyFill="1" applyBorder="1" applyAlignment="1">
      <alignment horizontal="left" vertical="center" wrapText="1"/>
    </xf>
    <xf numFmtId="0" fontId="4" fillId="0" borderId="49" xfId="5" applyFont="1" applyFill="1" applyBorder="1" applyAlignment="1">
      <alignment horizontal="center" vertical="center"/>
    </xf>
    <xf numFmtId="0" fontId="4" fillId="0" borderId="49" xfId="5" applyFont="1" applyFill="1" applyBorder="1" applyAlignment="1">
      <alignment horizontal="center" vertical="center" wrapText="1"/>
    </xf>
    <xf numFmtId="168" fontId="4" fillId="0" borderId="49" xfId="5" applyNumberFormat="1" applyFont="1" applyFill="1" applyBorder="1" applyAlignment="1">
      <alignment horizontal="center" vertical="center" wrapText="1"/>
    </xf>
    <xf numFmtId="0" fontId="4" fillId="0" borderId="96" xfId="0" applyFont="1" applyFill="1" applyBorder="1" applyAlignment="1">
      <alignment horizontal="center" vertical="center" textRotation="90" wrapText="1"/>
    </xf>
    <xf numFmtId="0" fontId="4" fillId="0" borderId="19" xfId="0" applyFont="1" applyFill="1" applyBorder="1" applyAlignment="1">
      <alignment horizontal="center" vertical="center" textRotation="90" wrapText="1"/>
    </xf>
    <xf numFmtId="0" fontId="5" fillId="0" borderId="97" xfId="0" applyFont="1" applyFill="1" applyBorder="1" applyAlignment="1">
      <alignment horizontal="center" vertical="center" textRotation="90" wrapText="1"/>
    </xf>
    <xf numFmtId="0" fontId="4" fillId="0" borderId="95" xfId="0" applyFont="1" applyFill="1" applyBorder="1" applyAlignment="1">
      <alignment horizontal="center" vertical="center" textRotation="90" wrapText="1"/>
    </xf>
    <xf numFmtId="0" fontId="21" fillId="0" borderId="112" xfId="0" applyFont="1" applyFill="1" applyBorder="1" applyAlignment="1">
      <alignment horizontal="center" vertical="center"/>
    </xf>
    <xf numFmtId="0" fontId="4" fillId="0" borderId="95" xfId="0" applyFont="1" applyFill="1" applyBorder="1" applyAlignment="1">
      <alignment horizontal="center" vertical="center" textRotation="90"/>
    </xf>
    <xf numFmtId="0" fontId="5" fillId="0" borderId="95" xfId="0" applyFont="1" applyFill="1" applyBorder="1" applyAlignment="1">
      <alignment horizontal="center" vertical="center" textRotation="90" wrapText="1"/>
    </xf>
    <xf numFmtId="49" fontId="4" fillId="0" borderId="109" xfId="16" applyNumberFormat="1" applyFont="1" applyFill="1" applyBorder="1" applyAlignment="1">
      <alignment horizontal="center" vertical="center" wrapText="1"/>
    </xf>
    <xf numFmtId="0" fontId="4" fillId="0" borderId="109" xfId="0" applyFont="1" applyFill="1" applyBorder="1" applyAlignment="1">
      <alignment vertical="center" wrapText="1"/>
    </xf>
    <xf numFmtId="0" fontId="4" fillId="0" borderId="48" xfId="0" applyFont="1" applyFill="1" applyBorder="1" applyAlignment="1">
      <alignment horizontal="center" vertical="center" wrapText="1"/>
    </xf>
    <xf numFmtId="0" fontId="4" fillId="0" borderId="48" xfId="16" applyFont="1" applyFill="1" applyBorder="1" applyAlignment="1">
      <alignment horizontal="center" vertical="center"/>
    </xf>
    <xf numFmtId="168" fontId="5" fillId="0" borderId="48" xfId="16" applyNumberFormat="1" applyFont="1" applyFill="1" applyBorder="1" applyAlignment="1">
      <alignment horizontal="center" vertical="center"/>
    </xf>
    <xf numFmtId="0" fontId="4" fillId="0" borderId="49" xfId="1" applyFont="1" applyFill="1" applyBorder="1" applyAlignment="1">
      <alignment horizontal="left" vertical="center" wrapText="1"/>
    </xf>
    <xf numFmtId="0" fontId="21" fillId="0" borderId="117" xfId="16" applyFont="1" applyFill="1" applyBorder="1" applyAlignment="1">
      <alignment horizontal="center" vertical="center" wrapText="1"/>
    </xf>
    <xf numFmtId="2" fontId="4" fillId="0" borderId="109" xfId="16" applyNumberFormat="1" applyFont="1" applyFill="1" applyBorder="1" applyAlignment="1">
      <alignment horizontal="center" vertical="center" wrapText="1"/>
    </xf>
    <xf numFmtId="0" fontId="4" fillId="0" borderId="73" xfId="16" applyFont="1" applyFill="1" applyBorder="1" applyAlignment="1">
      <alignment horizontal="center" vertical="center"/>
    </xf>
    <xf numFmtId="0" fontId="4" fillId="0" borderId="73" xfId="16" applyFont="1" applyFill="1" applyBorder="1" applyAlignment="1">
      <alignment vertical="center" wrapText="1"/>
    </xf>
    <xf numFmtId="49" fontId="4" fillId="0" borderId="48" xfId="5" applyNumberFormat="1" applyFont="1" applyFill="1" applyBorder="1" applyAlignment="1">
      <alignment horizontal="center" vertical="center" wrapText="1"/>
    </xf>
    <xf numFmtId="0" fontId="4" fillId="0" borderId="74" xfId="0" applyFont="1" applyFill="1" applyBorder="1" applyAlignment="1">
      <alignment vertical="center" wrapText="1"/>
    </xf>
    <xf numFmtId="168" fontId="4" fillId="0" borderId="74" xfId="0" applyNumberFormat="1"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0" borderId="95" xfId="1" applyFont="1" applyFill="1" applyBorder="1" applyAlignment="1">
      <alignment horizontal="left" vertical="center" wrapText="1"/>
    </xf>
    <xf numFmtId="0" fontId="4" fillId="0" borderId="50" xfId="16" applyFont="1" applyFill="1" applyBorder="1" applyAlignment="1">
      <alignment horizontal="center" vertical="center" wrapText="1"/>
    </xf>
    <xf numFmtId="0" fontId="4" fillId="0" borderId="44" xfId="16" applyFont="1" applyFill="1" applyBorder="1" applyAlignment="1">
      <alignment horizontal="center" vertical="center" wrapText="1"/>
    </xf>
    <xf numFmtId="0" fontId="21" fillId="0" borderId="111" xfId="0" applyFont="1" applyFill="1" applyBorder="1" applyAlignment="1">
      <alignment horizontal="center" vertical="center" wrapText="1"/>
    </xf>
    <xf numFmtId="0" fontId="4" fillId="0" borderId="48" xfId="0" applyFont="1" applyFill="1" applyBorder="1" applyAlignment="1">
      <alignment horizontal="center" vertical="center"/>
    </xf>
    <xf numFmtId="168" fontId="4" fillId="0" borderId="48" xfId="0" applyNumberFormat="1" applyFont="1" applyFill="1" applyBorder="1" applyAlignment="1">
      <alignment horizontal="center" vertical="center"/>
    </xf>
    <xf numFmtId="2" fontId="4" fillId="0" borderId="48" xfId="0" applyNumberFormat="1" applyFont="1" applyFill="1" applyBorder="1" applyAlignment="1">
      <alignment horizontal="center" vertical="center"/>
    </xf>
    <xf numFmtId="0" fontId="4" fillId="0" borderId="49" xfId="0" applyFont="1" applyFill="1" applyBorder="1" applyAlignment="1">
      <alignment horizontal="left" vertical="center"/>
    </xf>
    <xf numFmtId="43" fontId="4" fillId="0" borderId="0" xfId="0" applyNumberFormat="1" applyFont="1" applyFill="1" applyAlignment="1">
      <alignment horizontal="center" wrapText="1"/>
    </xf>
    <xf numFmtId="43" fontId="4" fillId="0" borderId="0" xfId="0" applyNumberFormat="1" applyFont="1" applyFill="1" applyAlignment="1">
      <alignment horizontal="center"/>
    </xf>
    <xf numFmtId="43" fontId="4" fillId="0" borderId="0" xfId="0" applyNumberFormat="1" applyFont="1" applyFill="1" applyAlignment="1">
      <alignment wrapText="1"/>
    </xf>
    <xf numFmtId="43" fontId="4" fillId="0" borderId="1" xfId="0" applyNumberFormat="1" applyFont="1" applyFill="1" applyBorder="1" applyAlignment="1"/>
    <xf numFmtId="43" fontId="4" fillId="0" borderId="0" xfId="0" applyNumberFormat="1" applyFont="1" applyFill="1"/>
    <xf numFmtId="0" fontId="4" fillId="0" borderId="48" xfId="0" applyFont="1" applyFill="1" applyBorder="1" applyAlignment="1">
      <alignment vertical="center" wrapText="1"/>
    </xf>
    <xf numFmtId="168" fontId="4" fillId="0" borderId="48" xfId="0" applyNumberFormat="1" applyFont="1" applyFill="1" applyBorder="1" applyAlignment="1">
      <alignment horizontal="center" vertical="center" wrapText="1"/>
    </xf>
    <xf numFmtId="0" fontId="4" fillId="0" borderId="48" xfId="5" applyFont="1" applyFill="1" applyBorder="1" applyAlignment="1">
      <alignment horizontal="left" vertical="center" wrapText="1"/>
    </xf>
    <xf numFmtId="0" fontId="4" fillId="0" borderId="48" xfId="5" applyFont="1" applyFill="1" applyBorder="1" applyAlignment="1">
      <alignment horizontal="center" vertical="center" wrapText="1"/>
    </xf>
    <xf numFmtId="2" fontId="4" fillId="0" borderId="48" xfId="5" applyNumberFormat="1" applyFont="1" applyFill="1" applyBorder="1" applyAlignment="1">
      <alignment horizontal="center" vertical="center" wrapText="1"/>
    </xf>
    <xf numFmtId="0" fontId="4" fillId="0" borderId="48" xfId="5" applyFont="1" applyFill="1" applyBorder="1" applyAlignment="1">
      <alignment vertical="center" wrapText="1"/>
    </xf>
    <xf numFmtId="49" fontId="4" fillId="0" borderId="47" xfId="16" applyNumberFormat="1" applyFont="1" applyFill="1" applyBorder="1" applyAlignment="1">
      <alignment horizontal="center" vertical="center" wrapText="1"/>
    </xf>
    <xf numFmtId="0" fontId="4" fillId="0" borderId="47" xfId="12" applyFont="1" applyFill="1" applyBorder="1" applyAlignment="1">
      <alignment vertical="center" wrapText="1"/>
    </xf>
    <xf numFmtId="0" fontId="4" fillId="0" borderId="61" xfId="12" applyFont="1" applyFill="1" applyBorder="1" applyAlignment="1">
      <alignment horizontal="center" vertical="center" wrapText="1"/>
    </xf>
    <xf numFmtId="168" fontId="4" fillId="0" borderId="47" xfId="12" applyNumberFormat="1" applyFont="1" applyFill="1" applyBorder="1" applyAlignment="1">
      <alignment horizontal="center" vertical="center" wrapText="1"/>
    </xf>
    <xf numFmtId="49" fontId="4" fillId="0" borderId="114" xfId="16" applyNumberFormat="1" applyFont="1" applyFill="1" applyBorder="1" applyAlignment="1">
      <alignment horizontal="center" vertical="center" wrapText="1"/>
    </xf>
    <xf numFmtId="49" fontId="4" fillId="0" borderId="43" xfId="16" applyNumberFormat="1" applyFont="1" applyFill="1" applyBorder="1" applyAlignment="1">
      <alignment horizontal="center" vertical="center" wrapText="1"/>
    </xf>
    <xf numFmtId="0" fontId="4" fillId="0" borderId="43" xfId="12" applyFont="1" applyFill="1" applyBorder="1" applyAlignment="1">
      <alignment vertical="center" wrapText="1"/>
    </xf>
    <xf numFmtId="168" fontId="4" fillId="0" borderId="43" xfId="12" applyNumberFormat="1" applyFont="1" applyFill="1" applyBorder="1" applyAlignment="1">
      <alignment horizontal="center" vertical="center" wrapText="1"/>
    </xf>
    <xf numFmtId="0" fontId="21" fillId="0" borderId="48" xfId="12" applyFont="1" applyFill="1" applyBorder="1" applyAlignment="1">
      <alignment vertical="center" wrapText="1"/>
    </xf>
    <xf numFmtId="0" fontId="4" fillId="0" borderId="48" xfId="12" applyFont="1" applyFill="1" applyBorder="1" applyAlignment="1">
      <alignment vertical="center" wrapText="1"/>
    </xf>
    <xf numFmtId="2" fontId="4" fillId="0" borderId="61" xfId="12" applyNumberFormat="1" applyFont="1" applyFill="1" applyBorder="1" applyAlignment="1">
      <alignment horizontal="left" vertical="center" wrapText="1"/>
    </xf>
    <xf numFmtId="0" fontId="4" fillId="0" borderId="48" xfId="18" applyFont="1" applyFill="1" applyBorder="1" applyAlignment="1">
      <alignment horizontal="center" vertical="center" wrapText="1"/>
    </xf>
    <xf numFmtId="2" fontId="4" fillId="0" borderId="47" xfId="12" applyNumberFormat="1" applyFont="1" applyFill="1" applyBorder="1" applyAlignment="1">
      <alignment horizontal="center" vertical="center" wrapText="1"/>
    </xf>
    <xf numFmtId="0" fontId="4" fillId="0" borderId="47" xfId="16" applyFont="1" applyFill="1" applyBorder="1" applyAlignment="1">
      <alignment horizontal="center" vertical="center" wrapText="1"/>
    </xf>
    <xf numFmtId="2" fontId="4" fillId="0" borderId="48" xfId="12" applyNumberFormat="1" applyFont="1" applyFill="1" applyBorder="1" applyAlignment="1">
      <alignment horizontal="center" vertical="center" wrapText="1"/>
    </xf>
    <xf numFmtId="2" fontId="4" fillId="0" borderId="48" xfId="16" applyNumberFormat="1" applyFont="1" applyFill="1" applyBorder="1" applyAlignment="1">
      <alignment horizontal="left" vertical="center" wrapText="1"/>
    </xf>
    <xf numFmtId="0" fontId="4" fillId="0" borderId="43" xfId="16" applyFont="1" applyFill="1" applyBorder="1" applyAlignment="1">
      <alignment horizontal="left" vertical="center" wrapText="1"/>
    </xf>
    <xf numFmtId="0" fontId="4" fillId="0" borderId="43" xfId="16" applyFont="1" applyFill="1" applyBorder="1" applyAlignment="1">
      <alignment horizontal="center" vertical="center" wrapText="1"/>
    </xf>
    <xf numFmtId="2" fontId="4" fillId="0" borderId="43" xfId="12" applyNumberFormat="1" applyFont="1" applyFill="1" applyBorder="1" applyAlignment="1">
      <alignment horizontal="center" vertical="center" wrapText="1"/>
    </xf>
    <xf numFmtId="0" fontId="4" fillId="0" borderId="49" xfId="16" applyFont="1" applyFill="1" applyBorder="1" applyAlignment="1">
      <alignment horizontal="left" vertical="center" wrapText="1"/>
    </xf>
    <xf numFmtId="0" fontId="4" fillId="0" borderId="49" xfId="16" applyFont="1" applyFill="1" applyBorder="1" applyAlignment="1">
      <alignment horizontal="center" vertical="center" wrapText="1"/>
    </xf>
    <xf numFmtId="2" fontId="4" fillId="0" borderId="49" xfId="12" applyNumberFormat="1" applyFont="1" applyFill="1" applyBorder="1" applyAlignment="1">
      <alignment horizontal="center" vertical="center" wrapText="1"/>
    </xf>
    <xf numFmtId="0" fontId="4" fillId="0" borderId="104" xfId="0" applyFont="1" applyFill="1" applyBorder="1" applyAlignment="1">
      <alignment horizontal="center" vertical="center" wrapText="1"/>
    </xf>
    <xf numFmtId="0" fontId="4" fillId="0" borderId="116" xfId="16" applyFont="1" applyFill="1" applyBorder="1" applyAlignment="1">
      <alignment horizontal="left" vertical="center" wrapText="1"/>
    </xf>
    <xf numFmtId="0" fontId="4" fillId="0" borderId="100" xfId="16" applyFont="1" applyFill="1" applyBorder="1" applyAlignment="1">
      <alignment horizontal="center" vertical="center" wrapText="1"/>
    </xf>
    <xf numFmtId="2" fontId="4" fillId="0" borderId="100" xfId="16" applyNumberFormat="1" applyFont="1" applyFill="1" applyBorder="1" applyAlignment="1">
      <alignment horizontal="center" vertical="center" wrapText="1"/>
    </xf>
    <xf numFmtId="0" fontId="4" fillId="0" borderId="0" xfId="0" applyFont="1" applyFill="1" applyBorder="1"/>
    <xf numFmtId="0" fontId="4" fillId="0" borderId="110" xfId="16" applyFont="1" applyFill="1" applyBorder="1" applyAlignment="1">
      <alignment horizontal="center" vertical="center" wrapText="1"/>
    </xf>
    <xf numFmtId="0" fontId="4" fillId="0" borderId="109" xfId="18" applyFont="1" applyFill="1" applyBorder="1" applyAlignment="1">
      <alignment horizontal="center" vertical="center" wrapText="1"/>
    </xf>
    <xf numFmtId="2" fontId="4" fillId="0" borderId="109" xfId="12" applyNumberFormat="1" applyFont="1" applyFill="1" applyBorder="1" applyAlignment="1">
      <alignment horizontal="center" vertical="center"/>
    </xf>
    <xf numFmtId="0" fontId="4" fillId="0" borderId="47" xfId="18" applyFont="1" applyFill="1" applyBorder="1" applyAlignment="1">
      <alignment horizontal="center" vertical="center" wrapText="1"/>
    </xf>
    <xf numFmtId="2" fontId="4" fillId="0" borderId="47" xfId="12" applyNumberFormat="1" applyFont="1" applyFill="1" applyBorder="1" applyAlignment="1">
      <alignment horizontal="center" vertical="center"/>
    </xf>
    <xf numFmtId="49" fontId="4" fillId="0" borderId="44" xfId="16" applyNumberFormat="1" applyFont="1" applyFill="1" applyBorder="1" applyAlignment="1">
      <alignment horizontal="center" vertical="center" wrapText="1"/>
    </xf>
    <xf numFmtId="2" fontId="4" fillId="0" borderId="49" xfId="12" applyNumberFormat="1" applyFont="1" applyFill="1" applyBorder="1" applyAlignment="1">
      <alignment horizontal="left" vertical="center" wrapText="1"/>
    </xf>
    <xf numFmtId="0" fontId="4" fillId="0" borderId="49" xfId="12" applyFont="1" applyFill="1" applyBorder="1" applyAlignment="1">
      <alignment horizontal="center" vertical="center" wrapText="1"/>
    </xf>
    <xf numFmtId="2" fontId="4" fillId="0" borderId="49" xfId="16" applyNumberFormat="1" applyFont="1" applyFill="1" applyBorder="1" applyAlignment="1">
      <alignment horizontal="left" vertical="center" wrapText="1"/>
    </xf>
    <xf numFmtId="0" fontId="4" fillId="0" borderId="49" xfId="18" applyFont="1" applyFill="1" applyBorder="1" applyAlignment="1">
      <alignment vertical="center" wrapText="1"/>
    </xf>
    <xf numFmtId="0" fontId="4" fillId="0" borderId="49" xfId="18" applyFont="1" applyFill="1" applyBorder="1" applyAlignment="1">
      <alignment horizontal="center" vertical="center" wrapText="1"/>
    </xf>
    <xf numFmtId="49" fontId="4" fillId="0" borderId="73" xfId="16" applyNumberFormat="1" applyFont="1" applyFill="1" applyBorder="1" applyAlignment="1">
      <alignment horizontal="center" vertical="center" wrapText="1"/>
    </xf>
    <xf numFmtId="0" fontId="4" fillId="0" borderId="48" xfId="18" applyFont="1" applyFill="1" applyBorder="1" applyAlignment="1">
      <alignment vertical="center" wrapText="1"/>
    </xf>
    <xf numFmtId="168" fontId="4" fillId="0" borderId="48" xfId="18" applyNumberFormat="1" applyFont="1" applyFill="1" applyBorder="1" applyAlignment="1">
      <alignment horizontal="center" vertical="center" wrapText="1"/>
    </xf>
    <xf numFmtId="0" fontId="4" fillId="0" borderId="73" xfId="18" applyFont="1" applyFill="1" applyBorder="1" applyAlignment="1">
      <alignment vertical="center" wrapText="1"/>
    </xf>
    <xf numFmtId="0" fontId="4" fillId="0" borderId="73" xfId="18" applyFont="1" applyFill="1" applyBorder="1" applyAlignment="1">
      <alignment horizontal="center" vertical="center" wrapText="1"/>
    </xf>
    <xf numFmtId="168" fontId="4" fillId="0" borderId="73" xfId="18" applyNumberFormat="1" applyFont="1" applyFill="1" applyBorder="1" applyAlignment="1">
      <alignment horizontal="center" vertical="center" wrapText="1"/>
    </xf>
    <xf numFmtId="2" fontId="4" fillId="0" borderId="48" xfId="12" applyNumberFormat="1" applyFont="1" applyFill="1" applyBorder="1" applyAlignment="1">
      <alignment vertical="center" wrapText="1"/>
    </xf>
    <xf numFmtId="165" fontId="4" fillId="0" borderId="0" xfId="0" applyNumberFormat="1" applyFont="1" applyFill="1" applyAlignment="1">
      <alignment horizontal="center" vertical="center"/>
    </xf>
    <xf numFmtId="0" fontId="4" fillId="0" borderId="0" xfId="0" applyFont="1" applyFill="1" applyAlignment="1">
      <alignment horizontal="center"/>
    </xf>
    <xf numFmtId="0" fontId="4" fillId="0" borderId="0" xfId="0" applyFont="1" applyFill="1" applyAlignment="1"/>
    <xf numFmtId="14" fontId="4" fillId="0" borderId="0" xfId="0" applyNumberFormat="1" applyFont="1" applyFill="1" applyAlignment="1"/>
    <xf numFmtId="0" fontId="4" fillId="0" borderId="8" xfId="0" applyFont="1" applyFill="1" applyBorder="1" applyAlignment="1">
      <alignment vertical="center" textRotation="90" wrapText="1"/>
    </xf>
    <xf numFmtId="0" fontId="4" fillId="0" borderId="26" xfId="0" applyFont="1" applyFill="1" applyBorder="1" applyAlignment="1">
      <alignment vertical="center" textRotation="90" wrapText="1"/>
    </xf>
    <xf numFmtId="0" fontId="4" fillId="0" borderId="27" xfId="0" applyFont="1" applyFill="1" applyBorder="1" applyAlignment="1">
      <alignment vertical="center" textRotation="90" wrapText="1"/>
    </xf>
    <xf numFmtId="172" fontId="4" fillId="0" borderId="95" xfId="0" applyNumberFormat="1" applyFont="1" applyFill="1" applyBorder="1" applyAlignment="1">
      <alignment horizontal="left" vertical="top" wrapText="1"/>
    </xf>
    <xf numFmtId="172" fontId="5" fillId="0" borderId="95" xfId="0" applyNumberFormat="1" applyFont="1" applyFill="1" applyBorder="1" applyAlignment="1">
      <alignment horizontal="center" vertical="center" wrapText="1"/>
    </xf>
    <xf numFmtId="172" fontId="4" fillId="0" borderId="95" xfId="0" applyNumberFormat="1" applyFont="1" applyFill="1" applyBorder="1" applyAlignment="1">
      <alignment horizontal="center" vertical="center" wrapText="1"/>
    </xf>
    <xf numFmtId="172" fontId="4" fillId="0" borderId="95" xfId="0" applyNumberFormat="1" applyFont="1" applyFill="1" applyBorder="1" applyAlignment="1">
      <alignment vertical="top" wrapText="1"/>
    </xf>
    <xf numFmtId="49" fontId="4" fillId="0" borderId="105" xfId="16" applyNumberFormat="1" applyFont="1" applyFill="1" applyBorder="1" applyAlignment="1">
      <alignment horizontal="center" vertical="center" wrapText="1"/>
    </xf>
    <xf numFmtId="0" fontId="4" fillId="0" borderId="108" xfId="0" applyFont="1" applyFill="1" applyBorder="1" applyAlignment="1">
      <alignment horizontal="center" vertical="center"/>
    </xf>
    <xf numFmtId="0" fontId="4" fillId="0" borderId="48" xfId="18" applyFont="1" applyFill="1" applyBorder="1" applyAlignment="1">
      <alignment horizontal="left" vertical="center" wrapText="1"/>
    </xf>
    <xf numFmtId="0" fontId="4" fillId="0" borderId="104" xfId="0" applyFont="1" applyFill="1" applyBorder="1" applyAlignment="1">
      <alignment horizontal="left" vertical="center" wrapText="1"/>
    </xf>
    <xf numFmtId="2" fontId="4" fillId="0" borderId="48" xfId="0" applyNumberFormat="1" applyFont="1" applyFill="1" applyBorder="1" applyAlignment="1">
      <alignment horizontal="center" vertical="center" wrapText="1"/>
    </xf>
    <xf numFmtId="0" fontId="31" fillId="0" borderId="111" xfId="11" applyFont="1" applyFill="1" applyBorder="1" applyAlignment="1">
      <alignment horizontal="center" vertical="center" wrapText="1"/>
    </xf>
    <xf numFmtId="0" fontId="4" fillId="0" borderId="48" xfId="11" applyFont="1" applyFill="1" applyBorder="1" applyAlignment="1">
      <alignment horizontal="center" vertical="center"/>
    </xf>
    <xf numFmtId="1" fontId="4" fillId="0" borderId="48" xfId="0" applyNumberFormat="1" applyFont="1" applyFill="1" applyBorder="1" applyAlignment="1">
      <alignment horizontal="center" vertical="center" wrapText="1"/>
    </xf>
    <xf numFmtId="0" fontId="4" fillId="0" borderId="48" xfId="0" applyFont="1" applyFill="1" applyBorder="1" applyAlignment="1">
      <alignment horizontal="left" vertical="center" wrapText="1"/>
    </xf>
    <xf numFmtId="1" fontId="4" fillId="0" borderId="47" xfId="0" applyNumberFormat="1" applyFont="1" applyFill="1" applyBorder="1" applyAlignment="1">
      <alignment horizontal="center" vertical="center" wrapText="1"/>
    </xf>
    <xf numFmtId="0" fontId="4" fillId="0" borderId="104" xfId="0" applyFont="1" applyFill="1" applyBorder="1" applyAlignment="1">
      <alignment vertical="center" wrapText="1"/>
    </xf>
    <xf numFmtId="49" fontId="4" fillId="0" borderId="99" xfId="16" applyNumberFormat="1" applyFont="1" applyFill="1" applyBorder="1" applyAlignment="1">
      <alignment horizontal="center" vertical="center" wrapText="1"/>
    </xf>
    <xf numFmtId="0" fontId="31" fillId="0" borderId="111" xfId="0" applyFont="1" applyFill="1" applyBorder="1" applyAlignment="1">
      <alignment horizontal="center" vertical="center" wrapText="1"/>
    </xf>
    <xf numFmtId="168" fontId="5" fillId="0" borderId="48" xfId="0" applyNumberFormat="1" applyFont="1" applyFill="1" applyBorder="1" applyAlignment="1">
      <alignment horizontal="center" vertical="center" wrapText="1"/>
    </xf>
    <xf numFmtId="0" fontId="5" fillId="0" borderId="50" xfId="0" applyFont="1" applyFill="1" applyBorder="1" applyAlignment="1">
      <alignment vertical="center" wrapText="1"/>
    </xf>
    <xf numFmtId="0" fontId="5" fillId="0" borderId="51" xfId="0" applyFont="1" applyFill="1" applyBorder="1" applyAlignment="1">
      <alignment vertical="center" wrapText="1"/>
    </xf>
    <xf numFmtId="0" fontId="4" fillId="0" borderId="104" xfId="16" applyFont="1" applyFill="1" applyBorder="1" applyAlignment="1">
      <alignment vertical="center" wrapText="1"/>
    </xf>
    <xf numFmtId="2" fontId="4" fillId="0" borderId="104" xfId="16" applyNumberFormat="1" applyFont="1" applyFill="1" applyBorder="1" applyAlignment="1">
      <alignment horizontal="center" vertical="center" wrapText="1"/>
    </xf>
    <xf numFmtId="0" fontId="4" fillId="0" borderId="99" xfId="16" applyFont="1" applyFill="1" applyBorder="1" applyAlignment="1">
      <alignment horizontal="center" vertical="center" wrapText="1"/>
    </xf>
    <xf numFmtId="2" fontId="4" fillId="0" borderId="108" xfId="0" applyNumberFormat="1" applyFont="1" applyFill="1" applyBorder="1" applyAlignment="1">
      <alignment horizontal="center" vertical="center" wrapText="1"/>
    </xf>
    <xf numFmtId="43" fontId="4" fillId="0" borderId="0" xfId="0" applyNumberFormat="1" applyFont="1" applyFill="1" applyAlignment="1"/>
    <xf numFmtId="0" fontId="4" fillId="0" borderId="48" xfId="11" applyFont="1" applyFill="1" applyBorder="1" applyAlignment="1">
      <alignment horizontal="center" vertical="center" wrapText="1"/>
    </xf>
    <xf numFmtId="0" fontId="4" fillId="0" borderId="47" xfId="11" applyFont="1" applyFill="1" applyBorder="1" applyAlignment="1">
      <alignment horizontal="left" vertical="center" wrapText="1"/>
    </xf>
    <xf numFmtId="0" fontId="4" fillId="0" borderId="47" xfId="11" applyFont="1" applyFill="1" applyBorder="1" applyAlignment="1">
      <alignment horizontal="center" vertical="center" wrapText="1"/>
    </xf>
    <xf numFmtId="168" fontId="5" fillId="0" borderId="47" xfId="11" applyNumberFormat="1" applyFont="1" applyFill="1" applyBorder="1" applyAlignment="1">
      <alignment horizontal="center" vertical="center" wrapText="1"/>
    </xf>
    <xf numFmtId="0" fontId="4" fillId="0" borderId="48" xfId="11" applyFont="1" applyFill="1" applyBorder="1" applyAlignment="1">
      <alignment horizontal="left" vertical="center" wrapText="1"/>
    </xf>
    <xf numFmtId="1" fontId="4" fillId="0" borderId="48" xfId="16" applyNumberFormat="1" applyFont="1" applyFill="1" applyBorder="1" applyAlignment="1">
      <alignment horizontal="center" vertical="center" wrapText="1"/>
    </xf>
    <xf numFmtId="0" fontId="4" fillId="0" borderId="44" xfId="11" applyFont="1" applyFill="1" applyBorder="1" applyAlignment="1">
      <alignment horizontal="center" vertical="center" wrapText="1"/>
    </xf>
    <xf numFmtId="168" fontId="4" fillId="0" borderId="48" xfId="11" applyNumberFormat="1" applyFont="1" applyFill="1" applyBorder="1" applyAlignment="1">
      <alignment horizontal="center" vertical="center" wrapText="1"/>
    </xf>
    <xf numFmtId="0" fontId="4" fillId="0" borderId="104" xfId="11" applyFont="1" applyFill="1" applyBorder="1" applyAlignment="1">
      <alignment horizontal="left" vertical="center" wrapText="1"/>
    </xf>
    <xf numFmtId="0" fontId="4" fillId="0" borderId="95" xfId="18" applyFont="1" applyFill="1" applyBorder="1" applyAlignment="1">
      <alignment horizontal="left" vertical="center" wrapText="1"/>
    </xf>
    <xf numFmtId="0" fontId="4" fillId="0" borderId="106" xfId="18" applyFont="1" applyFill="1" applyBorder="1" applyAlignment="1">
      <alignment horizontal="center" vertical="center" wrapText="1"/>
    </xf>
    <xf numFmtId="49" fontId="4" fillId="0" borderId="104" xfId="16" applyNumberFormat="1" applyFont="1" applyFill="1" applyBorder="1" applyAlignment="1">
      <alignment horizontal="center" vertical="center" wrapText="1"/>
    </xf>
    <xf numFmtId="0" fontId="4" fillId="0" borderId="114" xfId="0" applyFont="1" applyFill="1" applyBorder="1" applyAlignment="1">
      <alignment vertical="center" wrapText="1"/>
    </xf>
    <xf numFmtId="168" fontId="4" fillId="0" borderId="104" xfId="0" applyNumberFormat="1" applyFont="1" applyFill="1" applyBorder="1" applyAlignment="1">
      <alignment horizontal="center" vertical="center" wrapText="1"/>
    </xf>
    <xf numFmtId="0" fontId="4" fillId="0" borderId="119" xfId="11" applyFont="1" applyFill="1" applyBorder="1" applyAlignment="1">
      <alignment horizontal="center" vertical="center" wrapText="1"/>
    </xf>
    <xf numFmtId="0" fontId="4" fillId="0" borderId="95" xfId="11" applyFont="1" applyFill="1" applyBorder="1" applyAlignment="1">
      <alignment horizontal="center" vertical="center"/>
    </xf>
    <xf numFmtId="0" fontId="4" fillId="0" borderId="109" xfId="11" applyFont="1" applyFill="1" applyBorder="1" applyAlignment="1">
      <alignment horizontal="center" vertical="center"/>
    </xf>
    <xf numFmtId="0" fontId="4" fillId="0" borderId="99" xfId="11" applyFont="1" applyFill="1" applyBorder="1" applyAlignment="1">
      <alignment horizontal="center" vertical="center"/>
    </xf>
    <xf numFmtId="1" fontId="4" fillId="0" borderId="99" xfId="0" applyNumberFormat="1" applyFont="1" applyFill="1" applyBorder="1" applyAlignment="1">
      <alignment horizontal="center" vertical="center" wrapText="1"/>
    </xf>
    <xf numFmtId="0" fontId="4" fillId="0" borderId="105" xfId="0" applyFont="1" applyFill="1" applyBorder="1" applyAlignment="1">
      <alignment horizontal="center" vertical="center" wrapText="1"/>
    </xf>
    <xf numFmtId="1" fontId="4" fillId="0" borderId="104" xfId="0" applyNumberFormat="1" applyFont="1" applyFill="1" applyBorder="1" applyAlignment="1">
      <alignment horizontal="center" vertical="center" wrapText="1"/>
    </xf>
    <xf numFmtId="49" fontId="4" fillId="0" borderId="100" xfId="5" applyNumberFormat="1" applyFont="1" applyFill="1" applyBorder="1" applyAlignment="1">
      <alignment horizontal="center" vertical="center" wrapText="1"/>
    </xf>
    <xf numFmtId="0" fontId="4" fillId="0" borderId="100" xfId="5" applyFont="1" applyFill="1" applyBorder="1" applyAlignment="1">
      <alignment horizontal="center" vertical="center" wrapText="1"/>
    </xf>
    <xf numFmtId="2" fontId="4" fillId="0" borderId="100" xfId="0" applyNumberFormat="1" applyFont="1" applyFill="1" applyBorder="1" applyAlignment="1">
      <alignment horizontal="center" vertical="center" wrapText="1"/>
    </xf>
    <xf numFmtId="49" fontId="4" fillId="0" borderId="112" xfId="5" applyNumberFormat="1" applyFont="1" applyFill="1" applyBorder="1" applyAlignment="1">
      <alignment horizontal="center" vertical="center" wrapText="1"/>
    </xf>
    <xf numFmtId="0" fontId="4" fillId="0" borderId="112" xfId="5" applyFont="1" applyFill="1" applyBorder="1" applyAlignment="1">
      <alignment horizontal="center" vertical="center" wrapText="1"/>
    </xf>
    <xf numFmtId="2" fontId="4" fillId="0" borderId="112" xfId="0" applyNumberFormat="1" applyFont="1" applyFill="1" applyBorder="1" applyAlignment="1">
      <alignment horizontal="center" vertical="center" wrapText="1"/>
    </xf>
    <xf numFmtId="49" fontId="4" fillId="0" borderId="110" xfId="5" applyNumberFormat="1" applyFont="1" applyFill="1" applyBorder="1" applyAlignment="1">
      <alignment horizontal="center" vertical="center" wrapText="1"/>
    </xf>
    <xf numFmtId="0" fontId="4" fillId="0" borderId="111" xfId="0" applyFont="1" applyFill="1" applyBorder="1" applyAlignment="1">
      <alignment horizontal="center" vertical="center"/>
    </xf>
    <xf numFmtId="168" fontId="4" fillId="0" borderId="111" xfId="0" applyNumberFormat="1" applyFont="1" applyFill="1" applyBorder="1" applyAlignment="1">
      <alignment horizontal="center" vertical="center"/>
    </xf>
    <xf numFmtId="0" fontId="4" fillId="0" borderId="94" xfId="16" applyFont="1" applyFill="1" applyBorder="1" applyAlignment="1">
      <alignment horizontal="center" vertical="center" wrapText="1"/>
    </xf>
    <xf numFmtId="0" fontId="4" fillId="0" borderId="94" xfId="0" applyFont="1" applyFill="1" applyBorder="1" applyAlignment="1">
      <alignment horizontal="center" vertical="center" wrapText="1"/>
    </xf>
    <xf numFmtId="168" fontId="4" fillId="0" borderId="94" xfId="13" applyNumberFormat="1" applyFont="1" applyFill="1" applyBorder="1" applyAlignment="1">
      <alignment horizontal="center" vertical="center" wrapText="1"/>
    </xf>
    <xf numFmtId="0" fontId="4" fillId="0" borderId="94" xfId="13" applyFont="1" applyFill="1" applyBorder="1" applyAlignment="1">
      <alignment horizontal="left" vertical="center" wrapText="1"/>
    </xf>
    <xf numFmtId="2" fontId="4" fillId="0" borderId="0" xfId="13" applyNumberFormat="1" applyFont="1" applyFill="1" applyBorder="1" applyAlignment="1">
      <alignment horizontal="center" vertical="center" wrapText="1"/>
    </xf>
    <xf numFmtId="0" fontId="4" fillId="0" borderId="95" xfId="5" applyFont="1" applyFill="1" applyBorder="1" applyAlignment="1">
      <alignment horizontal="center" vertical="center" wrapText="1"/>
    </xf>
    <xf numFmtId="2" fontId="4" fillId="0" borderId="104" xfId="13" applyNumberFormat="1" applyFont="1" applyFill="1" applyBorder="1" applyAlignment="1">
      <alignment horizontal="center" vertical="center" wrapText="1"/>
    </xf>
    <xf numFmtId="0" fontId="4" fillId="0" borderId="95" xfId="13" applyFont="1" applyFill="1" applyBorder="1" applyAlignment="1">
      <alignment vertical="center" wrapText="1"/>
    </xf>
    <xf numFmtId="0" fontId="4" fillId="0" borderId="129" xfId="11" applyFont="1" applyFill="1" applyBorder="1" applyAlignment="1">
      <alignment horizontal="left" vertical="center" wrapText="1"/>
    </xf>
    <xf numFmtId="0" fontId="4" fillId="0" borderId="129" xfId="11" applyFont="1" applyFill="1" applyBorder="1" applyAlignment="1">
      <alignment horizontal="center" vertical="center"/>
    </xf>
    <xf numFmtId="168" fontId="4" fillId="0" borderId="129" xfId="0" applyNumberFormat="1" applyFont="1" applyFill="1" applyBorder="1" applyAlignment="1">
      <alignment horizontal="center" vertical="center" wrapText="1"/>
    </xf>
    <xf numFmtId="1" fontId="4" fillId="0" borderId="48" xfId="11" applyNumberFormat="1" applyFont="1" applyFill="1" applyBorder="1" applyAlignment="1">
      <alignment horizontal="center" vertical="center" wrapText="1"/>
    </xf>
    <xf numFmtId="49" fontId="4" fillId="0" borderId="49" xfId="16" applyNumberFormat="1" applyFont="1" applyFill="1" applyBorder="1" applyAlignment="1">
      <alignment horizontal="center" vertical="center" wrapText="1"/>
    </xf>
    <xf numFmtId="0" fontId="4" fillId="0" borderId="44" xfId="0" applyFont="1" applyFill="1" applyBorder="1" applyAlignment="1">
      <alignment horizontal="center" vertical="center"/>
    </xf>
    <xf numFmtId="0" fontId="4" fillId="0" borderId="108" xfId="0" applyFont="1" applyFill="1" applyBorder="1" applyAlignment="1">
      <alignment horizontal="left" vertical="center" wrapText="1"/>
    </xf>
    <xf numFmtId="0" fontId="4" fillId="0" borderId="94" xfId="0" applyFont="1" applyFill="1" applyBorder="1" applyAlignment="1">
      <alignment horizontal="center" vertical="center"/>
    </xf>
    <xf numFmtId="0" fontId="4" fillId="0" borderId="105" xfId="0" applyFont="1" applyFill="1" applyBorder="1" applyAlignment="1">
      <alignment horizontal="center" vertical="center"/>
    </xf>
    <xf numFmtId="0" fontId="4" fillId="0" borderId="120" xfId="11" applyFont="1" applyFill="1" applyBorder="1" applyAlignment="1">
      <alignment horizontal="center" vertical="center" wrapText="1"/>
    </xf>
    <xf numFmtId="49" fontId="4" fillId="0" borderId="117" xfId="16" applyNumberFormat="1" applyFont="1" applyFill="1" applyBorder="1" applyAlignment="1">
      <alignment horizontal="center" vertical="center" wrapText="1"/>
    </xf>
    <xf numFmtId="0" fontId="4" fillId="0" borderId="120" xfId="16" applyFont="1" applyFill="1" applyBorder="1" applyAlignment="1">
      <alignment horizontal="left" vertical="center" wrapText="1"/>
    </xf>
    <xf numFmtId="0" fontId="4" fillId="0" borderId="120" xfId="16" applyFont="1" applyFill="1" applyBorder="1" applyAlignment="1">
      <alignment horizontal="center" vertical="center" wrapText="1"/>
    </xf>
    <xf numFmtId="2" fontId="4" fillId="0" borderId="120" xfId="13" applyNumberFormat="1" applyFont="1" applyFill="1" applyBorder="1" applyAlignment="1">
      <alignment horizontal="center" vertical="center" wrapText="1"/>
    </xf>
    <xf numFmtId="0" fontId="5" fillId="0" borderId="0" xfId="0" applyFont="1" applyFill="1" applyAlignment="1">
      <alignment horizontal="center"/>
    </xf>
    <xf numFmtId="164" fontId="4" fillId="0" borderId="0" xfId="0" applyNumberFormat="1" applyFont="1" applyFill="1" applyAlignment="1">
      <alignment horizontal="center" wrapText="1"/>
    </xf>
    <xf numFmtId="0" fontId="4" fillId="0" borderId="0" xfId="0" applyFont="1" applyFill="1" applyAlignment="1">
      <alignment horizontal="center" wrapText="1"/>
    </xf>
    <xf numFmtId="0" fontId="4" fillId="0" borderId="122" xfId="0" applyFont="1" applyFill="1" applyBorder="1" applyAlignment="1">
      <alignment horizontal="center" vertical="center" wrapText="1"/>
    </xf>
    <xf numFmtId="0" fontId="4" fillId="0" borderId="19" xfId="0" applyFont="1" applyFill="1" applyBorder="1" applyAlignment="1">
      <alignment horizontal="center" vertical="center" wrapText="1"/>
    </xf>
    <xf numFmtId="165" fontId="4" fillId="0" borderId="4" xfId="0" applyNumberFormat="1" applyFont="1" applyFill="1" applyBorder="1" applyAlignment="1">
      <alignment horizontal="center" vertical="center" wrapText="1"/>
    </xf>
    <xf numFmtId="169" fontId="4" fillId="0" borderId="15" xfId="0" applyNumberFormat="1" applyFont="1" applyFill="1" applyBorder="1" applyAlignment="1">
      <alignment horizontal="center" vertical="center" wrapText="1"/>
    </xf>
    <xf numFmtId="164" fontId="4" fillId="0" borderId="22" xfId="0" applyNumberFormat="1" applyFont="1" applyFill="1" applyBorder="1" applyAlignment="1">
      <alignment horizontal="center" vertical="center" wrapText="1"/>
    </xf>
    <xf numFmtId="164" fontId="4" fillId="0" borderId="5" xfId="0" applyNumberFormat="1" applyFont="1" applyFill="1" applyBorder="1" applyAlignment="1">
      <alignment horizontal="center" vertical="center"/>
    </xf>
    <xf numFmtId="164" fontId="4" fillId="0" borderId="53" xfId="0" applyNumberFormat="1" applyFont="1" applyFill="1" applyBorder="1" applyAlignment="1">
      <alignment horizontal="center" vertical="center" wrapText="1"/>
    </xf>
    <xf numFmtId="165" fontId="4" fillId="0" borderId="6" xfId="0" applyNumberFormat="1" applyFont="1" applyFill="1" applyBorder="1" applyAlignment="1">
      <alignment horizontal="center" vertical="center" wrapText="1"/>
    </xf>
    <xf numFmtId="169" fontId="4" fillId="0" borderId="33" xfId="0" applyNumberFormat="1" applyFont="1" applyFill="1" applyBorder="1" applyAlignment="1">
      <alignment horizontal="center" vertical="center" wrapText="1"/>
    </xf>
    <xf numFmtId="164" fontId="4" fillId="0" borderId="25" xfId="0" applyNumberFormat="1" applyFont="1" applyFill="1" applyBorder="1" applyAlignment="1">
      <alignment horizontal="center"/>
    </xf>
    <xf numFmtId="164" fontId="4" fillId="0" borderId="123" xfId="0" applyNumberFormat="1" applyFont="1" applyFill="1" applyBorder="1" applyAlignment="1">
      <alignment horizontal="center" vertical="center"/>
    </xf>
    <xf numFmtId="164" fontId="4" fillId="0" borderId="60" xfId="0" applyNumberFormat="1" applyFont="1" applyFill="1" applyBorder="1" applyAlignment="1">
      <alignment horizontal="center" vertical="center" wrapText="1"/>
    </xf>
    <xf numFmtId="164" fontId="4" fillId="0" borderId="60" xfId="0" applyNumberFormat="1" applyFont="1" applyFill="1" applyBorder="1" applyAlignment="1">
      <alignment horizontal="center" vertical="center"/>
    </xf>
    <xf numFmtId="165" fontId="4" fillId="0" borderId="82" xfId="0" applyNumberFormat="1" applyFont="1" applyFill="1" applyBorder="1" applyAlignment="1">
      <alignment horizontal="center" vertical="center" wrapText="1"/>
    </xf>
    <xf numFmtId="169" fontId="4" fillId="0" borderId="80" xfId="0" applyNumberFormat="1" applyFont="1" applyFill="1" applyBorder="1" applyAlignment="1">
      <alignment horizontal="center" vertical="center" wrapText="1"/>
    </xf>
    <xf numFmtId="164" fontId="4" fillId="0" borderId="79" xfId="0" applyNumberFormat="1" applyFont="1" applyFill="1" applyBorder="1" applyAlignment="1">
      <alignment horizontal="center"/>
    </xf>
    <xf numFmtId="164" fontId="4" fillId="0" borderId="124" xfId="0" applyNumberFormat="1" applyFont="1" applyFill="1" applyBorder="1" applyAlignment="1">
      <alignment horizontal="center" vertical="center"/>
    </xf>
    <xf numFmtId="164" fontId="5" fillId="0" borderId="11" xfId="0" applyNumberFormat="1" applyFont="1" applyFill="1" applyBorder="1" applyAlignment="1">
      <alignment horizontal="center"/>
    </xf>
    <xf numFmtId="166" fontId="5" fillId="0" borderId="5" xfId="0" applyNumberFormat="1" applyFont="1" applyFill="1" applyBorder="1" applyAlignment="1">
      <alignment horizontal="center"/>
    </xf>
    <xf numFmtId="164" fontId="4" fillId="0" borderId="5" xfId="0" applyNumberFormat="1" applyFont="1" applyFill="1" applyBorder="1" applyAlignment="1">
      <alignment horizontal="center"/>
    </xf>
    <xf numFmtId="164" fontId="4" fillId="0" borderId="0" xfId="0" applyNumberFormat="1" applyFont="1" applyFill="1"/>
    <xf numFmtId="166" fontId="4" fillId="0" borderId="7" xfId="0" applyNumberFormat="1" applyFont="1" applyFill="1" applyBorder="1" applyAlignment="1">
      <alignment horizontal="center"/>
    </xf>
    <xf numFmtId="164" fontId="4" fillId="0" borderId="29" xfId="0" applyNumberFormat="1" applyFont="1" applyFill="1" applyBorder="1" applyAlignment="1">
      <alignment horizontal="center"/>
    </xf>
    <xf numFmtId="166" fontId="5" fillId="0" borderId="7" xfId="0" applyNumberFormat="1" applyFont="1" applyFill="1" applyBorder="1" applyAlignment="1">
      <alignment horizontal="center"/>
    </xf>
    <xf numFmtId="0" fontId="5" fillId="0" borderId="1" xfId="0" applyFont="1" applyFill="1" applyBorder="1" applyAlignment="1">
      <alignment horizontal="center"/>
    </xf>
    <xf numFmtId="0" fontId="5" fillId="0" borderId="2" xfId="0" applyFont="1" applyFill="1" applyBorder="1" applyAlignment="1">
      <alignment wrapText="1"/>
    </xf>
    <xf numFmtId="0" fontId="5" fillId="0" borderId="3" xfId="0" applyFont="1" applyFill="1" applyBorder="1" applyAlignment="1">
      <alignment horizontal="left" vertical="center" wrapText="1"/>
    </xf>
    <xf numFmtId="0" fontId="5" fillId="0" borderId="3" xfId="0" applyFont="1" applyFill="1" applyBorder="1" applyAlignment="1">
      <alignment wrapText="1"/>
    </xf>
    <xf numFmtId="0" fontId="4" fillId="0" borderId="3" xfId="0" applyFont="1" applyFill="1" applyBorder="1" applyAlignment="1">
      <alignment horizontal="left" vertical="center" wrapText="1"/>
    </xf>
    <xf numFmtId="0" fontId="4" fillId="0" borderId="3" xfId="0" applyFont="1" applyFill="1" applyBorder="1" applyAlignment="1">
      <alignment wrapText="1"/>
    </xf>
    <xf numFmtId="0" fontId="5" fillId="0" borderId="4" xfId="0" applyFont="1" applyFill="1" applyBorder="1" applyAlignment="1">
      <alignment horizontal="center"/>
    </xf>
    <xf numFmtId="0" fontId="5" fillId="0" borderId="37" xfId="0" applyFont="1" applyFill="1" applyBorder="1" applyAlignment="1">
      <alignment horizontal="center"/>
    </xf>
    <xf numFmtId="0" fontId="5" fillId="0" borderId="5" xfId="0" applyFont="1" applyFill="1" applyBorder="1" applyAlignment="1">
      <alignment horizontal="center"/>
    </xf>
    <xf numFmtId="1" fontId="4" fillId="0" borderId="39" xfId="0" applyNumberFormat="1" applyFont="1" applyFill="1" applyBorder="1" applyAlignment="1">
      <alignment horizontal="center" vertical="center" wrapText="1"/>
    </xf>
    <xf numFmtId="0" fontId="4" fillId="0" borderId="77" xfId="0" applyFont="1" applyFill="1" applyBorder="1" applyAlignment="1">
      <alignment horizontal="center" vertical="center" wrapText="1"/>
    </xf>
    <xf numFmtId="4" fontId="4" fillId="0" borderId="39" xfId="0" applyNumberFormat="1" applyFont="1" applyFill="1" applyBorder="1" applyAlignment="1">
      <alignment horizontal="center" vertical="center"/>
    </xf>
    <xf numFmtId="0" fontId="4" fillId="0" borderId="45" xfId="0" applyFont="1" applyFill="1" applyBorder="1"/>
    <xf numFmtId="0" fontId="5" fillId="0" borderId="38" xfId="0" applyFont="1" applyFill="1" applyBorder="1" applyAlignment="1">
      <alignment horizontal="right"/>
    </xf>
    <xf numFmtId="2" fontId="5" fillId="0" borderId="30" xfId="0" applyNumberFormat="1" applyFont="1" applyFill="1" applyBorder="1" applyAlignment="1">
      <alignment horizontal="center" vertical="center"/>
    </xf>
    <xf numFmtId="0" fontId="5" fillId="0" borderId="0" xfId="0" applyFont="1" applyFill="1" applyAlignment="1">
      <alignment horizontal="right"/>
    </xf>
    <xf numFmtId="2" fontId="5" fillId="0" borderId="0" xfId="0" applyNumberFormat="1" applyFont="1" applyFill="1" applyAlignment="1">
      <alignment horizontal="center" vertical="center"/>
    </xf>
    <xf numFmtId="2" fontId="4" fillId="0" borderId="12" xfId="0" applyNumberFormat="1" applyFont="1" applyFill="1" applyBorder="1" applyAlignment="1">
      <alignment horizontal="center" vertical="center"/>
    </xf>
    <xf numFmtId="172" fontId="4" fillId="0" borderId="132" xfId="11" applyNumberFormat="1" applyFont="1" applyBorder="1" applyAlignment="1">
      <alignment horizontal="center" vertical="center"/>
    </xf>
    <xf numFmtId="172" fontId="4" fillId="0" borderId="110" xfId="11" applyNumberFormat="1" applyFont="1" applyBorder="1" applyAlignment="1">
      <alignment horizontal="center" vertical="center"/>
    </xf>
    <xf numFmtId="172" fontId="5" fillId="0" borderId="133" xfId="11" applyNumberFormat="1" applyFont="1" applyBorder="1" applyAlignment="1">
      <alignment horizontal="center" vertical="center"/>
    </xf>
    <xf numFmtId="172" fontId="4" fillId="0" borderId="130" xfId="11" applyNumberFormat="1" applyFont="1" applyBorder="1" applyAlignment="1">
      <alignment horizontal="center" vertical="center"/>
    </xf>
    <xf numFmtId="172" fontId="5" fillId="0" borderId="134" xfId="11" applyNumberFormat="1" applyFont="1" applyBorder="1" applyAlignment="1">
      <alignment horizontal="center" vertical="center"/>
    </xf>
    <xf numFmtId="172" fontId="4" fillId="0" borderId="135" xfId="11" applyNumberFormat="1" applyFont="1" applyBorder="1" applyAlignment="1">
      <alignment horizontal="center" vertical="center"/>
    </xf>
    <xf numFmtId="172" fontId="4" fillId="0" borderId="136" xfId="11" applyNumberFormat="1" applyFont="1" applyBorder="1" applyAlignment="1">
      <alignment horizontal="center" vertical="center"/>
    </xf>
    <xf numFmtId="172" fontId="5" fillId="0" borderId="137" xfId="11" applyNumberFormat="1" applyFont="1" applyBorder="1" applyAlignment="1">
      <alignment horizontal="center" vertical="center"/>
    </xf>
    <xf numFmtId="172" fontId="4" fillId="0" borderId="138" xfId="11" applyNumberFormat="1" applyFont="1" applyBorder="1" applyAlignment="1">
      <alignment horizontal="center" vertical="center"/>
    </xf>
    <xf numFmtId="172" fontId="4" fillId="0" borderId="131" xfId="11" applyNumberFormat="1" applyFont="1" applyBorder="1" applyAlignment="1">
      <alignment horizontal="center" vertical="center"/>
    </xf>
    <xf numFmtId="172" fontId="4" fillId="0" borderId="141" xfId="11" applyNumberFormat="1" applyFont="1" applyBorder="1" applyAlignment="1">
      <alignment horizontal="center" vertical="center"/>
    </xf>
    <xf numFmtId="172" fontId="4" fillId="0" borderId="140" xfId="11" applyNumberFormat="1" applyFont="1" applyBorder="1" applyAlignment="1">
      <alignment horizontal="center" vertical="center"/>
    </xf>
    <xf numFmtId="172" fontId="5" fillId="0" borderId="142" xfId="11" applyNumberFormat="1" applyFont="1" applyBorder="1" applyAlignment="1">
      <alignment horizontal="center" vertical="center"/>
    </xf>
    <xf numFmtId="172" fontId="4" fillId="0" borderId="143" xfId="11" applyNumberFormat="1" applyFont="1" applyBorder="1" applyAlignment="1">
      <alignment horizontal="center" vertical="center"/>
    </xf>
    <xf numFmtId="172" fontId="4" fillId="0" borderId="139" xfId="11" applyNumberFormat="1" applyFont="1" applyBorder="1" applyAlignment="1">
      <alignment horizontal="center" vertical="center"/>
    </xf>
    <xf numFmtId="172" fontId="5" fillId="0" borderId="144" xfId="11" applyNumberFormat="1" applyFont="1" applyBorder="1" applyAlignment="1">
      <alignment horizontal="center" vertical="center"/>
    </xf>
    <xf numFmtId="172" fontId="4" fillId="0" borderId="10" xfId="11" applyNumberFormat="1" applyFont="1" applyBorder="1" applyAlignment="1">
      <alignment horizontal="center" vertical="center"/>
    </xf>
    <xf numFmtId="172" fontId="4" fillId="0" borderId="32" xfId="11" applyNumberFormat="1" applyFont="1" applyBorder="1" applyAlignment="1">
      <alignment horizontal="center" vertical="center"/>
    </xf>
    <xf numFmtId="172" fontId="4" fillId="0" borderId="12" xfId="11" applyNumberFormat="1" applyFont="1" applyBorder="1" applyAlignment="1">
      <alignment horizontal="center" vertical="center"/>
    </xf>
    <xf numFmtId="172" fontId="4" fillId="0" borderId="0" xfId="0" applyNumberFormat="1" applyFont="1" applyFill="1" applyAlignment="1"/>
    <xf numFmtId="0" fontId="4" fillId="0" borderId="0" xfId="0" applyFont="1" applyFill="1" applyBorder="1" applyAlignment="1">
      <alignment horizontal="center"/>
    </xf>
    <xf numFmtId="0" fontId="4" fillId="0" borderId="0" xfId="0" applyFont="1" applyFill="1" applyBorder="1" applyAlignment="1">
      <alignment horizontal="right"/>
    </xf>
    <xf numFmtId="0" fontId="4" fillId="0" borderId="10" xfId="0" applyFont="1" applyFill="1" applyBorder="1" applyAlignment="1">
      <alignment horizontal="left"/>
    </xf>
    <xf numFmtId="0" fontId="4" fillId="0" borderId="1" xfId="0" applyFont="1" applyFill="1" applyBorder="1" applyAlignment="1">
      <alignment horizontal="center" wrapText="1"/>
    </xf>
    <xf numFmtId="0" fontId="4" fillId="0" borderId="13" xfId="0" applyFont="1" applyFill="1" applyBorder="1" applyAlignment="1">
      <alignment horizontal="center" wrapText="1"/>
    </xf>
    <xf numFmtId="0" fontId="5" fillId="0" borderId="7" xfId="0" applyFont="1" applyFill="1" applyBorder="1" applyAlignment="1">
      <alignment horizontal="right"/>
    </xf>
    <xf numFmtId="0" fontId="5" fillId="0" borderId="9" xfId="0" applyFont="1" applyFill="1" applyBorder="1" applyAlignment="1">
      <alignment horizontal="right"/>
    </xf>
    <xf numFmtId="172" fontId="4" fillId="0" borderId="1" xfId="0" applyNumberFormat="1" applyFont="1" applyFill="1" applyBorder="1" applyAlignment="1">
      <alignment horizontal="center" wrapText="1"/>
    </xf>
    <xf numFmtId="43" fontId="4" fillId="0" borderId="21" xfId="0" applyNumberFormat="1" applyFont="1" applyFill="1" applyBorder="1" applyAlignment="1">
      <alignment horizontal="left" vertical="top" wrapText="1"/>
    </xf>
    <xf numFmtId="43" fontId="4" fillId="0" borderId="24" xfId="0" applyNumberFormat="1" applyFont="1" applyFill="1" applyBorder="1" applyAlignment="1">
      <alignment horizontal="left" vertical="top" wrapText="1"/>
    </xf>
    <xf numFmtId="0" fontId="5" fillId="0" borderId="28" xfId="0" applyFont="1" applyFill="1" applyBorder="1" applyAlignment="1">
      <alignment horizontal="right"/>
    </xf>
    <xf numFmtId="0" fontId="5" fillId="0" borderId="5" xfId="0" applyFont="1" applyFill="1" applyBorder="1" applyAlignment="1">
      <alignment horizontal="right"/>
    </xf>
    <xf numFmtId="0" fontId="4" fillId="0" borderId="7" xfId="0" applyFont="1" applyFill="1" applyBorder="1" applyAlignment="1">
      <alignment horizontal="right"/>
    </xf>
    <xf numFmtId="43" fontId="4" fillId="0" borderId="59" xfId="0" applyNumberFormat="1" applyFont="1" applyFill="1" applyBorder="1" applyAlignment="1">
      <alignment horizontal="left" vertical="top" wrapText="1"/>
    </xf>
    <xf numFmtId="43" fontId="4" fillId="0" borderId="60" xfId="0" applyNumberFormat="1" applyFont="1" applyFill="1" applyBorder="1" applyAlignment="1">
      <alignment horizontal="left" vertical="top" wrapText="1"/>
    </xf>
    <xf numFmtId="43" fontId="4" fillId="0" borderId="81" xfId="0" applyNumberFormat="1" applyFont="1" applyFill="1" applyBorder="1" applyAlignment="1">
      <alignment horizontal="left" vertical="top" wrapText="1"/>
    </xf>
    <xf numFmtId="43" fontId="4" fillId="0" borderId="83" xfId="0" applyNumberFormat="1" applyFont="1" applyFill="1" applyBorder="1" applyAlignment="1">
      <alignment horizontal="left" vertical="top" wrapText="1"/>
    </xf>
    <xf numFmtId="0" fontId="5" fillId="0" borderId="0" xfId="0" applyFont="1" applyFill="1" applyBorder="1" applyAlignment="1">
      <alignment horizontal="center"/>
    </xf>
    <xf numFmtId="0" fontId="4" fillId="0" borderId="13" xfId="0" applyFont="1" applyFill="1" applyBorder="1" applyAlignment="1">
      <alignment horizontal="center" vertical="top"/>
    </xf>
    <xf numFmtId="0" fontId="4" fillId="0" borderId="0" xfId="0" applyFont="1" applyFill="1" applyBorder="1" applyAlignment="1">
      <alignment horizontal="center" wrapText="1"/>
    </xf>
    <xf numFmtId="0" fontId="5" fillId="0" borderId="0" xfId="0" applyFont="1" applyFill="1" applyBorder="1" applyAlignment="1">
      <alignment horizontal="right" wrapText="1"/>
    </xf>
    <xf numFmtId="43" fontId="5" fillId="0" borderId="2" xfId="0" applyNumberFormat="1" applyFont="1" applyFill="1" applyBorder="1" applyAlignment="1">
      <alignment horizontal="left"/>
    </xf>
    <xf numFmtId="164" fontId="4" fillId="0" borderId="2" xfId="0" applyNumberFormat="1" applyFont="1" applyFill="1" applyBorder="1" applyAlignment="1">
      <alignment horizontal="center"/>
    </xf>
    <xf numFmtId="0" fontId="4" fillId="0" borderId="14" xfId="0" applyFont="1" applyFill="1" applyBorder="1" applyAlignment="1">
      <alignment horizontal="center" vertical="center" textRotation="90" wrapText="1"/>
    </xf>
    <xf numFmtId="43" fontId="5" fillId="0" borderId="3" xfId="0" applyNumberFormat="1" applyFont="1" applyFill="1" applyBorder="1" applyAlignment="1">
      <alignment horizontal="left"/>
    </xf>
    <xf numFmtId="0" fontId="5" fillId="0" borderId="0" xfId="0" applyFont="1" applyFill="1" applyBorder="1" applyAlignment="1">
      <alignment horizontal="right"/>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8" xfId="0" applyFont="1" applyFill="1" applyBorder="1" applyAlignment="1">
      <alignment horizontal="center" vertical="center" wrapText="1"/>
    </xf>
    <xf numFmtId="43" fontId="4" fillId="0" borderId="1" xfId="0" applyNumberFormat="1" applyFont="1" applyFill="1" applyBorder="1" applyAlignment="1">
      <alignment horizontal="center" wrapText="1"/>
    </xf>
    <xf numFmtId="0" fontId="4" fillId="0" borderId="5" xfId="0" applyFont="1" applyFill="1" applyBorder="1" applyAlignment="1">
      <alignment horizontal="center" vertical="center"/>
    </xf>
    <xf numFmtId="0" fontId="5" fillId="0" borderId="30" xfId="1" applyFont="1" applyFill="1" applyBorder="1" applyAlignment="1">
      <alignment horizontal="right" wrapText="1"/>
    </xf>
    <xf numFmtId="0" fontId="5" fillId="0" borderId="28" xfId="1" applyFont="1" applyFill="1" applyBorder="1" applyAlignment="1">
      <alignment horizontal="right" wrapText="1"/>
    </xf>
    <xf numFmtId="0" fontId="4" fillId="0" borderId="10" xfId="0" applyFont="1" applyFill="1" applyBorder="1" applyAlignment="1">
      <alignment horizontal="center" vertical="center" textRotation="90" wrapText="1"/>
    </xf>
    <xf numFmtId="0" fontId="4" fillId="0" borderId="32" xfId="0" applyFont="1" applyFill="1" applyBorder="1" applyAlignment="1">
      <alignment horizontal="center" vertical="center" textRotation="90" wrapText="1"/>
    </xf>
    <xf numFmtId="0" fontId="4" fillId="0" borderId="32" xfId="0" applyFont="1" applyFill="1" applyBorder="1" applyAlignment="1">
      <alignment horizontal="center" vertical="center"/>
    </xf>
    <xf numFmtId="0" fontId="4" fillId="0" borderId="32" xfId="0" applyFont="1" applyFill="1" applyBorder="1" applyAlignment="1">
      <alignment horizontal="center" vertical="center" textRotation="90"/>
    </xf>
    <xf numFmtId="0" fontId="4" fillId="0" borderId="12" xfId="0" applyFont="1" applyFill="1" applyBorder="1" applyAlignment="1">
      <alignment horizontal="center" vertical="center" textRotation="90" wrapText="1"/>
    </xf>
    <xf numFmtId="43" fontId="4" fillId="0" borderId="2" xfId="0" applyNumberFormat="1" applyFont="1" applyFill="1" applyBorder="1" applyAlignment="1">
      <alignment horizontal="left" wrapText="1"/>
    </xf>
    <xf numFmtId="0" fontId="4" fillId="0" borderId="0" xfId="0" applyFont="1" applyFill="1" applyBorder="1" applyAlignment="1">
      <alignment horizontal="center" vertical="center" wrapText="1"/>
    </xf>
    <xf numFmtId="2" fontId="4" fillId="0" borderId="0" xfId="0" applyNumberFormat="1" applyFont="1" applyFill="1" applyBorder="1" applyAlignment="1">
      <alignment horizontal="right" vertical="center"/>
    </xf>
    <xf numFmtId="164" fontId="4" fillId="0" borderId="0"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4" fillId="0" borderId="0" xfId="0" applyFont="1" applyFill="1" applyBorder="1" applyAlignment="1">
      <alignment horizontal="center" vertical="center"/>
    </xf>
    <xf numFmtId="43" fontId="4" fillId="0" borderId="1" xfId="0" applyNumberFormat="1" applyFont="1" applyFill="1" applyBorder="1" applyAlignment="1">
      <alignment wrapText="1"/>
    </xf>
    <xf numFmtId="43" fontId="4" fillId="0" borderId="13" xfId="0" applyNumberFormat="1" applyFont="1" applyFill="1" applyBorder="1" applyAlignment="1">
      <alignment wrapText="1"/>
    </xf>
    <xf numFmtId="0" fontId="4" fillId="0" borderId="52" xfId="0" applyFont="1" applyFill="1" applyBorder="1" applyAlignment="1">
      <alignment vertical="center"/>
    </xf>
    <xf numFmtId="0" fontId="4" fillId="0" borderId="22" xfId="0" applyFont="1" applyFill="1" applyBorder="1" applyAlignment="1">
      <alignment vertical="center"/>
    </xf>
    <xf numFmtId="0" fontId="4" fillId="0" borderId="53" xfId="0" applyFont="1" applyFill="1" applyBorder="1" applyAlignment="1">
      <alignment vertical="center"/>
    </xf>
    <xf numFmtId="0" fontId="4" fillId="0" borderId="54" xfId="1" applyFont="1" applyFill="1" applyBorder="1" applyAlignment="1">
      <alignment horizontal="right" wrapText="1"/>
    </xf>
    <xf numFmtId="0" fontId="4" fillId="0" borderId="55" xfId="1" applyFont="1" applyFill="1" applyBorder="1" applyAlignment="1">
      <alignment horizontal="right" wrapText="1"/>
    </xf>
    <xf numFmtId="0" fontId="4" fillId="0" borderId="56" xfId="1" applyFont="1" applyFill="1" applyBorder="1" applyAlignment="1">
      <alignment horizontal="right" wrapText="1"/>
    </xf>
    <xf numFmtId="0" fontId="4" fillId="0" borderId="14" xfId="0" applyFont="1" applyFill="1" applyBorder="1" applyAlignment="1">
      <alignment vertical="center" textRotation="90" wrapText="1"/>
    </xf>
    <xf numFmtId="0" fontId="4" fillId="0" borderId="45" xfId="0" applyFont="1" applyFill="1" applyBorder="1" applyAlignment="1">
      <alignment vertical="center" textRotation="90" wrapText="1"/>
    </xf>
    <xf numFmtId="0" fontId="4" fillId="0" borderId="15" xfId="0" applyFont="1" applyFill="1" applyBorder="1" applyAlignment="1">
      <alignment vertical="center" textRotation="90" wrapText="1"/>
    </xf>
    <xf numFmtId="0" fontId="4" fillId="0" borderId="57" xfId="0" applyFont="1" applyFill="1" applyBorder="1" applyAlignment="1">
      <alignment vertical="center" textRotation="90" wrapText="1"/>
    </xf>
    <xf numFmtId="0" fontId="4" fillId="0" borderId="15" xfId="0" applyFont="1" applyFill="1" applyBorder="1" applyAlignment="1">
      <alignment vertical="center" textRotation="90"/>
    </xf>
    <xf numFmtId="0" fontId="4" fillId="0" borderId="57" xfId="0" applyFont="1" applyFill="1" applyBorder="1" applyAlignment="1">
      <alignment vertical="center" textRotation="90"/>
    </xf>
    <xf numFmtId="0" fontId="4" fillId="0" borderId="16" xfId="0" applyFont="1" applyFill="1" applyBorder="1" applyAlignment="1">
      <alignment vertical="center" textRotation="90" wrapText="1"/>
    </xf>
    <xf numFmtId="0" fontId="4" fillId="0" borderId="58" xfId="0" applyFont="1" applyFill="1" applyBorder="1" applyAlignment="1">
      <alignment vertical="center" textRotation="90" wrapText="1"/>
    </xf>
    <xf numFmtId="0" fontId="4" fillId="0" borderId="15" xfId="0" applyFont="1" applyFill="1" applyBorder="1" applyAlignment="1">
      <alignment vertical="center"/>
    </xf>
    <xf numFmtId="0" fontId="4" fillId="0" borderId="57" xfId="0" applyFont="1" applyFill="1" applyBorder="1"/>
    <xf numFmtId="43" fontId="4" fillId="0" borderId="3" xfId="0" applyNumberFormat="1" applyFont="1" applyFill="1" applyBorder="1" applyAlignment="1">
      <alignment horizontal="left" wrapText="1"/>
    </xf>
    <xf numFmtId="0" fontId="4" fillId="0" borderId="0" xfId="0" applyFont="1" applyFill="1" applyBorder="1" applyAlignment="1">
      <alignment vertical="center" wrapText="1"/>
    </xf>
    <xf numFmtId="2" fontId="4" fillId="0" borderId="0" xfId="0" applyNumberFormat="1" applyFont="1" applyFill="1" applyBorder="1" applyAlignment="1">
      <alignment vertical="center"/>
    </xf>
    <xf numFmtId="164" fontId="4" fillId="0" borderId="0" xfId="0" applyNumberFormat="1" applyFont="1" applyFill="1" applyBorder="1" applyAlignment="1">
      <alignment vertical="center"/>
    </xf>
    <xf numFmtId="0" fontId="4" fillId="0" borderId="1" xfId="0" applyFont="1" applyFill="1" applyBorder="1" applyAlignment="1">
      <alignment horizontal="center" vertical="center"/>
    </xf>
    <xf numFmtId="43" fontId="4" fillId="0" borderId="13" xfId="0" applyNumberFormat="1" applyFont="1" applyFill="1" applyBorder="1" applyAlignment="1">
      <alignment horizontal="center" wrapText="1"/>
    </xf>
    <xf numFmtId="0" fontId="5" fillId="0" borderId="11" xfId="1" applyFont="1" applyFill="1" applyBorder="1" applyAlignment="1">
      <alignment horizontal="right" wrapText="1"/>
    </xf>
    <xf numFmtId="0" fontId="17" fillId="0" borderId="23" xfId="0" applyFont="1" applyBorder="1" applyAlignment="1">
      <alignment horizontal="center" vertical="center" wrapText="1"/>
    </xf>
    <xf numFmtId="0" fontId="11" fillId="0" borderId="0" xfId="0" applyFont="1" applyAlignment="1">
      <alignment horizontal="center" vertical="center"/>
    </xf>
    <xf numFmtId="0" fontId="10" fillId="0" borderId="0" xfId="0" applyFont="1" applyAlignment="1">
      <alignment horizontal="center" vertical="center"/>
    </xf>
    <xf numFmtId="0" fontId="17" fillId="0" borderId="24" xfId="0" applyFont="1" applyBorder="1" applyAlignment="1">
      <alignment horizontal="center" vertical="center" wrapText="1"/>
    </xf>
    <xf numFmtId="0" fontId="25" fillId="0" borderId="77" xfId="0" applyFont="1" applyBorder="1" applyAlignment="1">
      <alignment horizontal="center"/>
    </xf>
    <xf numFmtId="0" fontId="33" fillId="0" borderId="75" xfId="0" applyFont="1" applyBorder="1" applyAlignment="1">
      <alignment horizontal="center"/>
    </xf>
    <xf numFmtId="0" fontId="1" fillId="0" borderId="0" xfId="0" applyFont="1" applyAlignment="1">
      <alignment horizontal="center" vertical="center"/>
    </xf>
    <xf numFmtId="0" fontId="2" fillId="0" borderId="0" xfId="0" applyFont="1" applyAlignment="1">
      <alignment horizontal="center" vertical="center"/>
    </xf>
    <xf numFmtId="0" fontId="24" fillId="0" borderId="0" xfId="0" applyFont="1" applyAlignment="1">
      <alignment horizontal="right" vertical="center"/>
    </xf>
    <xf numFmtId="0" fontId="4" fillId="0" borderId="15" xfId="0" applyFont="1" applyFill="1" applyBorder="1" applyAlignment="1">
      <alignment horizontal="center" vertical="center" textRotation="90" wrapText="1"/>
    </xf>
    <xf numFmtId="0" fontId="4" fillId="0" borderId="15" xfId="0" applyFont="1" applyFill="1" applyBorder="1" applyAlignment="1">
      <alignment horizontal="center" vertical="center"/>
    </xf>
    <xf numFmtId="0" fontId="4" fillId="0" borderId="15" xfId="0" applyFont="1" applyFill="1" applyBorder="1" applyAlignment="1">
      <alignment horizontal="center" vertical="center" textRotation="90"/>
    </xf>
    <xf numFmtId="0" fontId="4" fillId="0" borderId="16" xfId="0" applyFont="1" applyFill="1" applyBorder="1" applyAlignment="1">
      <alignment horizontal="center" vertical="center" textRotation="90" wrapText="1"/>
    </xf>
    <xf numFmtId="0" fontId="4" fillId="0" borderId="45" xfId="0" applyFont="1" applyFill="1" applyBorder="1" applyAlignment="1">
      <alignment horizontal="center" vertical="center" textRotation="90" wrapText="1"/>
    </xf>
    <xf numFmtId="165" fontId="4" fillId="0" borderId="1" xfId="0" applyNumberFormat="1" applyFont="1" applyFill="1" applyBorder="1" applyAlignment="1">
      <alignment wrapText="1"/>
    </xf>
    <xf numFmtId="0" fontId="4" fillId="0" borderId="0" xfId="0" applyFont="1" applyFill="1"/>
    <xf numFmtId="0" fontId="4" fillId="0" borderId="58" xfId="0" applyFont="1" applyFill="1" applyBorder="1" applyAlignment="1">
      <alignment horizontal="center" vertical="center" textRotation="90" wrapText="1"/>
    </xf>
    <xf numFmtId="0" fontId="4" fillId="0" borderId="37" xfId="0" applyFont="1" applyFill="1" applyBorder="1" applyAlignment="1">
      <alignment horizontal="center" vertical="center"/>
    </xf>
    <xf numFmtId="0" fontId="4" fillId="0" borderId="38" xfId="0" applyFont="1" applyFill="1" applyBorder="1" applyAlignment="1">
      <alignment horizontal="center" vertical="center"/>
    </xf>
    <xf numFmtId="0" fontId="4" fillId="0" borderId="56" xfId="0" applyFont="1" applyFill="1" applyBorder="1" applyAlignment="1">
      <alignment horizontal="center" vertical="center" textRotation="90" wrapText="1"/>
    </xf>
    <xf numFmtId="0" fontId="4" fillId="0" borderId="20" xfId="0" applyFont="1" applyFill="1" applyBorder="1" applyAlignment="1">
      <alignment horizontal="center" vertical="center" textRotation="90"/>
    </xf>
    <xf numFmtId="0" fontId="4" fillId="0" borderId="121" xfId="0" applyFont="1" applyFill="1" applyBorder="1" applyAlignment="1">
      <alignment horizontal="center" vertical="center" textRotation="90"/>
    </xf>
    <xf numFmtId="0" fontId="4" fillId="0" borderId="126" xfId="0" applyFont="1" applyFill="1" applyBorder="1" applyAlignment="1">
      <alignment horizontal="center" vertical="center"/>
    </xf>
    <xf numFmtId="0" fontId="5" fillId="0" borderId="145" xfId="0" applyFont="1" applyFill="1" applyBorder="1" applyAlignment="1">
      <alignment horizontal="right"/>
    </xf>
    <xf numFmtId="0" fontId="5" fillId="0" borderId="145" xfId="0" applyFont="1" applyFill="1" applyBorder="1" applyAlignment="1">
      <alignment horizontal="center"/>
    </xf>
    <xf numFmtId="164" fontId="4" fillId="0" borderId="146" xfId="0" applyNumberFormat="1" applyFont="1" applyFill="1" applyBorder="1" applyAlignment="1">
      <alignment horizontal="center"/>
    </xf>
    <xf numFmtId="0" fontId="5" fillId="0" borderId="136" xfId="0" applyFont="1" applyFill="1" applyBorder="1" applyAlignment="1">
      <alignment horizontal="right"/>
    </xf>
    <xf numFmtId="9" fontId="5" fillId="0" borderId="136" xfId="0" applyNumberFormat="1" applyFont="1" applyFill="1" applyBorder="1" applyAlignment="1">
      <alignment horizontal="right"/>
    </xf>
    <xf numFmtId="0" fontId="5" fillId="0" borderId="136" xfId="0" applyFont="1" applyFill="1" applyBorder="1" applyAlignment="1">
      <alignment horizontal="right" wrapText="1"/>
    </xf>
    <xf numFmtId="2" fontId="5" fillId="0" borderId="136" xfId="0" applyNumberFormat="1" applyFont="1" applyFill="1" applyBorder="1" applyAlignment="1">
      <alignment horizontal="right" wrapText="1"/>
    </xf>
    <xf numFmtId="0" fontId="5" fillId="0" borderId="0" xfId="0" applyFont="1"/>
    <xf numFmtId="0" fontId="4" fillId="0" borderId="0" xfId="0" applyFont="1" applyAlignment="1">
      <alignment wrapText="1"/>
    </xf>
    <xf numFmtId="0" fontId="4" fillId="0" borderId="0" xfId="0" applyFont="1"/>
    <xf numFmtId="0" fontId="4" fillId="0" borderId="0" xfId="0" applyFont="1" applyAlignment="1">
      <alignment vertical="center"/>
    </xf>
    <xf numFmtId="2" fontId="4" fillId="0" borderId="0" xfId="13" applyNumberFormat="1" applyFont="1" applyAlignment="1">
      <alignment horizontal="center" vertical="center" wrapText="1"/>
    </xf>
    <xf numFmtId="2" fontId="4" fillId="0" borderId="0" xfId="0" applyNumberFormat="1" applyFont="1" applyAlignment="1">
      <alignment horizontal="center" vertical="center" wrapText="1"/>
    </xf>
    <xf numFmtId="167" fontId="4" fillId="0" borderId="0" xfId="22" applyNumberFormat="1" applyFont="1" applyFill="1" applyAlignment="1">
      <alignment horizontal="center" vertical="center"/>
    </xf>
    <xf numFmtId="167" fontId="4" fillId="0" borderId="0" xfId="22" applyNumberFormat="1" applyFont="1" applyFill="1" applyAlignment="1">
      <alignment horizontal="center" vertical="center" wrapText="1"/>
    </xf>
    <xf numFmtId="0" fontId="5" fillId="0" borderId="0" xfId="0" applyFont="1" applyAlignment="1">
      <alignment horizontal="left" wrapText="1"/>
    </xf>
  </cellXfs>
  <cellStyles count="23">
    <cellStyle name="Comma 2" xfId="17" xr:uid="{00000000-0005-0000-0000-000001000000}"/>
    <cellStyle name="Comma 2 2" xfId="19" xr:uid="{00000000-0005-0000-0000-000002000000}"/>
    <cellStyle name="Excel Built-in Explanatory Text" xfId="20" xr:uid="{00000000-0005-0000-0000-000003000000}"/>
    <cellStyle name="Komats" xfId="22" builtinId="3"/>
    <cellStyle name="Normal 10" xfId="2" xr:uid="{00000000-0005-0000-0000-000006000000}"/>
    <cellStyle name="Normal 12" xfId="9" xr:uid="{00000000-0005-0000-0000-000007000000}"/>
    <cellStyle name="Normal 2 2" xfId="11" xr:uid="{00000000-0005-0000-0000-000008000000}"/>
    <cellStyle name="Normal 3" xfId="8" xr:uid="{00000000-0005-0000-0000-000009000000}"/>
    <cellStyle name="Normal 5" xfId="3" xr:uid="{00000000-0005-0000-0000-00000A000000}"/>
    <cellStyle name="Normal_DA" xfId="7" xr:uid="{00000000-0005-0000-0000-00000B000000}"/>
    <cellStyle name="Normal_DA 2" xfId="18" xr:uid="{00000000-0005-0000-0000-00000C000000}"/>
    <cellStyle name="Normal_Liepaja Peldu 5 UK tames" xfId="21" xr:uid="{00000000-0005-0000-0000-00000D000000}"/>
    <cellStyle name="Normal_Siguldas 27 - tabulas" xfId="6" xr:uid="{00000000-0005-0000-0000-00000E000000}"/>
    <cellStyle name="Parasts" xfId="0" builtinId="0" customBuiltin="1"/>
    <cellStyle name="Parasts 2" xfId="14" xr:uid="{00000000-0005-0000-0000-00000F000000}"/>
    <cellStyle name="Parasts 3" xfId="10" xr:uid="{00000000-0005-0000-0000-000010000000}"/>
    <cellStyle name="Parasts 3 2" xfId="12" xr:uid="{00000000-0005-0000-0000-000011000000}"/>
    <cellStyle name="Paskaidrojošs teksts" xfId="1" builtinId="53" customBuiltin="1"/>
    <cellStyle name="Style 1" xfId="5" xr:uid="{00000000-0005-0000-0000-000013000000}"/>
    <cellStyle name="Style 1 2" xfId="16" xr:uid="{00000000-0005-0000-0000-000014000000}"/>
    <cellStyle name="Style 1 4" xfId="13" xr:uid="{00000000-0005-0000-0000-000015000000}"/>
    <cellStyle name="Стиль 1" xfId="4" xr:uid="{00000000-0005-0000-0000-000016000000}"/>
    <cellStyle name="Стиль 1 2" xfId="15" xr:uid="{00000000-0005-0000-0000-000017000000}"/>
  </cellStyles>
  <dxfs count="190">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61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6EFCE"/>
      <rgbColor rgb="FFFFEB9C"/>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457200</xdr:colOff>
      <xdr:row>20</xdr:row>
      <xdr:rowOff>57150</xdr:rowOff>
    </xdr:to>
    <xdr:sp macro="" textlink="">
      <xdr:nvSpPr>
        <xdr:cNvPr id="1026" name="shapetype_202" hidden="1">
          <a:extLst>
            <a:ext uri="{FF2B5EF4-FFF2-40B4-BE49-F238E27FC236}">
              <a16:creationId xmlns:a16="http://schemas.microsoft.com/office/drawing/2014/main" id="{00000000-0008-0000-0000-000002040000}"/>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28575</xdr:colOff>
      <xdr:row>26</xdr:row>
      <xdr:rowOff>0</xdr:rowOff>
    </xdr:to>
    <xdr:sp macro="" textlink="">
      <xdr:nvSpPr>
        <xdr:cNvPr id="2050" name="shapetype_202" hidden="1">
          <a:extLst>
            <a:ext uri="{FF2B5EF4-FFF2-40B4-BE49-F238E27FC236}">
              <a16:creationId xmlns:a16="http://schemas.microsoft.com/office/drawing/2014/main" id="{00000000-0008-0000-0100-000002080000}"/>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276225</xdr:colOff>
      <xdr:row>19</xdr:row>
      <xdr:rowOff>9525</xdr:rowOff>
    </xdr:to>
    <xdr:sp macro="" textlink="">
      <xdr:nvSpPr>
        <xdr:cNvPr id="3074" name="shapetype_202" hidden="1">
          <a:extLst>
            <a:ext uri="{FF2B5EF4-FFF2-40B4-BE49-F238E27FC236}">
              <a16:creationId xmlns:a16="http://schemas.microsoft.com/office/drawing/2014/main" id="{00000000-0008-0000-0200-0000020C0000}"/>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276225</xdr:colOff>
      <xdr:row>21</xdr:row>
      <xdr:rowOff>152400</xdr:rowOff>
    </xdr:to>
    <xdr:sp macro="" textlink="">
      <xdr:nvSpPr>
        <xdr:cNvPr id="4098" name="shapetype_202" hidden="1">
          <a:extLst>
            <a:ext uri="{FF2B5EF4-FFF2-40B4-BE49-F238E27FC236}">
              <a16:creationId xmlns:a16="http://schemas.microsoft.com/office/drawing/2014/main" id="{00000000-0008-0000-0300-000002100000}"/>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276225</xdr:colOff>
      <xdr:row>26</xdr:row>
      <xdr:rowOff>0</xdr:rowOff>
    </xdr:to>
    <xdr:sp macro="" textlink="">
      <xdr:nvSpPr>
        <xdr:cNvPr id="6146" name="shapetype_202" hidden="1">
          <a:extLst>
            <a:ext uri="{FF2B5EF4-FFF2-40B4-BE49-F238E27FC236}">
              <a16:creationId xmlns:a16="http://schemas.microsoft.com/office/drawing/2014/main" id="{00000000-0008-0000-0400-000002180000}"/>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276225</xdr:colOff>
      <xdr:row>15</xdr:row>
      <xdr:rowOff>0</xdr:rowOff>
    </xdr:to>
    <xdr:sp macro="" textlink="">
      <xdr:nvSpPr>
        <xdr:cNvPr id="7170" name="shapetype_202" hidden="1">
          <a:extLst>
            <a:ext uri="{FF2B5EF4-FFF2-40B4-BE49-F238E27FC236}">
              <a16:creationId xmlns:a16="http://schemas.microsoft.com/office/drawing/2014/main" id="{00000000-0008-0000-0600-0000021C0000}"/>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276225</xdr:colOff>
      <xdr:row>18</xdr:row>
      <xdr:rowOff>152400</xdr:rowOff>
    </xdr:to>
    <xdr:sp macro="" textlink="">
      <xdr:nvSpPr>
        <xdr:cNvPr id="8194" name="shapetype_202" hidden="1">
          <a:extLst>
            <a:ext uri="{FF2B5EF4-FFF2-40B4-BE49-F238E27FC236}">
              <a16:creationId xmlns:a16="http://schemas.microsoft.com/office/drawing/2014/main" id="{00000000-0008-0000-0700-000002200000}"/>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328613</xdr:colOff>
      <xdr:row>41</xdr:row>
      <xdr:rowOff>76200</xdr:rowOff>
    </xdr:from>
    <xdr:to>
      <xdr:col>3</xdr:col>
      <xdr:colOff>347663</xdr:colOff>
      <xdr:row>44</xdr:row>
      <xdr:rowOff>0</xdr:rowOff>
    </xdr:to>
    <xdr:sp macro="" textlink="">
      <xdr:nvSpPr>
        <xdr:cNvPr id="2" name="Text Box 1">
          <a:extLst>
            <a:ext uri="{FF2B5EF4-FFF2-40B4-BE49-F238E27FC236}">
              <a16:creationId xmlns:a16="http://schemas.microsoft.com/office/drawing/2014/main" id="{00000000-0008-0000-0B00-000002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3" name="Text Box 23">
          <a:extLst>
            <a:ext uri="{FF2B5EF4-FFF2-40B4-BE49-F238E27FC236}">
              <a16:creationId xmlns:a16="http://schemas.microsoft.com/office/drawing/2014/main" id="{00000000-0008-0000-0B00-000003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4" name="Text Box 24">
          <a:extLst>
            <a:ext uri="{FF2B5EF4-FFF2-40B4-BE49-F238E27FC236}">
              <a16:creationId xmlns:a16="http://schemas.microsoft.com/office/drawing/2014/main" id="{00000000-0008-0000-0B00-000004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5" name="Text Box 25">
          <a:extLst>
            <a:ext uri="{FF2B5EF4-FFF2-40B4-BE49-F238E27FC236}">
              <a16:creationId xmlns:a16="http://schemas.microsoft.com/office/drawing/2014/main" id="{00000000-0008-0000-0B00-000005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 name="Text Box 26">
          <a:extLst>
            <a:ext uri="{FF2B5EF4-FFF2-40B4-BE49-F238E27FC236}">
              <a16:creationId xmlns:a16="http://schemas.microsoft.com/office/drawing/2014/main" id="{00000000-0008-0000-0B00-000006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 name="Text Box 27">
          <a:extLst>
            <a:ext uri="{FF2B5EF4-FFF2-40B4-BE49-F238E27FC236}">
              <a16:creationId xmlns:a16="http://schemas.microsoft.com/office/drawing/2014/main" id="{00000000-0008-0000-0B00-000007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 name="Text Box 28">
          <a:extLst>
            <a:ext uri="{FF2B5EF4-FFF2-40B4-BE49-F238E27FC236}">
              <a16:creationId xmlns:a16="http://schemas.microsoft.com/office/drawing/2014/main" id="{00000000-0008-0000-0B00-000008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9" name="Text Box 29">
          <a:extLst>
            <a:ext uri="{FF2B5EF4-FFF2-40B4-BE49-F238E27FC236}">
              <a16:creationId xmlns:a16="http://schemas.microsoft.com/office/drawing/2014/main" id="{00000000-0008-0000-0B00-000009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0" name="Text Box 30">
          <a:extLst>
            <a:ext uri="{FF2B5EF4-FFF2-40B4-BE49-F238E27FC236}">
              <a16:creationId xmlns:a16="http://schemas.microsoft.com/office/drawing/2014/main" id="{00000000-0008-0000-0B00-00000A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1" name="Text Box 31">
          <a:extLst>
            <a:ext uri="{FF2B5EF4-FFF2-40B4-BE49-F238E27FC236}">
              <a16:creationId xmlns:a16="http://schemas.microsoft.com/office/drawing/2014/main" id="{00000000-0008-0000-0B00-00000B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2" name="Text Box 32">
          <a:extLst>
            <a:ext uri="{FF2B5EF4-FFF2-40B4-BE49-F238E27FC236}">
              <a16:creationId xmlns:a16="http://schemas.microsoft.com/office/drawing/2014/main" id="{00000000-0008-0000-0B00-00000C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3" name="Text Box 33">
          <a:extLst>
            <a:ext uri="{FF2B5EF4-FFF2-40B4-BE49-F238E27FC236}">
              <a16:creationId xmlns:a16="http://schemas.microsoft.com/office/drawing/2014/main" id="{00000000-0008-0000-0B00-00000D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4" name="Text Box 34">
          <a:extLst>
            <a:ext uri="{FF2B5EF4-FFF2-40B4-BE49-F238E27FC236}">
              <a16:creationId xmlns:a16="http://schemas.microsoft.com/office/drawing/2014/main" id="{00000000-0008-0000-0B00-00000E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5" name="Text Box 35">
          <a:extLst>
            <a:ext uri="{FF2B5EF4-FFF2-40B4-BE49-F238E27FC236}">
              <a16:creationId xmlns:a16="http://schemas.microsoft.com/office/drawing/2014/main" id="{00000000-0008-0000-0B00-00000F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6" name="Text Box 36">
          <a:extLst>
            <a:ext uri="{FF2B5EF4-FFF2-40B4-BE49-F238E27FC236}">
              <a16:creationId xmlns:a16="http://schemas.microsoft.com/office/drawing/2014/main" id="{00000000-0008-0000-0B00-000010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7" name="Text Box 37">
          <a:extLst>
            <a:ext uri="{FF2B5EF4-FFF2-40B4-BE49-F238E27FC236}">
              <a16:creationId xmlns:a16="http://schemas.microsoft.com/office/drawing/2014/main" id="{00000000-0008-0000-0B00-000011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8" name="Text Box 38">
          <a:extLst>
            <a:ext uri="{FF2B5EF4-FFF2-40B4-BE49-F238E27FC236}">
              <a16:creationId xmlns:a16="http://schemas.microsoft.com/office/drawing/2014/main" id="{00000000-0008-0000-0B00-000012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9" name="Text Box 39">
          <a:extLst>
            <a:ext uri="{FF2B5EF4-FFF2-40B4-BE49-F238E27FC236}">
              <a16:creationId xmlns:a16="http://schemas.microsoft.com/office/drawing/2014/main" id="{00000000-0008-0000-0B00-000013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20" name="Text Box 40">
          <a:extLst>
            <a:ext uri="{FF2B5EF4-FFF2-40B4-BE49-F238E27FC236}">
              <a16:creationId xmlns:a16="http://schemas.microsoft.com/office/drawing/2014/main" id="{00000000-0008-0000-0B00-000014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21" name="Text Box 41">
          <a:extLst>
            <a:ext uri="{FF2B5EF4-FFF2-40B4-BE49-F238E27FC236}">
              <a16:creationId xmlns:a16="http://schemas.microsoft.com/office/drawing/2014/main" id="{00000000-0008-0000-0B00-000015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22" name="Text Box 42">
          <a:extLst>
            <a:ext uri="{FF2B5EF4-FFF2-40B4-BE49-F238E27FC236}">
              <a16:creationId xmlns:a16="http://schemas.microsoft.com/office/drawing/2014/main" id="{00000000-0008-0000-0B00-000016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23" name="Text Box 43">
          <a:extLst>
            <a:ext uri="{FF2B5EF4-FFF2-40B4-BE49-F238E27FC236}">
              <a16:creationId xmlns:a16="http://schemas.microsoft.com/office/drawing/2014/main" id="{00000000-0008-0000-0B00-000017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24" name="Text Box 44">
          <a:extLst>
            <a:ext uri="{FF2B5EF4-FFF2-40B4-BE49-F238E27FC236}">
              <a16:creationId xmlns:a16="http://schemas.microsoft.com/office/drawing/2014/main" id="{00000000-0008-0000-0B00-000018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25" name="Text Box 45">
          <a:extLst>
            <a:ext uri="{FF2B5EF4-FFF2-40B4-BE49-F238E27FC236}">
              <a16:creationId xmlns:a16="http://schemas.microsoft.com/office/drawing/2014/main" id="{00000000-0008-0000-0B00-000019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26" name="Text Box 46">
          <a:extLst>
            <a:ext uri="{FF2B5EF4-FFF2-40B4-BE49-F238E27FC236}">
              <a16:creationId xmlns:a16="http://schemas.microsoft.com/office/drawing/2014/main" id="{00000000-0008-0000-0B00-00001A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27" name="Text Box 47">
          <a:extLst>
            <a:ext uri="{FF2B5EF4-FFF2-40B4-BE49-F238E27FC236}">
              <a16:creationId xmlns:a16="http://schemas.microsoft.com/office/drawing/2014/main" id="{00000000-0008-0000-0B00-00001B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28" name="Text Box 48">
          <a:extLst>
            <a:ext uri="{FF2B5EF4-FFF2-40B4-BE49-F238E27FC236}">
              <a16:creationId xmlns:a16="http://schemas.microsoft.com/office/drawing/2014/main" id="{00000000-0008-0000-0B00-00001C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29" name="Text Box 49">
          <a:extLst>
            <a:ext uri="{FF2B5EF4-FFF2-40B4-BE49-F238E27FC236}">
              <a16:creationId xmlns:a16="http://schemas.microsoft.com/office/drawing/2014/main" id="{00000000-0008-0000-0B00-00001D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30" name="Text Box 50">
          <a:extLst>
            <a:ext uri="{FF2B5EF4-FFF2-40B4-BE49-F238E27FC236}">
              <a16:creationId xmlns:a16="http://schemas.microsoft.com/office/drawing/2014/main" id="{00000000-0008-0000-0B00-00001E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31" name="Text Box 51">
          <a:extLst>
            <a:ext uri="{FF2B5EF4-FFF2-40B4-BE49-F238E27FC236}">
              <a16:creationId xmlns:a16="http://schemas.microsoft.com/office/drawing/2014/main" id="{00000000-0008-0000-0B00-00001F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32" name="Text Box 52">
          <a:extLst>
            <a:ext uri="{FF2B5EF4-FFF2-40B4-BE49-F238E27FC236}">
              <a16:creationId xmlns:a16="http://schemas.microsoft.com/office/drawing/2014/main" id="{00000000-0008-0000-0B00-000020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33" name="Text Box 53">
          <a:extLst>
            <a:ext uri="{FF2B5EF4-FFF2-40B4-BE49-F238E27FC236}">
              <a16:creationId xmlns:a16="http://schemas.microsoft.com/office/drawing/2014/main" id="{00000000-0008-0000-0B00-000021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34" name="Text Box 54">
          <a:extLst>
            <a:ext uri="{FF2B5EF4-FFF2-40B4-BE49-F238E27FC236}">
              <a16:creationId xmlns:a16="http://schemas.microsoft.com/office/drawing/2014/main" id="{00000000-0008-0000-0B00-000022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35" name="Text Box 55">
          <a:extLst>
            <a:ext uri="{FF2B5EF4-FFF2-40B4-BE49-F238E27FC236}">
              <a16:creationId xmlns:a16="http://schemas.microsoft.com/office/drawing/2014/main" id="{00000000-0008-0000-0B00-000023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36" name="Text Box 56">
          <a:extLst>
            <a:ext uri="{FF2B5EF4-FFF2-40B4-BE49-F238E27FC236}">
              <a16:creationId xmlns:a16="http://schemas.microsoft.com/office/drawing/2014/main" id="{00000000-0008-0000-0B00-000024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37" name="Text Box 57">
          <a:extLst>
            <a:ext uri="{FF2B5EF4-FFF2-40B4-BE49-F238E27FC236}">
              <a16:creationId xmlns:a16="http://schemas.microsoft.com/office/drawing/2014/main" id="{00000000-0008-0000-0B00-000025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38" name="Text Box 58">
          <a:extLst>
            <a:ext uri="{FF2B5EF4-FFF2-40B4-BE49-F238E27FC236}">
              <a16:creationId xmlns:a16="http://schemas.microsoft.com/office/drawing/2014/main" id="{00000000-0008-0000-0B00-000026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39" name="Text Box 59">
          <a:extLst>
            <a:ext uri="{FF2B5EF4-FFF2-40B4-BE49-F238E27FC236}">
              <a16:creationId xmlns:a16="http://schemas.microsoft.com/office/drawing/2014/main" id="{00000000-0008-0000-0B00-000027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40" name="Text Box 60">
          <a:extLst>
            <a:ext uri="{FF2B5EF4-FFF2-40B4-BE49-F238E27FC236}">
              <a16:creationId xmlns:a16="http://schemas.microsoft.com/office/drawing/2014/main" id="{00000000-0008-0000-0B00-000028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41" name="Text Box 61">
          <a:extLst>
            <a:ext uri="{FF2B5EF4-FFF2-40B4-BE49-F238E27FC236}">
              <a16:creationId xmlns:a16="http://schemas.microsoft.com/office/drawing/2014/main" id="{00000000-0008-0000-0B00-000029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42" name="Text Box 62">
          <a:extLst>
            <a:ext uri="{FF2B5EF4-FFF2-40B4-BE49-F238E27FC236}">
              <a16:creationId xmlns:a16="http://schemas.microsoft.com/office/drawing/2014/main" id="{00000000-0008-0000-0B00-00002A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43" name="Text Box 63">
          <a:extLst>
            <a:ext uri="{FF2B5EF4-FFF2-40B4-BE49-F238E27FC236}">
              <a16:creationId xmlns:a16="http://schemas.microsoft.com/office/drawing/2014/main" id="{00000000-0008-0000-0B00-00002B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44" name="Text Box 64">
          <a:extLst>
            <a:ext uri="{FF2B5EF4-FFF2-40B4-BE49-F238E27FC236}">
              <a16:creationId xmlns:a16="http://schemas.microsoft.com/office/drawing/2014/main" id="{00000000-0008-0000-0B00-00002C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45" name="Text Box 65">
          <a:extLst>
            <a:ext uri="{FF2B5EF4-FFF2-40B4-BE49-F238E27FC236}">
              <a16:creationId xmlns:a16="http://schemas.microsoft.com/office/drawing/2014/main" id="{00000000-0008-0000-0B00-00002D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46" name="Text Box 66">
          <a:extLst>
            <a:ext uri="{FF2B5EF4-FFF2-40B4-BE49-F238E27FC236}">
              <a16:creationId xmlns:a16="http://schemas.microsoft.com/office/drawing/2014/main" id="{00000000-0008-0000-0B00-00002E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47" name="Text Box 67">
          <a:extLst>
            <a:ext uri="{FF2B5EF4-FFF2-40B4-BE49-F238E27FC236}">
              <a16:creationId xmlns:a16="http://schemas.microsoft.com/office/drawing/2014/main" id="{00000000-0008-0000-0B00-00002F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48" name="Text Box 68">
          <a:extLst>
            <a:ext uri="{FF2B5EF4-FFF2-40B4-BE49-F238E27FC236}">
              <a16:creationId xmlns:a16="http://schemas.microsoft.com/office/drawing/2014/main" id="{00000000-0008-0000-0B00-000030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49" name="Text Box 69">
          <a:extLst>
            <a:ext uri="{FF2B5EF4-FFF2-40B4-BE49-F238E27FC236}">
              <a16:creationId xmlns:a16="http://schemas.microsoft.com/office/drawing/2014/main" id="{00000000-0008-0000-0B00-000031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50" name="Text Box 70">
          <a:extLst>
            <a:ext uri="{FF2B5EF4-FFF2-40B4-BE49-F238E27FC236}">
              <a16:creationId xmlns:a16="http://schemas.microsoft.com/office/drawing/2014/main" id="{00000000-0008-0000-0B00-000032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51" name="Text Box 72">
          <a:extLst>
            <a:ext uri="{FF2B5EF4-FFF2-40B4-BE49-F238E27FC236}">
              <a16:creationId xmlns:a16="http://schemas.microsoft.com/office/drawing/2014/main" id="{00000000-0008-0000-0B00-000033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52" name="Text Box 73">
          <a:extLst>
            <a:ext uri="{FF2B5EF4-FFF2-40B4-BE49-F238E27FC236}">
              <a16:creationId xmlns:a16="http://schemas.microsoft.com/office/drawing/2014/main" id="{00000000-0008-0000-0B00-000034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53" name="Text Box 77">
          <a:extLst>
            <a:ext uri="{FF2B5EF4-FFF2-40B4-BE49-F238E27FC236}">
              <a16:creationId xmlns:a16="http://schemas.microsoft.com/office/drawing/2014/main" id="{00000000-0008-0000-0B00-000035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54" name="Text Box 78">
          <a:extLst>
            <a:ext uri="{FF2B5EF4-FFF2-40B4-BE49-F238E27FC236}">
              <a16:creationId xmlns:a16="http://schemas.microsoft.com/office/drawing/2014/main" id="{00000000-0008-0000-0B00-000036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55" name="Text Box 79">
          <a:extLst>
            <a:ext uri="{FF2B5EF4-FFF2-40B4-BE49-F238E27FC236}">
              <a16:creationId xmlns:a16="http://schemas.microsoft.com/office/drawing/2014/main" id="{00000000-0008-0000-0B00-000037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56" name="Text Box 80">
          <a:extLst>
            <a:ext uri="{FF2B5EF4-FFF2-40B4-BE49-F238E27FC236}">
              <a16:creationId xmlns:a16="http://schemas.microsoft.com/office/drawing/2014/main" id="{00000000-0008-0000-0B00-000038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57" name="Text Box 81">
          <a:extLst>
            <a:ext uri="{FF2B5EF4-FFF2-40B4-BE49-F238E27FC236}">
              <a16:creationId xmlns:a16="http://schemas.microsoft.com/office/drawing/2014/main" id="{00000000-0008-0000-0B00-000039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58" name="Text Box 82">
          <a:extLst>
            <a:ext uri="{FF2B5EF4-FFF2-40B4-BE49-F238E27FC236}">
              <a16:creationId xmlns:a16="http://schemas.microsoft.com/office/drawing/2014/main" id="{00000000-0008-0000-0B00-00003A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59" name="Text Box 84">
          <a:extLst>
            <a:ext uri="{FF2B5EF4-FFF2-40B4-BE49-F238E27FC236}">
              <a16:creationId xmlns:a16="http://schemas.microsoft.com/office/drawing/2014/main" id="{00000000-0008-0000-0B00-00003B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0" name="Text Box 85">
          <a:extLst>
            <a:ext uri="{FF2B5EF4-FFF2-40B4-BE49-F238E27FC236}">
              <a16:creationId xmlns:a16="http://schemas.microsoft.com/office/drawing/2014/main" id="{00000000-0008-0000-0B00-00003C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1" name="Text Box 89">
          <a:extLst>
            <a:ext uri="{FF2B5EF4-FFF2-40B4-BE49-F238E27FC236}">
              <a16:creationId xmlns:a16="http://schemas.microsoft.com/office/drawing/2014/main" id="{00000000-0008-0000-0B00-00003D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2" name="Text Box 90">
          <a:extLst>
            <a:ext uri="{FF2B5EF4-FFF2-40B4-BE49-F238E27FC236}">
              <a16:creationId xmlns:a16="http://schemas.microsoft.com/office/drawing/2014/main" id="{00000000-0008-0000-0B00-00003E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3" name="Text Box 91">
          <a:extLst>
            <a:ext uri="{FF2B5EF4-FFF2-40B4-BE49-F238E27FC236}">
              <a16:creationId xmlns:a16="http://schemas.microsoft.com/office/drawing/2014/main" id="{00000000-0008-0000-0B00-00003F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4" name="Text Box 92">
          <a:extLst>
            <a:ext uri="{FF2B5EF4-FFF2-40B4-BE49-F238E27FC236}">
              <a16:creationId xmlns:a16="http://schemas.microsoft.com/office/drawing/2014/main" id="{00000000-0008-0000-0B00-000040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5" name="Text Box 93">
          <a:extLst>
            <a:ext uri="{FF2B5EF4-FFF2-40B4-BE49-F238E27FC236}">
              <a16:creationId xmlns:a16="http://schemas.microsoft.com/office/drawing/2014/main" id="{00000000-0008-0000-0B00-000041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6" name="Text Box 94">
          <a:extLst>
            <a:ext uri="{FF2B5EF4-FFF2-40B4-BE49-F238E27FC236}">
              <a16:creationId xmlns:a16="http://schemas.microsoft.com/office/drawing/2014/main" id="{00000000-0008-0000-0B00-000042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7" name="Text Box 95">
          <a:extLst>
            <a:ext uri="{FF2B5EF4-FFF2-40B4-BE49-F238E27FC236}">
              <a16:creationId xmlns:a16="http://schemas.microsoft.com/office/drawing/2014/main" id="{00000000-0008-0000-0B00-000043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8" name="Text Box 96">
          <a:extLst>
            <a:ext uri="{FF2B5EF4-FFF2-40B4-BE49-F238E27FC236}">
              <a16:creationId xmlns:a16="http://schemas.microsoft.com/office/drawing/2014/main" id="{00000000-0008-0000-0B00-000044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9" name="Text Box 97">
          <a:extLst>
            <a:ext uri="{FF2B5EF4-FFF2-40B4-BE49-F238E27FC236}">
              <a16:creationId xmlns:a16="http://schemas.microsoft.com/office/drawing/2014/main" id="{00000000-0008-0000-0B00-000045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0" name="Text Box 101">
          <a:extLst>
            <a:ext uri="{FF2B5EF4-FFF2-40B4-BE49-F238E27FC236}">
              <a16:creationId xmlns:a16="http://schemas.microsoft.com/office/drawing/2014/main" id="{00000000-0008-0000-0B00-000046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1" name="Text Box 102">
          <a:extLst>
            <a:ext uri="{FF2B5EF4-FFF2-40B4-BE49-F238E27FC236}">
              <a16:creationId xmlns:a16="http://schemas.microsoft.com/office/drawing/2014/main" id="{00000000-0008-0000-0B00-000047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2" name="Text Box 103">
          <a:extLst>
            <a:ext uri="{FF2B5EF4-FFF2-40B4-BE49-F238E27FC236}">
              <a16:creationId xmlns:a16="http://schemas.microsoft.com/office/drawing/2014/main" id="{00000000-0008-0000-0B00-000048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3" name="Text Box 104">
          <a:extLst>
            <a:ext uri="{FF2B5EF4-FFF2-40B4-BE49-F238E27FC236}">
              <a16:creationId xmlns:a16="http://schemas.microsoft.com/office/drawing/2014/main" id="{00000000-0008-0000-0B00-000049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4" name="Text Box 105">
          <a:extLst>
            <a:ext uri="{FF2B5EF4-FFF2-40B4-BE49-F238E27FC236}">
              <a16:creationId xmlns:a16="http://schemas.microsoft.com/office/drawing/2014/main" id="{00000000-0008-0000-0B00-00004A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5" name="Text Box 106">
          <a:extLst>
            <a:ext uri="{FF2B5EF4-FFF2-40B4-BE49-F238E27FC236}">
              <a16:creationId xmlns:a16="http://schemas.microsoft.com/office/drawing/2014/main" id="{00000000-0008-0000-0B00-00004B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6" name="Text Box 107">
          <a:extLst>
            <a:ext uri="{FF2B5EF4-FFF2-40B4-BE49-F238E27FC236}">
              <a16:creationId xmlns:a16="http://schemas.microsoft.com/office/drawing/2014/main" id="{00000000-0008-0000-0B00-00004C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7" name="Text Box 108">
          <a:extLst>
            <a:ext uri="{FF2B5EF4-FFF2-40B4-BE49-F238E27FC236}">
              <a16:creationId xmlns:a16="http://schemas.microsoft.com/office/drawing/2014/main" id="{00000000-0008-0000-0B00-00004D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8" name="Text Box 109">
          <a:extLst>
            <a:ext uri="{FF2B5EF4-FFF2-40B4-BE49-F238E27FC236}">
              <a16:creationId xmlns:a16="http://schemas.microsoft.com/office/drawing/2014/main" id="{00000000-0008-0000-0B00-00004E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9" name="Text Box 113">
          <a:extLst>
            <a:ext uri="{FF2B5EF4-FFF2-40B4-BE49-F238E27FC236}">
              <a16:creationId xmlns:a16="http://schemas.microsoft.com/office/drawing/2014/main" id="{00000000-0008-0000-0B00-00004F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0" name="Text Box 114">
          <a:extLst>
            <a:ext uri="{FF2B5EF4-FFF2-40B4-BE49-F238E27FC236}">
              <a16:creationId xmlns:a16="http://schemas.microsoft.com/office/drawing/2014/main" id="{00000000-0008-0000-0B00-000050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1" name="Text Box 115">
          <a:extLst>
            <a:ext uri="{FF2B5EF4-FFF2-40B4-BE49-F238E27FC236}">
              <a16:creationId xmlns:a16="http://schemas.microsoft.com/office/drawing/2014/main" id="{00000000-0008-0000-0B00-000051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2" name="Text Box 116">
          <a:extLst>
            <a:ext uri="{FF2B5EF4-FFF2-40B4-BE49-F238E27FC236}">
              <a16:creationId xmlns:a16="http://schemas.microsoft.com/office/drawing/2014/main" id="{00000000-0008-0000-0B00-000052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3" name="Text Box 117">
          <a:extLst>
            <a:ext uri="{FF2B5EF4-FFF2-40B4-BE49-F238E27FC236}">
              <a16:creationId xmlns:a16="http://schemas.microsoft.com/office/drawing/2014/main" id="{00000000-0008-0000-0B00-000053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4" name="Text Box 118">
          <a:extLst>
            <a:ext uri="{FF2B5EF4-FFF2-40B4-BE49-F238E27FC236}">
              <a16:creationId xmlns:a16="http://schemas.microsoft.com/office/drawing/2014/main" id="{00000000-0008-0000-0B00-000054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5" name="Text Box 119">
          <a:extLst>
            <a:ext uri="{FF2B5EF4-FFF2-40B4-BE49-F238E27FC236}">
              <a16:creationId xmlns:a16="http://schemas.microsoft.com/office/drawing/2014/main" id="{00000000-0008-0000-0B00-000055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6" name="Text Box 120">
          <a:extLst>
            <a:ext uri="{FF2B5EF4-FFF2-40B4-BE49-F238E27FC236}">
              <a16:creationId xmlns:a16="http://schemas.microsoft.com/office/drawing/2014/main" id="{00000000-0008-0000-0B00-000056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7" name="Text Box 121">
          <a:extLst>
            <a:ext uri="{FF2B5EF4-FFF2-40B4-BE49-F238E27FC236}">
              <a16:creationId xmlns:a16="http://schemas.microsoft.com/office/drawing/2014/main" id="{00000000-0008-0000-0B00-000057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8" name="Text Box 125">
          <a:extLst>
            <a:ext uri="{FF2B5EF4-FFF2-40B4-BE49-F238E27FC236}">
              <a16:creationId xmlns:a16="http://schemas.microsoft.com/office/drawing/2014/main" id="{00000000-0008-0000-0B00-000058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9" name="Text Box 126">
          <a:extLst>
            <a:ext uri="{FF2B5EF4-FFF2-40B4-BE49-F238E27FC236}">
              <a16:creationId xmlns:a16="http://schemas.microsoft.com/office/drawing/2014/main" id="{00000000-0008-0000-0B00-000059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90" name="Text Box 127">
          <a:extLst>
            <a:ext uri="{FF2B5EF4-FFF2-40B4-BE49-F238E27FC236}">
              <a16:creationId xmlns:a16="http://schemas.microsoft.com/office/drawing/2014/main" id="{00000000-0008-0000-0B00-00005A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91" name="Text Box 128">
          <a:extLst>
            <a:ext uri="{FF2B5EF4-FFF2-40B4-BE49-F238E27FC236}">
              <a16:creationId xmlns:a16="http://schemas.microsoft.com/office/drawing/2014/main" id="{00000000-0008-0000-0B00-00005B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92" name="Text Box 129">
          <a:extLst>
            <a:ext uri="{FF2B5EF4-FFF2-40B4-BE49-F238E27FC236}">
              <a16:creationId xmlns:a16="http://schemas.microsoft.com/office/drawing/2014/main" id="{00000000-0008-0000-0B00-00005C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93" name="Text Box 130">
          <a:extLst>
            <a:ext uri="{FF2B5EF4-FFF2-40B4-BE49-F238E27FC236}">
              <a16:creationId xmlns:a16="http://schemas.microsoft.com/office/drawing/2014/main" id="{00000000-0008-0000-0B00-00005D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94" name="Text Box 131">
          <a:extLst>
            <a:ext uri="{FF2B5EF4-FFF2-40B4-BE49-F238E27FC236}">
              <a16:creationId xmlns:a16="http://schemas.microsoft.com/office/drawing/2014/main" id="{00000000-0008-0000-0B00-00005E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95" name="Text Box 132">
          <a:extLst>
            <a:ext uri="{FF2B5EF4-FFF2-40B4-BE49-F238E27FC236}">
              <a16:creationId xmlns:a16="http://schemas.microsoft.com/office/drawing/2014/main" id="{00000000-0008-0000-0B00-00005F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96" name="Text Box 133">
          <a:extLst>
            <a:ext uri="{FF2B5EF4-FFF2-40B4-BE49-F238E27FC236}">
              <a16:creationId xmlns:a16="http://schemas.microsoft.com/office/drawing/2014/main" id="{00000000-0008-0000-0B00-000060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97" name="Text Box 137">
          <a:extLst>
            <a:ext uri="{FF2B5EF4-FFF2-40B4-BE49-F238E27FC236}">
              <a16:creationId xmlns:a16="http://schemas.microsoft.com/office/drawing/2014/main" id="{00000000-0008-0000-0B00-000061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98" name="Text Box 138">
          <a:extLst>
            <a:ext uri="{FF2B5EF4-FFF2-40B4-BE49-F238E27FC236}">
              <a16:creationId xmlns:a16="http://schemas.microsoft.com/office/drawing/2014/main" id="{00000000-0008-0000-0B00-000062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99" name="Text Box 139">
          <a:extLst>
            <a:ext uri="{FF2B5EF4-FFF2-40B4-BE49-F238E27FC236}">
              <a16:creationId xmlns:a16="http://schemas.microsoft.com/office/drawing/2014/main" id="{00000000-0008-0000-0B00-000063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00" name="Text Box 140">
          <a:extLst>
            <a:ext uri="{FF2B5EF4-FFF2-40B4-BE49-F238E27FC236}">
              <a16:creationId xmlns:a16="http://schemas.microsoft.com/office/drawing/2014/main" id="{00000000-0008-0000-0B00-000064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01" name="Text Box 141">
          <a:extLst>
            <a:ext uri="{FF2B5EF4-FFF2-40B4-BE49-F238E27FC236}">
              <a16:creationId xmlns:a16="http://schemas.microsoft.com/office/drawing/2014/main" id="{00000000-0008-0000-0B00-000065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02" name="Text Box 142">
          <a:extLst>
            <a:ext uri="{FF2B5EF4-FFF2-40B4-BE49-F238E27FC236}">
              <a16:creationId xmlns:a16="http://schemas.microsoft.com/office/drawing/2014/main" id="{00000000-0008-0000-0B00-000066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03" name="Text Box 143">
          <a:extLst>
            <a:ext uri="{FF2B5EF4-FFF2-40B4-BE49-F238E27FC236}">
              <a16:creationId xmlns:a16="http://schemas.microsoft.com/office/drawing/2014/main" id="{00000000-0008-0000-0B00-000067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04" name="Text Box 144">
          <a:extLst>
            <a:ext uri="{FF2B5EF4-FFF2-40B4-BE49-F238E27FC236}">
              <a16:creationId xmlns:a16="http://schemas.microsoft.com/office/drawing/2014/main" id="{00000000-0008-0000-0B00-000068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05" name="Text Box 145">
          <a:extLst>
            <a:ext uri="{FF2B5EF4-FFF2-40B4-BE49-F238E27FC236}">
              <a16:creationId xmlns:a16="http://schemas.microsoft.com/office/drawing/2014/main" id="{00000000-0008-0000-0B00-000069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06" name="Text Box 149">
          <a:extLst>
            <a:ext uri="{FF2B5EF4-FFF2-40B4-BE49-F238E27FC236}">
              <a16:creationId xmlns:a16="http://schemas.microsoft.com/office/drawing/2014/main" id="{00000000-0008-0000-0B00-00006A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07" name="Text Box 150">
          <a:extLst>
            <a:ext uri="{FF2B5EF4-FFF2-40B4-BE49-F238E27FC236}">
              <a16:creationId xmlns:a16="http://schemas.microsoft.com/office/drawing/2014/main" id="{00000000-0008-0000-0B00-00006B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08" name="Text Box 151">
          <a:extLst>
            <a:ext uri="{FF2B5EF4-FFF2-40B4-BE49-F238E27FC236}">
              <a16:creationId xmlns:a16="http://schemas.microsoft.com/office/drawing/2014/main" id="{00000000-0008-0000-0B00-00006C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09" name="Text Box 152">
          <a:extLst>
            <a:ext uri="{FF2B5EF4-FFF2-40B4-BE49-F238E27FC236}">
              <a16:creationId xmlns:a16="http://schemas.microsoft.com/office/drawing/2014/main" id="{00000000-0008-0000-0B00-00006D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10" name="Text Box 153">
          <a:extLst>
            <a:ext uri="{FF2B5EF4-FFF2-40B4-BE49-F238E27FC236}">
              <a16:creationId xmlns:a16="http://schemas.microsoft.com/office/drawing/2014/main" id="{00000000-0008-0000-0B00-00006E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11" name="Text Box 154">
          <a:extLst>
            <a:ext uri="{FF2B5EF4-FFF2-40B4-BE49-F238E27FC236}">
              <a16:creationId xmlns:a16="http://schemas.microsoft.com/office/drawing/2014/main" id="{00000000-0008-0000-0B00-00006F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12" name="Text Box 155">
          <a:extLst>
            <a:ext uri="{FF2B5EF4-FFF2-40B4-BE49-F238E27FC236}">
              <a16:creationId xmlns:a16="http://schemas.microsoft.com/office/drawing/2014/main" id="{00000000-0008-0000-0B00-000070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13" name="Text Box 156">
          <a:extLst>
            <a:ext uri="{FF2B5EF4-FFF2-40B4-BE49-F238E27FC236}">
              <a16:creationId xmlns:a16="http://schemas.microsoft.com/office/drawing/2014/main" id="{00000000-0008-0000-0B00-000071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14" name="Text Box 157">
          <a:extLst>
            <a:ext uri="{FF2B5EF4-FFF2-40B4-BE49-F238E27FC236}">
              <a16:creationId xmlns:a16="http://schemas.microsoft.com/office/drawing/2014/main" id="{00000000-0008-0000-0B00-000072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15" name="Text Box 161">
          <a:extLst>
            <a:ext uri="{FF2B5EF4-FFF2-40B4-BE49-F238E27FC236}">
              <a16:creationId xmlns:a16="http://schemas.microsoft.com/office/drawing/2014/main" id="{00000000-0008-0000-0B00-000073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16" name="Text Box 162">
          <a:extLst>
            <a:ext uri="{FF2B5EF4-FFF2-40B4-BE49-F238E27FC236}">
              <a16:creationId xmlns:a16="http://schemas.microsoft.com/office/drawing/2014/main" id="{00000000-0008-0000-0B00-000074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17" name="Text Box 163">
          <a:extLst>
            <a:ext uri="{FF2B5EF4-FFF2-40B4-BE49-F238E27FC236}">
              <a16:creationId xmlns:a16="http://schemas.microsoft.com/office/drawing/2014/main" id="{00000000-0008-0000-0B00-000075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18" name="Text Box 164">
          <a:extLst>
            <a:ext uri="{FF2B5EF4-FFF2-40B4-BE49-F238E27FC236}">
              <a16:creationId xmlns:a16="http://schemas.microsoft.com/office/drawing/2014/main" id="{00000000-0008-0000-0B00-000076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19" name="Text Box 165">
          <a:extLst>
            <a:ext uri="{FF2B5EF4-FFF2-40B4-BE49-F238E27FC236}">
              <a16:creationId xmlns:a16="http://schemas.microsoft.com/office/drawing/2014/main" id="{00000000-0008-0000-0B00-000077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20" name="Text Box 166">
          <a:extLst>
            <a:ext uri="{FF2B5EF4-FFF2-40B4-BE49-F238E27FC236}">
              <a16:creationId xmlns:a16="http://schemas.microsoft.com/office/drawing/2014/main" id="{00000000-0008-0000-0B00-000078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21" name="Text Box 167">
          <a:extLst>
            <a:ext uri="{FF2B5EF4-FFF2-40B4-BE49-F238E27FC236}">
              <a16:creationId xmlns:a16="http://schemas.microsoft.com/office/drawing/2014/main" id="{00000000-0008-0000-0B00-000079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22" name="Text Box 168">
          <a:extLst>
            <a:ext uri="{FF2B5EF4-FFF2-40B4-BE49-F238E27FC236}">
              <a16:creationId xmlns:a16="http://schemas.microsoft.com/office/drawing/2014/main" id="{00000000-0008-0000-0B00-00007A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23" name="Text Box 169">
          <a:extLst>
            <a:ext uri="{FF2B5EF4-FFF2-40B4-BE49-F238E27FC236}">
              <a16:creationId xmlns:a16="http://schemas.microsoft.com/office/drawing/2014/main" id="{00000000-0008-0000-0B00-00007B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24" name="Text Box 170">
          <a:extLst>
            <a:ext uri="{FF2B5EF4-FFF2-40B4-BE49-F238E27FC236}">
              <a16:creationId xmlns:a16="http://schemas.microsoft.com/office/drawing/2014/main" id="{00000000-0008-0000-0B00-00007C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25" name="Text Box 171">
          <a:extLst>
            <a:ext uri="{FF2B5EF4-FFF2-40B4-BE49-F238E27FC236}">
              <a16:creationId xmlns:a16="http://schemas.microsoft.com/office/drawing/2014/main" id="{00000000-0008-0000-0B00-00007D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26" name="Text Box 172">
          <a:extLst>
            <a:ext uri="{FF2B5EF4-FFF2-40B4-BE49-F238E27FC236}">
              <a16:creationId xmlns:a16="http://schemas.microsoft.com/office/drawing/2014/main" id="{00000000-0008-0000-0B00-00007E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27" name="Text Box 173">
          <a:extLst>
            <a:ext uri="{FF2B5EF4-FFF2-40B4-BE49-F238E27FC236}">
              <a16:creationId xmlns:a16="http://schemas.microsoft.com/office/drawing/2014/main" id="{00000000-0008-0000-0B00-00007F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28" name="Text Box 174">
          <a:extLst>
            <a:ext uri="{FF2B5EF4-FFF2-40B4-BE49-F238E27FC236}">
              <a16:creationId xmlns:a16="http://schemas.microsoft.com/office/drawing/2014/main" id="{00000000-0008-0000-0B00-000080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29" name="Text Box 176">
          <a:extLst>
            <a:ext uri="{FF2B5EF4-FFF2-40B4-BE49-F238E27FC236}">
              <a16:creationId xmlns:a16="http://schemas.microsoft.com/office/drawing/2014/main" id="{00000000-0008-0000-0B00-000081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30" name="Text Box 178">
          <a:extLst>
            <a:ext uri="{FF2B5EF4-FFF2-40B4-BE49-F238E27FC236}">
              <a16:creationId xmlns:a16="http://schemas.microsoft.com/office/drawing/2014/main" id="{00000000-0008-0000-0B00-000082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31" name="Text Box 179">
          <a:extLst>
            <a:ext uri="{FF2B5EF4-FFF2-40B4-BE49-F238E27FC236}">
              <a16:creationId xmlns:a16="http://schemas.microsoft.com/office/drawing/2014/main" id="{00000000-0008-0000-0B00-000083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32" name="Text Box 180">
          <a:extLst>
            <a:ext uri="{FF2B5EF4-FFF2-40B4-BE49-F238E27FC236}">
              <a16:creationId xmlns:a16="http://schemas.microsoft.com/office/drawing/2014/main" id="{00000000-0008-0000-0B00-000084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33" name="Text Box 181">
          <a:extLst>
            <a:ext uri="{FF2B5EF4-FFF2-40B4-BE49-F238E27FC236}">
              <a16:creationId xmlns:a16="http://schemas.microsoft.com/office/drawing/2014/main" id="{00000000-0008-0000-0B00-000085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34" name="Text Box 182">
          <a:extLst>
            <a:ext uri="{FF2B5EF4-FFF2-40B4-BE49-F238E27FC236}">
              <a16:creationId xmlns:a16="http://schemas.microsoft.com/office/drawing/2014/main" id="{00000000-0008-0000-0B00-000086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35" name="Text Box 183">
          <a:extLst>
            <a:ext uri="{FF2B5EF4-FFF2-40B4-BE49-F238E27FC236}">
              <a16:creationId xmlns:a16="http://schemas.microsoft.com/office/drawing/2014/main" id="{00000000-0008-0000-0B00-000087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36" name="Text Box 184">
          <a:extLst>
            <a:ext uri="{FF2B5EF4-FFF2-40B4-BE49-F238E27FC236}">
              <a16:creationId xmlns:a16="http://schemas.microsoft.com/office/drawing/2014/main" id="{00000000-0008-0000-0B00-000088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37" name="Text Box 185">
          <a:extLst>
            <a:ext uri="{FF2B5EF4-FFF2-40B4-BE49-F238E27FC236}">
              <a16:creationId xmlns:a16="http://schemas.microsoft.com/office/drawing/2014/main" id="{00000000-0008-0000-0B00-000089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38" name="Text Box 186">
          <a:extLst>
            <a:ext uri="{FF2B5EF4-FFF2-40B4-BE49-F238E27FC236}">
              <a16:creationId xmlns:a16="http://schemas.microsoft.com/office/drawing/2014/main" id="{00000000-0008-0000-0B00-00008A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39" name="Text Box 187">
          <a:extLst>
            <a:ext uri="{FF2B5EF4-FFF2-40B4-BE49-F238E27FC236}">
              <a16:creationId xmlns:a16="http://schemas.microsoft.com/office/drawing/2014/main" id="{00000000-0008-0000-0B00-00008B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40" name="Text Box 188">
          <a:extLst>
            <a:ext uri="{FF2B5EF4-FFF2-40B4-BE49-F238E27FC236}">
              <a16:creationId xmlns:a16="http://schemas.microsoft.com/office/drawing/2014/main" id="{00000000-0008-0000-0B00-00008C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41" name="Text Box 189">
          <a:extLst>
            <a:ext uri="{FF2B5EF4-FFF2-40B4-BE49-F238E27FC236}">
              <a16:creationId xmlns:a16="http://schemas.microsoft.com/office/drawing/2014/main" id="{00000000-0008-0000-0B00-00008D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42" name="Text Box 190">
          <a:extLst>
            <a:ext uri="{FF2B5EF4-FFF2-40B4-BE49-F238E27FC236}">
              <a16:creationId xmlns:a16="http://schemas.microsoft.com/office/drawing/2014/main" id="{00000000-0008-0000-0B00-00008E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43" name="Text Box 191">
          <a:extLst>
            <a:ext uri="{FF2B5EF4-FFF2-40B4-BE49-F238E27FC236}">
              <a16:creationId xmlns:a16="http://schemas.microsoft.com/office/drawing/2014/main" id="{00000000-0008-0000-0B00-00008F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44" name="Text Box 192">
          <a:extLst>
            <a:ext uri="{FF2B5EF4-FFF2-40B4-BE49-F238E27FC236}">
              <a16:creationId xmlns:a16="http://schemas.microsoft.com/office/drawing/2014/main" id="{00000000-0008-0000-0B00-000090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45" name="Text Box 193">
          <a:extLst>
            <a:ext uri="{FF2B5EF4-FFF2-40B4-BE49-F238E27FC236}">
              <a16:creationId xmlns:a16="http://schemas.microsoft.com/office/drawing/2014/main" id="{00000000-0008-0000-0B00-000091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46" name="Text Box 194">
          <a:extLst>
            <a:ext uri="{FF2B5EF4-FFF2-40B4-BE49-F238E27FC236}">
              <a16:creationId xmlns:a16="http://schemas.microsoft.com/office/drawing/2014/main" id="{00000000-0008-0000-0B00-000092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47" name="Text Box 195">
          <a:extLst>
            <a:ext uri="{FF2B5EF4-FFF2-40B4-BE49-F238E27FC236}">
              <a16:creationId xmlns:a16="http://schemas.microsoft.com/office/drawing/2014/main" id="{00000000-0008-0000-0B00-000093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48" name="Text Box 196">
          <a:extLst>
            <a:ext uri="{FF2B5EF4-FFF2-40B4-BE49-F238E27FC236}">
              <a16:creationId xmlns:a16="http://schemas.microsoft.com/office/drawing/2014/main" id="{00000000-0008-0000-0B00-000094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49" name="Text Box 197">
          <a:extLst>
            <a:ext uri="{FF2B5EF4-FFF2-40B4-BE49-F238E27FC236}">
              <a16:creationId xmlns:a16="http://schemas.microsoft.com/office/drawing/2014/main" id="{00000000-0008-0000-0B00-000095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50" name="Text Box 198">
          <a:extLst>
            <a:ext uri="{FF2B5EF4-FFF2-40B4-BE49-F238E27FC236}">
              <a16:creationId xmlns:a16="http://schemas.microsoft.com/office/drawing/2014/main" id="{00000000-0008-0000-0B00-000096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51" name="Text Box 199">
          <a:extLst>
            <a:ext uri="{FF2B5EF4-FFF2-40B4-BE49-F238E27FC236}">
              <a16:creationId xmlns:a16="http://schemas.microsoft.com/office/drawing/2014/main" id="{00000000-0008-0000-0B00-000097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52" name="Text Box 200">
          <a:extLst>
            <a:ext uri="{FF2B5EF4-FFF2-40B4-BE49-F238E27FC236}">
              <a16:creationId xmlns:a16="http://schemas.microsoft.com/office/drawing/2014/main" id="{00000000-0008-0000-0B00-000098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53" name="Text Box 201">
          <a:extLst>
            <a:ext uri="{FF2B5EF4-FFF2-40B4-BE49-F238E27FC236}">
              <a16:creationId xmlns:a16="http://schemas.microsoft.com/office/drawing/2014/main" id="{00000000-0008-0000-0B00-000099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54" name="Text Box 202">
          <a:extLst>
            <a:ext uri="{FF2B5EF4-FFF2-40B4-BE49-F238E27FC236}">
              <a16:creationId xmlns:a16="http://schemas.microsoft.com/office/drawing/2014/main" id="{00000000-0008-0000-0B00-00009A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55" name="Text Box 203">
          <a:extLst>
            <a:ext uri="{FF2B5EF4-FFF2-40B4-BE49-F238E27FC236}">
              <a16:creationId xmlns:a16="http://schemas.microsoft.com/office/drawing/2014/main" id="{00000000-0008-0000-0B00-00009B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56" name="Text Box 204">
          <a:extLst>
            <a:ext uri="{FF2B5EF4-FFF2-40B4-BE49-F238E27FC236}">
              <a16:creationId xmlns:a16="http://schemas.microsoft.com/office/drawing/2014/main" id="{00000000-0008-0000-0B00-00009C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57" name="Text Box 206">
          <a:extLst>
            <a:ext uri="{FF2B5EF4-FFF2-40B4-BE49-F238E27FC236}">
              <a16:creationId xmlns:a16="http://schemas.microsoft.com/office/drawing/2014/main" id="{00000000-0008-0000-0B00-00009D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58" name="Text Box 207">
          <a:extLst>
            <a:ext uri="{FF2B5EF4-FFF2-40B4-BE49-F238E27FC236}">
              <a16:creationId xmlns:a16="http://schemas.microsoft.com/office/drawing/2014/main" id="{00000000-0008-0000-0B00-00009E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59" name="Text Box 208">
          <a:extLst>
            <a:ext uri="{FF2B5EF4-FFF2-40B4-BE49-F238E27FC236}">
              <a16:creationId xmlns:a16="http://schemas.microsoft.com/office/drawing/2014/main" id="{00000000-0008-0000-0B00-00009F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60" name="Text Box 209">
          <a:extLst>
            <a:ext uri="{FF2B5EF4-FFF2-40B4-BE49-F238E27FC236}">
              <a16:creationId xmlns:a16="http://schemas.microsoft.com/office/drawing/2014/main" id="{00000000-0008-0000-0B00-0000A0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61" name="Text Box 210">
          <a:extLst>
            <a:ext uri="{FF2B5EF4-FFF2-40B4-BE49-F238E27FC236}">
              <a16:creationId xmlns:a16="http://schemas.microsoft.com/office/drawing/2014/main" id="{00000000-0008-0000-0B00-0000A1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62" name="Text Box 211">
          <a:extLst>
            <a:ext uri="{FF2B5EF4-FFF2-40B4-BE49-F238E27FC236}">
              <a16:creationId xmlns:a16="http://schemas.microsoft.com/office/drawing/2014/main" id="{00000000-0008-0000-0B00-0000A2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63" name="Text Box 212">
          <a:extLst>
            <a:ext uri="{FF2B5EF4-FFF2-40B4-BE49-F238E27FC236}">
              <a16:creationId xmlns:a16="http://schemas.microsoft.com/office/drawing/2014/main" id="{00000000-0008-0000-0B00-0000A3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64" name="Text Box 213">
          <a:extLst>
            <a:ext uri="{FF2B5EF4-FFF2-40B4-BE49-F238E27FC236}">
              <a16:creationId xmlns:a16="http://schemas.microsoft.com/office/drawing/2014/main" id="{00000000-0008-0000-0B00-0000A4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165" name="Text Box 214">
          <a:extLst>
            <a:ext uri="{FF2B5EF4-FFF2-40B4-BE49-F238E27FC236}">
              <a16:creationId xmlns:a16="http://schemas.microsoft.com/office/drawing/2014/main" id="{00000000-0008-0000-0B00-0000A500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66" name="Text Box 216">
          <a:extLst>
            <a:ext uri="{FF2B5EF4-FFF2-40B4-BE49-F238E27FC236}">
              <a16:creationId xmlns:a16="http://schemas.microsoft.com/office/drawing/2014/main" id="{00000000-0008-0000-0B00-0000A6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67" name="Text Box 217">
          <a:extLst>
            <a:ext uri="{FF2B5EF4-FFF2-40B4-BE49-F238E27FC236}">
              <a16:creationId xmlns:a16="http://schemas.microsoft.com/office/drawing/2014/main" id="{00000000-0008-0000-0B00-0000A7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68" name="Text Box 218">
          <a:extLst>
            <a:ext uri="{FF2B5EF4-FFF2-40B4-BE49-F238E27FC236}">
              <a16:creationId xmlns:a16="http://schemas.microsoft.com/office/drawing/2014/main" id="{00000000-0008-0000-0B00-0000A8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69" name="Text Box 219">
          <a:extLst>
            <a:ext uri="{FF2B5EF4-FFF2-40B4-BE49-F238E27FC236}">
              <a16:creationId xmlns:a16="http://schemas.microsoft.com/office/drawing/2014/main" id="{00000000-0008-0000-0B00-0000A9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70" name="Text Box 220">
          <a:extLst>
            <a:ext uri="{FF2B5EF4-FFF2-40B4-BE49-F238E27FC236}">
              <a16:creationId xmlns:a16="http://schemas.microsoft.com/office/drawing/2014/main" id="{00000000-0008-0000-0B00-0000AA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71" name="Text Box 221">
          <a:extLst>
            <a:ext uri="{FF2B5EF4-FFF2-40B4-BE49-F238E27FC236}">
              <a16:creationId xmlns:a16="http://schemas.microsoft.com/office/drawing/2014/main" id="{00000000-0008-0000-0B00-0000AB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72" name="Text Box 222">
          <a:extLst>
            <a:ext uri="{FF2B5EF4-FFF2-40B4-BE49-F238E27FC236}">
              <a16:creationId xmlns:a16="http://schemas.microsoft.com/office/drawing/2014/main" id="{00000000-0008-0000-0B00-0000AC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73" name="Text Box 223">
          <a:extLst>
            <a:ext uri="{FF2B5EF4-FFF2-40B4-BE49-F238E27FC236}">
              <a16:creationId xmlns:a16="http://schemas.microsoft.com/office/drawing/2014/main" id="{00000000-0008-0000-0B00-0000AD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74" name="Text Box 224">
          <a:extLst>
            <a:ext uri="{FF2B5EF4-FFF2-40B4-BE49-F238E27FC236}">
              <a16:creationId xmlns:a16="http://schemas.microsoft.com/office/drawing/2014/main" id="{00000000-0008-0000-0B00-0000AE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75" name="Text Box 225">
          <a:extLst>
            <a:ext uri="{FF2B5EF4-FFF2-40B4-BE49-F238E27FC236}">
              <a16:creationId xmlns:a16="http://schemas.microsoft.com/office/drawing/2014/main" id="{00000000-0008-0000-0B00-0000AF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76" name="Text Box 226">
          <a:extLst>
            <a:ext uri="{FF2B5EF4-FFF2-40B4-BE49-F238E27FC236}">
              <a16:creationId xmlns:a16="http://schemas.microsoft.com/office/drawing/2014/main" id="{00000000-0008-0000-0B00-0000B0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77" name="Text Box 227">
          <a:extLst>
            <a:ext uri="{FF2B5EF4-FFF2-40B4-BE49-F238E27FC236}">
              <a16:creationId xmlns:a16="http://schemas.microsoft.com/office/drawing/2014/main" id="{00000000-0008-0000-0B00-0000B1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78" name="Text Box 228">
          <a:extLst>
            <a:ext uri="{FF2B5EF4-FFF2-40B4-BE49-F238E27FC236}">
              <a16:creationId xmlns:a16="http://schemas.microsoft.com/office/drawing/2014/main" id="{00000000-0008-0000-0B00-0000B2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79" name="Text Box 229">
          <a:extLst>
            <a:ext uri="{FF2B5EF4-FFF2-40B4-BE49-F238E27FC236}">
              <a16:creationId xmlns:a16="http://schemas.microsoft.com/office/drawing/2014/main" id="{00000000-0008-0000-0B00-0000B3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80" name="Text Box 230">
          <a:extLst>
            <a:ext uri="{FF2B5EF4-FFF2-40B4-BE49-F238E27FC236}">
              <a16:creationId xmlns:a16="http://schemas.microsoft.com/office/drawing/2014/main" id="{00000000-0008-0000-0B00-0000B4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81" name="Text Box 231">
          <a:extLst>
            <a:ext uri="{FF2B5EF4-FFF2-40B4-BE49-F238E27FC236}">
              <a16:creationId xmlns:a16="http://schemas.microsoft.com/office/drawing/2014/main" id="{00000000-0008-0000-0B00-0000B5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82" name="Text Box 232">
          <a:extLst>
            <a:ext uri="{FF2B5EF4-FFF2-40B4-BE49-F238E27FC236}">
              <a16:creationId xmlns:a16="http://schemas.microsoft.com/office/drawing/2014/main" id="{00000000-0008-0000-0B00-0000B6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83" name="Text Box 233">
          <a:extLst>
            <a:ext uri="{FF2B5EF4-FFF2-40B4-BE49-F238E27FC236}">
              <a16:creationId xmlns:a16="http://schemas.microsoft.com/office/drawing/2014/main" id="{00000000-0008-0000-0B00-0000B7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84" name="Text Box 234">
          <a:extLst>
            <a:ext uri="{FF2B5EF4-FFF2-40B4-BE49-F238E27FC236}">
              <a16:creationId xmlns:a16="http://schemas.microsoft.com/office/drawing/2014/main" id="{00000000-0008-0000-0B00-0000B8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85" name="Text Box 235">
          <a:extLst>
            <a:ext uri="{FF2B5EF4-FFF2-40B4-BE49-F238E27FC236}">
              <a16:creationId xmlns:a16="http://schemas.microsoft.com/office/drawing/2014/main" id="{00000000-0008-0000-0B00-0000B9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86" name="Text Box 237">
          <a:extLst>
            <a:ext uri="{FF2B5EF4-FFF2-40B4-BE49-F238E27FC236}">
              <a16:creationId xmlns:a16="http://schemas.microsoft.com/office/drawing/2014/main" id="{00000000-0008-0000-0B00-0000BA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87" name="Text Box 238">
          <a:extLst>
            <a:ext uri="{FF2B5EF4-FFF2-40B4-BE49-F238E27FC236}">
              <a16:creationId xmlns:a16="http://schemas.microsoft.com/office/drawing/2014/main" id="{00000000-0008-0000-0B00-0000BB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88" name="Text Box 239">
          <a:extLst>
            <a:ext uri="{FF2B5EF4-FFF2-40B4-BE49-F238E27FC236}">
              <a16:creationId xmlns:a16="http://schemas.microsoft.com/office/drawing/2014/main" id="{00000000-0008-0000-0B00-0000BC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89" name="Text Box 240">
          <a:extLst>
            <a:ext uri="{FF2B5EF4-FFF2-40B4-BE49-F238E27FC236}">
              <a16:creationId xmlns:a16="http://schemas.microsoft.com/office/drawing/2014/main" id="{00000000-0008-0000-0B00-0000BD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190" name="Text Box 241">
          <a:extLst>
            <a:ext uri="{FF2B5EF4-FFF2-40B4-BE49-F238E27FC236}">
              <a16:creationId xmlns:a16="http://schemas.microsoft.com/office/drawing/2014/main" id="{00000000-0008-0000-0B00-0000BE00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26</xdr:row>
      <xdr:rowOff>0</xdr:rowOff>
    </xdr:from>
    <xdr:to>
      <xdr:col>4</xdr:col>
      <xdr:colOff>9525</xdr:colOff>
      <xdr:row>28</xdr:row>
      <xdr:rowOff>28575</xdr:rowOff>
    </xdr:to>
    <xdr:sp macro="" textlink="">
      <xdr:nvSpPr>
        <xdr:cNvPr id="191" name="Text Box 187">
          <a:extLst>
            <a:ext uri="{FF2B5EF4-FFF2-40B4-BE49-F238E27FC236}">
              <a16:creationId xmlns:a16="http://schemas.microsoft.com/office/drawing/2014/main" id="{00000000-0008-0000-0B00-0000BF000000}"/>
            </a:ext>
          </a:extLst>
        </xdr:cNvPr>
        <xdr:cNvSpPr txBox="1">
          <a:spLocks noChangeArrowheads="1"/>
        </xdr:cNvSpPr>
      </xdr:nvSpPr>
      <xdr:spPr bwMode="auto">
        <a:xfrm>
          <a:off x="4733926" y="4000500"/>
          <a:ext cx="80962" cy="4333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34</xdr:row>
      <xdr:rowOff>0</xdr:rowOff>
    </xdr:from>
    <xdr:to>
      <xdr:col>4</xdr:col>
      <xdr:colOff>9525</xdr:colOff>
      <xdr:row>35</xdr:row>
      <xdr:rowOff>66675</xdr:rowOff>
    </xdr:to>
    <xdr:sp macro="" textlink="">
      <xdr:nvSpPr>
        <xdr:cNvPr id="192" name="Text Box 188">
          <a:extLst>
            <a:ext uri="{FF2B5EF4-FFF2-40B4-BE49-F238E27FC236}">
              <a16:creationId xmlns:a16="http://schemas.microsoft.com/office/drawing/2014/main" id="{00000000-0008-0000-0B00-0000C0000000}"/>
            </a:ext>
          </a:extLst>
        </xdr:cNvPr>
        <xdr:cNvSpPr txBox="1">
          <a:spLocks noChangeArrowheads="1"/>
        </xdr:cNvSpPr>
      </xdr:nvSpPr>
      <xdr:spPr bwMode="auto">
        <a:xfrm>
          <a:off x="4733926" y="5305425"/>
          <a:ext cx="80962" cy="195263"/>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35</xdr:row>
      <xdr:rowOff>19050</xdr:rowOff>
    </xdr:from>
    <xdr:to>
      <xdr:col>4</xdr:col>
      <xdr:colOff>9525</xdr:colOff>
      <xdr:row>36</xdr:row>
      <xdr:rowOff>47625</xdr:rowOff>
    </xdr:to>
    <xdr:sp macro="" textlink="">
      <xdr:nvSpPr>
        <xdr:cNvPr id="193" name="Text Box 189">
          <a:extLst>
            <a:ext uri="{FF2B5EF4-FFF2-40B4-BE49-F238E27FC236}">
              <a16:creationId xmlns:a16="http://schemas.microsoft.com/office/drawing/2014/main" id="{00000000-0008-0000-0B00-0000C1000000}"/>
            </a:ext>
          </a:extLst>
        </xdr:cNvPr>
        <xdr:cNvSpPr txBox="1">
          <a:spLocks noChangeArrowheads="1"/>
        </xdr:cNvSpPr>
      </xdr:nvSpPr>
      <xdr:spPr bwMode="auto">
        <a:xfrm>
          <a:off x="4733926" y="5453063"/>
          <a:ext cx="80962" cy="15716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35</xdr:row>
      <xdr:rowOff>19050</xdr:rowOff>
    </xdr:from>
    <xdr:to>
      <xdr:col>4</xdr:col>
      <xdr:colOff>9525</xdr:colOff>
      <xdr:row>36</xdr:row>
      <xdr:rowOff>47625</xdr:rowOff>
    </xdr:to>
    <xdr:sp macro="" textlink="">
      <xdr:nvSpPr>
        <xdr:cNvPr id="194" name="Text Box 190">
          <a:extLst>
            <a:ext uri="{FF2B5EF4-FFF2-40B4-BE49-F238E27FC236}">
              <a16:creationId xmlns:a16="http://schemas.microsoft.com/office/drawing/2014/main" id="{00000000-0008-0000-0B00-0000C2000000}"/>
            </a:ext>
          </a:extLst>
        </xdr:cNvPr>
        <xdr:cNvSpPr txBox="1">
          <a:spLocks noChangeArrowheads="1"/>
        </xdr:cNvSpPr>
      </xdr:nvSpPr>
      <xdr:spPr bwMode="auto">
        <a:xfrm>
          <a:off x="4733926" y="5453063"/>
          <a:ext cx="80962" cy="15716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35</xdr:row>
      <xdr:rowOff>19050</xdr:rowOff>
    </xdr:from>
    <xdr:to>
      <xdr:col>4</xdr:col>
      <xdr:colOff>9525</xdr:colOff>
      <xdr:row>36</xdr:row>
      <xdr:rowOff>47625</xdr:rowOff>
    </xdr:to>
    <xdr:sp macro="" textlink="">
      <xdr:nvSpPr>
        <xdr:cNvPr id="195" name="Text Box 191">
          <a:extLst>
            <a:ext uri="{FF2B5EF4-FFF2-40B4-BE49-F238E27FC236}">
              <a16:creationId xmlns:a16="http://schemas.microsoft.com/office/drawing/2014/main" id="{00000000-0008-0000-0B00-0000C3000000}"/>
            </a:ext>
          </a:extLst>
        </xdr:cNvPr>
        <xdr:cNvSpPr txBox="1">
          <a:spLocks noChangeArrowheads="1"/>
        </xdr:cNvSpPr>
      </xdr:nvSpPr>
      <xdr:spPr bwMode="auto">
        <a:xfrm>
          <a:off x="4733926" y="5453063"/>
          <a:ext cx="80962" cy="15716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35</xdr:row>
      <xdr:rowOff>19050</xdr:rowOff>
    </xdr:from>
    <xdr:to>
      <xdr:col>4</xdr:col>
      <xdr:colOff>9525</xdr:colOff>
      <xdr:row>36</xdr:row>
      <xdr:rowOff>47625</xdr:rowOff>
    </xdr:to>
    <xdr:sp macro="" textlink="">
      <xdr:nvSpPr>
        <xdr:cNvPr id="196" name="Text Box 192">
          <a:extLst>
            <a:ext uri="{FF2B5EF4-FFF2-40B4-BE49-F238E27FC236}">
              <a16:creationId xmlns:a16="http://schemas.microsoft.com/office/drawing/2014/main" id="{00000000-0008-0000-0B00-0000C4000000}"/>
            </a:ext>
          </a:extLst>
        </xdr:cNvPr>
        <xdr:cNvSpPr txBox="1">
          <a:spLocks noChangeArrowheads="1"/>
        </xdr:cNvSpPr>
      </xdr:nvSpPr>
      <xdr:spPr bwMode="auto">
        <a:xfrm>
          <a:off x="4733926" y="5453063"/>
          <a:ext cx="80962" cy="15716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36</xdr:row>
      <xdr:rowOff>9525</xdr:rowOff>
    </xdr:from>
    <xdr:to>
      <xdr:col>4</xdr:col>
      <xdr:colOff>9525</xdr:colOff>
      <xdr:row>37</xdr:row>
      <xdr:rowOff>285750</xdr:rowOff>
    </xdr:to>
    <xdr:sp macro="" textlink="">
      <xdr:nvSpPr>
        <xdr:cNvPr id="197" name="Text Box 193">
          <a:extLst>
            <a:ext uri="{FF2B5EF4-FFF2-40B4-BE49-F238E27FC236}">
              <a16:creationId xmlns:a16="http://schemas.microsoft.com/office/drawing/2014/main" id="{00000000-0008-0000-0B00-0000C5000000}"/>
            </a:ext>
          </a:extLst>
        </xdr:cNvPr>
        <xdr:cNvSpPr txBox="1">
          <a:spLocks noChangeArrowheads="1"/>
        </xdr:cNvSpPr>
      </xdr:nvSpPr>
      <xdr:spPr bwMode="auto">
        <a:xfrm>
          <a:off x="4733926" y="5572125"/>
          <a:ext cx="80962" cy="24765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36</xdr:row>
      <xdr:rowOff>9525</xdr:rowOff>
    </xdr:from>
    <xdr:to>
      <xdr:col>4</xdr:col>
      <xdr:colOff>9525</xdr:colOff>
      <xdr:row>37</xdr:row>
      <xdr:rowOff>285750</xdr:rowOff>
    </xdr:to>
    <xdr:sp macro="" textlink="">
      <xdr:nvSpPr>
        <xdr:cNvPr id="198" name="Text Box 194">
          <a:extLst>
            <a:ext uri="{FF2B5EF4-FFF2-40B4-BE49-F238E27FC236}">
              <a16:creationId xmlns:a16="http://schemas.microsoft.com/office/drawing/2014/main" id="{00000000-0008-0000-0B00-0000C6000000}"/>
            </a:ext>
          </a:extLst>
        </xdr:cNvPr>
        <xdr:cNvSpPr txBox="1">
          <a:spLocks noChangeArrowheads="1"/>
        </xdr:cNvSpPr>
      </xdr:nvSpPr>
      <xdr:spPr bwMode="auto">
        <a:xfrm>
          <a:off x="4733926" y="5572125"/>
          <a:ext cx="80962" cy="24765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36</xdr:row>
      <xdr:rowOff>9525</xdr:rowOff>
    </xdr:from>
    <xdr:to>
      <xdr:col>4</xdr:col>
      <xdr:colOff>9525</xdr:colOff>
      <xdr:row>37</xdr:row>
      <xdr:rowOff>285750</xdr:rowOff>
    </xdr:to>
    <xdr:sp macro="" textlink="">
      <xdr:nvSpPr>
        <xdr:cNvPr id="199" name="Text Box 195">
          <a:extLst>
            <a:ext uri="{FF2B5EF4-FFF2-40B4-BE49-F238E27FC236}">
              <a16:creationId xmlns:a16="http://schemas.microsoft.com/office/drawing/2014/main" id="{00000000-0008-0000-0B00-0000C7000000}"/>
            </a:ext>
          </a:extLst>
        </xdr:cNvPr>
        <xdr:cNvSpPr txBox="1">
          <a:spLocks noChangeArrowheads="1"/>
        </xdr:cNvSpPr>
      </xdr:nvSpPr>
      <xdr:spPr bwMode="auto">
        <a:xfrm>
          <a:off x="4733926" y="5572125"/>
          <a:ext cx="80962" cy="24765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26</xdr:row>
      <xdr:rowOff>0</xdr:rowOff>
    </xdr:from>
    <xdr:to>
      <xdr:col>4</xdr:col>
      <xdr:colOff>9525</xdr:colOff>
      <xdr:row>28</xdr:row>
      <xdr:rowOff>28575</xdr:rowOff>
    </xdr:to>
    <xdr:sp macro="" textlink="">
      <xdr:nvSpPr>
        <xdr:cNvPr id="200" name="Text Box 193">
          <a:extLst>
            <a:ext uri="{FF2B5EF4-FFF2-40B4-BE49-F238E27FC236}">
              <a16:creationId xmlns:a16="http://schemas.microsoft.com/office/drawing/2014/main" id="{00000000-0008-0000-0B00-0000C8000000}"/>
            </a:ext>
          </a:extLst>
        </xdr:cNvPr>
        <xdr:cNvSpPr txBox="1">
          <a:spLocks noChangeArrowheads="1"/>
        </xdr:cNvSpPr>
      </xdr:nvSpPr>
      <xdr:spPr bwMode="auto">
        <a:xfrm>
          <a:off x="4733926" y="4000500"/>
          <a:ext cx="80962" cy="4333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26</xdr:row>
      <xdr:rowOff>0</xdr:rowOff>
    </xdr:from>
    <xdr:to>
      <xdr:col>4</xdr:col>
      <xdr:colOff>9525</xdr:colOff>
      <xdr:row>28</xdr:row>
      <xdr:rowOff>28575</xdr:rowOff>
    </xdr:to>
    <xdr:sp macro="" textlink="">
      <xdr:nvSpPr>
        <xdr:cNvPr id="201" name="Text Box 194">
          <a:extLst>
            <a:ext uri="{FF2B5EF4-FFF2-40B4-BE49-F238E27FC236}">
              <a16:creationId xmlns:a16="http://schemas.microsoft.com/office/drawing/2014/main" id="{00000000-0008-0000-0B00-0000C9000000}"/>
            </a:ext>
          </a:extLst>
        </xdr:cNvPr>
        <xdr:cNvSpPr txBox="1">
          <a:spLocks noChangeArrowheads="1"/>
        </xdr:cNvSpPr>
      </xdr:nvSpPr>
      <xdr:spPr bwMode="auto">
        <a:xfrm>
          <a:off x="4733926" y="4000500"/>
          <a:ext cx="80962" cy="4333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26</xdr:row>
      <xdr:rowOff>0</xdr:rowOff>
    </xdr:from>
    <xdr:to>
      <xdr:col>4</xdr:col>
      <xdr:colOff>9525</xdr:colOff>
      <xdr:row>28</xdr:row>
      <xdr:rowOff>28575</xdr:rowOff>
    </xdr:to>
    <xdr:sp macro="" textlink="">
      <xdr:nvSpPr>
        <xdr:cNvPr id="202" name="Text Box 195">
          <a:extLst>
            <a:ext uri="{FF2B5EF4-FFF2-40B4-BE49-F238E27FC236}">
              <a16:creationId xmlns:a16="http://schemas.microsoft.com/office/drawing/2014/main" id="{00000000-0008-0000-0B00-0000CA000000}"/>
            </a:ext>
          </a:extLst>
        </xdr:cNvPr>
        <xdr:cNvSpPr txBox="1">
          <a:spLocks noChangeArrowheads="1"/>
        </xdr:cNvSpPr>
      </xdr:nvSpPr>
      <xdr:spPr bwMode="auto">
        <a:xfrm>
          <a:off x="4733926" y="4000500"/>
          <a:ext cx="80962" cy="4333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23</xdr:row>
      <xdr:rowOff>0</xdr:rowOff>
    </xdr:from>
    <xdr:to>
      <xdr:col>4</xdr:col>
      <xdr:colOff>9525</xdr:colOff>
      <xdr:row>24</xdr:row>
      <xdr:rowOff>95250</xdr:rowOff>
    </xdr:to>
    <xdr:sp macro="" textlink="">
      <xdr:nvSpPr>
        <xdr:cNvPr id="203" name="Text Box 193">
          <a:extLst>
            <a:ext uri="{FF2B5EF4-FFF2-40B4-BE49-F238E27FC236}">
              <a16:creationId xmlns:a16="http://schemas.microsoft.com/office/drawing/2014/main" id="{00000000-0008-0000-0B00-0000CB000000}"/>
            </a:ext>
          </a:extLst>
        </xdr:cNvPr>
        <xdr:cNvSpPr txBox="1">
          <a:spLocks noChangeArrowheads="1"/>
        </xdr:cNvSpPr>
      </xdr:nvSpPr>
      <xdr:spPr bwMode="auto">
        <a:xfrm>
          <a:off x="4733926" y="3357563"/>
          <a:ext cx="80962" cy="22383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23</xdr:row>
      <xdr:rowOff>0</xdr:rowOff>
    </xdr:from>
    <xdr:to>
      <xdr:col>4</xdr:col>
      <xdr:colOff>9525</xdr:colOff>
      <xdr:row>24</xdr:row>
      <xdr:rowOff>95250</xdr:rowOff>
    </xdr:to>
    <xdr:sp macro="" textlink="">
      <xdr:nvSpPr>
        <xdr:cNvPr id="204" name="Text Box 194">
          <a:extLst>
            <a:ext uri="{FF2B5EF4-FFF2-40B4-BE49-F238E27FC236}">
              <a16:creationId xmlns:a16="http://schemas.microsoft.com/office/drawing/2014/main" id="{00000000-0008-0000-0B00-0000CC000000}"/>
            </a:ext>
          </a:extLst>
        </xdr:cNvPr>
        <xdr:cNvSpPr txBox="1">
          <a:spLocks noChangeArrowheads="1"/>
        </xdr:cNvSpPr>
      </xdr:nvSpPr>
      <xdr:spPr bwMode="auto">
        <a:xfrm>
          <a:off x="4733926" y="3357563"/>
          <a:ext cx="80962" cy="22383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23</xdr:row>
      <xdr:rowOff>0</xdr:rowOff>
    </xdr:from>
    <xdr:to>
      <xdr:col>4</xdr:col>
      <xdr:colOff>9525</xdr:colOff>
      <xdr:row>24</xdr:row>
      <xdr:rowOff>95250</xdr:rowOff>
    </xdr:to>
    <xdr:sp macro="" textlink="">
      <xdr:nvSpPr>
        <xdr:cNvPr id="205" name="Text Box 195">
          <a:extLst>
            <a:ext uri="{FF2B5EF4-FFF2-40B4-BE49-F238E27FC236}">
              <a16:creationId xmlns:a16="http://schemas.microsoft.com/office/drawing/2014/main" id="{00000000-0008-0000-0B00-0000CD000000}"/>
            </a:ext>
          </a:extLst>
        </xdr:cNvPr>
        <xdr:cNvSpPr txBox="1">
          <a:spLocks noChangeArrowheads="1"/>
        </xdr:cNvSpPr>
      </xdr:nvSpPr>
      <xdr:spPr bwMode="auto">
        <a:xfrm>
          <a:off x="4733926" y="3357563"/>
          <a:ext cx="80962" cy="22383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36</xdr:row>
      <xdr:rowOff>9525</xdr:rowOff>
    </xdr:from>
    <xdr:to>
      <xdr:col>4</xdr:col>
      <xdr:colOff>9525</xdr:colOff>
      <xdr:row>37</xdr:row>
      <xdr:rowOff>285750</xdr:rowOff>
    </xdr:to>
    <xdr:sp macro="" textlink="">
      <xdr:nvSpPr>
        <xdr:cNvPr id="206" name="Text Box 193">
          <a:extLst>
            <a:ext uri="{FF2B5EF4-FFF2-40B4-BE49-F238E27FC236}">
              <a16:creationId xmlns:a16="http://schemas.microsoft.com/office/drawing/2014/main" id="{00000000-0008-0000-0B00-0000CE000000}"/>
            </a:ext>
          </a:extLst>
        </xdr:cNvPr>
        <xdr:cNvSpPr txBox="1">
          <a:spLocks noChangeArrowheads="1"/>
        </xdr:cNvSpPr>
      </xdr:nvSpPr>
      <xdr:spPr bwMode="auto">
        <a:xfrm>
          <a:off x="4733926" y="5572125"/>
          <a:ext cx="80962" cy="24765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36</xdr:row>
      <xdr:rowOff>9525</xdr:rowOff>
    </xdr:from>
    <xdr:to>
      <xdr:col>4</xdr:col>
      <xdr:colOff>9525</xdr:colOff>
      <xdr:row>37</xdr:row>
      <xdr:rowOff>285750</xdr:rowOff>
    </xdr:to>
    <xdr:sp macro="" textlink="">
      <xdr:nvSpPr>
        <xdr:cNvPr id="207" name="Text Box 194">
          <a:extLst>
            <a:ext uri="{FF2B5EF4-FFF2-40B4-BE49-F238E27FC236}">
              <a16:creationId xmlns:a16="http://schemas.microsoft.com/office/drawing/2014/main" id="{00000000-0008-0000-0B00-0000CF000000}"/>
            </a:ext>
          </a:extLst>
        </xdr:cNvPr>
        <xdr:cNvSpPr txBox="1">
          <a:spLocks noChangeArrowheads="1"/>
        </xdr:cNvSpPr>
      </xdr:nvSpPr>
      <xdr:spPr bwMode="auto">
        <a:xfrm>
          <a:off x="4733926" y="5572125"/>
          <a:ext cx="80962" cy="24765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36</xdr:row>
      <xdr:rowOff>9525</xdr:rowOff>
    </xdr:from>
    <xdr:to>
      <xdr:col>4</xdr:col>
      <xdr:colOff>9525</xdr:colOff>
      <xdr:row>37</xdr:row>
      <xdr:rowOff>285750</xdr:rowOff>
    </xdr:to>
    <xdr:sp macro="" textlink="">
      <xdr:nvSpPr>
        <xdr:cNvPr id="208" name="Text Box 195">
          <a:extLst>
            <a:ext uri="{FF2B5EF4-FFF2-40B4-BE49-F238E27FC236}">
              <a16:creationId xmlns:a16="http://schemas.microsoft.com/office/drawing/2014/main" id="{00000000-0008-0000-0B00-0000D0000000}"/>
            </a:ext>
          </a:extLst>
        </xdr:cNvPr>
        <xdr:cNvSpPr txBox="1">
          <a:spLocks noChangeArrowheads="1"/>
        </xdr:cNvSpPr>
      </xdr:nvSpPr>
      <xdr:spPr bwMode="auto">
        <a:xfrm>
          <a:off x="4733926" y="5572125"/>
          <a:ext cx="80962" cy="24765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37</xdr:row>
      <xdr:rowOff>219075</xdr:rowOff>
    </xdr:from>
    <xdr:to>
      <xdr:col>4</xdr:col>
      <xdr:colOff>9525</xdr:colOff>
      <xdr:row>39</xdr:row>
      <xdr:rowOff>9525</xdr:rowOff>
    </xdr:to>
    <xdr:sp macro="" textlink="">
      <xdr:nvSpPr>
        <xdr:cNvPr id="209" name="Text Box 193">
          <a:extLst>
            <a:ext uri="{FF2B5EF4-FFF2-40B4-BE49-F238E27FC236}">
              <a16:creationId xmlns:a16="http://schemas.microsoft.com/office/drawing/2014/main" id="{00000000-0008-0000-0B00-0000D1000000}"/>
            </a:ext>
          </a:extLst>
        </xdr:cNvPr>
        <xdr:cNvSpPr txBox="1">
          <a:spLocks noChangeArrowheads="1"/>
        </xdr:cNvSpPr>
      </xdr:nvSpPr>
      <xdr:spPr bwMode="auto">
        <a:xfrm>
          <a:off x="4733926" y="5819776"/>
          <a:ext cx="80962"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37</xdr:row>
      <xdr:rowOff>219075</xdr:rowOff>
    </xdr:from>
    <xdr:to>
      <xdr:col>4</xdr:col>
      <xdr:colOff>9525</xdr:colOff>
      <xdr:row>39</xdr:row>
      <xdr:rowOff>9525</xdr:rowOff>
    </xdr:to>
    <xdr:sp macro="" textlink="">
      <xdr:nvSpPr>
        <xdr:cNvPr id="210" name="Text Box 194">
          <a:extLst>
            <a:ext uri="{FF2B5EF4-FFF2-40B4-BE49-F238E27FC236}">
              <a16:creationId xmlns:a16="http://schemas.microsoft.com/office/drawing/2014/main" id="{00000000-0008-0000-0B00-0000D2000000}"/>
            </a:ext>
          </a:extLst>
        </xdr:cNvPr>
        <xdr:cNvSpPr txBox="1">
          <a:spLocks noChangeArrowheads="1"/>
        </xdr:cNvSpPr>
      </xdr:nvSpPr>
      <xdr:spPr bwMode="auto">
        <a:xfrm>
          <a:off x="4733926" y="5819776"/>
          <a:ext cx="80962"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37</xdr:row>
      <xdr:rowOff>219075</xdr:rowOff>
    </xdr:from>
    <xdr:to>
      <xdr:col>4</xdr:col>
      <xdr:colOff>9525</xdr:colOff>
      <xdr:row>39</xdr:row>
      <xdr:rowOff>9525</xdr:rowOff>
    </xdr:to>
    <xdr:sp macro="" textlink="">
      <xdr:nvSpPr>
        <xdr:cNvPr id="211" name="Text Box 195">
          <a:extLst>
            <a:ext uri="{FF2B5EF4-FFF2-40B4-BE49-F238E27FC236}">
              <a16:creationId xmlns:a16="http://schemas.microsoft.com/office/drawing/2014/main" id="{00000000-0008-0000-0B00-0000D3000000}"/>
            </a:ext>
          </a:extLst>
        </xdr:cNvPr>
        <xdr:cNvSpPr txBox="1">
          <a:spLocks noChangeArrowheads="1"/>
        </xdr:cNvSpPr>
      </xdr:nvSpPr>
      <xdr:spPr bwMode="auto">
        <a:xfrm>
          <a:off x="4733926" y="5819776"/>
          <a:ext cx="80962"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25</xdr:row>
      <xdr:rowOff>0</xdr:rowOff>
    </xdr:from>
    <xdr:to>
      <xdr:col>4</xdr:col>
      <xdr:colOff>9525</xdr:colOff>
      <xdr:row>27</xdr:row>
      <xdr:rowOff>28575</xdr:rowOff>
    </xdr:to>
    <xdr:sp macro="" textlink="">
      <xdr:nvSpPr>
        <xdr:cNvPr id="212" name="Text Box 187">
          <a:extLst>
            <a:ext uri="{FF2B5EF4-FFF2-40B4-BE49-F238E27FC236}">
              <a16:creationId xmlns:a16="http://schemas.microsoft.com/office/drawing/2014/main" id="{00000000-0008-0000-0B00-0000D4000000}"/>
            </a:ext>
          </a:extLst>
        </xdr:cNvPr>
        <xdr:cNvSpPr txBox="1">
          <a:spLocks noChangeArrowheads="1"/>
        </xdr:cNvSpPr>
      </xdr:nvSpPr>
      <xdr:spPr bwMode="auto">
        <a:xfrm>
          <a:off x="4733926" y="3743325"/>
          <a:ext cx="80962" cy="4333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25</xdr:row>
      <xdr:rowOff>0</xdr:rowOff>
    </xdr:from>
    <xdr:to>
      <xdr:col>4</xdr:col>
      <xdr:colOff>9525</xdr:colOff>
      <xdr:row>27</xdr:row>
      <xdr:rowOff>28575</xdr:rowOff>
    </xdr:to>
    <xdr:sp macro="" textlink="">
      <xdr:nvSpPr>
        <xdr:cNvPr id="213" name="Text Box 193">
          <a:extLst>
            <a:ext uri="{FF2B5EF4-FFF2-40B4-BE49-F238E27FC236}">
              <a16:creationId xmlns:a16="http://schemas.microsoft.com/office/drawing/2014/main" id="{00000000-0008-0000-0B00-0000D5000000}"/>
            </a:ext>
          </a:extLst>
        </xdr:cNvPr>
        <xdr:cNvSpPr txBox="1">
          <a:spLocks noChangeArrowheads="1"/>
        </xdr:cNvSpPr>
      </xdr:nvSpPr>
      <xdr:spPr bwMode="auto">
        <a:xfrm>
          <a:off x="4733926" y="3743325"/>
          <a:ext cx="80962" cy="4333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25</xdr:row>
      <xdr:rowOff>0</xdr:rowOff>
    </xdr:from>
    <xdr:to>
      <xdr:col>4</xdr:col>
      <xdr:colOff>9525</xdr:colOff>
      <xdr:row>27</xdr:row>
      <xdr:rowOff>28575</xdr:rowOff>
    </xdr:to>
    <xdr:sp macro="" textlink="">
      <xdr:nvSpPr>
        <xdr:cNvPr id="214" name="Text Box 194">
          <a:extLst>
            <a:ext uri="{FF2B5EF4-FFF2-40B4-BE49-F238E27FC236}">
              <a16:creationId xmlns:a16="http://schemas.microsoft.com/office/drawing/2014/main" id="{00000000-0008-0000-0B00-0000D6000000}"/>
            </a:ext>
          </a:extLst>
        </xdr:cNvPr>
        <xdr:cNvSpPr txBox="1">
          <a:spLocks noChangeArrowheads="1"/>
        </xdr:cNvSpPr>
      </xdr:nvSpPr>
      <xdr:spPr bwMode="auto">
        <a:xfrm>
          <a:off x="4733926" y="3743325"/>
          <a:ext cx="80962" cy="4333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25</xdr:row>
      <xdr:rowOff>0</xdr:rowOff>
    </xdr:from>
    <xdr:to>
      <xdr:col>4</xdr:col>
      <xdr:colOff>9525</xdr:colOff>
      <xdr:row>27</xdr:row>
      <xdr:rowOff>28575</xdr:rowOff>
    </xdr:to>
    <xdr:sp macro="" textlink="">
      <xdr:nvSpPr>
        <xdr:cNvPr id="215" name="Text Box 195">
          <a:extLst>
            <a:ext uri="{FF2B5EF4-FFF2-40B4-BE49-F238E27FC236}">
              <a16:creationId xmlns:a16="http://schemas.microsoft.com/office/drawing/2014/main" id="{00000000-0008-0000-0B00-0000D7000000}"/>
            </a:ext>
          </a:extLst>
        </xdr:cNvPr>
        <xdr:cNvSpPr txBox="1">
          <a:spLocks noChangeArrowheads="1"/>
        </xdr:cNvSpPr>
      </xdr:nvSpPr>
      <xdr:spPr bwMode="auto">
        <a:xfrm>
          <a:off x="4733926" y="3743325"/>
          <a:ext cx="80962" cy="4333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24</xdr:row>
      <xdr:rowOff>0</xdr:rowOff>
    </xdr:from>
    <xdr:to>
      <xdr:col>4</xdr:col>
      <xdr:colOff>9525</xdr:colOff>
      <xdr:row>24</xdr:row>
      <xdr:rowOff>285750</xdr:rowOff>
    </xdr:to>
    <xdr:sp macro="" textlink="">
      <xdr:nvSpPr>
        <xdr:cNvPr id="216" name="Text Box 193">
          <a:extLst>
            <a:ext uri="{FF2B5EF4-FFF2-40B4-BE49-F238E27FC236}">
              <a16:creationId xmlns:a16="http://schemas.microsoft.com/office/drawing/2014/main" id="{00000000-0008-0000-0B00-0000D8000000}"/>
            </a:ext>
          </a:extLst>
        </xdr:cNvPr>
        <xdr:cNvSpPr txBox="1">
          <a:spLocks noChangeArrowheads="1"/>
        </xdr:cNvSpPr>
      </xdr:nvSpPr>
      <xdr:spPr bwMode="auto">
        <a:xfrm>
          <a:off x="4733926" y="3486150"/>
          <a:ext cx="80962"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24</xdr:row>
      <xdr:rowOff>0</xdr:rowOff>
    </xdr:from>
    <xdr:to>
      <xdr:col>4</xdr:col>
      <xdr:colOff>9525</xdr:colOff>
      <xdr:row>24</xdr:row>
      <xdr:rowOff>285750</xdr:rowOff>
    </xdr:to>
    <xdr:sp macro="" textlink="">
      <xdr:nvSpPr>
        <xdr:cNvPr id="217" name="Text Box 194">
          <a:extLst>
            <a:ext uri="{FF2B5EF4-FFF2-40B4-BE49-F238E27FC236}">
              <a16:creationId xmlns:a16="http://schemas.microsoft.com/office/drawing/2014/main" id="{00000000-0008-0000-0B00-0000D9000000}"/>
            </a:ext>
          </a:extLst>
        </xdr:cNvPr>
        <xdr:cNvSpPr txBox="1">
          <a:spLocks noChangeArrowheads="1"/>
        </xdr:cNvSpPr>
      </xdr:nvSpPr>
      <xdr:spPr bwMode="auto">
        <a:xfrm>
          <a:off x="4733926" y="3486150"/>
          <a:ext cx="80962"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24</xdr:row>
      <xdr:rowOff>0</xdr:rowOff>
    </xdr:from>
    <xdr:to>
      <xdr:col>4</xdr:col>
      <xdr:colOff>9525</xdr:colOff>
      <xdr:row>24</xdr:row>
      <xdr:rowOff>285750</xdr:rowOff>
    </xdr:to>
    <xdr:sp macro="" textlink="">
      <xdr:nvSpPr>
        <xdr:cNvPr id="218" name="Text Box 195">
          <a:extLst>
            <a:ext uri="{FF2B5EF4-FFF2-40B4-BE49-F238E27FC236}">
              <a16:creationId xmlns:a16="http://schemas.microsoft.com/office/drawing/2014/main" id="{00000000-0008-0000-0B00-0000DA000000}"/>
            </a:ext>
          </a:extLst>
        </xdr:cNvPr>
        <xdr:cNvSpPr txBox="1">
          <a:spLocks noChangeArrowheads="1"/>
        </xdr:cNvSpPr>
      </xdr:nvSpPr>
      <xdr:spPr bwMode="auto">
        <a:xfrm>
          <a:off x="4733926" y="3486150"/>
          <a:ext cx="80962"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19" name="Text Box 1">
          <a:extLst>
            <a:ext uri="{FF2B5EF4-FFF2-40B4-BE49-F238E27FC236}">
              <a16:creationId xmlns:a16="http://schemas.microsoft.com/office/drawing/2014/main" id="{00000000-0008-0000-0B00-0000DB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20" name="Text Box 23">
          <a:extLst>
            <a:ext uri="{FF2B5EF4-FFF2-40B4-BE49-F238E27FC236}">
              <a16:creationId xmlns:a16="http://schemas.microsoft.com/office/drawing/2014/main" id="{00000000-0008-0000-0B00-0000DC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21" name="Text Box 24">
          <a:extLst>
            <a:ext uri="{FF2B5EF4-FFF2-40B4-BE49-F238E27FC236}">
              <a16:creationId xmlns:a16="http://schemas.microsoft.com/office/drawing/2014/main" id="{00000000-0008-0000-0B00-0000DD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22" name="Text Box 25">
          <a:extLst>
            <a:ext uri="{FF2B5EF4-FFF2-40B4-BE49-F238E27FC236}">
              <a16:creationId xmlns:a16="http://schemas.microsoft.com/office/drawing/2014/main" id="{00000000-0008-0000-0B00-0000DE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23" name="Text Box 26">
          <a:extLst>
            <a:ext uri="{FF2B5EF4-FFF2-40B4-BE49-F238E27FC236}">
              <a16:creationId xmlns:a16="http://schemas.microsoft.com/office/drawing/2014/main" id="{00000000-0008-0000-0B00-0000DF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24" name="Text Box 27">
          <a:extLst>
            <a:ext uri="{FF2B5EF4-FFF2-40B4-BE49-F238E27FC236}">
              <a16:creationId xmlns:a16="http://schemas.microsoft.com/office/drawing/2014/main" id="{00000000-0008-0000-0B00-0000E0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25" name="Text Box 28">
          <a:extLst>
            <a:ext uri="{FF2B5EF4-FFF2-40B4-BE49-F238E27FC236}">
              <a16:creationId xmlns:a16="http://schemas.microsoft.com/office/drawing/2014/main" id="{00000000-0008-0000-0B00-0000E1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26" name="Text Box 29">
          <a:extLst>
            <a:ext uri="{FF2B5EF4-FFF2-40B4-BE49-F238E27FC236}">
              <a16:creationId xmlns:a16="http://schemas.microsoft.com/office/drawing/2014/main" id="{00000000-0008-0000-0B00-0000E2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27" name="Text Box 30">
          <a:extLst>
            <a:ext uri="{FF2B5EF4-FFF2-40B4-BE49-F238E27FC236}">
              <a16:creationId xmlns:a16="http://schemas.microsoft.com/office/drawing/2014/main" id="{00000000-0008-0000-0B00-0000E3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28" name="Text Box 31">
          <a:extLst>
            <a:ext uri="{FF2B5EF4-FFF2-40B4-BE49-F238E27FC236}">
              <a16:creationId xmlns:a16="http://schemas.microsoft.com/office/drawing/2014/main" id="{00000000-0008-0000-0B00-0000E4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29" name="Text Box 32">
          <a:extLst>
            <a:ext uri="{FF2B5EF4-FFF2-40B4-BE49-F238E27FC236}">
              <a16:creationId xmlns:a16="http://schemas.microsoft.com/office/drawing/2014/main" id="{00000000-0008-0000-0B00-0000E5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30" name="Text Box 33">
          <a:extLst>
            <a:ext uri="{FF2B5EF4-FFF2-40B4-BE49-F238E27FC236}">
              <a16:creationId xmlns:a16="http://schemas.microsoft.com/office/drawing/2014/main" id="{00000000-0008-0000-0B00-0000E6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31" name="Text Box 34">
          <a:extLst>
            <a:ext uri="{FF2B5EF4-FFF2-40B4-BE49-F238E27FC236}">
              <a16:creationId xmlns:a16="http://schemas.microsoft.com/office/drawing/2014/main" id="{00000000-0008-0000-0B00-0000E7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32" name="Text Box 35">
          <a:extLst>
            <a:ext uri="{FF2B5EF4-FFF2-40B4-BE49-F238E27FC236}">
              <a16:creationId xmlns:a16="http://schemas.microsoft.com/office/drawing/2014/main" id="{00000000-0008-0000-0B00-0000E8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33" name="Text Box 36">
          <a:extLst>
            <a:ext uri="{FF2B5EF4-FFF2-40B4-BE49-F238E27FC236}">
              <a16:creationId xmlns:a16="http://schemas.microsoft.com/office/drawing/2014/main" id="{00000000-0008-0000-0B00-0000E9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34" name="Text Box 37">
          <a:extLst>
            <a:ext uri="{FF2B5EF4-FFF2-40B4-BE49-F238E27FC236}">
              <a16:creationId xmlns:a16="http://schemas.microsoft.com/office/drawing/2014/main" id="{00000000-0008-0000-0B00-0000EA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35" name="Text Box 38">
          <a:extLst>
            <a:ext uri="{FF2B5EF4-FFF2-40B4-BE49-F238E27FC236}">
              <a16:creationId xmlns:a16="http://schemas.microsoft.com/office/drawing/2014/main" id="{00000000-0008-0000-0B00-0000EB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36" name="Text Box 39">
          <a:extLst>
            <a:ext uri="{FF2B5EF4-FFF2-40B4-BE49-F238E27FC236}">
              <a16:creationId xmlns:a16="http://schemas.microsoft.com/office/drawing/2014/main" id="{00000000-0008-0000-0B00-0000EC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37" name="Text Box 40">
          <a:extLst>
            <a:ext uri="{FF2B5EF4-FFF2-40B4-BE49-F238E27FC236}">
              <a16:creationId xmlns:a16="http://schemas.microsoft.com/office/drawing/2014/main" id="{00000000-0008-0000-0B00-0000ED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38" name="Text Box 41">
          <a:extLst>
            <a:ext uri="{FF2B5EF4-FFF2-40B4-BE49-F238E27FC236}">
              <a16:creationId xmlns:a16="http://schemas.microsoft.com/office/drawing/2014/main" id="{00000000-0008-0000-0B00-0000EE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39" name="Text Box 42">
          <a:extLst>
            <a:ext uri="{FF2B5EF4-FFF2-40B4-BE49-F238E27FC236}">
              <a16:creationId xmlns:a16="http://schemas.microsoft.com/office/drawing/2014/main" id="{00000000-0008-0000-0B00-0000EF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40" name="Text Box 43">
          <a:extLst>
            <a:ext uri="{FF2B5EF4-FFF2-40B4-BE49-F238E27FC236}">
              <a16:creationId xmlns:a16="http://schemas.microsoft.com/office/drawing/2014/main" id="{00000000-0008-0000-0B00-0000F0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41" name="Text Box 44">
          <a:extLst>
            <a:ext uri="{FF2B5EF4-FFF2-40B4-BE49-F238E27FC236}">
              <a16:creationId xmlns:a16="http://schemas.microsoft.com/office/drawing/2014/main" id="{00000000-0008-0000-0B00-0000F1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42" name="Text Box 45">
          <a:extLst>
            <a:ext uri="{FF2B5EF4-FFF2-40B4-BE49-F238E27FC236}">
              <a16:creationId xmlns:a16="http://schemas.microsoft.com/office/drawing/2014/main" id="{00000000-0008-0000-0B00-0000F2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43" name="Text Box 46">
          <a:extLst>
            <a:ext uri="{FF2B5EF4-FFF2-40B4-BE49-F238E27FC236}">
              <a16:creationId xmlns:a16="http://schemas.microsoft.com/office/drawing/2014/main" id="{00000000-0008-0000-0B00-0000F3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44" name="Text Box 47">
          <a:extLst>
            <a:ext uri="{FF2B5EF4-FFF2-40B4-BE49-F238E27FC236}">
              <a16:creationId xmlns:a16="http://schemas.microsoft.com/office/drawing/2014/main" id="{00000000-0008-0000-0B00-0000F4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45" name="Text Box 48">
          <a:extLst>
            <a:ext uri="{FF2B5EF4-FFF2-40B4-BE49-F238E27FC236}">
              <a16:creationId xmlns:a16="http://schemas.microsoft.com/office/drawing/2014/main" id="{00000000-0008-0000-0B00-0000F5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46" name="Text Box 49">
          <a:extLst>
            <a:ext uri="{FF2B5EF4-FFF2-40B4-BE49-F238E27FC236}">
              <a16:creationId xmlns:a16="http://schemas.microsoft.com/office/drawing/2014/main" id="{00000000-0008-0000-0B00-0000F6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47" name="Text Box 50">
          <a:extLst>
            <a:ext uri="{FF2B5EF4-FFF2-40B4-BE49-F238E27FC236}">
              <a16:creationId xmlns:a16="http://schemas.microsoft.com/office/drawing/2014/main" id="{00000000-0008-0000-0B00-0000F7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48" name="Text Box 51">
          <a:extLst>
            <a:ext uri="{FF2B5EF4-FFF2-40B4-BE49-F238E27FC236}">
              <a16:creationId xmlns:a16="http://schemas.microsoft.com/office/drawing/2014/main" id="{00000000-0008-0000-0B00-0000F8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49" name="Text Box 52">
          <a:extLst>
            <a:ext uri="{FF2B5EF4-FFF2-40B4-BE49-F238E27FC236}">
              <a16:creationId xmlns:a16="http://schemas.microsoft.com/office/drawing/2014/main" id="{00000000-0008-0000-0B00-0000F9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50" name="Text Box 53">
          <a:extLst>
            <a:ext uri="{FF2B5EF4-FFF2-40B4-BE49-F238E27FC236}">
              <a16:creationId xmlns:a16="http://schemas.microsoft.com/office/drawing/2014/main" id="{00000000-0008-0000-0B00-0000FA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51" name="Text Box 54">
          <a:extLst>
            <a:ext uri="{FF2B5EF4-FFF2-40B4-BE49-F238E27FC236}">
              <a16:creationId xmlns:a16="http://schemas.microsoft.com/office/drawing/2014/main" id="{00000000-0008-0000-0B00-0000FB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52" name="Text Box 55">
          <a:extLst>
            <a:ext uri="{FF2B5EF4-FFF2-40B4-BE49-F238E27FC236}">
              <a16:creationId xmlns:a16="http://schemas.microsoft.com/office/drawing/2014/main" id="{00000000-0008-0000-0B00-0000FC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53" name="Text Box 56">
          <a:extLst>
            <a:ext uri="{FF2B5EF4-FFF2-40B4-BE49-F238E27FC236}">
              <a16:creationId xmlns:a16="http://schemas.microsoft.com/office/drawing/2014/main" id="{00000000-0008-0000-0B00-0000FD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54" name="Text Box 57">
          <a:extLst>
            <a:ext uri="{FF2B5EF4-FFF2-40B4-BE49-F238E27FC236}">
              <a16:creationId xmlns:a16="http://schemas.microsoft.com/office/drawing/2014/main" id="{00000000-0008-0000-0B00-0000FE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55" name="Text Box 58">
          <a:extLst>
            <a:ext uri="{FF2B5EF4-FFF2-40B4-BE49-F238E27FC236}">
              <a16:creationId xmlns:a16="http://schemas.microsoft.com/office/drawing/2014/main" id="{00000000-0008-0000-0B00-0000FF00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56" name="Text Box 59">
          <a:extLst>
            <a:ext uri="{FF2B5EF4-FFF2-40B4-BE49-F238E27FC236}">
              <a16:creationId xmlns:a16="http://schemas.microsoft.com/office/drawing/2014/main" id="{00000000-0008-0000-0B00-000000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57" name="Text Box 60">
          <a:extLst>
            <a:ext uri="{FF2B5EF4-FFF2-40B4-BE49-F238E27FC236}">
              <a16:creationId xmlns:a16="http://schemas.microsoft.com/office/drawing/2014/main" id="{00000000-0008-0000-0B00-000001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58" name="Text Box 61">
          <a:extLst>
            <a:ext uri="{FF2B5EF4-FFF2-40B4-BE49-F238E27FC236}">
              <a16:creationId xmlns:a16="http://schemas.microsoft.com/office/drawing/2014/main" id="{00000000-0008-0000-0B00-000002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59" name="Text Box 62">
          <a:extLst>
            <a:ext uri="{FF2B5EF4-FFF2-40B4-BE49-F238E27FC236}">
              <a16:creationId xmlns:a16="http://schemas.microsoft.com/office/drawing/2014/main" id="{00000000-0008-0000-0B00-000003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60" name="Text Box 63">
          <a:extLst>
            <a:ext uri="{FF2B5EF4-FFF2-40B4-BE49-F238E27FC236}">
              <a16:creationId xmlns:a16="http://schemas.microsoft.com/office/drawing/2014/main" id="{00000000-0008-0000-0B00-000004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61" name="Text Box 64">
          <a:extLst>
            <a:ext uri="{FF2B5EF4-FFF2-40B4-BE49-F238E27FC236}">
              <a16:creationId xmlns:a16="http://schemas.microsoft.com/office/drawing/2014/main" id="{00000000-0008-0000-0B00-000005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62" name="Text Box 65">
          <a:extLst>
            <a:ext uri="{FF2B5EF4-FFF2-40B4-BE49-F238E27FC236}">
              <a16:creationId xmlns:a16="http://schemas.microsoft.com/office/drawing/2014/main" id="{00000000-0008-0000-0B00-000006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63" name="Text Box 66">
          <a:extLst>
            <a:ext uri="{FF2B5EF4-FFF2-40B4-BE49-F238E27FC236}">
              <a16:creationId xmlns:a16="http://schemas.microsoft.com/office/drawing/2014/main" id="{00000000-0008-0000-0B00-000007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64" name="Text Box 67">
          <a:extLst>
            <a:ext uri="{FF2B5EF4-FFF2-40B4-BE49-F238E27FC236}">
              <a16:creationId xmlns:a16="http://schemas.microsoft.com/office/drawing/2014/main" id="{00000000-0008-0000-0B00-000008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65" name="Text Box 68">
          <a:extLst>
            <a:ext uri="{FF2B5EF4-FFF2-40B4-BE49-F238E27FC236}">
              <a16:creationId xmlns:a16="http://schemas.microsoft.com/office/drawing/2014/main" id="{00000000-0008-0000-0B00-000009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66" name="Text Box 69">
          <a:extLst>
            <a:ext uri="{FF2B5EF4-FFF2-40B4-BE49-F238E27FC236}">
              <a16:creationId xmlns:a16="http://schemas.microsoft.com/office/drawing/2014/main" id="{00000000-0008-0000-0B00-00000A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67" name="Text Box 70">
          <a:extLst>
            <a:ext uri="{FF2B5EF4-FFF2-40B4-BE49-F238E27FC236}">
              <a16:creationId xmlns:a16="http://schemas.microsoft.com/office/drawing/2014/main" id="{00000000-0008-0000-0B00-00000B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9525</xdr:colOff>
      <xdr:row>40</xdr:row>
      <xdr:rowOff>85725</xdr:rowOff>
    </xdr:from>
    <xdr:to>
      <xdr:col>4</xdr:col>
      <xdr:colOff>90488</xdr:colOff>
      <xdr:row>41</xdr:row>
      <xdr:rowOff>85725</xdr:rowOff>
    </xdr:to>
    <xdr:sp macro="" textlink="">
      <xdr:nvSpPr>
        <xdr:cNvPr id="268" name="Text Box 71">
          <a:extLst>
            <a:ext uri="{FF2B5EF4-FFF2-40B4-BE49-F238E27FC236}">
              <a16:creationId xmlns:a16="http://schemas.microsoft.com/office/drawing/2014/main" id="{00000000-0008-0000-0B00-00000C010000}"/>
            </a:ext>
          </a:extLst>
        </xdr:cNvPr>
        <xdr:cNvSpPr txBox="1">
          <a:spLocks noChangeArrowheads="1"/>
        </xdr:cNvSpPr>
      </xdr:nvSpPr>
      <xdr:spPr bwMode="auto">
        <a:xfrm>
          <a:off x="4814888" y="6162675"/>
          <a:ext cx="80963"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69" name="Text Box 72">
          <a:extLst>
            <a:ext uri="{FF2B5EF4-FFF2-40B4-BE49-F238E27FC236}">
              <a16:creationId xmlns:a16="http://schemas.microsoft.com/office/drawing/2014/main" id="{00000000-0008-0000-0B00-00000D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70" name="Text Box 73">
          <a:extLst>
            <a:ext uri="{FF2B5EF4-FFF2-40B4-BE49-F238E27FC236}">
              <a16:creationId xmlns:a16="http://schemas.microsoft.com/office/drawing/2014/main" id="{00000000-0008-0000-0B00-00000E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71" name="Text Box 77">
          <a:extLst>
            <a:ext uri="{FF2B5EF4-FFF2-40B4-BE49-F238E27FC236}">
              <a16:creationId xmlns:a16="http://schemas.microsoft.com/office/drawing/2014/main" id="{00000000-0008-0000-0B00-00000F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72" name="Text Box 78">
          <a:extLst>
            <a:ext uri="{FF2B5EF4-FFF2-40B4-BE49-F238E27FC236}">
              <a16:creationId xmlns:a16="http://schemas.microsoft.com/office/drawing/2014/main" id="{00000000-0008-0000-0B00-000010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73" name="Text Box 79">
          <a:extLst>
            <a:ext uri="{FF2B5EF4-FFF2-40B4-BE49-F238E27FC236}">
              <a16:creationId xmlns:a16="http://schemas.microsoft.com/office/drawing/2014/main" id="{00000000-0008-0000-0B00-000011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74" name="Text Box 80">
          <a:extLst>
            <a:ext uri="{FF2B5EF4-FFF2-40B4-BE49-F238E27FC236}">
              <a16:creationId xmlns:a16="http://schemas.microsoft.com/office/drawing/2014/main" id="{00000000-0008-0000-0B00-000012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75" name="Text Box 81">
          <a:extLst>
            <a:ext uri="{FF2B5EF4-FFF2-40B4-BE49-F238E27FC236}">
              <a16:creationId xmlns:a16="http://schemas.microsoft.com/office/drawing/2014/main" id="{00000000-0008-0000-0B00-000013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76" name="Text Box 82">
          <a:extLst>
            <a:ext uri="{FF2B5EF4-FFF2-40B4-BE49-F238E27FC236}">
              <a16:creationId xmlns:a16="http://schemas.microsoft.com/office/drawing/2014/main" id="{00000000-0008-0000-0B00-000014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77" name="Text Box 84">
          <a:extLst>
            <a:ext uri="{FF2B5EF4-FFF2-40B4-BE49-F238E27FC236}">
              <a16:creationId xmlns:a16="http://schemas.microsoft.com/office/drawing/2014/main" id="{00000000-0008-0000-0B00-000015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78" name="Text Box 85">
          <a:extLst>
            <a:ext uri="{FF2B5EF4-FFF2-40B4-BE49-F238E27FC236}">
              <a16:creationId xmlns:a16="http://schemas.microsoft.com/office/drawing/2014/main" id="{00000000-0008-0000-0B00-000016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79" name="Text Box 89">
          <a:extLst>
            <a:ext uri="{FF2B5EF4-FFF2-40B4-BE49-F238E27FC236}">
              <a16:creationId xmlns:a16="http://schemas.microsoft.com/office/drawing/2014/main" id="{00000000-0008-0000-0B00-000017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80" name="Text Box 90">
          <a:extLst>
            <a:ext uri="{FF2B5EF4-FFF2-40B4-BE49-F238E27FC236}">
              <a16:creationId xmlns:a16="http://schemas.microsoft.com/office/drawing/2014/main" id="{00000000-0008-0000-0B00-000018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81" name="Text Box 91">
          <a:extLst>
            <a:ext uri="{FF2B5EF4-FFF2-40B4-BE49-F238E27FC236}">
              <a16:creationId xmlns:a16="http://schemas.microsoft.com/office/drawing/2014/main" id="{00000000-0008-0000-0B00-000019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82" name="Text Box 92">
          <a:extLst>
            <a:ext uri="{FF2B5EF4-FFF2-40B4-BE49-F238E27FC236}">
              <a16:creationId xmlns:a16="http://schemas.microsoft.com/office/drawing/2014/main" id="{00000000-0008-0000-0B00-00001A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83" name="Text Box 93">
          <a:extLst>
            <a:ext uri="{FF2B5EF4-FFF2-40B4-BE49-F238E27FC236}">
              <a16:creationId xmlns:a16="http://schemas.microsoft.com/office/drawing/2014/main" id="{00000000-0008-0000-0B00-00001B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84" name="Text Box 94">
          <a:extLst>
            <a:ext uri="{FF2B5EF4-FFF2-40B4-BE49-F238E27FC236}">
              <a16:creationId xmlns:a16="http://schemas.microsoft.com/office/drawing/2014/main" id="{00000000-0008-0000-0B00-00001C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85" name="Text Box 95">
          <a:extLst>
            <a:ext uri="{FF2B5EF4-FFF2-40B4-BE49-F238E27FC236}">
              <a16:creationId xmlns:a16="http://schemas.microsoft.com/office/drawing/2014/main" id="{00000000-0008-0000-0B00-00001D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86" name="Text Box 96">
          <a:extLst>
            <a:ext uri="{FF2B5EF4-FFF2-40B4-BE49-F238E27FC236}">
              <a16:creationId xmlns:a16="http://schemas.microsoft.com/office/drawing/2014/main" id="{00000000-0008-0000-0B00-00001E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87" name="Text Box 97">
          <a:extLst>
            <a:ext uri="{FF2B5EF4-FFF2-40B4-BE49-F238E27FC236}">
              <a16:creationId xmlns:a16="http://schemas.microsoft.com/office/drawing/2014/main" id="{00000000-0008-0000-0B00-00001F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88" name="Text Box 101">
          <a:extLst>
            <a:ext uri="{FF2B5EF4-FFF2-40B4-BE49-F238E27FC236}">
              <a16:creationId xmlns:a16="http://schemas.microsoft.com/office/drawing/2014/main" id="{00000000-0008-0000-0B00-000020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89" name="Text Box 102">
          <a:extLst>
            <a:ext uri="{FF2B5EF4-FFF2-40B4-BE49-F238E27FC236}">
              <a16:creationId xmlns:a16="http://schemas.microsoft.com/office/drawing/2014/main" id="{00000000-0008-0000-0B00-000021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90" name="Text Box 103">
          <a:extLst>
            <a:ext uri="{FF2B5EF4-FFF2-40B4-BE49-F238E27FC236}">
              <a16:creationId xmlns:a16="http://schemas.microsoft.com/office/drawing/2014/main" id="{00000000-0008-0000-0B00-000022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91" name="Text Box 104">
          <a:extLst>
            <a:ext uri="{FF2B5EF4-FFF2-40B4-BE49-F238E27FC236}">
              <a16:creationId xmlns:a16="http://schemas.microsoft.com/office/drawing/2014/main" id="{00000000-0008-0000-0B00-000023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92" name="Text Box 105">
          <a:extLst>
            <a:ext uri="{FF2B5EF4-FFF2-40B4-BE49-F238E27FC236}">
              <a16:creationId xmlns:a16="http://schemas.microsoft.com/office/drawing/2014/main" id="{00000000-0008-0000-0B00-000024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93" name="Text Box 106">
          <a:extLst>
            <a:ext uri="{FF2B5EF4-FFF2-40B4-BE49-F238E27FC236}">
              <a16:creationId xmlns:a16="http://schemas.microsoft.com/office/drawing/2014/main" id="{00000000-0008-0000-0B00-000025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94" name="Text Box 107">
          <a:extLst>
            <a:ext uri="{FF2B5EF4-FFF2-40B4-BE49-F238E27FC236}">
              <a16:creationId xmlns:a16="http://schemas.microsoft.com/office/drawing/2014/main" id="{00000000-0008-0000-0B00-000026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95" name="Text Box 108">
          <a:extLst>
            <a:ext uri="{FF2B5EF4-FFF2-40B4-BE49-F238E27FC236}">
              <a16:creationId xmlns:a16="http://schemas.microsoft.com/office/drawing/2014/main" id="{00000000-0008-0000-0B00-000027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96" name="Text Box 109">
          <a:extLst>
            <a:ext uri="{FF2B5EF4-FFF2-40B4-BE49-F238E27FC236}">
              <a16:creationId xmlns:a16="http://schemas.microsoft.com/office/drawing/2014/main" id="{00000000-0008-0000-0B00-000028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97" name="Text Box 113">
          <a:extLst>
            <a:ext uri="{FF2B5EF4-FFF2-40B4-BE49-F238E27FC236}">
              <a16:creationId xmlns:a16="http://schemas.microsoft.com/office/drawing/2014/main" id="{00000000-0008-0000-0B00-000029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98" name="Text Box 114">
          <a:extLst>
            <a:ext uri="{FF2B5EF4-FFF2-40B4-BE49-F238E27FC236}">
              <a16:creationId xmlns:a16="http://schemas.microsoft.com/office/drawing/2014/main" id="{00000000-0008-0000-0B00-00002A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299" name="Text Box 115">
          <a:extLst>
            <a:ext uri="{FF2B5EF4-FFF2-40B4-BE49-F238E27FC236}">
              <a16:creationId xmlns:a16="http://schemas.microsoft.com/office/drawing/2014/main" id="{00000000-0008-0000-0B00-00002B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00" name="Text Box 116">
          <a:extLst>
            <a:ext uri="{FF2B5EF4-FFF2-40B4-BE49-F238E27FC236}">
              <a16:creationId xmlns:a16="http://schemas.microsoft.com/office/drawing/2014/main" id="{00000000-0008-0000-0B00-00002C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01" name="Text Box 117">
          <a:extLst>
            <a:ext uri="{FF2B5EF4-FFF2-40B4-BE49-F238E27FC236}">
              <a16:creationId xmlns:a16="http://schemas.microsoft.com/office/drawing/2014/main" id="{00000000-0008-0000-0B00-00002D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02" name="Text Box 118">
          <a:extLst>
            <a:ext uri="{FF2B5EF4-FFF2-40B4-BE49-F238E27FC236}">
              <a16:creationId xmlns:a16="http://schemas.microsoft.com/office/drawing/2014/main" id="{00000000-0008-0000-0B00-00002E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03" name="Text Box 119">
          <a:extLst>
            <a:ext uri="{FF2B5EF4-FFF2-40B4-BE49-F238E27FC236}">
              <a16:creationId xmlns:a16="http://schemas.microsoft.com/office/drawing/2014/main" id="{00000000-0008-0000-0B00-00002F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04" name="Text Box 120">
          <a:extLst>
            <a:ext uri="{FF2B5EF4-FFF2-40B4-BE49-F238E27FC236}">
              <a16:creationId xmlns:a16="http://schemas.microsoft.com/office/drawing/2014/main" id="{00000000-0008-0000-0B00-000030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05" name="Text Box 121">
          <a:extLst>
            <a:ext uri="{FF2B5EF4-FFF2-40B4-BE49-F238E27FC236}">
              <a16:creationId xmlns:a16="http://schemas.microsoft.com/office/drawing/2014/main" id="{00000000-0008-0000-0B00-000031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06" name="Text Box 125">
          <a:extLst>
            <a:ext uri="{FF2B5EF4-FFF2-40B4-BE49-F238E27FC236}">
              <a16:creationId xmlns:a16="http://schemas.microsoft.com/office/drawing/2014/main" id="{00000000-0008-0000-0B00-000032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07" name="Text Box 126">
          <a:extLst>
            <a:ext uri="{FF2B5EF4-FFF2-40B4-BE49-F238E27FC236}">
              <a16:creationId xmlns:a16="http://schemas.microsoft.com/office/drawing/2014/main" id="{00000000-0008-0000-0B00-000033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08" name="Text Box 127">
          <a:extLst>
            <a:ext uri="{FF2B5EF4-FFF2-40B4-BE49-F238E27FC236}">
              <a16:creationId xmlns:a16="http://schemas.microsoft.com/office/drawing/2014/main" id="{00000000-0008-0000-0B00-000034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09" name="Text Box 128">
          <a:extLst>
            <a:ext uri="{FF2B5EF4-FFF2-40B4-BE49-F238E27FC236}">
              <a16:creationId xmlns:a16="http://schemas.microsoft.com/office/drawing/2014/main" id="{00000000-0008-0000-0B00-000035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10" name="Text Box 129">
          <a:extLst>
            <a:ext uri="{FF2B5EF4-FFF2-40B4-BE49-F238E27FC236}">
              <a16:creationId xmlns:a16="http://schemas.microsoft.com/office/drawing/2014/main" id="{00000000-0008-0000-0B00-000036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11" name="Text Box 130">
          <a:extLst>
            <a:ext uri="{FF2B5EF4-FFF2-40B4-BE49-F238E27FC236}">
              <a16:creationId xmlns:a16="http://schemas.microsoft.com/office/drawing/2014/main" id="{00000000-0008-0000-0B00-000037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12" name="Text Box 131">
          <a:extLst>
            <a:ext uri="{FF2B5EF4-FFF2-40B4-BE49-F238E27FC236}">
              <a16:creationId xmlns:a16="http://schemas.microsoft.com/office/drawing/2014/main" id="{00000000-0008-0000-0B00-000038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13" name="Text Box 132">
          <a:extLst>
            <a:ext uri="{FF2B5EF4-FFF2-40B4-BE49-F238E27FC236}">
              <a16:creationId xmlns:a16="http://schemas.microsoft.com/office/drawing/2014/main" id="{00000000-0008-0000-0B00-000039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14" name="Text Box 133">
          <a:extLst>
            <a:ext uri="{FF2B5EF4-FFF2-40B4-BE49-F238E27FC236}">
              <a16:creationId xmlns:a16="http://schemas.microsoft.com/office/drawing/2014/main" id="{00000000-0008-0000-0B00-00003A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15" name="Text Box 137">
          <a:extLst>
            <a:ext uri="{FF2B5EF4-FFF2-40B4-BE49-F238E27FC236}">
              <a16:creationId xmlns:a16="http://schemas.microsoft.com/office/drawing/2014/main" id="{00000000-0008-0000-0B00-00003B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16" name="Text Box 138">
          <a:extLst>
            <a:ext uri="{FF2B5EF4-FFF2-40B4-BE49-F238E27FC236}">
              <a16:creationId xmlns:a16="http://schemas.microsoft.com/office/drawing/2014/main" id="{00000000-0008-0000-0B00-00003C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17" name="Text Box 139">
          <a:extLst>
            <a:ext uri="{FF2B5EF4-FFF2-40B4-BE49-F238E27FC236}">
              <a16:creationId xmlns:a16="http://schemas.microsoft.com/office/drawing/2014/main" id="{00000000-0008-0000-0B00-00003D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18" name="Text Box 140">
          <a:extLst>
            <a:ext uri="{FF2B5EF4-FFF2-40B4-BE49-F238E27FC236}">
              <a16:creationId xmlns:a16="http://schemas.microsoft.com/office/drawing/2014/main" id="{00000000-0008-0000-0B00-00003E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19" name="Text Box 141">
          <a:extLst>
            <a:ext uri="{FF2B5EF4-FFF2-40B4-BE49-F238E27FC236}">
              <a16:creationId xmlns:a16="http://schemas.microsoft.com/office/drawing/2014/main" id="{00000000-0008-0000-0B00-00003F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20" name="Text Box 142">
          <a:extLst>
            <a:ext uri="{FF2B5EF4-FFF2-40B4-BE49-F238E27FC236}">
              <a16:creationId xmlns:a16="http://schemas.microsoft.com/office/drawing/2014/main" id="{00000000-0008-0000-0B00-000040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21" name="Text Box 143">
          <a:extLst>
            <a:ext uri="{FF2B5EF4-FFF2-40B4-BE49-F238E27FC236}">
              <a16:creationId xmlns:a16="http://schemas.microsoft.com/office/drawing/2014/main" id="{00000000-0008-0000-0B00-000041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22" name="Text Box 144">
          <a:extLst>
            <a:ext uri="{FF2B5EF4-FFF2-40B4-BE49-F238E27FC236}">
              <a16:creationId xmlns:a16="http://schemas.microsoft.com/office/drawing/2014/main" id="{00000000-0008-0000-0B00-000042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23" name="Text Box 145">
          <a:extLst>
            <a:ext uri="{FF2B5EF4-FFF2-40B4-BE49-F238E27FC236}">
              <a16:creationId xmlns:a16="http://schemas.microsoft.com/office/drawing/2014/main" id="{00000000-0008-0000-0B00-000043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24" name="Text Box 149">
          <a:extLst>
            <a:ext uri="{FF2B5EF4-FFF2-40B4-BE49-F238E27FC236}">
              <a16:creationId xmlns:a16="http://schemas.microsoft.com/office/drawing/2014/main" id="{00000000-0008-0000-0B00-000044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25" name="Text Box 150">
          <a:extLst>
            <a:ext uri="{FF2B5EF4-FFF2-40B4-BE49-F238E27FC236}">
              <a16:creationId xmlns:a16="http://schemas.microsoft.com/office/drawing/2014/main" id="{00000000-0008-0000-0B00-000045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26" name="Text Box 151">
          <a:extLst>
            <a:ext uri="{FF2B5EF4-FFF2-40B4-BE49-F238E27FC236}">
              <a16:creationId xmlns:a16="http://schemas.microsoft.com/office/drawing/2014/main" id="{00000000-0008-0000-0B00-000046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27" name="Text Box 152">
          <a:extLst>
            <a:ext uri="{FF2B5EF4-FFF2-40B4-BE49-F238E27FC236}">
              <a16:creationId xmlns:a16="http://schemas.microsoft.com/office/drawing/2014/main" id="{00000000-0008-0000-0B00-000047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28" name="Text Box 153">
          <a:extLst>
            <a:ext uri="{FF2B5EF4-FFF2-40B4-BE49-F238E27FC236}">
              <a16:creationId xmlns:a16="http://schemas.microsoft.com/office/drawing/2014/main" id="{00000000-0008-0000-0B00-000048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29" name="Text Box 154">
          <a:extLst>
            <a:ext uri="{FF2B5EF4-FFF2-40B4-BE49-F238E27FC236}">
              <a16:creationId xmlns:a16="http://schemas.microsoft.com/office/drawing/2014/main" id="{00000000-0008-0000-0B00-000049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30" name="Text Box 155">
          <a:extLst>
            <a:ext uri="{FF2B5EF4-FFF2-40B4-BE49-F238E27FC236}">
              <a16:creationId xmlns:a16="http://schemas.microsoft.com/office/drawing/2014/main" id="{00000000-0008-0000-0B00-00004A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31" name="Text Box 156">
          <a:extLst>
            <a:ext uri="{FF2B5EF4-FFF2-40B4-BE49-F238E27FC236}">
              <a16:creationId xmlns:a16="http://schemas.microsoft.com/office/drawing/2014/main" id="{00000000-0008-0000-0B00-00004B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32" name="Text Box 157">
          <a:extLst>
            <a:ext uri="{FF2B5EF4-FFF2-40B4-BE49-F238E27FC236}">
              <a16:creationId xmlns:a16="http://schemas.microsoft.com/office/drawing/2014/main" id="{00000000-0008-0000-0B00-00004C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33" name="Text Box 161">
          <a:extLst>
            <a:ext uri="{FF2B5EF4-FFF2-40B4-BE49-F238E27FC236}">
              <a16:creationId xmlns:a16="http://schemas.microsoft.com/office/drawing/2014/main" id="{00000000-0008-0000-0B00-00004D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34" name="Text Box 162">
          <a:extLst>
            <a:ext uri="{FF2B5EF4-FFF2-40B4-BE49-F238E27FC236}">
              <a16:creationId xmlns:a16="http://schemas.microsoft.com/office/drawing/2014/main" id="{00000000-0008-0000-0B00-00004E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35" name="Text Box 163">
          <a:extLst>
            <a:ext uri="{FF2B5EF4-FFF2-40B4-BE49-F238E27FC236}">
              <a16:creationId xmlns:a16="http://schemas.microsoft.com/office/drawing/2014/main" id="{00000000-0008-0000-0B00-00004F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36" name="Text Box 164">
          <a:extLst>
            <a:ext uri="{FF2B5EF4-FFF2-40B4-BE49-F238E27FC236}">
              <a16:creationId xmlns:a16="http://schemas.microsoft.com/office/drawing/2014/main" id="{00000000-0008-0000-0B00-000050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37" name="Text Box 165">
          <a:extLst>
            <a:ext uri="{FF2B5EF4-FFF2-40B4-BE49-F238E27FC236}">
              <a16:creationId xmlns:a16="http://schemas.microsoft.com/office/drawing/2014/main" id="{00000000-0008-0000-0B00-000051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38" name="Text Box 166">
          <a:extLst>
            <a:ext uri="{FF2B5EF4-FFF2-40B4-BE49-F238E27FC236}">
              <a16:creationId xmlns:a16="http://schemas.microsoft.com/office/drawing/2014/main" id="{00000000-0008-0000-0B00-000052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39" name="Text Box 167">
          <a:extLst>
            <a:ext uri="{FF2B5EF4-FFF2-40B4-BE49-F238E27FC236}">
              <a16:creationId xmlns:a16="http://schemas.microsoft.com/office/drawing/2014/main" id="{00000000-0008-0000-0B00-000053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40" name="Text Box 168">
          <a:extLst>
            <a:ext uri="{FF2B5EF4-FFF2-40B4-BE49-F238E27FC236}">
              <a16:creationId xmlns:a16="http://schemas.microsoft.com/office/drawing/2014/main" id="{00000000-0008-0000-0B00-000054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41" name="Text Box 169">
          <a:extLst>
            <a:ext uri="{FF2B5EF4-FFF2-40B4-BE49-F238E27FC236}">
              <a16:creationId xmlns:a16="http://schemas.microsoft.com/office/drawing/2014/main" id="{00000000-0008-0000-0B00-000055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42" name="Text Box 170">
          <a:extLst>
            <a:ext uri="{FF2B5EF4-FFF2-40B4-BE49-F238E27FC236}">
              <a16:creationId xmlns:a16="http://schemas.microsoft.com/office/drawing/2014/main" id="{00000000-0008-0000-0B00-000056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43" name="Text Box 171">
          <a:extLst>
            <a:ext uri="{FF2B5EF4-FFF2-40B4-BE49-F238E27FC236}">
              <a16:creationId xmlns:a16="http://schemas.microsoft.com/office/drawing/2014/main" id="{00000000-0008-0000-0B00-000057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44" name="Text Box 172">
          <a:extLst>
            <a:ext uri="{FF2B5EF4-FFF2-40B4-BE49-F238E27FC236}">
              <a16:creationId xmlns:a16="http://schemas.microsoft.com/office/drawing/2014/main" id="{00000000-0008-0000-0B00-000058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45" name="Text Box 173">
          <a:extLst>
            <a:ext uri="{FF2B5EF4-FFF2-40B4-BE49-F238E27FC236}">
              <a16:creationId xmlns:a16="http://schemas.microsoft.com/office/drawing/2014/main" id="{00000000-0008-0000-0B00-000059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46" name="Text Box 174">
          <a:extLst>
            <a:ext uri="{FF2B5EF4-FFF2-40B4-BE49-F238E27FC236}">
              <a16:creationId xmlns:a16="http://schemas.microsoft.com/office/drawing/2014/main" id="{00000000-0008-0000-0B00-00005A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9525</xdr:colOff>
      <xdr:row>40</xdr:row>
      <xdr:rowOff>85725</xdr:rowOff>
    </xdr:from>
    <xdr:to>
      <xdr:col>4</xdr:col>
      <xdr:colOff>90488</xdr:colOff>
      <xdr:row>41</xdr:row>
      <xdr:rowOff>85725</xdr:rowOff>
    </xdr:to>
    <xdr:sp macro="" textlink="">
      <xdr:nvSpPr>
        <xdr:cNvPr id="347" name="Text Box 175">
          <a:extLst>
            <a:ext uri="{FF2B5EF4-FFF2-40B4-BE49-F238E27FC236}">
              <a16:creationId xmlns:a16="http://schemas.microsoft.com/office/drawing/2014/main" id="{00000000-0008-0000-0B00-00005B010000}"/>
            </a:ext>
          </a:extLst>
        </xdr:cNvPr>
        <xdr:cNvSpPr txBox="1">
          <a:spLocks noChangeArrowheads="1"/>
        </xdr:cNvSpPr>
      </xdr:nvSpPr>
      <xdr:spPr bwMode="auto">
        <a:xfrm>
          <a:off x="4814888" y="6162675"/>
          <a:ext cx="80963"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48" name="Text Box 176">
          <a:extLst>
            <a:ext uri="{FF2B5EF4-FFF2-40B4-BE49-F238E27FC236}">
              <a16:creationId xmlns:a16="http://schemas.microsoft.com/office/drawing/2014/main" id="{00000000-0008-0000-0B00-00005C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49" name="Text Box 178">
          <a:extLst>
            <a:ext uri="{FF2B5EF4-FFF2-40B4-BE49-F238E27FC236}">
              <a16:creationId xmlns:a16="http://schemas.microsoft.com/office/drawing/2014/main" id="{00000000-0008-0000-0B00-00005D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50" name="Text Box 179">
          <a:extLst>
            <a:ext uri="{FF2B5EF4-FFF2-40B4-BE49-F238E27FC236}">
              <a16:creationId xmlns:a16="http://schemas.microsoft.com/office/drawing/2014/main" id="{00000000-0008-0000-0B00-00005E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51" name="Text Box 180">
          <a:extLst>
            <a:ext uri="{FF2B5EF4-FFF2-40B4-BE49-F238E27FC236}">
              <a16:creationId xmlns:a16="http://schemas.microsoft.com/office/drawing/2014/main" id="{00000000-0008-0000-0B00-00005F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52" name="Text Box 181">
          <a:extLst>
            <a:ext uri="{FF2B5EF4-FFF2-40B4-BE49-F238E27FC236}">
              <a16:creationId xmlns:a16="http://schemas.microsoft.com/office/drawing/2014/main" id="{00000000-0008-0000-0B00-000060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53" name="Text Box 182">
          <a:extLst>
            <a:ext uri="{FF2B5EF4-FFF2-40B4-BE49-F238E27FC236}">
              <a16:creationId xmlns:a16="http://schemas.microsoft.com/office/drawing/2014/main" id="{00000000-0008-0000-0B00-000061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54" name="Text Box 183">
          <a:extLst>
            <a:ext uri="{FF2B5EF4-FFF2-40B4-BE49-F238E27FC236}">
              <a16:creationId xmlns:a16="http://schemas.microsoft.com/office/drawing/2014/main" id="{00000000-0008-0000-0B00-000062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55" name="Text Box 184">
          <a:extLst>
            <a:ext uri="{FF2B5EF4-FFF2-40B4-BE49-F238E27FC236}">
              <a16:creationId xmlns:a16="http://schemas.microsoft.com/office/drawing/2014/main" id="{00000000-0008-0000-0B00-000063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56" name="Text Box 185">
          <a:extLst>
            <a:ext uri="{FF2B5EF4-FFF2-40B4-BE49-F238E27FC236}">
              <a16:creationId xmlns:a16="http://schemas.microsoft.com/office/drawing/2014/main" id="{00000000-0008-0000-0B00-000064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57" name="Text Box 186">
          <a:extLst>
            <a:ext uri="{FF2B5EF4-FFF2-40B4-BE49-F238E27FC236}">
              <a16:creationId xmlns:a16="http://schemas.microsoft.com/office/drawing/2014/main" id="{00000000-0008-0000-0B00-000065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58" name="Text Box 187">
          <a:extLst>
            <a:ext uri="{FF2B5EF4-FFF2-40B4-BE49-F238E27FC236}">
              <a16:creationId xmlns:a16="http://schemas.microsoft.com/office/drawing/2014/main" id="{00000000-0008-0000-0B00-000066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59" name="Text Box 188">
          <a:extLst>
            <a:ext uri="{FF2B5EF4-FFF2-40B4-BE49-F238E27FC236}">
              <a16:creationId xmlns:a16="http://schemas.microsoft.com/office/drawing/2014/main" id="{00000000-0008-0000-0B00-000067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60" name="Text Box 189">
          <a:extLst>
            <a:ext uri="{FF2B5EF4-FFF2-40B4-BE49-F238E27FC236}">
              <a16:creationId xmlns:a16="http://schemas.microsoft.com/office/drawing/2014/main" id="{00000000-0008-0000-0B00-000068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61" name="Text Box 190">
          <a:extLst>
            <a:ext uri="{FF2B5EF4-FFF2-40B4-BE49-F238E27FC236}">
              <a16:creationId xmlns:a16="http://schemas.microsoft.com/office/drawing/2014/main" id="{00000000-0008-0000-0B00-000069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62" name="Text Box 191">
          <a:extLst>
            <a:ext uri="{FF2B5EF4-FFF2-40B4-BE49-F238E27FC236}">
              <a16:creationId xmlns:a16="http://schemas.microsoft.com/office/drawing/2014/main" id="{00000000-0008-0000-0B00-00006A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63" name="Text Box 192">
          <a:extLst>
            <a:ext uri="{FF2B5EF4-FFF2-40B4-BE49-F238E27FC236}">
              <a16:creationId xmlns:a16="http://schemas.microsoft.com/office/drawing/2014/main" id="{00000000-0008-0000-0B00-00006B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64" name="Text Box 193">
          <a:extLst>
            <a:ext uri="{FF2B5EF4-FFF2-40B4-BE49-F238E27FC236}">
              <a16:creationId xmlns:a16="http://schemas.microsoft.com/office/drawing/2014/main" id="{00000000-0008-0000-0B00-00006C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65" name="Text Box 194">
          <a:extLst>
            <a:ext uri="{FF2B5EF4-FFF2-40B4-BE49-F238E27FC236}">
              <a16:creationId xmlns:a16="http://schemas.microsoft.com/office/drawing/2014/main" id="{00000000-0008-0000-0B00-00006D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66" name="Text Box 195">
          <a:extLst>
            <a:ext uri="{FF2B5EF4-FFF2-40B4-BE49-F238E27FC236}">
              <a16:creationId xmlns:a16="http://schemas.microsoft.com/office/drawing/2014/main" id="{00000000-0008-0000-0B00-00006E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67" name="Text Box 196">
          <a:extLst>
            <a:ext uri="{FF2B5EF4-FFF2-40B4-BE49-F238E27FC236}">
              <a16:creationId xmlns:a16="http://schemas.microsoft.com/office/drawing/2014/main" id="{00000000-0008-0000-0B00-00006F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68" name="Text Box 197">
          <a:extLst>
            <a:ext uri="{FF2B5EF4-FFF2-40B4-BE49-F238E27FC236}">
              <a16:creationId xmlns:a16="http://schemas.microsoft.com/office/drawing/2014/main" id="{00000000-0008-0000-0B00-000070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69" name="Text Box 198">
          <a:extLst>
            <a:ext uri="{FF2B5EF4-FFF2-40B4-BE49-F238E27FC236}">
              <a16:creationId xmlns:a16="http://schemas.microsoft.com/office/drawing/2014/main" id="{00000000-0008-0000-0B00-000071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70" name="Text Box 199">
          <a:extLst>
            <a:ext uri="{FF2B5EF4-FFF2-40B4-BE49-F238E27FC236}">
              <a16:creationId xmlns:a16="http://schemas.microsoft.com/office/drawing/2014/main" id="{00000000-0008-0000-0B00-000072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71" name="Text Box 200">
          <a:extLst>
            <a:ext uri="{FF2B5EF4-FFF2-40B4-BE49-F238E27FC236}">
              <a16:creationId xmlns:a16="http://schemas.microsoft.com/office/drawing/2014/main" id="{00000000-0008-0000-0B00-000073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72" name="Text Box 201">
          <a:extLst>
            <a:ext uri="{FF2B5EF4-FFF2-40B4-BE49-F238E27FC236}">
              <a16:creationId xmlns:a16="http://schemas.microsoft.com/office/drawing/2014/main" id="{00000000-0008-0000-0B00-000074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73" name="Text Box 202">
          <a:extLst>
            <a:ext uri="{FF2B5EF4-FFF2-40B4-BE49-F238E27FC236}">
              <a16:creationId xmlns:a16="http://schemas.microsoft.com/office/drawing/2014/main" id="{00000000-0008-0000-0B00-000075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74" name="Text Box 203">
          <a:extLst>
            <a:ext uri="{FF2B5EF4-FFF2-40B4-BE49-F238E27FC236}">
              <a16:creationId xmlns:a16="http://schemas.microsoft.com/office/drawing/2014/main" id="{00000000-0008-0000-0B00-000076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75" name="Text Box 204">
          <a:extLst>
            <a:ext uri="{FF2B5EF4-FFF2-40B4-BE49-F238E27FC236}">
              <a16:creationId xmlns:a16="http://schemas.microsoft.com/office/drawing/2014/main" id="{00000000-0008-0000-0B00-000077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76" name="Text Box 206">
          <a:extLst>
            <a:ext uri="{FF2B5EF4-FFF2-40B4-BE49-F238E27FC236}">
              <a16:creationId xmlns:a16="http://schemas.microsoft.com/office/drawing/2014/main" id="{00000000-0008-0000-0B00-000078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77" name="Text Box 207">
          <a:extLst>
            <a:ext uri="{FF2B5EF4-FFF2-40B4-BE49-F238E27FC236}">
              <a16:creationId xmlns:a16="http://schemas.microsoft.com/office/drawing/2014/main" id="{00000000-0008-0000-0B00-000079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78" name="Text Box 208">
          <a:extLst>
            <a:ext uri="{FF2B5EF4-FFF2-40B4-BE49-F238E27FC236}">
              <a16:creationId xmlns:a16="http://schemas.microsoft.com/office/drawing/2014/main" id="{00000000-0008-0000-0B00-00007A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79" name="Text Box 209">
          <a:extLst>
            <a:ext uri="{FF2B5EF4-FFF2-40B4-BE49-F238E27FC236}">
              <a16:creationId xmlns:a16="http://schemas.microsoft.com/office/drawing/2014/main" id="{00000000-0008-0000-0B00-00007B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80" name="Text Box 210">
          <a:extLst>
            <a:ext uri="{FF2B5EF4-FFF2-40B4-BE49-F238E27FC236}">
              <a16:creationId xmlns:a16="http://schemas.microsoft.com/office/drawing/2014/main" id="{00000000-0008-0000-0B00-00007C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81" name="Text Box 211">
          <a:extLst>
            <a:ext uri="{FF2B5EF4-FFF2-40B4-BE49-F238E27FC236}">
              <a16:creationId xmlns:a16="http://schemas.microsoft.com/office/drawing/2014/main" id="{00000000-0008-0000-0B00-00007D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82" name="Text Box 212">
          <a:extLst>
            <a:ext uri="{FF2B5EF4-FFF2-40B4-BE49-F238E27FC236}">
              <a16:creationId xmlns:a16="http://schemas.microsoft.com/office/drawing/2014/main" id="{00000000-0008-0000-0B00-00007E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83" name="Text Box 213">
          <a:extLst>
            <a:ext uri="{FF2B5EF4-FFF2-40B4-BE49-F238E27FC236}">
              <a16:creationId xmlns:a16="http://schemas.microsoft.com/office/drawing/2014/main" id="{00000000-0008-0000-0B00-00007F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384" name="Text Box 214">
          <a:extLst>
            <a:ext uri="{FF2B5EF4-FFF2-40B4-BE49-F238E27FC236}">
              <a16:creationId xmlns:a16="http://schemas.microsoft.com/office/drawing/2014/main" id="{00000000-0008-0000-0B00-00008001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385" name="Text Box 216">
          <a:extLst>
            <a:ext uri="{FF2B5EF4-FFF2-40B4-BE49-F238E27FC236}">
              <a16:creationId xmlns:a16="http://schemas.microsoft.com/office/drawing/2014/main" id="{00000000-0008-0000-0B00-000081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386" name="Text Box 217">
          <a:extLst>
            <a:ext uri="{FF2B5EF4-FFF2-40B4-BE49-F238E27FC236}">
              <a16:creationId xmlns:a16="http://schemas.microsoft.com/office/drawing/2014/main" id="{00000000-0008-0000-0B00-000082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387" name="Text Box 218">
          <a:extLst>
            <a:ext uri="{FF2B5EF4-FFF2-40B4-BE49-F238E27FC236}">
              <a16:creationId xmlns:a16="http://schemas.microsoft.com/office/drawing/2014/main" id="{00000000-0008-0000-0B00-000083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388" name="Text Box 219">
          <a:extLst>
            <a:ext uri="{FF2B5EF4-FFF2-40B4-BE49-F238E27FC236}">
              <a16:creationId xmlns:a16="http://schemas.microsoft.com/office/drawing/2014/main" id="{00000000-0008-0000-0B00-000084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389" name="Text Box 220">
          <a:extLst>
            <a:ext uri="{FF2B5EF4-FFF2-40B4-BE49-F238E27FC236}">
              <a16:creationId xmlns:a16="http://schemas.microsoft.com/office/drawing/2014/main" id="{00000000-0008-0000-0B00-000085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390" name="Text Box 221">
          <a:extLst>
            <a:ext uri="{FF2B5EF4-FFF2-40B4-BE49-F238E27FC236}">
              <a16:creationId xmlns:a16="http://schemas.microsoft.com/office/drawing/2014/main" id="{00000000-0008-0000-0B00-000086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391" name="Text Box 222">
          <a:extLst>
            <a:ext uri="{FF2B5EF4-FFF2-40B4-BE49-F238E27FC236}">
              <a16:creationId xmlns:a16="http://schemas.microsoft.com/office/drawing/2014/main" id="{00000000-0008-0000-0B00-000087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392" name="Text Box 223">
          <a:extLst>
            <a:ext uri="{FF2B5EF4-FFF2-40B4-BE49-F238E27FC236}">
              <a16:creationId xmlns:a16="http://schemas.microsoft.com/office/drawing/2014/main" id="{00000000-0008-0000-0B00-000088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393" name="Text Box 224">
          <a:extLst>
            <a:ext uri="{FF2B5EF4-FFF2-40B4-BE49-F238E27FC236}">
              <a16:creationId xmlns:a16="http://schemas.microsoft.com/office/drawing/2014/main" id="{00000000-0008-0000-0B00-000089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394" name="Text Box 225">
          <a:extLst>
            <a:ext uri="{FF2B5EF4-FFF2-40B4-BE49-F238E27FC236}">
              <a16:creationId xmlns:a16="http://schemas.microsoft.com/office/drawing/2014/main" id="{00000000-0008-0000-0B00-00008A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395" name="Text Box 226">
          <a:extLst>
            <a:ext uri="{FF2B5EF4-FFF2-40B4-BE49-F238E27FC236}">
              <a16:creationId xmlns:a16="http://schemas.microsoft.com/office/drawing/2014/main" id="{00000000-0008-0000-0B00-00008B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396" name="Text Box 227">
          <a:extLst>
            <a:ext uri="{FF2B5EF4-FFF2-40B4-BE49-F238E27FC236}">
              <a16:creationId xmlns:a16="http://schemas.microsoft.com/office/drawing/2014/main" id="{00000000-0008-0000-0B00-00008C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397" name="Text Box 228">
          <a:extLst>
            <a:ext uri="{FF2B5EF4-FFF2-40B4-BE49-F238E27FC236}">
              <a16:creationId xmlns:a16="http://schemas.microsoft.com/office/drawing/2014/main" id="{00000000-0008-0000-0B00-00008D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398" name="Text Box 229">
          <a:extLst>
            <a:ext uri="{FF2B5EF4-FFF2-40B4-BE49-F238E27FC236}">
              <a16:creationId xmlns:a16="http://schemas.microsoft.com/office/drawing/2014/main" id="{00000000-0008-0000-0B00-00008E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399" name="Text Box 230">
          <a:extLst>
            <a:ext uri="{FF2B5EF4-FFF2-40B4-BE49-F238E27FC236}">
              <a16:creationId xmlns:a16="http://schemas.microsoft.com/office/drawing/2014/main" id="{00000000-0008-0000-0B00-00008F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400" name="Text Box 231">
          <a:extLst>
            <a:ext uri="{FF2B5EF4-FFF2-40B4-BE49-F238E27FC236}">
              <a16:creationId xmlns:a16="http://schemas.microsoft.com/office/drawing/2014/main" id="{00000000-0008-0000-0B00-000090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401" name="Text Box 232">
          <a:extLst>
            <a:ext uri="{FF2B5EF4-FFF2-40B4-BE49-F238E27FC236}">
              <a16:creationId xmlns:a16="http://schemas.microsoft.com/office/drawing/2014/main" id="{00000000-0008-0000-0B00-000091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402" name="Text Box 233">
          <a:extLst>
            <a:ext uri="{FF2B5EF4-FFF2-40B4-BE49-F238E27FC236}">
              <a16:creationId xmlns:a16="http://schemas.microsoft.com/office/drawing/2014/main" id="{00000000-0008-0000-0B00-000092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403" name="Text Box 234">
          <a:extLst>
            <a:ext uri="{FF2B5EF4-FFF2-40B4-BE49-F238E27FC236}">
              <a16:creationId xmlns:a16="http://schemas.microsoft.com/office/drawing/2014/main" id="{00000000-0008-0000-0B00-000093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404" name="Text Box 235">
          <a:extLst>
            <a:ext uri="{FF2B5EF4-FFF2-40B4-BE49-F238E27FC236}">
              <a16:creationId xmlns:a16="http://schemas.microsoft.com/office/drawing/2014/main" id="{00000000-0008-0000-0B00-000094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405" name="Text Box 237">
          <a:extLst>
            <a:ext uri="{FF2B5EF4-FFF2-40B4-BE49-F238E27FC236}">
              <a16:creationId xmlns:a16="http://schemas.microsoft.com/office/drawing/2014/main" id="{00000000-0008-0000-0B00-000095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406" name="Text Box 238">
          <a:extLst>
            <a:ext uri="{FF2B5EF4-FFF2-40B4-BE49-F238E27FC236}">
              <a16:creationId xmlns:a16="http://schemas.microsoft.com/office/drawing/2014/main" id="{00000000-0008-0000-0B00-000096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407" name="Text Box 239">
          <a:extLst>
            <a:ext uri="{FF2B5EF4-FFF2-40B4-BE49-F238E27FC236}">
              <a16:creationId xmlns:a16="http://schemas.microsoft.com/office/drawing/2014/main" id="{00000000-0008-0000-0B00-000097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408" name="Text Box 240">
          <a:extLst>
            <a:ext uri="{FF2B5EF4-FFF2-40B4-BE49-F238E27FC236}">
              <a16:creationId xmlns:a16="http://schemas.microsoft.com/office/drawing/2014/main" id="{00000000-0008-0000-0B00-000098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409" name="Text Box 241">
          <a:extLst>
            <a:ext uri="{FF2B5EF4-FFF2-40B4-BE49-F238E27FC236}">
              <a16:creationId xmlns:a16="http://schemas.microsoft.com/office/drawing/2014/main" id="{00000000-0008-0000-0B00-00009901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0</xdr:colOff>
      <xdr:row>12</xdr:row>
      <xdr:rowOff>0</xdr:rowOff>
    </xdr:from>
    <xdr:to>
      <xdr:col>5</xdr:col>
      <xdr:colOff>71438</xdr:colOff>
      <xdr:row>16</xdr:row>
      <xdr:rowOff>47625</xdr:rowOff>
    </xdr:to>
    <xdr:sp macro="" textlink="">
      <xdr:nvSpPr>
        <xdr:cNvPr id="410" name="Text Box 242">
          <a:extLst>
            <a:ext uri="{FF2B5EF4-FFF2-40B4-BE49-F238E27FC236}">
              <a16:creationId xmlns:a16="http://schemas.microsoft.com/office/drawing/2014/main" id="{00000000-0008-0000-0B00-00009A010000}"/>
            </a:ext>
          </a:extLst>
        </xdr:cNvPr>
        <xdr:cNvSpPr txBox="1">
          <a:spLocks noChangeArrowheads="1"/>
        </xdr:cNvSpPr>
      </xdr:nvSpPr>
      <xdr:spPr bwMode="auto">
        <a:xfrm>
          <a:off x="4805363" y="1943100"/>
          <a:ext cx="71438" cy="561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0</xdr:colOff>
      <xdr:row>40</xdr:row>
      <xdr:rowOff>85725</xdr:rowOff>
    </xdr:from>
    <xdr:to>
      <xdr:col>4</xdr:col>
      <xdr:colOff>71438</xdr:colOff>
      <xdr:row>41</xdr:row>
      <xdr:rowOff>85725</xdr:rowOff>
    </xdr:to>
    <xdr:sp macro="" textlink="">
      <xdr:nvSpPr>
        <xdr:cNvPr id="411" name="Text Box 246">
          <a:extLst>
            <a:ext uri="{FF2B5EF4-FFF2-40B4-BE49-F238E27FC236}">
              <a16:creationId xmlns:a16="http://schemas.microsoft.com/office/drawing/2014/main" id="{00000000-0008-0000-0B00-00009B010000}"/>
            </a:ext>
          </a:extLst>
        </xdr:cNvPr>
        <xdr:cNvSpPr txBox="1">
          <a:spLocks noChangeArrowheads="1"/>
        </xdr:cNvSpPr>
      </xdr:nvSpPr>
      <xdr:spPr bwMode="auto">
        <a:xfrm>
          <a:off x="4805363" y="6162675"/>
          <a:ext cx="71438"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25</xdr:row>
      <xdr:rowOff>0</xdr:rowOff>
    </xdr:from>
    <xdr:to>
      <xdr:col>4</xdr:col>
      <xdr:colOff>71438</xdr:colOff>
      <xdr:row>25</xdr:row>
      <xdr:rowOff>285750</xdr:rowOff>
    </xdr:to>
    <xdr:sp macro="" textlink="">
      <xdr:nvSpPr>
        <xdr:cNvPr id="412" name="Text Box 187">
          <a:extLst>
            <a:ext uri="{FF2B5EF4-FFF2-40B4-BE49-F238E27FC236}">
              <a16:creationId xmlns:a16="http://schemas.microsoft.com/office/drawing/2014/main" id="{00000000-0008-0000-0B00-00009C010000}"/>
            </a:ext>
          </a:extLst>
        </xdr:cNvPr>
        <xdr:cNvSpPr txBox="1">
          <a:spLocks noChangeArrowheads="1"/>
        </xdr:cNvSpPr>
      </xdr:nvSpPr>
      <xdr:spPr bwMode="auto">
        <a:xfrm>
          <a:off x="4733926" y="3743325"/>
          <a:ext cx="142875"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33</xdr:row>
      <xdr:rowOff>19050</xdr:rowOff>
    </xdr:from>
    <xdr:to>
      <xdr:col>4</xdr:col>
      <xdr:colOff>71438</xdr:colOff>
      <xdr:row>34</xdr:row>
      <xdr:rowOff>38100</xdr:rowOff>
    </xdr:to>
    <xdr:sp macro="" textlink="">
      <xdr:nvSpPr>
        <xdr:cNvPr id="413" name="Text Box 188">
          <a:extLst>
            <a:ext uri="{FF2B5EF4-FFF2-40B4-BE49-F238E27FC236}">
              <a16:creationId xmlns:a16="http://schemas.microsoft.com/office/drawing/2014/main" id="{00000000-0008-0000-0B00-00009D010000}"/>
            </a:ext>
          </a:extLst>
        </xdr:cNvPr>
        <xdr:cNvSpPr txBox="1">
          <a:spLocks noChangeArrowheads="1"/>
        </xdr:cNvSpPr>
      </xdr:nvSpPr>
      <xdr:spPr bwMode="auto">
        <a:xfrm>
          <a:off x="4733926" y="5195888"/>
          <a:ext cx="142875" cy="14763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34</xdr:row>
      <xdr:rowOff>0</xdr:rowOff>
    </xdr:from>
    <xdr:to>
      <xdr:col>4</xdr:col>
      <xdr:colOff>71438</xdr:colOff>
      <xdr:row>35</xdr:row>
      <xdr:rowOff>38100</xdr:rowOff>
    </xdr:to>
    <xdr:sp macro="" textlink="">
      <xdr:nvSpPr>
        <xdr:cNvPr id="414" name="Text Box 189">
          <a:extLst>
            <a:ext uri="{FF2B5EF4-FFF2-40B4-BE49-F238E27FC236}">
              <a16:creationId xmlns:a16="http://schemas.microsoft.com/office/drawing/2014/main" id="{00000000-0008-0000-0B00-00009E010000}"/>
            </a:ext>
          </a:extLst>
        </xdr:cNvPr>
        <xdr:cNvSpPr txBox="1">
          <a:spLocks noChangeArrowheads="1"/>
        </xdr:cNvSpPr>
      </xdr:nvSpPr>
      <xdr:spPr bwMode="auto">
        <a:xfrm>
          <a:off x="4733926" y="5305425"/>
          <a:ext cx="142875" cy="1666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34</xdr:row>
      <xdr:rowOff>0</xdr:rowOff>
    </xdr:from>
    <xdr:to>
      <xdr:col>4</xdr:col>
      <xdr:colOff>71438</xdr:colOff>
      <xdr:row>35</xdr:row>
      <xdr:rowOff>38100</xdr:rowOff>
    </xdr:to>
    <xdr:sp macro="" textlink="">
      <xdr:nvSpPr>
        <xdr:cNvPr id="415" name="Text Box 190">
          <a:extLst>
            <a:ext uri="{FF2B5EF4-FFF2-40B4-BE49-F238E27FC236}">
              <a16:creationId xmlns:a16="http://schemas.microsoft.com/office/drawing/2014/main" id="{00000000-0008-0000-0B00-00009F010000}"/>
            </a:ext>
          </a:extLst>
        </xdr:cNvPr>
        <xdr:cNvSpPr txBox="1">
          <a:spLocks noChangeArrowheads="1"/>
        </xdr:cNvSpPr>
      </xdr:nvSpPr>
      <xdr:spPr bwMode="auto">
        <a:xfrm>
          <a:off x="4733926" y="5305425"/>
          <a:ext cx="142875" cy="1666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34</xdr:row>
      <xdr:rowOff>0</xdr:rowOff>
    </xdr:from>
    <xdr:to>
      <xdr:col>4</xdr:col>
      <xdr:colOff>71438</xdr:colOff>
      <xdr:row>35</xdr:row>
      <xdr:rowOff>38100</xdr:rowOff>
    </xdr:to>
    <xdr:sp macro="" textlink="">
      <xdr:nvSpPr>
        <xdr:cNvPr id="416" name="Text Box 191">
          <a:extLst>
            <a:ext uri="{FF2B5EF4-FFF2-40B4-BE49-F238E27FC236}">
              <a16:creationId xmlns:a16="http://schemas.microsoft.com/office/drawing/2014/main" id="{00000000-0008-0000-0B00-0000A0010000}"/>
            </a:ext>
          </a:extLst>
        </xdr:cNvPr>
        <xdr:cNvSpPr txBox="1">
          <a:spLocks noChangeArrowheads="1"/>
        </xdr:cNvSpPr>
      </xdr:nvSpPr>
      <xdr:spPr bwMode="auto">
        <a:xfrm>
          <a:off x="4733926" y="5305425"/>
          <a:ext cx="142875" cy="1666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34</xdr:row>
      <xdr:rowOff>0</xdr:rowOff>
    </xdr:from>
    <xdr:to>
      <xdr:col>4</xdr:col>
      <xdr:colOff>71438</xdr:colOff>
      <xdr:row>35</xdr:row>
      <xdr:rowOff>38100</xdr:rowOff>
    </xdr:to>
    <xdr:sp macro="" textlink="">
      <xdr:nvSpPr>
        <xdr:cNvPr id="417" name="Text Box 192">
          <a:extLst>
            <a:ext uri="{FF2B5EF4-FFF2-40B4-BE49-F238E27FC236}">
              <a16:creationId xmlns:a16="http://schemas.microsoft.com/office/drawing/2014/main" id="{00000000-0008-0000-0B00-0000A1010000}"/>
            </a:ext>
          </a:extLst>
        </xdr:cNvPr>
        <xdr:cNvSpPr txBox="1">
          <a:spLocks noChangeArrowheads="1"/>
        </xdr:cNvSpPr>
      </xdr:nvSpPr>
      <xdr:spPr bwMode="auto">
        <a:xfrm>
          <a:off x="4733926" y="5305425"/>
          <a:ext cx="142875" cy="1666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35</xdr:row>
      <xdr:rowOff>19050</xdr:rowOff>
    </xdr:from>
    <xdr:to>
      <xdr:col>4</xdr:col>
      <xdr:colOff>71438</xdr:colOff>
      <xdr:row>36</xdr:row>
      <xdr:rowOff>19050</xdr:rowOff>
    </xdr:to>
    <xdr:sp macro="" textlink="">
      <xdr:nvSpPr>
        <xdr:cNvPr id="418" name="Text Box 193">
          <a:extLst>
            <a:ext uri="{FF2B5EF4-FFF2-40B4-BE49-F238E27FC236}">
              <a16:creationId xmlns:a16="http://schemas.microsoft.com/office/drawing/2014/main" id="{00000000-0008-0000-0B00-0000A2010000}"/>
            </a:ext>
          </a:extLst>
        </xdr:cNvPr>
        <xdr:cNvSpPr txBox="1">
          <a:spLocks noChangeArrowheads="1"/>
        </xdr:cNvSpPr>
      </xdr:nvSpPr>
      <xdr:spPr bwMode="auto">
        <a:xfrm>
          <a:off x="4733926" y="5453063"/>
          <a:ext cx="142875" cy="12858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35</xdr:row>
      <xdr:rowOff>19050</xdr:rowOff>
    </xdr:from>
    <xdr:to>
      <xdr:col>4</xdr:col>
      <xdr:colOff>71438</xdr:colOff>
      <xdr:row>36</xdr:row>
      <xdr:rowOff>19050</xdr:rowOff>
    </xdr:to>
    <xdr:sp macro="" textlink="">
      <xdr:nvSpPr>
        <xdr:cNvPr id="419" name="Text Box 194">
          <a:extLst>
            <a:ext uri="{FF2B5EF4-FFF2-40B4-BE49-F238E27FC236}">
              <a16:creationId xmlns:a16="http://schemas.microsoft.com/office/drawing/2014/main" id="{00000000-0008-0000-0B00-0000A3010000}"/>
            </a:ext>
          </a:extLst>
        </xdr:cNvPr>
        <xdr:cNvSpPr txBox="1">
          <a:spLocks noChangeArrowheads="1"/>
        </xdr:cNvSpPr>
      </xdr:nvSpPr>
      <xdr:spPr bwMode="auto">
        <a:xfrm>
          <a:off x="4733926" y="5453063"/>
          <a:ext cx="142875" cy="12858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35</xdr:row>
      <xdr:rowOff>19050</xdr:rowOff>
    </xdr:from>
    <xdr:to>
      <xdr:col>4</xdr:col>
      <xdr:colOff>71438</xdr:colOff>
      <xdr:row>36</xdr:row>
      <xdr:rowOff>19050</xdr:rowOff>
    </xdr:to>
    <xdr:sp macro="" textlink="">
      <xdr:nvSpPr>
        <xdr:cNvPr id="420" name="Text Box 195">
          <a:extLst>
            <a:ext uri="{FF2B5EF4-FFF2-40B4-BE49-F238E27FC236}">
              <a16:creationId xmlns:a16="http://schemas.microsoft.com/office/drawing/2014/main" id="{00000000-0008-0000-0B00-0000A4010000}"/>
            </a:ext>
          </a:extLst>
        </xdr:cNvPr>
        <xdr:cNvSpPr txBox="1">
          <a:spLocks noChangeArrowheads="1"/>
        </xdr:cNvSpPr>
      </xdr:nvSpPr>
      <xdr:spPr bwMode="auto">
        <a:xfrm>
          <a:off x="4733926" y="5453063"/>
          <a:ext cx="142875" cy="12858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25</xdr:row>
      <xdr:rowOff>0</xdr:rowOff>
    </xdr:from>
    <xdr:to>
      <xdr:col>4</xdr:col>
      <xdr:colOff>71438</xdr:colOff>
      <xdr:row>25</xdr:row>
      <xdr:rowOff>285750</xdr:rowOff>
    </xdr:to>
    <xdr:sp macro="" textlink="">
      <xdr:nvSpPr>
        <xdr:cNvPr id="421" name="Text Box 193">
          <a:extLst>
            <a:ext uri="{FF2B5EF4-FFF2-40B4-BE49-F238E27FC236}">
              <a16:creationId xmlns:a16="http://schemas.microsoft.com/office/drawing/2014/main" id="{00000000-0008-0000-0B00-0000A5010000}"/>
            </a:ext>
          </a:extLst>
        </xdr:cNvPr>
        <xdr:cNvSpPr txBox="1">
          <a:spLocks noChangeArrowheads="1"/>
        </xdr:cNvSpPr>
      </xdr:nvSpPr>
      <xdr:spPr bwMode="auto">
        <a:xfrm>
          <a:off x="4733926" y="3743325"/>
          <a:ext cx="142875"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25</xdr:row>
      <xdr:rowOff>0</xdr:rowOff>
    </xdr:from>
    <xdr:to>
      <xdr:col>4</xdr:col>
      <xdr:colOff>71438</xdr:colOff>
      <xdr:row>25</xdr:row>
      <xdr:rowOff>285750</xdr:rowOff>
    </xdr:to>
    <xdr:sp macro="" textlink="">
      <xdr:nvSpPr>
        <xdr:cNvPr id="422" name="Text Box 194">
          <a:extLst>
            <a:ext uri="{FF2B5EF4-FFF2-40B4-BE49-F238E27FC236}">
              <a16:creationId xmlns:a16="http://schemas.microsoft.com/office/drawing/2014/main" id="{00000000-0008-0000-0B00-0000A6010000}"/>
            </a:ext>
          </a:extLst>
        </xdr:cNvPr>
        <xdr:cNvSpPr txBox="1">
          <a:spLocks noChangeArrowheads="1"/>
        </xdr:cNvSpPr>
      </xdr:nvSpPr>
      <xdr:spPr bwMode="auto">
        <a:xfrm>
          <a:off x="4733926" y="3743325"/>
          <a:ext cx="142875"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25</xdr:row>
      <xdr:rowOff>0</xdr:rowOff>
    </xdr:from>
    <xdr:to>
      <xdr:col>4</xdr:col>
      <xdr:colOff>71438</xdr:colOff>
      <xdr:row>25</xdr:row>
      <xdr:rowOff>285750</xdr:rowOff>
    </xdr:to>
    <xdr:sp macro="" textlink="">
      <xdr:nvSpPr>
        <xdr:cNvPr id="423" name="Text Box 195">
          <a:extLst>
            <a:ext uri="{FF2B5EF4-FFF2-40B4-BE49-F238E27FC236}">
              <a16:creationId xmlns:a16="http://schemas.microsoft.com/office/drawing/2014/main" id="{00000000-0008-0000-0B00-0000A7010000}"/>
            </a:ext>
          </a:extLst>
        </xdr:cNvPr>
        <xdr:cNvSpPr txBox="1">
          <a:spLocks noChangeArrowheads="1"/>
        </xdr:cNvSpPr>
      </xdr:nvSpPr>
      <xdr:spPr bwMode="auto">
        <a:xfrm>
          <a:off x="4733926" y="3743325"/>
          <a:ext cx="142875"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22</xdr:row>
      <xdr:rowOff>0</xdr:rowOff>
    </xdr:from>
    <xdr:to>
      <xdr:col>4</xdr:col>
      <xdr:colOff>71438</xdr:colOff>
      <xdr:row>23</xdr:row>
      <xdr:rowOff>57150</xdr:rowOff>
    </xdr:to>
    <xdr:sp macro="" textlink="">
      <xdr:nvSpPr>
        <xdr:cNvPr id="424" name="Text Box 193">
          <a:extLst>
            <a:ext uri="{FF2B5EF4-FFF2-40B4-BE49-F238E27FC236}">
              <a16:creationId xmlns:a16="http://schemas.microsoft.com/office/drawing/2014/main" id="{00000000-0008-0000-0B00-0000A8010000}"/>
            </a:ext>
          </a:extLst>
        </xdr:cNvPr>
        <xdr:cNvSpPr txBox="1">
          <a:spLocks noChangeArrowheads="1"/>
        </xdr:cNvSpPr>
      </xdr:nvSpPr>
      <xdr:spPr bwMode="auto">
        <a:xfrm>
          <a:off x="4733926" y="3228975"/>
          <a:ext cx="142875" cy="1857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22</xdr:row>
      <xdr:rowOff>0</xdr:rowOff>
    </xdr:from>
    <xdr:to>
      <xdr:col>4</xdr:col>
      <xdr:colOff>71438</xdr:colOff>
      <xdr:row>23</xdr:row>
      <xdr:rowOff>57150</xdr:rowOff>
    </xdr:to>
    <xdr:sp macro="" textlink="">
      <xdr:nvSpPr>
        <xdr:cNvPr id="425" name="Text Box 194">
          <a:extLst>
            <a:ext uri="{FF2B5EF4-FFF2-40B4-BE49-F238E27FC236}">
              <a16:creationId xmlns:a16="http://schemas.microsoft.com/office/drawing/2014/main" id="{00000000-0008-0000-0B00-0000A9010000}"/>
            </a:ext>
          </a:extLst>
        </xdr:cNvPr>
        <xdr:cNvSpPr txBox="1">
          <a:spLocks noChangeArrowheads="1"/>
        </xdr:cNvSpPr>
      </xdr:nvSpPr>
      <xdr:spPr bwMode="auto">
        <a:xfrm>
          <a:off x="4733926" y="3228975"/>
          <a:ext cx="142875" cy="1857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22</xdr:row>
      <xdr:rowOff>0</xdr:rowOff>
    </xdr:from>
    <xdr:to>
      <xdr:col>4</xdr:col>
      <xdr:colOff>71438</xdr:colOff>
      <xdr:row>23</xdr:row>
      <xdr:rowOff>57150</xdr:rowOff>
    </xdr:to>
    <xdr:sp macro="" textlink="">
      <xdr:nvSpPr>
        <xdr:cNvPr id="426" name="Text Box 195">
          <a:extLst>
            <a:ext uri="{FF2B5EF4-FFF2-40B4-BE49-F238E27FC236}">
              <a16:creationId xmlns:a16="http://schemas.microsoft.com/office/drawing/2014/main" id="{00000000-0008-0000-0B00-0000AA010000}"/>
            </a:ext>
          </a:extLst>
        </xdr:cNvPr>
        <xdr:cNvSpPr txBox="1">
          <a:spLocks noChangeArrowheads="1"/>
        </xdr:cNvSpPr>
      </xdr:nvSpPr>
      <xdr:spPr bwMode="auto">
        <a:xfrm>
          <a:off x="4733926" y="3228975"/>
          <a:ext cx="142875" cy="1857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35</xdr:row>
      <xdr:rowOff>19050</xdr:rowOff>
    </xdr:from>
    <xdr:to>
      <xdr:col>4</xdr:col>
      <xdr:colOff>71438</xdr:colOff>
      <xdr:row>36</xdr:row>
      <xdr:rowOff>19050</xdr:rowOff>
    </xdr:to>
    <xdr:sp macro="" textlink="">
      <xdr:nvSpPr>
        <xdr:cNvPr id="427" name="Text Box 193">
          <a:extLst>
            <a:ext uri="{FF2B5EF4-FFF2-40B4-BE49-F238E27FC236}">
              <a16:creationId xmlns:a16="http://schemas.microsoft.com/office/drawing/2014/main" id="{00000000-0008-0000-0B00-0000AB010000}"/>
            </a:ext>
          </a:extLst>
        </xdr:cNvPr>
        <xdr:cNvSpPr txBox="1">
          <a:spLocks noChangeArrowheads="1"/>
        </xdr:cNvSpPr>
      </xdr:nvSpPr>
      <xdr:spPr bwMode="auto">
        <a:xfrm>
          <a:off x="4733926" y="5453063"/>
          <a:ext cx="142875" cy="12858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35</xdr:row>
      <xdr:rowOff>19050</xdr:rowOff>
    </xdr:from>
    <xdr:to>
      <xdr:col>4</xdr:col>
      <xdr:colOff>71438</xdr:colOff>
      <xdr:row>36</xdr:row>
      <xdr:rowOff>19050</xdr:rowOff>
    </xdr:to>
    <xdr:sp macro="" textlink="">
      <xdr:nvSpPr>
        <xdr:cNvPr id="428" name="Text Box 194">
          <a:extLst>
            <a:ext uri="{FF2B5EF4-FFF2-40B4-BE49-F238E27FC236}">
              <a16:creationId xmlns:a16="http://schemas.microsoft.com/office/drawing/2014/main" id="{00000000-0008-0000-0B00-0000AC010000}"/>
            </a:ext>
          </a:extLst>
        </xdr:cNvPr>
        <xdr:cNvSpPr txBox="1">
          <a:spLocks noChangeArrowheads="1"/>
        </xdr:cNvSpPr>
      </xdr:nvSpPr>
      <xdr:spPr bwMode="auto">
        <a:xfrm>
          <a:off x="4733926" y="5453063"/>
          <a:ext cx="142875" cy="12858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35</xdr:row>
      <xdr:rowOff>19050</xdr:rowOff>
    </xdr:from>
    <xdr:to>
      <xdr:col>4</xdr:col>
      <xdr:colOff>71438</xdr:colOff>
      <xdr:row>36</xdr:row>
      <xdr:rowOff>19050</xdr:rowOff>
    </xdr:to>
    <xdr:sp macro="" textlink="">
      <xdr:nvSpPr>
        <xdr:cNvPr id="429" name="Text Box 195">
          <a:extLst>
            <a:ext uri="{FF2B5EF4-FFF2-40B4-BE49-F238E27FC236}">
              <a16:creationId xmlns:a16="http://schemas.microsoft.com/office/drawing/2014/main" id="{00000000-0008-0000-0B00-0000AD010000}"/>
            </a:ext>
          </a:extLst>
        </xdr:cNvPr>
        <xdr:cNvSpPr txBox="1">
          <a:spLocks noChangeArrowheads="1"/>
        </xdr:cNvSpPr>
      </xdr:nvSpPr>
      <xdr:spPr bwMode="auto">
        <a:xfrm>
          <a:off x="4733926" y="5453063"/>
          <a:ext cx="142875" cy="12858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36</xdr:row>
      <xdr:rowOff>9525</xdr:rowOff>
    </xdr:from>
    <xdr:to>
      <xdr:col>4</xdr:col>
      <xdr:colOff>71438</xdr:colOff>
      <xdr:row>37</xdr:row>
      <xdr:rowOff>285750</xdr:rowOff>
    </xdr:to>
    <xdr:sp macro="" textlink="">
      <xdr:nvSpPr>
        <xdr:cNvPr id="430" name="Text Box 193">
          <a:extLst>
            <a:ext uri="{FF2B5EF4-FFF2-40B4-BE49-F238E27FC236}">
              <a16:creationId xmlns:a16="http://schemas.microsoft.com/office/drawing/2014/main" id="{00000000-0008-0000-0B00-0000AE010000}"/>
            </a:ext>
          </a:extLst>
        </xdr:cNvPr>
        <xdr:cNvSpPr txBox="1">
          <a:spLocks noChangeArrowheads="1"/>
        </xdr:cNvSpPr>
      </xdr:nvSpPr>
      <xdr:spPr bwMode="auto">
        <a:xfrm>
          <a:off x="4733926" y="5572125"/>
          <a:ext cx="142875" cy="24765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36</xdr:row>
      <xdr:rowOff>9525</xdr:rowOff>
    </xdr:from>
    <xdr:to>
      <xdr:col>4</xdr:col>
      <xdr:colOff>71438</xdr:colOff>
      <xdr:row>37</xdr:row>
      <xdr:rowOff>285750</xdr:rowOff>
    </xdr:to>
    <xdr:sp macro="" textlink="">
      <xdr:nvSpPr>
        <xdr:cNvPr id="431" name="Text Box 194">
          <a:extLst>
            <a:ext uri="{FF2B5EF4-FFF2-40B4-BE49-F238E27FC236}">
              <a16:creationId xmlns:a16="http://schemas.microsoft.com/office/drawing/2014/main" id="{00000000-0008-0000-0B00-0000AF010000}"/>
            </a:ext>
          </a:extLst>
        </xdr:cNvPr>
        <xdr:cNvSpPr txBox="1">
          <a:spLocks noChangeArrowheads="1"/>
        </xdr:cNvSpPr>
      </xdr:nvSpPr>
      <xdr:spPr bwMode="auto">
        <a:xfrm>
          <a:off x="4733926" y="5572125"/>
          <a:ext cx="142875" cy="24765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36</xdr:row>
      <xdr:rowOff>9525</xdr:rowOff>
    </xdr:from>
    <xdr:to>
      <xdr:col>4</xdr:col>
      <xdr:colOff>71438</xdr:colOff>
      <xdr:row>37</xdr:row>
      <xdr:rowOff>285750</xdr:rowOff>
    </xdr:to>
    <xdr:sp macro="" textlink="">
      <xdr:nvSpPr>
        <xdr:cNvPr id="432" name="Text Box 195">
          <a:extLst>
            <a:ext uri="{FF2B5EF4-FFF2-40B4-BE49-F238E27FC236}">
              <a16:creationId xmlns:a16="http://schemas.microsoft.com/office/drawing/2014/main" id="{00000000-0008-0000-0B00-0000B0010000}"/>
            </a:ext>
          </a:extLst>
        </xdr:cNvPr>
        <xdr:cNvSpPr txBox="1">
          <a:spLocks noChangeArrowheads="1"/>
        </xdr:cNvSpPr>
      </xdr:nvSpPr>
      <xdr:spPr bwMode="auto">
        <a:xfrm>
          <a:off x="4733926" y="5572125"/>
          <a:ext cx="142875" cy="24765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24</xdr:row>
      <xdr:rowOff>0</xdr:rowOff>
    </xdr:from>
    <xdr:to>
      <xdr:col>4</xdr:col>
      <xdr:colOff>71438</xdr:colOff>
      <xdr:row>24</xdr:row>
      <xdr:rowOff>285750</xdr:rowOff>
    </xdr:to>
    <xdr:sp macro="" textlink="">
      <xdr:nvSpPr>
        <xdr:cNvPr id="433" name="Text Box 187">
          <a:extLst>
            <a:ext uri="{FF2B5EF4-FFF2-40B4-BE49-F238E27FC236}">
              <a16:creationId xmlns:a16="http://schemas.microsoft.com/office/drawing/2014/main" id="{00000000-0008-0000-0B00-0000B1010000}"/>
            </a:ext>
          </a:extLst>
        </xdr:cNvPr>
        <xdr:cNvSpPr txBox="1">
          <a:spLocks noChangeArrowheads="1"/>
        </xdr:cNvSpPr>
      </xdr:nvSpPr>
      <xdr:spPr bwMode="auto">
        <a:xfrm>
          <a:off x="4733926" y="3486150"/>
          <a:ext cx="142875"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24</xdr:row>
      <xdr:rowOff>0</xdr:rowOff>
    </xdr:from>
    <xdr:to>
      <xdr:col>4</xdr:col>
      <xdr:colOff>71438</xdr:colOff>
      <xdr:row>24</xdr:row>
      <xdr:rowOff>285750</xdr:rowOff>
    </xdr:to>
    <xdr:sp macro="" textlink="">
      <xdr:nvSpPr>
        <xdr:cNvPr id="434" name="Text Box 193">
          <a:extLst>
            <a:ext uri="{FF2B5EF4-FFF2-40B4-BE49-F238E27FC236}">
              <a16:creationId xmlns:a16="http://schemas.microsoft.com/office/drawing/2014/main" id="{00000000-0008-0000-0B00-0000B2010000}"/>
            </a:ext>
          </a:extLst>
        </xdr:cNvPr>
        <xdr:cNvSpPr txBox="1">
          <a:spLocks noChangeArrowheads="1"/>
        </xdr:cNvSpPr>
      </xdr:nvSpPr>
      <xdr:spPr bwMode="auto">
        <a:xfrm>
          <a:off x="4733926" y="3486150"/>
          <a:ext cx="142875"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24</xdr:row>
      <xdr:rowOff>0</xdr:rowOff>
    </xdr:from>
    <xdr:to>
      <xdr:col>4</xdr:col>
      <xdr:colOff>71438</xdr:colOff>
      <xdr:row>24</xdr:row>
      <xdr:rowOff>285750</xdr:rowOff>
    </xdr:to>
    <xdr:sp macro="" textlink="">
      <xdr:nvSpPr>
        <xdr:cNvPr id="435" name="Text Box 194">
          <a:extLst>
            <a:ext uri="{FF2B5EF4-FFF2-40B4-BE49-F238E27FC236}">
              <a16:creationId xmlns:a16="http://schemas.microsoft.com/office/drawing/2014/main" id="{00000000-0008-0000-0B00-0000B3010000}"/>
            </a:ext>
          </a:extLst>
        </xdr:cNvPr>
        <xdr:cNvSpPr txBox="1">
          <a:spLocks noChangeArrowheads="1"/>
        </xdr:cNvSpPr>
      </xdr:nvSpPr>
      <xdr:spPr bwMode="auto">
        <a:xfrm>
          <a:off x="4733926" y="3486150"/>
          <a:ext cx="142875"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24</xdr:row>
      <xdr:rowOff>0</xdr:rowOff>
    </xdr:from>
    <xdr:to>
      <xdr:col>4</xdr:col>
      <xdr:colOff>71438</xdr:colOff>
      <xdr:row>24</xdr:row>
      <xdr:rowOff>285750</xdr:rowOff>
    </xdr:to>
    <xdr:sp macro="" textlink="">
      <xdr:nvSpPr>
        <xdr:cNvPr id="436" name="Text Box 195">
          <a:extLst>
            <a:ext uri="{FF2B5EF4-FFF2-40B4-BE49-F238E27FC236}">
              <a16:creationId xmlns:a16="http://schemas.microsoft.com/office/drawing/2014/main" id="{00000000-0008-0000-0B00-0000B4010000}"/>
            </a:ext>
          </a:extLst>
        </xdr:cNvPr>
        <xdr:cNvSpPr txBox="1">
          <a:spLocks noChangeArrowheads="1"/>
        </xdr:cNvSpPr>
      </xdr:nvSpPr>
      <xdr:spPr bwMode="auto">
        <a:xfrm>
          <a:off x="4733926" y="3486150"/>
          <a:ext cx="142875"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23</xdr:row>
      <xdr:rowOff>0</xdr:rowOff>
    </xdr:from>
    <xdr:to>
      <xdr:col>4</xdr:col>
      <xdr:colOff>71438</xdr:colOff>
      <xdr:row>24</xdr:row>
      <xdr:rowOff>57150</xdr:rowOff>
    </xdr:to>
    <xdr:sp macro="" textlink="">
      <xdr:nvSpPr>
        <xdr:cNvPr id="437" name="Text Box 193">
          <a:extLst>
            <a:ext uri="{FF2B5EF4-FFF2-40B4-BE49-F238E27FC236}">
              <a16:creationId xmlns:a16="http://schemas.microsoft.com/office/drawing/2014/main" id="{00000000-0008-0000-0B00-0000B5010000}"/>
            </a:ext>
          </a:extLst>
        </xdr:cNvPr>
        <xdr:cNvSpPr txBox="1">
          <a:spLocks noChangeArrowheads="1"/>
        </xdr:cNvSpPr>
      </xdr:nvSpPr>
      <xdr:spPr bwMode="auto">
        <a:xfrm>
          <a:off x="4733926" y="3357563"/>
          <a:ext cx="142875" cy="18573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23</xdr:row>
      <xdr:rowOff>0</xdr:rowOff>
    </xdr:from>
    <xdr:to>
      <xdr:col>4</xdr:col>
      <xdr:colOff>71438</xdr:colOff>
      <xdr:row>24</xdr:row>
      <xdr:rowOff>57150</xdr:rowOff>
    </xdr:to>
    <xdr:sp macro="" textlink="">
      <xdr:nvSpPr>
        <xdr:cNvPr id="438" name="Text Box 194">
          <a:extLst>
            <a:ext uri="{FF2B5EF4-FFF2-40B4-BE49-F238E27FC236}">
              <a16:creationId xmlns:a16="http://schemas.microsoft.com/office/drawing/2014/main" id="{00000000-0008-0000-0B00-0000B6010000}"/>
            </a:ext>
          </a:extLst>
        </xdr:cNvPr>
        <xdr:cNvSpPr txBox="1">
          <a:spLocks noChangeArrowheads="1"/>
        </xdr:cNvSpPr>
      </xdr:nvSpPr>
      <xdr:spPr bwMode="auto">
        <a:xfrm>
          <a:off x="4733926" y="3357563"/>
          <a:ext cx="142875" cy="18573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23</xdr:row>
      <xdr:rowOff>0</xdr:rowOff>
    </xdr:from>
    <xdr:to>
      <xdr:col>4</xdr:col>
      <xdr:colOff>71438</xdr:colOff>
      <xdr:row>24</xdr:row>
      <xdr:rowOff>57150</xdr:rowOff>
    </xdr:to>
    <xdr:sp macro="" textlink="">
      <xdr:nvSpPr>
        <xdr:cNvPr id="439" name="Text Box 195">
          <a:extLst>
            <a:ext uri="{FF2B5EF4-FFF2-40B4-BE49-F238E27FC236}">
              <a16:creationId xmlns:a16="http://schemas.microsoft.com/office/drawing/2014/main" id="{00000000-0008-0000-0B00-0000B7010000}"/>
            </a:ext>
          </a:extLst>
        </xdr:cNvPr>
        <xdr:cNvSpPr txBox="1">
          <a:spLocks noChangeArrowheads="1"/>
        </xdr:cNvSpPr>
      </xdr:nvSpPr>
      <xdr:spPr bwMode="auto">
        <a:xfrm>
          <a:off x="4733926" y="3357563"/>
          <a:ext cx="142875" cy="18573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9525</xdr:colOff>
      <xdr:row>40</xdr:row>
      <xdr:rowOff>0</xdr:rowOff>
    </xdr:from>
    <xdr:to>
      <xdr:col>4</xdr:col>
      <xdr:colOff>90488</xdr:colOff>
      <xdr:row>41</xdr:row>
      <xdr:rowOff>48070</xdr:rowOff>
    </xdr:to>
    <xdr:sp macro="" textlink="">
      <xdr:nvSpPr>
        <xdr:cNvPr id="440" name="Text Box 71">
          <a:extLst>
            <a:ext uri="{FF2B5EF4-FFF2-40B4-BE49-F238E27FC236}">
              <a16:creationId xmlns:a16="http://schemas.microsoft.com/office/drawing/2014/main" id="{00000000-0008-0000-0B00-0000B8010000}"/>
            </a:ext>
          </a:extLst>
        </xdr:cNvPr>
        <xdr:cNvSpPr txBox="1">
          <a:spLocks noChangeArrowheads="1"/>
        </xdr:cNvSpPr>
      </xdr:nvSpPr>
      <xdr:spPr bwMode="auto">
        <a:xfrm>
          <a:off x="4814888" y="6076950"/>
          <a:ext cx="80963"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9525</xdr:colOff>
      <xdr:row>40</xdr:row>
      <xdr:rowOff>0</xdr:rowOff>
    </xdr:from>
    <xdr:to>
      <xdr:col>4</xdr:col>
      <xdr:colOff>90488</xdr:colOff>
      <xdr:row>41</xdr:row>
      <xdr:rowOff>48070</xdr:rowOff>
    </xdr:to>
    <xdr:sp macro="" textlink="">
      <xdr:nvSpPr>
        <xdr:cNvPr id="441" name="Text Box 175">
          <a:extLst>
            <a:ext uri="{FF2B5EF4-FFF2-40B4-BE49-F238E27FC236}">
              <a16:creationId xmlns:a16="http://schemas.microsoft.com/office/drawing/2014/main" id="{00000000-0008-0000-0B00-0000B9010000}"/>
            </a:ext>
          </a:extLst>
        </xdr:cNvPr>
        <xdr:cNvSpPr txBox="1">
          <a:spLocks noChangeArrowheads="1"/>
        </xdr:cNvSpPr>
      </xdr:nvSpPr>
      <xdr:spPr bwMode="auto">
        <a:xfrm>
          <a:off x="4814888" y="6076950"/>
          <a:ext cx="80963"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42" name="Text Box 1">
          <a:extLst>
            <a:ext uri="{FF2B5EF4-FFF2-40B4-BE49-F238E27FC236}">
              <a16:creationId xmlns:a16="http://schemas.microsoft.com/office/drawing/2014/main" id="{00000000-0008-0000-0B00-0000BA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43" name="Text Box 23">
          <a:extLst>
            <a:ext uri="{FF2B5EF4-FFF2-40B4-BE49-F238E27FC236}">
              <a16:creationId xmlns:a16="http://schemas.microsoft.com/office/drawing/2014/main" id="{00000000-0008-0000-0B00-0000BB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44" name="Text Box 24">
          <a:extLst>
            <a:ext uri="{FF2B5EF4-FFF2-40B4-BE49-F238E27FC236}">
              <a16:creationId xmlns:a16="http://schemas.microsoft.com/office/drawing/2014/main" id="{00000000-0008-0000-0B00-0000BC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45" name="Text Box 25">
          <a:extLst>
            <a:ext uri="{FF2B5EF4-FFF2-40B4-BE49-F238E27FC236}">
              <a16:creationId xmlns:a16="http://schemas.microsoft.com/office/drawing/2014/main" id="{00000000-0008-0000-0B00-0000BD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46" name="Text Box 26">
          <a:extLst>
            <a:ext uri="{FF2B5EF4-FFF2-40B4-BE49-F238E27FC236}">
              <a16:creationId xmlns:a16="http://schemas.microsoft.com/office/drawing/2014/main" id="{00000000-0008-0000-0B00-0000BE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47" name="Text Box 27">
          <a:extLst>
            <a:ext uri="{FF2B5EF4-FFF2-40B4-BE49-F238E27FC236}">
              <a16:creationId xmlns:a16="http://schemas.microsoft.com/office/drawing/2014/main" id="{00000000-0008-0000-0B00-0000BF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48" name="Text Box 28">
          <a:extLst>
            <a:ext uri="{FF2B5EF4-FFF2-40B4-BE49-F238E27FC236}">
              <a16:creationId xmlns:a16="http://schemas.microsoft.com/office/drawing/2014/main" id="{00000000-0008-0000-0B00-0000C0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49" name="Text Box 29">
          <a:extLst>
            <a:ext uri="{FF2B5EF4-FFF2-40B4-BE49-F238E27FC236}">
              <a16:creationId xmlns:a16="http://schemas.microsoft.com/office/drawing/2014/main" id="{00000000-0008-0000-0B00-0000C1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50" name="Text Box 30">
          <a:extLst>
            <a:ext uri="{FF2B5EF4-FFF2-40B4-BE49-F238E27FC236}">
              <a16:creationId xmlns:a16="http://schemas.microsoft.com/office/drawing/2014/main" id="{00000000-0008-0000-0B00-0000C2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51" name="Text Box 31">
          <a:extLst>
            <a:ext uri="{FF2B5EF4-FFF2-40B4-BE49-F238E27FC236}">
              <a16:creationId xmlns:a16="http://schemas.microsoft.com/office/drawing/2014/main" id="{00000000-0008-0000-0B00-0000C3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52" name="Text Box 32">
          <a:extLst>
            <a:ext uri="{FF2B5EF4-FFF2-40B4-BE49-F238E27FC236}">
              <a16:creationId xmlns:a16="http://schemas.microsoft.com/office/drawing/2014/main" id="{00000000-0008-0000-0B00-0000C4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53" name="Text Box 33">
          <a:extLst>
            <a:ext uri="{FF2B5EF4-FFF2-40B4-BE49-F238E27FC236}">
              <a16:creationId xmlns:a16="http://schemas.microsoft.com/office/drawing/2014/main" id="{00000000-0008-0000-0B00-0000C5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54" name="Text Box 34">
          <a:extLst>
            <a:ext uri="{FF2B5EF4-FFF2-40B4-BE49-F238E27FC236}">
              <a16:creationId xmlns:a16="http://schemas.microsoft.com/office/drawing/2014/main" id="{00000000-0008-0000-0B00-0000C6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55" name="Text Box 35">
          <a:extLst>
            <a:ext uri="{FF2B5EF4-FFF2-40B4-BE49-F238E27FC236}">
              <a16:creationId xmlns:a16="http://schemas.microsoft.com/office/drawing/2014/main" id="{00000000-0008-0000-0B00-0000C7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56" name="Text Box 36">
          <a:extLst>
            <a:ext uri="{FF2B5EF4-FFF2-40B4-BE49-F238E27FC236}">
              <a16:creationId xmlns:a16="http://schemas.microsoft.com/office/drawing/2014/main" id="{00000000-0008-0000-0B00-0000C8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57" name="Text Box 37">
          <a:extLst>
            <a:ext uri="{FF2B5EF4-FFF2-40B4-BE49-F238E27FC236}">
              <a16:creationId xmlns:a16="http://schemas.microsoft.com/office/drawing/2014/main" id="{00000000-0008-0000-0B00-0000C9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58" name="Text Box 38">
          <a:extLst>
            <a:ext uri="{FF2B5EF4-FFF2-40B4-BE49-F238E27FC236}">
              <a16:creationId xmlns:a16="http://schemas.microsoft.com/office/drawing/2014/main" id="{00000000-0008-0000-0B00-0000CA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59" name="Text Box 39">
          <a:extLst>
            <a:ext uri="{FF2B5EF4-FFF2-40B4-BE49-F238E27FC236}">
              <a16:creationId xmlns:a16="http://schemas.microsoft.com/office/drawing/2014/main" id="{00000000-0008-0000-0B00-0000CB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60" name="Text Box 40">
          <a:extLst>
            <a:ext uri="{FF2B5EF4-FFF2-40B4-BE49-F238E27FC236}">
              <a16:creationId xmlns:a16="http://schemas.microsoft.com/office/drawing/2014/main" id="{00000000-0008-0000-0B00-0000CC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61" name="Text Box 41">
          <a:extLst>
            <a:ext uri="{FF2B5EF4-FFF2-40B4-BE49-F238E27FC236}">
              <a16:creationId xmlns:a16="http://schemas.microsoft.com/office/drawing/2014/main" id="{00000000-0008-0000-0B00-0000CD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62" name="Text Box 42">
          <a:extLst>
            <a:ext uri="{FF2B5EF4-FFF2-40B4-BE49-F238E27FC236}">
              <a16:creationId xmlns:a16="http://schemas.microsoft.com/office/drawing/2014/main" id="{00000000-0008-0000-0B00-0000CE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63" name="Text Box 43">
          <a:extLst>
            <a:ext uri="{FF2B5EF4-FFF2-40B4-BE49-F238E27FC236}">
              <a16:creationId xmlns:a16="http://schemas.microsoft.com/office/drawing/2014/main" id="{00000000-0008-0000-0B00-0000CF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64" name="Text Box 44">
          <a:extLst>
            <a:ext uri="{FF2B5EF4-FFF2-40B4-BE49-F238E27FC236}">
              <a16:creationId xmlns:a16="http://schemas.microsoft.com/office/drawing/2014/main" id="{00000000-0008-0000-0B00-0000D0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65" name="Text Box 45">
          <a:extLst>
            <a:ext uri="{FF2B5EF4-FFF2-40B4-BE49-F238E27FC236}">
              <a16:creationId xmlns:a16="http://schemas.microsoft.com/office/drawing/2014/main" id="{00000000-0008-0000-0B00-0000D1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66" name="Text Box 46">
          <a:extLst>
            <a:ext uri="{FF2B5EF4-FFF2-40B4-BE49-F238E27FC236}">
              <a16:creationId xmlns:a16="http://schemas.microsoft.com/office/drawing/2014/main" id="{00000000-0008-0000-0B00-0000D2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67" name="Text Box 47">
          <a:extLst>
            <a:ext uri="{FF2B5EF4-FFF2-40B4-BE49-F238E27FC236}">
              <a16:creationId xmlns:a16="http://schemas.microsoft.com/office/drawing/2014/main" id="{00000000-0008-0000-0B00-0000D3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68" name="Text Box 48">
          <a:extLst>
            <a:ext uri="{FF2B5EF4-FFF2-40B4-BE49-F238E27FC236}">
              <a16:creationId xmlns:a16="http://schemas.microsoft.com/office/drawing/2014/main" id="{00000000-0008-0000-0B00-0000D4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69" name="Text Box 49">
          <a:extLst>
            <a:ext uri="{FF2B5EF4-FFF2-40B4-BE49-F238E27FC236}">
              <a16:creationId xmlns:a16="http://schemas.microsoft.com/office/drawing/2014/main" id="{00000000-0008-0000-0B00-0000D5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70" name="Text Box 50">
          <a:extLst>
            <a:ext uri="{FF2B5EF4-FFF2-40B4-BE49-F238E27FC236}">
              <a16:creationId xmlns:a16="http://schemas.microsoft.com/office/drawing/2014/main" id="{00000000-0008-0000-0B00-0000D6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71" name="Text Box 51">
          <a:extLst>
            <a:ext uri="{FF2B5EF4-FFF2-40B4-BE49-F238E27FC236}">
              <a16:creationId xmlns:a16="http://schemas.microsoft.com/office/drawing/2014/main" id="{00000000-0008-0000-0B00-0000D7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72" name="Text Box 52">
          <a:extLst>
            <a:ext uri="{FF2B5EF4-FFF2-40B4-BE49-F238E27FC236}">
              <a16:creationId xmlns:a16="http://schemas.microsoft.com/office/drawing/2014/main" id="{00000000-0008-0000-0B00-0000D8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73" name="Text Box 53">
          <a:extLst>
            <a:ext uri="{FF2B5EF4-FFF2-40B4-BE49-F238E27FC236}">
              <a16:creationId xmlns:a16="http://schemas.microsoft.com/office/drawing/2014/main" id="{00000000-0008-0000-0B00-0000D9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74" name="Text Box 54">
          <a:extLst>
            <a:ext uri="{FF2B5EF4-FFF2-40B4-BE49-F238E27FC236}">
              <a16:creationId xmlns:a16="http://schemas.microsoft.com/office/drawing/2014/main" id="{00000000-0008-0000-0B00-0000DA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75" name="Text Box 55">
          <a:extLst>
            <a:ext uri="{FF2B5EF4-FFF2-40B4-BE49-F238E27FC236}">
              <a16:creationId xmlns:a16="http://schemas.microsoft.com/office/drawing/2014/main" id="{00000000-0008-0000-0B00-0000DB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76" name="Text Box 56">
          <a:extLst>
            <a:ext uri="{FF2B5EF4-FFF2-40B4-BE49-F238E27FC236}">
              <a16:creationId xmlns:a16="http://schemas.microsoft.com/office/drawing/2014/main" id="{00000000-0008-0000-0B00-0000DC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77" name="Text Box 57">
          <a:extLst>
            <a:ext uri="{FF2B5EF4-FFF2-40B4-BE49-F238E27FC236}">
              <a16:creationId xmlns:a16="http://schemas.microsoft.com/office/drawing/2014/main" id="{00000000-0008-0000-0B00-0000DD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78" name="Text Box 58">
          <a:extLst>
            <a:ext uri="{FF2B5EF4-FFF2-40B4-BE49-F238E27FC236}">
              <a16:creationId xmlns:a16="http://schemas.microsoft.com/office/drawing/2014/main" id="{00000000-0008-0000-0B00-0000DE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79" name="Text Box 59">
          <a:extLst>
            <a:ext uri="{FF2B5EF4-FFF2-40B4-BE49-F238E27FC236}">
              <a16:creationId xmlns:a16="http://schemas.microsoft.com/office/drawing/2014/main" id="{00000000-0008-0000-0B00-0000DF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80" name="Text Box 60">
          <a:extLst>
            <a:ext uri="{FF2B5EF4-FFF2-40B4-BE49-F238E27FC236}">
              <a16:creationId xmlns:a16="http://schemas.microsoft.com/office/drawing/2014/main" id="{00000000-0008-0000-0B00-0000E0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81" name="Text Box 61">
          <a:extLst>
            <a:ext uri="{FF2B5EF4-FFF2-40B4-BE49-F238E27FC236}">
              <a16:creationId xmlns:a16="http://schemas.microsoft.com/office/drawing/2014/main" id="{00000000-0008-0000-0B00-0000E1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82" name="Text Box 62">
          <a:extLst>
            <a:ext uri="{FF2B5EF4-FFF2-40B4-BE49-F238E27FC236}">
              <a16:creationId xmlns:a16="http://schemas.microsoft.com/office/drawing/2014/main" id="{00000000-0008-0000-0B00-0000E2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83" name="Text Box 63">
          <a:extLst>
            <a:ext uri="{FF2B5EF4-FFF2-40B4-BE49-F238E27FC236}">
              <a16:creationId xmlns:a16="http://schemas.microsoft.com/office/drawing/2014/main" id="{00000000-0008-0000-0B00-0000E3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84" name="Text Box 64">
          <a:extLst>
            <a:ext uri="{FF2B5EF4-FFF2-40B4-BE49-F238E27FC236}">
              <a16:creationId xmlns:a16="http://schemas.microsoft.com/office/drawing/2014/main" id="{00000000-0008-0000-0B00-0000E4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85" name="Text Box 65">
          <a:extLst>
            <a:ext uri="{FF2B5EF4-FFF2-40B4-BE49-F238E27FC236}">
              <a16:creationId xmlns:a16="http://schemas.microsoft.com/office/drawing/2014/main" id="{00000000-0008-0000-0B00-0000E5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86" name="Text Box 66">
          <a:extLst>
            <a:ext uri="{FF2B5EF4-FFF2-40B4-BE49-F238E27FC236}">
              <a16:creationId xmlns:a16="http://schemas.microsoft.com/office/drawing/2014/main" id="{00000000-0008-0000-0B00-0000E6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87" name="Text Box 67">
          <a:extLst>
            <a:ext uri="{FF2B5EF4-FFF2-40B4-BE49-F238E27FC236}">
              <a16:creationId xmlns:a16="http://schemas.microsoft.com/office/drawing/2014/main" id="{00000000-0008-0000-0B00-0000E7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88" name="Text Box 68">
          <a:extLst>
            <a:ext uri="{FF2B5EF4-FFF2-40B4-BE49-F238E27FC236}">
              <a16:creationId xmlns:a16="http://schemas.microsoft.com/office/drawing/2014/main" id="{00000000-0008-0000-0B00-0000E8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89" name="Text Box 69">
          <a:extLst>
            <a:ext uri="{FF2B5EF4-FFF2-40B4-BE49-F238E27FC236}">
              <a16:creationId xmlns:a16="http://schemas.microsoft.com/office/drawing/2014/main" id="{00000000-0008-0000-0B00-0000E9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90" name="Text Box 70">
          <a:extLst>
            <a:ext uri="{FF2B5EF4-FFF2-40B4-BE49-F238E27FC236}">
              <a16:creationId xmlns:a16="http://schemas.microsoft.com/office/drawing/2014/main" id="{00000000-0008-0000-0B00-0000EA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91" name="Text Box 72">
          <a:extLst>
            <a:ext uri="{FF2B5EF4-FFF2-40B4-BE49-F238E27FC236}">
              <a16:creationId xmlns:a16="http://schemas.microsoft.com/office/drawing/2014/main" id="{00000000-0008-0000-0B00-0000EB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92" name="Text Box 73">
          <a:extLst>
            <a:ext uri="{FF2B5EF4-FFF2-40B4-BE49-F238E27FC236}">
              <a16:creationId xmlns:a16="http://schemas.microsoft.com/office/drawing/2014/main" id="{00000000-0008-0000-0B00-0000EC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93" name="Text Box 77">
          <a:extLst>
            <a:ext uri="{FF2B5EF4-FFF2-40B4-BE49-F238E27FC236}">
              <a16:creationId xmlns:a16="http://schemas.microsoft.com/office/drawing/2014/main" id="{00000000-0008-0000-0B00-0000ED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94" name="Text Box 78">
          <a:extLst>
            <a:ext uri="{FF2B5EF4-FFF2-40B4-BE49-F238E27FC236}">
              <a16:creationId xmlns:a16="http://schemas.microsoft.com/office/drawing/2014/main" id="{00000000-0008-0000-0B00-0000EE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95" name="Text Box 79">
          <a:extLst>
            <a:ext uri="{FF2B5EF4-FFF2-40B4-BE49-F238E27FC236}">
              <a16:creationId xmlns:a16="http://schemas.microsoft.com/office/drawing/2014/main" id="{00000000-0008-0000-0B00-0000EF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96" name="Text Box 80">
          <a:extLst>
            <a:ext uri="{FF2B5EF4-FFF2-40B4-BE49-F238E27FC236}">
              <a16:creationId xmlns:a16="http://schemas.microsoft.com/office/drawing/2014/main" id="{00000000-0008-0000-0B00-0000F0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97" name="Text Box 81">
          <a:extLst>
            <a:ext uri="{FF2B5EF4-FFF2-40B4-BE49-F238E27FC236}">
              <a16:creationId xmlns:a16="http://schemas.microsoft.com/office/drawing/2014/main" id="{00000000-0008-0000-0B00-0000F1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98" name="Text Box 82">
          <a:extLst>
            <a:ext uri="{FF2B5EF4-FFF2-40B4-BE49-F238E27FC236}">
              <a16:creationId xmlns:a16="http://schemas.microsoft.com/office/drawing/2014/main" id="{00000000-0008-0000-0B00-0000F2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499" name="Text Box 84">
          <a:extLst>
            <a:ext uri="{FF2B5EF4-FFF2-40B4-BE49-F238E27FC236}">
              <a16:creationId xmlns:a16="http://schemas.microsoft.com/office/drawing/2014/main" id="{00000000-0008-0000-0B00-0000F3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00" name="Text Box 85">
          <a:extLst>
            <a:ext uri="{FF2B5EF4-FFF2-40B4-BE49-F238E27FC236}">
              <a16:creationId xmlns:a16="http://schemas.microsoft.com/office/drawing/2014/main" id="{00000000-0008-0000-0B00-0000F4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01" name="Text Box 89">
          <a:extLst>
            <a:ext uri="{FF2B5EF4-FFF2-40B4-BE49-F238E27FC236}">
              <a16:creationId xmlns:a16="http://schemas.microsoft.com/office/drawing/2014/main" id="{00000000-0008-0000-0B00-0000F5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02" name="Text Box 90">
          <a:extLst>
            <a:ext uri="{FF2B5EF4-FFF2-40B4-BE49-F238E27FC236}">
              <a16:creationId xmlns:a16="http://schemas.microsoft.com/office/drawing/2014/main" id="{00000000-0008-0000-0B00-0000F6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03" name="Text Box 91">
          <a:extLst>
            <a:ext uri="{FF2B5EF4-FFF2-40B4-BE49-F238E27FC236}">
              <a16:creationId xmlns:a16="http://schemas.microsoft.com/office/drawing/2014/main" id="{00000000-0008-0000-0B00-0000F7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04" name="Text Box 92">
          <a:extLst>
            <a:ext uri="{FF2B5EF4-FFF2-40B4-BE49-F238E27FC236}">
              <a16:creationId xmlns:a16="http://schemas.microsoft.com/office/drawing/2014/main" id="{00000000-0008-0000-0B00-0000F8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05" name="Text Box 93">
          <a:extLst>
            <a:ext uri="{FF2B5EF4-FFF2-40B4-BE49-F238E27FC236}">
              <a16:creationId xmlns:a16="http://schemas.microsoft.com/office/drawing/2014/main" id="{00000000-0008-0000-0B00-0000F9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06" name="Text Box 94">
          <a:extLst>
            <a:ext uri="{FF2B5EF4-FFF2-40B4-BE49-F238E27FC236}">
              <a16:creationId xmlns:a16="http://schemas.microsoft.com/office/drawing/2014/main" id="{00000000-0008-0000-0B00-0000FA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07" name="Text Box 95">
          <a:extLst>
            <a:ext uri="{FF2B5EF4-FFF2-40B4-BE49-F238E27FC236}">
              <a16:creationId xmlns:a16="http://schemas.microsoft.com/office/drawing/2014/main" id="{00000000-0008-0000-0B00-0000FB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08" name="Text Box 96">
          <a:extLst>
            <a:ext uri="{FF2B5EF4-FFF2-40B4-BE49-F238E27FC236}">
              <a16:creationId xmlns:a16="http://schemas.microsoft.com/office/drawing/2014/main" id="{00000000-0008-0000-0B00-0000FC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09" name="Text Box 97">
          <a:extLst>
            <a:ext uri="{FF2B5EF4-FFF2-40B4-BE49-F238E27FC236}">
              <a16:creationId xmlns:a16="http://schemas.microsoft.com/office/drawing/2014/main" id="{00000000-0008-0000-0B00-0000FD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10" name="Text Box 101">
          <a:extLst>
            <a:ext uri="{FF2B5EF4-FFF2-40B4-BE49-F238E27FC236}">
              <a16:creationId xmlns:a16="http://schemas.microsoft.com/office/drawing/2014/main" id="{00000000-0008-0000-0B00-0000FE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11" name="Text Box 102">
          <a:extLst>
            <a:ext uri="{FF2B5EF4-FFF2-40B4-BE49-F238E27FC236}">
              <a16:creationId xmlns:a16="http://schemas.microsoft.com/office/drawing/2014/main" id="{00000000-0008-0000-0B00-0000FF01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12" name="Text Box 103">
          <a:extLst>
            <a:ext uri="{FF2B5EF4-FFF2-40B4-BE49-F238E27FC236}">
              <a16:creationId xmlns:a16="http://schemas.microsoft.com/office/drawing/2014/main" id="{00000000-0008-0000-0B00-000000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13" name="Text Box 104">
          <a:extLst>
            <a:ext uri="{FF2B5EF4-FFF2-40B4-BE49-F238E27FC236}">
              <a16:creationId xmlns:a16="http://schemas.microsoft.com/office/drawing/2014/main" id="{00000000-0008-0000-0B00-000001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14" name="Text Box 105">
          <a:extLst>
            <a:ext uri="{FF2B5EF4-FFF2-40B4-BE49-F238E27FC236}">
              <a16:creationId xmlns:a16="http://schemas.microsoft.com/office/drawing/2014/main" id="{00000000-0008-0000-0B00-000002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15" name="Text Box 106">
          <a:extLst>
            <a:ext uri="{FF2B5EF4-FFF2-40B4-BE49-F238E27FC236}">
              <a16:creationId xmlns:a16="http://schemas.microsoft.com/office/drawing/2014/main" id="{00000000-0008-0000-0B00-000003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16" name="Text Box 107">
          <a:extLst>
            <a:ext uri="{FF2B5EF4-FFF2-40B4-BE49-F238E27FC236}">
              <a16:creationId xmlns:a16="http://schemas.microsoft.com/office/drawing/2014/main" id="{00000000-0008-0000-0B00-000004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17" name="Text Box 108">
          <a:extLst>
            <a:ext uri="{FF2B5EF4-FFF2-40B4-BE49-F238E27FC236}">
              <a16:creationId xmlns:a16="http://schemas.microsoft.com/office/drawing/2014/main" id="{00000000-0008-0000-0B00-000005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18" name="Text Box 109">
          <a:extLst>
            <a:ext uri="{FF2B5EF4-FFF2-40B4-BE49-F238E27FC236}">
              <a16:creationId xmlns:a16="http://schemas.microsoft.com/office/drawing/2014/main" id="{00000000-0008-0000-0B00-000006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19" name="Text Box 113">
          <a:extLst>
            <a:ext uri="{FF2B5EF4-FFF2-40B4-BE49-F238E27FC236}">
              <a16:creationId xmlns:a16="http://schemas.microsoft.com/office/drawing/2014/main" id="{00000000-0008-0000-0B00-000007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20" name="Text Box 114">
          <a:extLst>
            <a:ext uri="{FF2B5EF4-FFF2-40B4-BE49-F238E27FC236}">
              <a16:creationId xmlns:a16="http://schemas.microsoft.com/office/drawing/2014/main" id="{00000000-0008-0000-0B00-000008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21" name="Text Box 115">
          <a:extLst>
            <a:ext uri="{FF2B5EF4-FFF2-40B4-BE49-F238E27FC236}">
              <a16:creationId xmlns:a16="http://schemas.microsoft.com/office/drawing/2014/main" id="{00000000-0008-0000-0B00-000009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22" name="Text Box 116">
          <a:extLst>
            <a:ext uri="{FF2B5EF4-FFF2-40B4-BE49-F238E27FC236}">
              <a16:creationId xmlns:a16="http://schemas.microsoft.com/office/drawing/2014/main" id="{00000000-0008-0000-0B00-00000A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23" name="Text Box 117">
          <a:extLst>
            <a:ext uri="{FF2B5EF4-FFF2-40B4-BE49-F238E27FC236}">
              <a16:creationId xmlns:a16="http://schemas.microsoft.com/office/drawing/2014/main" id="{00000000-0008-0000-0B00-00000B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24" name="Text Box 118">
          <a:extLst>
            <a:ext uri="{FF2B5EF4-FFF2-40B4-BE49-F238E27FC236}">
              <a16:creationId xmlns:a16="http://schemas.microsoft.com/office/drawing/2014/main" id="{00000000-0008-0000-0B00-00000C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25" name="Text Box 119">
          <a:extLst>
            <a:ext uri="{FF2B5EF4-FFF2-40B4-BE49-F238E27FC236}">
              <a16:creationId xmlns:a16="http://schemas.microsoft.com/office/drawing/2014/main" id="{00000000-0008-0000-0B00-00000D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26" name="Text Box 120">
          <a:extLst>
            <a:ext uri="{FF2B5EF4-FFF2-40B4-BE49-F238E27FC236}">
              <a16:creationId xmlns:a16="http://schemas.microsoft.com/office/drawing/2014/main" id="{00000000-0008-0000-0B00-00000E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27" name="Text Box 121">
          <a:extLst>
            <a:ext uri="{FF2B5EF4-FFF2-40B4-BE49-F238E27FC236}">
              <a16:creationId xmlns:a16="http://schemas.microsoft.com/office/drawing/2014/main" id="{00000000-0008-0000-0B00-00000F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28" name="Text Box 125">
          <a:extLst>
            <a:ext uri="{FF2B5EF4-FFF2-40B4-BE49-F238E27FC236}">
              <a16:creationId xmlns:a16="http://schemas.microsoft.com/office/drawing/2014/main" id="{00000000-0008-0000-0B00-000010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29" name="Text Box 126">
          <a:extLst>
            <a:ext uri="{FF2B5EF4-FFF2-40B4-BE49-F238E27FC236}">
              <a16:creationId xmlns:a16="http://schemas.microsoft.com/office/drawing/2014/main" id="{00000000-0008-0000-0B00-000011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30" name="Text Box 127">
          <a:extLst>
            <a:ext uri="{FF2B5EF4-FFF2-40B4-BE49-F238E27FC236}">
              <a16:creationId xmlns:a16="http://schemas.microsoft.com/office/drawing/2014/main" id="{00000000-0008-0000-0B00-000012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31" name="Text Box 128">
          <a:extLst>
            <a:ext uri="{FF2B5EF4-FFF2-40B4-BE49-F238E27FC236}">
              <a16:creationId xmlns:a16="http://schemas.microsoft.com/office/drawing/2014/main" id="{00000000-0008-0000-0B00-000013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32" name="Text Box 129">
          <a:extLst>
            <a:ext uri="{FF2B5EF4-FFF2-40B4-BE49-F238E27FC236}">
              <a16:creationId xmlns:a16="http://schemas.microsoft.com/office/drawing/2014/main" id="{00000000-0008-0000-0B00-000014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33" name="Text Box 130">
          <a:extLst>
            <a:ext uri="{FF2B5EF4-FFF2-40B4-BE49-F238E27FC236}">
              <a16:creationId xmlns:a16="http://schemas.microsoft.com/office/drawing/2014/main" id="{00000000-0008-0000-0B00-000015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34" name="Text Box 131">
          <a:extLst>
            <a:ext uri="{FF2B5EF4-FFF2-40B4-BE49-F238E27FC236}">
              <a16:creationId xmlns:a16="http://schemas.microsoft.com/office/drawing/2014/main" id="{00000000-0008-0000-0B00-000016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35" name="Text Box 132">
          <a:extLst>
            <a:ext uri="{FF2B5EF4-FFF2-40B4-BE49-F238E27FC236}">
              <a16:creationId xmlns:a16="http://schemas.microsoft.com/office/drawing/2014/main" id="{00000000-0008-0000-0B00-000017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36" name="Text Box 133">
          <a:extLst>
            <a:ext uri="{FF2B5EF4-FFF2-40B4-BE49-F238E27FC236}">
              <a16:creationId xmlns:a16="http://schemas.microsoft.com/office/drawing/2014/main" id="{00000000-0008-0000-0B00-000018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37" name="Text Box 137">
          <a:extLst>
            <a:ext uri="{FF2B5EF4-FFF2-40B4-BE49-F238E27FC236}">
              <a16:creationId xmlns:a16="http://schemas.microsoft.com/office/drawing/2014/main" id="{00000000-0008-0000-0B00-000019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38" name="Text Box 138">
          <a:extLst>
            <a:ext uri="{FF2B5EF4-FFF2-40B4-BE49-F238E27FC236}">
              <a16:creationId xmlns:a16="http://schemas.microsoft.com/office/drawing/2014/main" id="{00000000-0008-0000-0B00-00001A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39" name="Text Box 139">
          <a:extLst>
            <a:ext uri="{FF2B5EF4-FFF2-40B4-BE49-F238E27FC236}">
              <a16:creationId xmlns:a16="http://schemas.microsoft.com/office/drawing/2014/main" id="{00000000-0008-0000-0B00-00001B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40" name="Text Box 140">
          <a:extLst>
            <a:ext uri="{FF2B5EF4-FFF2-40B4-BE49-F238E27FC236}">
              <a16:creationId xmlns:a16="http://schemas.microsoft.com/office/drawing/2014/main" id="{00000000-0008-0000-0B00-00001C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41" name="Text Box 141">
          <a:extLst>
            <a:ext uri="{FF2B5EF4-FFF2-40B4-BE49-F238E27FC236}">
              <a16:creationId xmlns:a16="http://schemas.microsoft.com/office/drawing/2014/main" id="{00000000-0008-0000-0B00-00001D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42" name="Text Box 142">
          <a:extLst>
            <a:ext uri="{FF2B5EF4-FFF2-40B4-BE49-F238E27FC236}">
              <a16:creationId xmlns:a16="http://schemas.microsoft.com/office/drawing/2014/main" id="{00000000-0008-0000-0B00-00001E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43" name="Text Box 143">
          <a:extLst>
            <a:ext uri="{FF2B5EF4-FFF2-40B4-BE49-F238E27FC236}">
              <a16:creationId xmlns:a16="http://schemas.microsoft.com/office/drawing/2014/main" id="{00000000-0008-0000-0B00-00001F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44" name="Text Box 144">
          <a:extLst>
            <a:ext uri="{FF2B5EF4-FFF2-40B4-BE49-F238E27FC236}">
              <a16:creationId xmlns:a16="http://schemas.microsoft.com/office/drawing/2014/main" id="{00000000-0008-0000-0B00-000020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45" name="Text Box 145">
          <a:extLst>
            <a:ext uri="{FF2B5EF4-FFF2-40B4-BE49-F238E27FC236}">
              <a16:creationId xmlns:a16="http://schemas.microsoft.com/office/drawing/2014/main" id="{00000000-0008-0000-0B00-000021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46" name="Text Box 149">
          <a:extLst>
            <a:ext uri="{FF2B5EF4-FFF2-40B4-BE49-F238E27FC236}">
              <a16:creationId xmlns:a16="http://schemas.microsoft.com/office/drawing/2014/main" id="{00000000-0008-0000-0B00-000022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47" name="Text Box 150">
          <a:extLst>
            <a:ext uri="{FF2B5EF4-FFF2-40B4-BE49-F238E27FC236}">
              <a16:creationId xmlns:a16="http://schemas.microsoft.com/office/drawing/2014/main" id="{00000000-0008-0000-0B00-000023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48" name="Text Box 151">
          <a:extLst>
            <a:ext uri="{FF2B5EF4-FFF2-40B4-BE49-F238E27FC236}">
              <a16:creationId xmlns:a16="http://schemas.microsoft.com/office/drawing/2014/main" id="{00000000-0008-0000-0B00-000024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49" name="Text Box 152">
          <a:extLst>
            <a:ext uri="{FF2B5EF4-FFF2-40B4-BE49-F238E27FC236}">
              <a16:creationId xmlns:a16="http://schemas.microsoft.com/office/drawing/2014/main" id="{00000000-0008-0000-0B00-000025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50" name="Text Box 153">
          <a:extLst>
            <a:ext uri="{FF2B5EF4-FFF2-40B4-BE49-F238E27FC236}">
              <a16:creationId xmlns:a16="http://schemas.microsoft.com/office/drawing/2014/main" id="{00000000-0008-0000-0B00-000026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51" name="Text Box 154">
          <a:extLst>
            <a:ext uri="{FF2B5EF4-FFF2-40B4-BE49-F238E27FC236}">
              <a16:creationId xmlns:a16="http://schemas.microsoft.com/office/drawing/2014/main" id="{00000000-0008-0000-0B00-000027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52" name="Text Box 155">
          <a:extLst>
            <a:ext uri="{FF2B5EF4-FFF2-40B4-BE49-F238E27FC236}">
              <a16:creationId xmlns:a16="http://schemas.microsoft.com/office/drawing/2014/main" id="{00000000-0008-0000-0B00-000028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53" name="Text Box 156">
          <a:extLst>
            <a:ext uri="{FF2B5EF4-FFF2-40B4-BE49-F238E27FC236}">
              <a16:creationId xmlns:a16="http://schemas.microsoft.com/office/drawing/2014/main" id="{00000000-0008-0000-0B00-000029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54" name="Text Box 157">
          <a:extLst>
            <a:ext uri="{FF2B5EF4-FFF2-40B4-BE49-F238E27FC236}">
              <a16:creationId xmlns:a16="http://schemas.microsoft.com/office/drawing/2014/main" id="{00000000-0008-0000-0B00-00002A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55" name="Text Box 161">
          <a:extLst>
            <a:ext uri="{FF2B5EF4-FFF2-40B4-BE49-F238E27FC236}">
              <a16:creationId xmlns:a16="http://schemas.microsoft.com/office/drawing/2014/main" id="{00000000-0008-0000-0B00-00002B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56" name="Text Box 162">
          <a:extLst>
            <a:ext uri="{FF2B5EF4-FFF2-40B4-BE49-F238E27FC236}">
              <a16:creationId xmlns:a16="http://schemas.microsoft.com/office/drawing/2014/main" id="{00000000-0008-0000-0B00-00002C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57" name="Text Box 163">
          <a:extLst>
            <a:ext uri="{FF2B5EF4-FFF2-40B4-BE49-F238E27FC236}">
              <a16:creationId xmlns:a16="http://schemas.microsoft.com/office/drawing/2014/main" id="{00000000-0008-0000-0B00-00002D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58" name="Text Box 164">
          <a:extLst>
            <a:ext uri="{FF2B5EF4-FFF2-40B4-BE49-F238E27FC236}">
              <a16:creationId xmlns:a16="http://schemas.microsoft.com/office/drawing/2014/main" id="{00000000-0008-0000-0B00-00002E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59" name="Text Box 165">
          <a:extLst>
            <a:ext uri="{FF2B5EF4-FFF2-40B4-BE49-F238E27FC236}">
              <a16:creationId xmlns:a16="http://schemas.microsoft.com/office/drawing/2014/main" id="{00000000-0008-0000-0B00-00002F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60" name="Text Box 166">
          <a:extLst>
            <a:ext uri="{FF2B5EF4-FFF2-40B4-BE49-F238E27FC236}">
              <a16:creationId xmlns:a16="http://schemas.microsoft.com/office/drawing/2014/main" id="{00000000-0008-0000-0B00-000030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61" name="Text Box 167">
          <a:extLst>
            <a:ext uri="{FF2B5EF4-FFF2-40B4-BE49-F238E27FC236}">
              <a16:creationId xmlns:a16="http://schemas.microsoft.com/office/drawing/2014/main" id="{00000000-0008-0000-0B00-000031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62" name="Text Box 168">
          <a:extLst>
            <a:ext uri="{FF2B5EF4-FFF2-40B4-BE49-F238E27FC236}">
              <a16:creationId xmlns:a16="http://schemas.microsoft.com/office/drawing/2014/main" id="{00000000-0008-0000-0B00-000032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63" name="Text Box 169">
          <a:extLst>
            <a:ext uri="{FF2B5EF4-FFF2-40B4-BE49-F238E27FC236}">
              <a16:creationId xmlns:a16="http://schemas.microsoft.com/office/drawing/2014/main" id="{00000000-0008-0000-0B00-000033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64" name="Text Box 170">
          <a:extLst>
            <a:ext uri="{FF2B5EF4-FFF2-40B4-BE49-F238E27FC236}">
              <a16:creationId xmlns:a16="http://schemas.microsoft.com/office/drawing/2014/main" id="{00000000-0008-0000-0B00-000034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65" name="Text Box 171">
          <a:extLst>
            <a:ext uri="{FF2B5EF4-FFF2-40B4-BE49-F238E27FC236}">
              <a16:creationId xmlns:a16="http://schemas.microsoft.com/office/drawing/2014/main" id="{00000000-0008-0000-0B00-000035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66" name="Text Box 172">
          <a:extLst>
            <a:ext uri="{FF2B5EF4-FFF2-40B4-BE49-F238E27FC236}">
              <a16:creationId xmlns:a16="http://schemas.microsoft.com/office/drawing/2014/main" id="{00000000-0008-0000-0B00-000036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67" name="Text Box 173">
          <a:extLst>
            <a:ext uri="{FF2B5EF4-FFF2-40B4-BE49-F238E27FC236}">
              <a16:creationId xmlns:a16="http://schemas.microsoft.com/office/drawing/2014/main" id="{00000000-0008-0000-0B00-000037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68" name="Text Box 174">
          <a:extLst>
            <a:ext uri="{FF2B5EF4-FFF2-40B4-BE49-F238E27FC236}">
              <a16:creationId xmlns:a16="http://schemas.microsoft.com/office/drawing/2014/main" id="{00000000-0008-0000-0B00-000038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69" name="Text Box 176">
          <a:extLst>
            <a:ext uri="{FF2B5EF4-FFF2-40B4-BE49-F238E27FC236}">
              <a16:creationId xmlns:a16="http://schemas.microsoft.com/office/drawing/2014/main" id="{00000000-0008-0000-0B00-000039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70" name="Text Box 178">
          <a:extLst>
            <a:ext uri="{FF2B5EF4-FFF2-40B4-BE49-F238E27FC236}">
              <a16:creationId xmlns:a16="http://schemas.microsoft.com/office/drawing/2014/main" id="{00000000-0008-0000-0B00-00003A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71" name="Text Box 179">
          <a:extLst>
            <a:ext uri="{FF2B5EF4-FFF2-40B4-BE49-F238E27FC236}">
              <a16:creationId xmlns:a16="http://schemas.microsoft.com/office/drawing/2014/main" id="{00000000-0008-0000-0B00-00003B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72" name="Text Box 180">
          <a:extLst>
            <a:ext uri="{FF2B5EF4-FFF2-40B4-BE49-F238E27FC236}">
              <a16:creationId xmlns:a16="http://schemas.microsoft.com/office/drawing/2014/main" id="{00000000-0008-0000-0B00-00003C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73" name="Text Box 181">
          <a:extLst>
            <a:ext uri="{FF2B5EF4-FFF2-40B4-BE49-F238E27FC236}">
              <a16:creationId xmlns:a16="http://schemas.microsoft.com/office/drawing/2014/main" id="{00000000-0008-0000-0B00-00003D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74" name="Text Box 182">
          <a:extLst>
            <a:ext uri="{FF2B5EF4-FFF2-40B4-BE49-F238E27FC236}">
              <a16:creationId xmlns:a16="http://schemas.microsoft.com/office/drawing/2014/main" id="{00000000-0008-0000-0B00-00003E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75" name="Text Box 183">
          <a:extLst>
            <a:ext uri="{FF2B5EF4-FFF2-40B4-BE49-F238E27FC236}">
              <a16:creationId xmlns:a16="http://schemas.microsoft.com/office/drawing/2014/main" id="{00000000-0008-0000-0B00-00003F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76" name="Text Box 184">
          <a:extLst>
            <a:ext uri="{FF2B5EF4-FFF2-40B4-BE49-F238E27FC236}">
              <a16:creationId xmlns:a16="http://schemas.microsoft.com/office/drawing/2014/main" id="{00000000-0008-0000-0B00-000040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77" name="Text Box 185">
          <a:extLst>
            <a:ext uri="{FF2B5EF4-FFF2-40B4-BE49-F238E27FC236}">
              <a16:creationId xmlns:a16="http://schemas.microsoft.com/office/drawing/2014/main" id="{00000000-0008-0000-0B00-000041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78" name="Text Box 186">
          <a:extLst>
            <a:ext uri="{FF2B5EF4-FFF2-40B4-BE49-F238E27FC236}">
              <a16:creationId xmlns:a16="http://schemas.microsoft.com/office/drawing/2014/main" id="{00000000-0008-0000-0B00-000042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79" name="Text Box 187">
          <a:extLst>
            <a:ext uri="{FF2B5EF4-FFF2-40B4-BE49-F238E27FC236}">
              <a16:creationId xmlns:a16="http://schemas.microsoft.com/office/drawing/2014/main" id="{00000000-0008-0000-0B00-000043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80" name="Text Box 188">
          <a:extLst>
            <a:ext uri="{FF2B5EF4-FFF2-40B4-BE49-F238E27FC236}">
              <a16:creationId xmlns:a16="http://schemas.microsoft.com/office/drawing/2014/main" id="{00000000-0008-0000-0B00-000044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81" name="Text Box 189">
          <a:extLst>
            <a:ext uri="{FF2B5EF4-FFF2-40B4-BE49-F238E27FC236}">
              <a16:creationId xmlns:a16="http://schemas.microsoft.com/office/drawing/2014/main" id="{00000000-0008-0000-0B00-000045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82" name="Text Box 190">
          <a:extLst>
            <a:ext uri="{FF2B5EF4-FFF2-40B4-BE49-F238E27FC236}">
              <a16:creationId xmlns:a16="http://schemas.microsoft.com/office/drawing/2014/main" id="{00000000-0008-0000-0B00-000046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83" name="Text Box 191">
          <a:extLst>
            <a:ext uri="{FF2B5EF4-FFF2-40B4-BE49-F238E27FC236}">
              <a16:creationId xmlns:a16="http://schemas.microsoft.com/office/drawing/2014/main" id="{00000000-0008-0000-0B00-000047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84" name="Text Box 192">
          <a:extLst>
            <a:ext uri="{FF2B5EF4-FFF2-40B4-BE49-F238E27FC236}">
              <a16:creationId xmlns:a16="http://schemas.microsoft.com/office/drawing/2014/main" id="{00000000-0008-0000-0B00-000048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85" name="Text Box 193">
          <a:extLst>
            <a:ext uri="{FF2B5EF4-FFF2-40B4-BE49-F238E27FC236}">
              <a16:creationId xmlns:a16="http://schemas.microsoft.com/office/drawing/2014/main" id="{00000000-0008-0000-0B00-000049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86" name="Text Box 194">
          <a:extLst>
            <a:ext uri="{FF2B5EF4-FFF2-40B4-BE49-F238E27FC236}">
              <a16:creationId xmlns:a16="http://schemas.microsoft.com/office/drawing/2014/main" id="{00000000-0008-0000-0B00-00004A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87" name="Text Box 195">
          <a:extLst>
            <a:ext uri="{FF2B5EF4-FFF2-40B4-BE49-F238E27FC236}">
              <a16:creationId xmlns:a16="http://schemas.microsoft.com/office/drawing/2014/main" id="{00000000-0008-0000-0B00-00004B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88" name="Text Box 196">
          <a:extLst>
            <a:ext uri="{FF2B5EF4-FFF2-40B4-BE49-F238E27FC236}">
              <a16:creationId xmlns:a16="http://schemas.microsoft.com/office/drawing/2014/main" id="{00000000-0008-0000-0B00-00004C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89" name="Text Box 197">
          <a:extLst>
            <a:ext uri="{FF2B5EF4-FFF2-40B4-BE49-F238E27FC236}">
              <a16:creationId xmlns:a16="http://schemas.microsoft.com/office/drawing/2014/main" id="{00000000-0008-0000-0B00-00004D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90" name="Text Box 198">
          <a:extLst>
            <a:ext uri="{FF2B5EF4-FFF2-40B4-BE49-F238E27FC236}">
              <a16:creationId xmlns:a16="http://schemas.microsoft.com/office/drawing/2014/main" id="{00000000-0008-0000-0B00-00004E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91" name="Text Box 199">
          <a:extLst>
            <a:ext uri="{FF2B5EF4-FFF2-40B4-BE49-F238E27FC236}">
              <a16:creationId xmlns:a16="http://schemas.microsoft.com/office/drawing/2014/main" id="{00000000-0008-0000-0B00-00004F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92" name="Text Box 200">
          <a:extLst>
            <a:ext uri="{FF2B5EF4-FFF2-40B4-BE49-F238E27FC236}">
              <a16:creationId xmlns:a16="http://schemas.microsoft.com/office/drawing/2014/main" id="{00000000-0008-0000-0B00-000050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93" name="Text Box 201">
          <a:extLst>
            <a:ext uri="{FF2B5EF4-FFF2-40B4-BE49-F238E27FC236}">
              <a16:creationId xmlns:a16="http://schemas.microsoft.com/office/drawing/2014/main" id="{00000000-0008-0000-0B00-000051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94" name="Text Box 202">
          <a:extLst>
            <a:ext uri="{FF2B5EF4-FFF2-40B4-BE49-F238E27FC236}">
              <a16:creationId xmlns:a16="http://schemas.microsoft.com/office/drawing/2014/main" id="{00000000-0008-0000-0B00-000052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95" name="Text Box 203">
          <a:extLst>
            <a:ext uri="{FF2B5EF4-FFF2-40B4-BE49-F238E27FC236}">
              <a16:creationId xmlns:a16="http://schemas.microsoft.com/office/drawing/2014/main" id="{00000000-0008-0000-0B00-000053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96" name="Text Box 204">
          <a:extLst>
            <a:ext uri="{FF2B5EF4-FFF2-40B4-BE49-F238E27FC236}">
              <a16:creationId xmlns:a16="http://schemas.microsoft.com/office/drawing/2014/main" id="{00000000-0008-0000-0B00-000054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97" name="Text Box 206">
          <a:extLst>
            <a:ext uri="{FF2B5EF4-FFF2-40B4-BE49-F238E27FC236}">
              <a16:creationId xmlns:a16="http://schemas.microsoft.com/office/drawing/2014/main" id="{00000000-0008-0000-0B00-000055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98" name="Text Box 207">
          <a:extLst>
            <a:ext uri="{FF2B5EF4-FFF2-40B4-BE49-F238E27FC236}">
              <a16:creationId xmlns:a16="http://schemas.microsoft.com/office/drawing/2014/main" id="{00000000-0008-0000-0B00-000056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599" name="Text Box 208">
          <a:extLst>
            <a:ext uri="{FF2B5EF4-FFF2-40B4-BE49-F238E27FC236}">
              <a16:creationId xmlns:a16="http://schemas.microsoft.com/office/drawing/2014/main" id="{00000000-0008-0000-0B00-000057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600" name="Text Box 209">
          <a:extLst>
            <a:ext uri="{FF2B5EF4-FFF2-40B4-BE49-F238E27FC236}">
              <a16:creationId xmlns:a16="http://schemas.microsoft.com/office/drawing/2014/main" id="{00000000-0008-0000-0B00-000058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601" name="Text Box 210">
          <a:extLst>
            <a:ext uri="{FF2B5EF4-FFF2-40B4-BE49-F238E27FC236}">
              <a16:creationId xmlns:a16="http://schemas.microsoft.com/office/drawing/2014/main" id="{00000000-0008-0000-0B00-000059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602" name="Text Box 211">
          <a:extLst>
            <a:ext uri="{FF2B5EF4-FFF2-40B4-BE49-F238E27FC236}">
              <a16:creationId xmlns:a16="http://schemas.microsoft.com/office/drawing/2014/main" id="{00000000-0008-0000-0B00-00005A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603" name="Text Box 212">
          <a:extLst>
            <a:ext uri="{FF2B5EF4-FFF2-40B4-BE49-F238E27FC236}">
              <a16:creationId xmlns:a16="http://schemas.microsoft.com/office/drawing/2014/main" id="{00000000-0008-0000-0B00-00005B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604" name="Text Box 213">
          <a:extLst>
            <a:ext uri="{FF2B5EF4-FFF2-40B4-BE49-F238E27FC236}">
              <a16:creationId xmlns:a16="http://schemas.microsoft.com/office/drawing/2014/main" id="{00000000-0008-0000-0B00-00005C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605" name="Text Box 214">
          <a:extLst>
            <a:ext uri="{FF2B5EF4-FFF2-40B4-BE49-F238E27FC236}">
              <a16:creationId xmlns:a16="http://schemas.microsoft.com/office/drawing/2014/main" id="{00000000-0008-0000-0B00-00005D02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06" name="Text Box 216">
          <a:extLst>
            <a:ext uri="{FF2B5EF4-FFF2-40B4-BE49-F238E27FC236}">
              <a16:creationId xmlns:a16="http://schemas.microsoft.com/office/drawing/2014/main" id="{00000000-0008-0000-0B00-00005E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07" name="Text Box 217">
          <a:extLst>
            <a:ext uri="{FF2B5EF4-FFF2-40B4-BE49-F238E27FC236}">
              <a16:creationId xmlns:a16="http://schemas.microsoft.com/office/drawing/2014/main" id="{00000000-0008-0000-0B00-00005F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08" name="Text Box 218">
          <a:extLst>
            <a:ext uri="{FF2B5EF4-FFF2-40B4-BE49-F238E27FC236}">
              <a16:creationId xmlns:a16="http://schemas.microsoft.com/office/drawing/2014/main" id="{00000000-0008-0000-0B00-000060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09" name="Text Box 219">
          <a:extLst>
            <a:ext uri="{FF2B5EF4-FFF2-40B4-BE49-F238E27FC236}">
              <a16:creationId xmlns:a16="http://schemas.microsoft.com/office/drawing/2014/main" id="{00000000-0008-0000-0B00-000061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10" name="Text Box 220">
          <a:extLst>
            <a:ext uri="{FF2B5EF4-FFF2-40B4-BE49-F238E27FC236}">
              <a16:creationId xmlns:a16="http://schemas.microsoft.com/office/drawing/2014/main" id="{00000000-0008-0000-0B00-000062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11" name="Text Box 221">
          <a:extLst>
            <a:ext uri="{FF2B5EF4-FFF2-40B4-BE49-F238E27FC236}">
              <a16:creationId xmlns:a16="http://schemas.microsoft.com/office/drawing/2014/main" id="{00000000-0008-0000-0B00-000063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12" name="Text Box 222">
          <a:extLst>
            <a:ext uri="{FF2B5EF4-FFF2-40B4-BE49-F238E27FC236}">
              <a16:creationId xmlns:a16="http://schemas.microsoft.com/office/drawing/2014/main" id="{00000000-0008-0000-0B00-000064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13" name="Text Box 223">
          <a:extLst>
            <a:ext uri="{FF2B5EF4-FFF2-40B4-BE49-F238E27FC236}">
              <a16:creationId xmlns:a16="http://schemas.microsoft.com/office/drawing/2014/main" id="{00000000-0008-0000-0B00-000065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14" name="Text Box 224">
          <a:extLst>
            <a:ext uri="{FF2B5EF4-FFF2-40B4-BE49-F238E27FC236}">
              <a16:creationId xmlns:a16="http://schemas.microsoft.com/office/drawing/2014/main" id="{00000000-0008-0000-0B00-000066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15" name="Text Box 225">
          <a:extLst>
            <a:ext uri="{FF2B5EF4-FFF2-40B4-BE49-F238E27FC236}">
              <a16:creationId xmlns:a16="http://schemas.microsoft.com/office/drawing/2014/main" id="{00000000-0008-0000-0B00-000067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16" name="Text Box 226">
          <a:extLst>
            <a:ext uri="{FF2B5EF4-FFF2-40B4-BE49-F238E27FC236}">
              <a16:creationId xmlns:a16="http://schemas.microsoft.com/office/drawing/2014/main" id="{00000000-0008-0000-0B00-000068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17" name="Text Box 227">
          <a:extLst>
            <a:ext uri="{FF2B5EF4-FFF2-40B4-BE49-F238E27FC236}">
              <a16:creationId xmlns:a16="http://schemas.microsoft.com/office/drawing/2014/main" id="{00000000-0008-0000-0B00-000069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18" name="Text Box 228">
          <a:extLst>
            <a:ext uri="{FF2B5EF4-FFF2-40B4-BE49-F238E27FC236}">
              <a16:creationId xmlns:a16="http://schemas.microsoft.com/office/drawing/2014/main" id="{00000000-0008-0000-0B00-00006A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19" name="Text Box 229">
          <a:extLst>
            <a:ext uri="{FF2B5EF4-FFF2-40B4-BE49-F238E27FC236}">
              <a16:creationId xmlns:a16="http://schemas.microsoft.com/office/drawing/2014/main" id="{00000000-0008-0000-0B00-00006B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20" name="Text Box 230">
          <a:extLst>
            <a:ext uri="{FF2B5EF4-FFF2-40B4-BE49-F238E27FC236}">
              <a16:creationId xmlns:a16="http://schemas.microsoft.com/office/drawing/2014/main" id="{00000000-0008-0000-0B00-00006C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21" name="Text Box 231">
          <a:extLst>
            <a:ext uri="{FF2B5EF4-FFF2-40B4-BE49-F238E27FC236}">
              <a16:creationId xmlns:a16="http://schemas.microsoft.com/office/drawing/2014/main" id="{00000000-0008-0000-0B00-00006D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22" name="Text Box 232">
          <a:extLst>
            <a:ext uri="{FF2B5EF4-FFF2-40B4-BE49-F238E27FC236}">
              <a16:creationId xmlns:a16="http://schemas.microsoft.com/office/drawing/2014/main" id="{00000000-0008-0000-0B00-00006E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23" name="Text Box 233">
          <a:extLst>
            <a:ext uri="{FF2B5EF4-FFF2-40B4-BE49-F238E27FC236}">
              <a16:creationId xmlns:a16="http://schemas.microsoft.com/office/drawing/2014/main" id="{00000000-0008-0000-0B00-00006F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24" name="Text Box 234">
          <a:extLst>
            <a:ext uri="{FF2B5EF4-FFF2-40B4-BE49-F238E27FC236}">
              <a16:creationId xmlns:a16="http://schemas.microsoft.com/office/drawing/2014/main" id="{00000000-0008-0000-0B00-000070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25" name="Text Box 235">
          <a:extLst>
            <a:ext uri="{FF2B5EF4-FFF2-40B4-BE49-F238E27FC236}">
              <a16:creationId xmlns:a16="http://schemas.microsoft.com/office/drawing/2014/main" id="{00000000-0008-0000-0B00-000071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26" name="Text Box 237">
          <a:extLst>
            <a:ext uri="{FF2B5EF4-FFF2-40B4-BE49-F238E27FC236}">
              <a16:creationId xmlns:a16="http://schemas.microsoft.com/office/drawing/2014/main" id="{00000000-0008-0000-0B00-000072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27" name="Text Box 238">
          <a:extLst>
            <a:ext uri="{FF2B5EF4-FFF2-40B4-BE49-F238E27FC236}">
              <a16:creationId xmlns:a16="http://schemas.microsoft.com/office/drawing/2014/main" id="{00000000-0008-0000-0B00-000073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28" name="Text Box 239">
          <a:extLst>
            <a:ext uri="{FF2B5EF4-FFF2-40B4-BE49-F238E27FC236}">
              <a16:creationId xmlns:a16="http://schemas.microsoft.com/office/drawing/2014/main" id="{00000000-0008-0000-0B00-000074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29" name="Text Box 240">
          <a:extLst>
            <a:ext uri="{FF2B5EF4-FFF2-40B4-BE49-F238E27FC236}">
              <a16:creationId xmlns:a16="http://schemas.microsoft.com/office/drawing/2014/main" id="{00000000-0008-0000-0B00-000075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630" name="Text Box 241">
          <a:extLst>
            <a:ext uri="{FF2B5EF4-FFF2-40B4-BE49-F238E27FC236}">
              <a16:creationId xmlns:a16="http://schemas.microsoft.com/office/drawing/2014/main" id="{00000000-0008-0000-0B00-00007602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347663</xdr:colOff>
      <xdr:row>40</xdr:row>
      <xdr:rowOff>0</xdr:rowOff>
    </xdr:from>
    <xdr:to>
      <xdr:col>4</xdr:col>
      <xdr:colOff>66752</xdr:colOff>
      <xdr:row>41</xdr:row>
      <xdr:rowOff>48070</xdr:rowOff>
    </xdr:to>
    <xdr:sp macro="" textlink="">
      <xdr:nvSpPr>
        <xdr:cNvPr id="631" name="Text Box 246">
          <a:extLst>
            <a:ext uri="{FF2B5EF4-FFF2-40B4-BE49-F238E27FC236}">
              <a16:creationId xmlns:a16="http://schemas.microsoft.com/office/drawing/2014/main" id="{00000000-0008-0000-0B00-000077020000}"/>
            </a:ext>
          </a:extLst>
        </xdr:cNvPr>
        <xdr:cNvSpPr txBox="1">
          <a:spLocks noChangeArrowheads="1"/>
        </xdr:cNvSpPr>
      </xdr:nvSpPr>
      <xdr:spPr bwMode="auto">
        <a:xfrm>
          <a:off x="4743451" y="6076950"/>
          <a:ext cx="71437"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25</xdr:row>
      <xdr:rowOff>0</xdr:rowOff>
    </xdr:from>
    <xdr:to>
      <xdr:col>4</xdr:col>
      <xdr:colOff>66752</xdr:colOff>
      <xdr:row>26</xdr:row>
      <xdr:rowOff>19050</xdr:rowOff>
    </xdr:to>
    <xdr:sp macro="" textlink="">
      <xdr:nvSpPr>
        <xdr:cNvPr id="632" name="Text Box 187">
          <a:extLst>
            <a:ext uri="{FF2B5EF4-FFF2-40B4-BE49-F238E27FC236}">
              <a16:creationId xmlns:a16="http://schemas.microsoft.com/office/drawing/2014/main" id="{00000000-0008-0000-0B00-000078020000}"/>
            </a:ext>
          </a:extLst>
        </xdr:cNvPr>
        <xdr:cNvSpPr txBox="1">
          <a:spLocks noChangeArrowheads="1"/>
        </xdr:cNvSpPr>
      </xdr:nvSpPr>
      <xdr:spPr bwMode="auto">
        <a:xfrm>
          <a:off x="4733926" y="3743325"/>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33</xdr:row>
      <xdr:rowOff>0</xdr:rowOff>
    </xdr:from>
    <xdr:to>
      <xdr:col>4</xdr:col>
      <xdr:colOff>66752</xdr:colOff>
      <xdr:row>34</xdr:row>
      <xdr:rowOff>19050</xdr:rowOff>
    </xdr:to>
    <xdr:sp macro="" textlink="">
      <xdr:nvSpPr>
        <xdr:cNvPr id="633" name="Text Box 188">
          <a:extLst>
            <a:ext uri="{FF2B5EF4-FFF2-40B4-BE49-F238E27FC236}">
              <a16:creationId xmlns:a16="http://schemas.microsoft.com/office/drawing/2014/main" id="{00000000-0008-0000-0B00-000079020000}"/>
            </a:ext>
          </a:extLst>
        </xdr:cNvPr>
        <xdr:cNvSpPr txBox="1">
          <a:spLocks noChangeArrowheads="1"/>
        </xdr:cNvSpPr>
      </xdr:nvSpPr>
      <xdr:spPr bwMode="auto">
        <a:xfrm>
          <a:off x="4733926" y="5176838"/>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34</xdr:row>
      <xdr:rowOff>0</xdr:rowOff>
    </xdr:from>
    <xdr:to>
      <xdr:col>4</xdr:col>
      <xdr:colOff>66752</xdr:colOff>
      <xdr:row>34</xdr:row>
      <xdr:rowOff>200026</xdr:rowOff>
    </xdr:to>
    <xdr:sp macro="" textlink="">
      <xdr:nvSpPr>
        <xdr:cNvPr id="634" name="Text Box 189">
          <a:extLst>
            <a:ext uri="{FF2B5EF4-FFF2-40B4-BE49-F238E27FC236}">
              <a16:creationId xmlns:a16="http://schemas.microsoft.com/office/drawing/2014/main" id="{00000000-0008-0000-0B00-00007A020000}"/>
            </a:ext>
          </a:extLst>
        </xdr:cNvPr>
        <xdr:cNvSpPr txBox="1">
          <a:spLocks noChangeArrowheads="1"/>
        </xdr:cNvSpPr>
      </xdr:nvSpPr>
      <xdr:spPr bwMode="auto">
        <a:xfrm>
          <a:off x="4733926" y="5305425"/>
          <a:ext cx="80962"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34</xdr:row>
      <xdr:rowOff>0</xdr:rowOff>
    </xdr:from>
    <xdr:to>
      <xdr:col>4</xdr:col>
      <xdr:colOff>66752</xdr:colOff>
      <xdr:row>34</xdr:row>
      <xdr:rowOff>200026</xdr:rowOff>
    </xdr:to>
    <xdr:sp macro="" textlink="">
      <xdr:nvSpPr>
        <xdr:cNvPr id="635" name="Text Box 190">
          <a:extLst>
            <a:ext uri="{FF2B5EF4-FFF2-40B4-BE49-F238E27FC236}">
              <a16:creationId xmlns:a16="http://schemas.microsoft.com/office/drawing/2014/main" id="{00000000-0008-0000-0B00-00007B020000}"/>
            </a:ext>
          </a:extLst>
        </xdr:cNvPr>
        <xdr:cNvSpPr txBox="1">
          <a:spLocks noChangeArrowheads="1"/>
        </xdr:cNvSpPr>
      </xdr:nvSpPr>
      <xdr:spPr bwMode="auto">
        <a:xfrm>
          <a:off x="4733926" y="5305425"/>
          <a:ext cx="80962"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34</xdr:row>
      <xdr:rowOff>0</xdr:rowOff>
    </xdr:from>
    <xdr:to>
      <xdr:col>4</xdr:col>
      <xdr:colOff>66752</xdr:colOff>
      <xdr:row>34</xdr:row>
      <xdr:rowOff>200026</xdr:rowOff>
    </xdr:to>
    <xdr:sp macro="" textlink="">
      <xdr:nvSpPr>
        <xdr:cNvPr id="636" name="Text Box 191">
          <a:extLst>
            <a:ext uri="{FF2B5EF4-FFF2-40B4-BE49-F238E27FC236}">
              <a16:creationId xmlns:a16="http://schemas.microsoft.com/office/drawing/2014/main" id="{00000000-0008-0000-0B00-00007C020000}"/>
            </a:ext>
          </a:extLst>
        </xdr:cNvPr>
        <xdr:cNvSpPr txBox="1">
          <a:spLocks noChangeArrowheads="1"/>
        </xdr:cNvSpPr>
      </xdr:nvSpPr>
      <xdr:spPr bwMode="auto">
        <a:xfrm>
          <a:off x="4733926" y="5305425"/>
          <a:ext cx="80962"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34</xdr:row>
      <xdr:rowOff>0</xdr:rowOff>
    </xdr:from>
    <xdr:to>
      <xdr:col>4</xdr:col>
      <xdr:colOff>66752</xdr:colOff>
      <xdr:row>34</xdr:row>
      <xdr:rowOff>200026</xdr:rowOff>
    </xdr:to>
    <xdr:sp macro="" textlink="">
      <xdr:nvSpPr>
        <xdr:cNvPr id="637" name="Text Box 192">
          <a:extLst>
            <a:ext uri="{FF2B5EF4-FFF2-40B4-BE49-F238E27FC236}">
              <a16:creationId xmlns:a16="http://schemas.microsoft.com/office/drawing/2014/main" id="{00000000-0008-0000-0B00-00007D020000}"/>
            </a:ext>
          </a:extLst>
        </xdr:cNvPr>
        <xdr:cNvSpPr txBox="1">
          <a:spLocks noChangeArrowheads="1"/>
        </xdr:cNvSpPr>
      </xdr:nvSpPr>
      <xdr:spPr bwMode="auto">
        <a:xfrm>
          <a:off x="4733926" y="5305425"/>
          <a:ext cx="80962"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35</xdr:row>
      <xdr:rowOff>0</xdr:rowOff>
    </xdr:from>
    <xdr:to>
      <xdr:col>4</xdr:col>
      <xdr:colOff>66752</xdr:colOff>
      <xdr:row>36</xdr:row>
      <xdr:rowOff>48067</xdr:rowOff>
    </xdr:to>
    <xdr:sp macro="" textlink="">
      <xdr:nvSpPr>
        <xdr:cNvPr id="638" name="Text Box 193">
          <a:extLst>
            <a:ext uri="{FF2B5EF4-FFF2-40B4-BE49-F238E27FC236}">
              <a16:creationId xmlns:a16="http://schemas.microsoft.com/office/drawing/2014/main" id="{00000000-0008-0000-0B00-00007E020000}"/>
            </a:ext>
          </a:extLst>
        </xdr:cNvPr>
        <xdr:cNvSpPr txBox="1">
          <a:spLocks noChangeArrowheads="1"/>
        </xdr:cNvSpPr>
      </xdr:nvSpPr>
      <xdr:spPr bwMode="auto">
        <a:xfrm>
          <a:off x="4733926" y="5434013"/>
          <a:ext cx="80962" cy="195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35</xdr:row>
      <xdr:rowOff>0</xdr:rowOff>
    </xdr:from>
    <xdr:to>
      <xdr:col>4</xdr:col>
      <xdr:colOff>66752</xdr:colOff>
      <xdr:row>36</xdr:row>
      <xdr:rowOff>48067</xdr:rowOff>
    </xdr:to>
    <xdr:sp macro="" textlink="">
      <xdr:nvSpPr>
        <xdr:cNvPr id="639" name="Text Box 194">
          <a:extLst>
            <a:ext uri="{FF2B5EF4-FFF2-40B4-BE49-F238E27FC236}">
              <a16:creationId xmlns:a16="http://schemas.microsoft.com/office/drawing/2014/main" id="{00000000-0008-0000-0B00-00007F020000}"/>
            </a:ext>
          </a:extLst>
        </xdr:cNvPr>
        <xdr:cNvSpPr txBox="1">
          <a:spLocks noChangeArrowheads="1"/>
        </xdr:cNvSpPr>
      </xdr:nvSpPr>
      <xdr:spPr bwMode="auto">
        <a:xfrm>
          <a:off x="4733926" y="5434013"/>
          <a:ext cx="80962" cy="195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35</xdr:row>
      <xdr:rowOff>0</xdr:rowOff>
    </xdr:from>
    <xdr:to>
      <xdr:col>4</xdr:col>
      <xdr:colOff>66752</xdr:colOff>
      <xdr:row>36</xdr:row>
      <xdr:rowOff>48067</xdr:rowOff>
    </xdr:to>
    <xdr:sp macro="" textlink="">
      <xdr:nvSpPr>
        <xdr:cNvPr id="640" name="Text Box 195">
          <a:extLst>
            <a:ext uri="{FF2B5EF4-FFF2-40B4-BE49-F238E27FC236}">
              <a16:creationId xmlns:a16="http://schemas.microsoft.com/office/drawing/2014/main" id="{00000000-0008-0000-0B00-000080020000}"/>
            </a:ext>
          </a:extLst>
        </xdr:cNvPr>
        <xdr:cNvSpPr txBox="1">
          <a:spLocks noChangeArrowheads="1"/>
        </xdr:cNvSpPr>
      </xdr:nvSpPr>
      <xdr:spPr bwMode="auto">
        <a:xfrm>
          <a:off x="4733926" y="5434013"/>
          <a:ext cx="80962" cy="195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25</xdr:row>
      <xdr:rowOff>0</xdr:rowOff>
    </xdr:from>
    <xdr:to>
      <xdr:col>4</xdr:col>
      <xdr:colOff>66752</xdr:colOff>
      <xdr:row>26</xdr:row>
      <xdr:rowOff>19050</xdr:rowOff>
    </xdr:to>
    <xdr:sp macro="" textlink="">
      <xdr:nvSpPr>
        <xdr:cNvPr id="641" name="Text Box 193">
          <a:extLst>
            <a:ext uri="{FF2B5EF4-FFF2-40B4-BE49-F238E27FC236}">
              <a16:creationId xmlns:a16="http://schemas.microsoft.com/office/drawing/2014/main" id="{00000000-0008-0000-0B00-000081020000}"/>
            </a:ext>
          </a:extLst>
        </xdr:cNvPr>
        <xdr:cNvSpPr txBox="1">
          <a:spLocks noChangeArrowheads="1"/>
        </xdr:cNvSpPr>
      </xdr:nvSpPr>
      <xdr:spPr bwMode="auto">
        <a:xfrm>
          <a:off x="4733926" y="3743325"/>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25</xdr:row>
      <xdr:rowOff>0</xdr:rowOff>
    </xdr:from>
    <xdr:to>
      <xdr:col>4</xdr:col>
      <xdr:colOff>66752</xdr:colOff>
      <xdr:row>26</xdr:row>
      <xdr:rowOff>19050</xdr:rowOff>
    </xdr:to>
    <xdr:sp macro="" textlink="">
      <xdr:nvSpPr>
        <xdr:cNvPr id="642" name="Text Box 194">
          <a:extLst>
            <a:ext uri="{FF2B5EF4-FFF2-40B4-BE49-F238E27FC236}">
              <a16:creationId xmlns:a16="http://schemas.microsoft.com/office/drawing/2014/main" id="{00000000-0008-0000-0B00-000082020000}"/>
            </a:ext>
          </a:extLst>
        </xdr:cNvPr>
        <xdr:cNvSpPr txBox="1">
          <a:spLocks noChangeArrowheads="1"/>
        </xdr:cNvSpPr>
      </xdr:nvSpPr>
      <xdr:spPr bwMode="auto">
        <a:xfrm>
          <a:off x="4733926" y="3743325"/>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25</xdr:row>
      <xdr:rowOff>0</xdr:rowOff>
    </xdr:from>
    <xdr:to>
      <xdr:col>4</xdr:col>
      <xdr:colOff>66752</xdr:colOff>
      <xdr:row>26</xdr:row>
      <xdr:rowOff>19050</xdr:rowOff>
    </xdr:to>
    <xdr:sp macro="" textlink="">
      <xdr:nvSpPr>
        <xdr:cNvPr id="643" name="Text Box 195">
          <a:extLst>
            <a:ext uri="{FF2B5EF4-FFF2-40B4-BE49-F238E27FC236}">
              <a16:creationId xmlns:a16="http://schemas.microsoft.com/office/drawing/2014/main" id="{00000000-0008-0000-0B00-000083020000}"/>
            </a:ext>
          </a:extLst>
        </xdr:cNvPr>
        <xdr:cNvSpPr txBox="1">
          <a:spLocks noChangeArrowheads="1"/>
        </xdr:cNvSpPr>
      </xdr:nvSpPr>
      <xdr:spPr bwMode="auto">
        <a:xfrm>
          <a:off x="4733926" y="3743325"/>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22</xdr:row>
      <xdr:rowOff>0</xdr:rowOff>
    </xdr:from>
    <xdr:to>
      <xdr:col>4</xdr:col>
      <xdr:colOff>66752</xdr:colOff>
      <xdr:row>23</xdr:row>
      <xdr:rowOff>89124</xdr:rowOff>
    </xdr:to>
    <xdr:sp macro="" textlink="">
      <xdr:nvSpPr>
        <xdr:cNvPr id="644" name="Text Box 193">
          <a:extLst>
            <a:ext uri="{FF2B5EF4-FFF2-40B4-BE49-F238E27FC236}">
              <a16:creationId xmlns:a16="http://schemas.microsoft.com/office/drawing/2014/main" id="{00000000-0008-0000-0B00-000084020000}"/>
            </a:ext>
          </a:extLst>
        </xdr:cNvPr>
        <xdr:cNvSpPr txBox="1">
          <a:spLocks noChangeArrowheads="1"/>
        </xdr:cNvSpPr>
      </xdr:nvSpPr>
      <xdr:spPr bwMode="auto">
        <a:xfrm>
          <a:off x="4733926" y="3228975"/>
          <a:ext cx="80962" cy="195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22</xdr:row>
      <xdr:rowOff>0</xdr:rowOff>
    </xdr:from>
    <xdr:to>
      <xdr:col>4</xdr:col>
      <xdr:colOff>66752</xdr:colOff>
      <xdr:row>23</xdr:row>
      <xdr:rowOff>89124</xdr:rowOff>
    </xdr:to>
    <xdr:sp macro="" textlink="">
      <xdr:nvSpPr>
        <xdr:cNvPr id="645" name="Text Box 194">
          <a:extLst>
            <a:ext uri="{FF2B5EF4-FFF2-40B4-BE49-F238E27FC236}">
              <a16:creationId xmlns:a16="http://schemas.microsoft.com/office/drawing/2014/main" id="{00000000-0008-0000-0B00-000085020000}"/>
            </a:ext>
          </a:extLst>
        </xdr:cNvPr>
        <xdr:cNvSpPr txBox="1">
          <a:spLocks noChangeArrowheads="1"/>
        </xdr:cNvSpPr>
      </xdr:nvSpPr>
      <xdr:spPr bwMode="auto">
        <a:xfrm>
          <a:off x="4733926" y="3228975"/>
          <a:ext cx="80962" cy="195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22</xdr:row>
      <xdr:rowOff>0</xdr:rowOff>
    </xdr:from>
    <xdr:to>
      <xdr:col>4</xdr:col>
      <xdr:colOff>66752</xdr:colOff>
      <xdr:row>23</xdr:row>
      <xdr:rowOff>89124</xdr:rowOff>
    </xdr:to>
    <xdr:sp macro="" textlink="">
      <xdr:nvSpPr>
        <xdr:cNvPr id="646" name="Text Box 195">
          <a:extLst>
            <a:ext uri="{FF2B5EF4-FFF2-40B4-BE49-F238E27FC236}">
              <a16:creationId xmlns:a16="http://schemas.microsoft.com/office/drawing/2014/main" id="{00000000-0008-0000-0B00-000086020000}"/>
            </a:ext>
          </a:extLst>
        </xdr:cNvPr>
        <xdr:cNvSpPr txBox="1">
          <a:spLocks noChangeArrowheads="1"/>
        </xdr:cNvSpPr>
      </xdr:nvSpPr>
      <xdr:spPr bwMode="auto">
        <a:xfrm>
          <a:off x="4733926" y="3228975"/>
          <a:ext cx="80962" cy="195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35</xdr:row>
      <xdr:rowOff>0</xdr:rowOff>
    </xdr:from>
    <xdr:to>
      <xdr:col>4</xdr:col>
      <xdr:colOff>66752</xdr:colOff>
      <xdr:row>36</xdr:row>
      <xdr:rowOff>48067</xdr:rowOff>
    </xdr:to>
    <xdr:sp macro="" textlink="">
      <xdr:nvSpPr>
        <xdr:cNvPr id="647" name="Text Box 193">
          <a:extLst>
            <a:ext uri="{FF2B5EF4-FFF2-40B4-BE49-F238E27FC236}">
              <a16:creationId xmlns:a16="http://schemas.microsoft.com/office/drawing/2014/main" id="{00000000-0008-0000-0B00-000087020000}"/>
            </a:ext>
          </a:extLst>
        </xdr:cNvPr>
        <xdr:cNvSpPr txBox="1">
          <a:spLocks noChangeArrowheads="1"/>
        </xdr:cNvSpPr>
      </xdr:nvSpPr>
      <xdr:spPr bwMode="auto">
        <a:xfrm>
          <a:off x="4733926" y="5434013"/>
          <a:ext cx="80962" cy="195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35</xdr:row>
      <xdr:rowOff>0</xdr:rowOff>
    </xdr:from>
    <xdr:to>
      <xdr:col>4</xdr:col>
      <xdr:colOff>66752</xdr:colOff>
      <xdr:row>36</xdr:row>
      <xdr:rowOff>48067</xdr:rowOff>
    </xdr:to>
    <xdr:sp macro="" textlink="">
      <xdr:nvSpPr>
        <xdr:cNvPr id="648" name="Text Box 194">
          <a:extLst>
            <a:ext uri="{FF2B5EF4-FFF2-40B4-BE49-F238E27FC236}">
              <a16:creationId xmlns:a16="http://schemas.microsoft.com/office/drawing/2014/main" id="{00000000-0008-0000-0B00-000088020000}"/>
            </a:ext>
          </a:extLst>
        </xdr:cNvPr>
        <xdr:cNvSpPr txBox="1">
          <a:spLocks noChangeArrowheads="1"/>
        </xdr:cNvSpPr>
      </xdr:nvSpPr>
      <xdr:spPr bwMode="auto">
        <a:xfrm>
          <a:off x="4733926" y="5434013"/>
          <a:ext cx="80962" cy="195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35</xdr:row>
      <xdr:rowOff>0</xdr:rowOff>
    </xdr:from>
    <xdr:to>
      <xdr:col>4</xdr:col>
      <xdr:colOff>66752</xdr:colOff>
      <xdr:row>36</xdr:row>
      <xdr:rowOff>48067</xdr:rowOff>
    </xdr:to>
    <xdr:sp macro="" textlink="">
      <xdr:nvSpPr>
        <xdr:cNvPr id="649" name="Text Box 195">
          <a:extLst>
            <a:ext uri="{FF2B5EF4-FFF2-40B4-BE49-F238E27FC236}">
              <a16:creationId xmlns:a16="http://schemas.microsoft.com/office/drawing/2014/main" id="{00000000-0008-0000-0B00-000089020000}"/>
            </a:ext>
          </a:extLst>
        </xdr:cNvPr>
        <xdr:cNvSpPr txBox="1">
          <a:spLocks noChangeArrowheads="1"/>
        </xdr:cNvSpPr>
      </xdr:nvSpPr>
      <xdr:spPr bwMode="auto">
        <a:xfrm>
          <a:off x="4733926" y="5434013"/>
          <a:ext cx="80962" cy="195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36</xdr:row>
      <xdr:rowOff>0</xdr:rowOff>
    </xdr:from>
    <xdr:to>
      <xdr:col>4</xdr:col>
      <xdr:colOff>66752</xdr:colOff>
      <xdr:row>38</xdr:row>
      <xdr:rowOff>46310</xdr:rowOff>
    </xdr:to>
    <xdr:sp macro="" textlink="">
      <xdr:nvSpPr>
        <xdr:cNvPr id="650" name="Text Box 193">
          <a:extLst>
            <a:ext uri="{FF2B5EF4-FFF2-40B4-BE49-F238E27FC236}">
              <a16:creationId xmlns:a16="http://schemas.microsoft.com/office/drawing/2014/main" id="{00000000-0008-0000-0B00-00008A020000}"/>
            </a:ext>
          </a:extLst>
        </xdr:cNvPr>
        <xdr:cNvSpPr txBox="1">
          <a:spLocks noChangeArrowheads="1"/>
        </xdr:cNvSpPr>
      </xdr:nvSpPr>
      <xdr:spPr bwMode="auto">
        <a:xfrm>
          <a:off x="4733926" y="5562600"/>
          <a:ext cx="80962" cy="3857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36</xdr:row>
      <xdr:rowOff>0</xdr:rowOff>
    </xdr:from>
    <xdr:to>
      <xdr:col>4</xdr:col>
      <xdr:colOff>66752</xdr:colOff>
      <xdr:row>38</xdr:row>
      <xdr:rowOff>46310</xdr:rowOff>
    </xdr:to>
    <xdr:sp macro="" textlink="">
      <xdr:nvSpPr>
        <xdr:cNvPr id="651" name="Text Box 194">
          <a:extLst>
            <a:ext uri="{FF2B5EF4-FFF2-40B4-BE49-F238E27FC236}">
              <a16:creationId xmlns:a16="http://schemas.microsoft.com/office/drawing/2014/main" id="{00000000-0008-0000-0B00-00008B020000}"/>
            </a:ext>
          </a:extLst>
        </xdr:cNvPr>
        <xdr:cNvSpPr txBox="1">
          <a:spLocks noChangeArrowheads="1"/>
        </xdr:cNvSpPr>
      </xdr:nvSpPr>
      <xdr:spPr bwMode="auto">
        <a:xfrm>
          <a:off x="4733926" y="5562600"/>
          <a:ext cx="80962" cy="3857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36</xdr:row>
      <xdr:rowOff>0</xdr:rowOff>
    </xdr:from>
    <xdr:to>
      <xdr:col>4</xdr:col>
      <xdr:colOff>66752</xdr:colOff>
      <xdr:row>38</xdr:row>
      <xdr:rowOff>46310</xdr:rowOff>
    </xdr:to>
    <xdr:sp macro="" textlink="">
      <xdr:nvSpPr>
        <xdr:cNvPr id="652" name="Text Box 195">
          <a:extLst>
            <a:ext uri="{FF2B5EF4-FFF2-40B4-BE49-F238E27FC236}">
              <a16:creationId xmlns:a16="http://schemas.microsoft.com/office/drawing/2014/main" id="{00000000-0008-0000-0B00-00008C020000}"/>
            </a:ext>
          </a:extLst>
        </xdr:cNvPr>
        <xdr:cNvSpPr txBox="1">
          <a:spLocks noChangeArrowheads="1"/>
        </xdr:cNvSpPr>
      </xdr:nvSpPr>
      <xdr:spPr bwMode="auto">
        <a:xfrm>
          <a:off x="4733926" y="5562600"/>
          <a:ext cx="80962" cy="3857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24</xdr:row>
      <xdr:rowOff>0</xdr:rowOff>
    </xdr:from>
    <xdr:to>
      <xdr:col>4</xdr:col>
      <xdr:colOff>66752</xdr:colOff>
      <xdr:row>25</xdr:row>
      <xdr:rowOff>19054</xdr:rowOff>
    </xdr:to>
    <xdr:sp macro="" textlink="">
      <xdr:nvSpPr>
        <xdr:cNvPr id="653" name="Text Box 187">
          <a:extLst>
            <a:ext uri="{FF2B5EF4-FFF2-40B4-BE49-F238E27FC236}">
              <a16:creationId xmlns:a16="http://schemas.microsoft.com/office/drawing/2014/main" id="{00000000-0008-0000-0B00-00008D020000}"/>
            </a:ext>
          </a:extLst>
        </xdr:cNvPr>
        <xdr:cNvSpPr txBox="1">
          <a:spLocks noChangeArrowheads="1"/>
        </xdr:cNvSpPr>
      </xdr:nvSpPr>
      <xdr:spPr bwMode="auto">
        <a:xfrm>
          <a:off x="4733926" y="3486150"/>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24</xdr:row>
      <xdr:rowOff>0</xdr:rowOff>
    </xdr:from>
    <xdr:to>
      <xdr:col>4</xdr:col>
      <xdr:colOff>66752</xdr:colOff>
      <xdr:row>25</xdr:row>
      <xdr:rowOff>19054</xdr:rowOff>
    </xdr:to>
    <xdr:sp macro="" textlink="">
      <xdr:nvSpPr>
        <xdr:cNvPr id="654" name="Text Box 193">
          <a:extLst>
            <a:ext uri="{FF2B5EF4-FFF2-40B4-BE49-F238E27FC236}">
              <a16:creationId xmlns:a16="http://schemas.microsoft.com/office/drawing/2014/main" id="{00000000-0008-0000-0B00-00008E020000}"/>
            </a:ext>
          </a:extLst>
        </xdr:cNvPr>
        <xdr:cNvSpPr txBox="1">
          <a:spLocks noChangeArrowheads="1"/>
        </xdr:cNvSpPr>
      </xdr:nvSpPr>
      <xdr:spPr bwMode="auto">
        <a:xfrm>
          <a:off x="4733926" y="3486150"/>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24</xdr:row>
      <xdr:rowOff>0</xdr:rowOff>
    </xdr:from>
    <xdr:to>
      <xdr:col>4</xdr:col>
      <xdr:colOff>66752</xdr:colOff>
      <xdr:row>25</xdr:row>
      <xdr:rowOff>19054</xdr:rowOff>
    </xdr:to>
    <xdr:sp macro="" textlink="">
      <xdr:nvSpPr>
        <xdr:cNvPr id="655" name="Text Box 194">
          <a:extLst>
            <a:ext uri="{FF2B5EF4-FFF2-40B4-BE49-F238E27FC236}">
              <a16:creationId xmlns:a16="http://schemas.microsoft.com/office/drawing/2014/main" id="{00000000-0008-0000-0B00-00008F020000}"/>
            </a:ext>
          </a:extLst>
        </xdr:cNvPr>
        <xdr:cNvSpPr txBox="1">
          <a:spLocks noChangeArrowheads="1"/>
        </xdr:cNvSpPr>
      </xdr:nvSpPr>
      <xdr:spPr bwMode="auto">
        <a:xfrm>
          <a:off x="4733926" y="3486150"/>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24</xdr:row>
      <xdr:rowOff>0</xdr:rowOff>
    </xdr:from>
    <xdr:to>
      <xdr:col>4</xdr:col>
      <xdr:colOff>66752</xdr:colOff>
      <xdr:row>25</xdr:row>
      <xdr:rowOff>19054</xdr:rowOff>
    </xdr:to>
    <xdr:sp macro="" textlink="">
      <xdr:nvSpPr>
        <xdr:cNvPr id="656" name="Text Box 195">
          <a:extLst>
            <a:ext uri="{FF2B5EF4-FFF2-40B4-BE49-F238E27FC236}">
              <a16:creationId xmlns:a16="http://schemas.microsoft.com/office/drawing/2014/main" id="{00000000-0008-0000-0B00-000090020000}"/>
            </a:ext>
          </a:extLst>
        </xdr:cNvPr>
        <xdr:cNvSpPr txBox="1">
          <a:spLocks noChangeArrowheads="1"/>
        </xdr:cNvSpPr>
      </xdr:nvSpPr>
      <xdr:spPr bwMode="auto">
        <a:xfrm>
          <a:off x="4733926" y="3486150"/>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23</xdr:row>
      <xdr:rowOff>0</xdr:rowOff>
    </xdr:from>
    <xdr:to>
      <xdr:col>4</xdr:col>
      <xdr:colOff>66752</xdr:colOff>
      <xdr:row>24</xdr:row>
      <xdr:rowOff>19050</xdr:rowOff>
    </xdr:to>
    <xdr:sp macro="" textlink="">
      <xdr:nvSpPr>
        <xdr:cNvPr id="657" name="Text Box 193">
          <a:extLst>
            <a:ext uri="{FF2B5EF4-FFF2-40B4-BE49-F238E27FC236}">
              <a16:creationId xmlns:a16="http://schemas.microsoft.com/office/drawing/2014/main" id="{00000000-0008-0000-0B00-000091020000}"/>
            </a:ext>
          </a:extLst>
        </xdr:cNvPr>
        <xdr:cNvSpPr txBox="1">
          <a:spLocks noChangeArrowheads="1"/>
        </xdr:cNvSpPr>
      </xdr:nvSpPr>
      <xdr:spPr bwMode="auto">
        <a:xfrm>
          <a:off x="4733926" y="3357563"/>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23</xdr:row>
      <xdr:rowOff>0</xdr:rowOff>
    </xdr:from>
    <xdr:to>
      <xdr:col>4</xdr:col>
      <xdr:colOff>66752</xdr:colOff>
      <xdr:row>24</xdr:row>
      <xdr:rowOff>19050</xdr:rowOff>
    </xdr:to>
    <xdr:sp macro="" textlink="">
      <xdr:nvSpPr>
        <xdr:cNvPr id="658" name="Text Box 194">
          <a:extLst>
            <a:ext uri="{FF2B5EF4-FFF2-40B4-BE49-F238E27FC236}">
              <a16:creationId xmlns:a16="http://schemas.microsoft.com/office/drawing/2014/main" id="{00000000-0008-0000-0B00-000092020000}"/>
            </a:ext>
          </a:extLst>
        </xdr:cNvPr>
        <xdr:cNvSpPr txBox="1">
          <a:spLocks noChangeArrowheads="1"/>
        </xdr:cNvSpPr>
      </xdr:nvSpPr>
      <xdr:spPr bwMode="auto">
        <a:xfrm>
          <a:off x="4733926" y="3357563"/>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23</xdr:row>
      <xdr:rowOff>0</xdr:rowOff>
    </xdr:from>
    <xdr:to>
      <xdr:col>4</xdr:col>
      <xdr:colOff>66752</xdr:colOff>
      <xdr:row>24</xdr:row>
      <xdr:rowOff>19050</xdr:rowOff>
    </xdr:to>
    <xdr:sp macro="" textlink="">
      <xdr:nvSpPr>
        <xdr:cNvPr id="659" name="Text Box 195">
          <a:extLst>
            <a:ext uri="{FF2B5EF4-FFF2-40B4-BE49-F238E27FC236}">
              <a16:creationId xmlns:a16="http://schemas.microsoft.com/office/drawing/2014/main" id="{00000000-0008-0000-0B00-000093020000}"/>
            </a:ext>
          </a:extLst>
        </xdr:cNvPr>
        <xdr:cNvSpPr txBox="1">
          <a:spLocks noChangeArrowheads="1"/>
        </xdr:cNvSpPr>
      </xdr:nvSpPr>
      <xdr:spPr bwMode="auto">
        <a:xfrm>
          <a:off x="4733926" y="3357563"/>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60" name="Text Box 1">
          <a:extLst>
            <a:ext uri="{FF2B5EF4-FFF2-40B4-BE49-F238E27FC236}">
              <a16:creationId xmlns:a16="http://schemas.microsoft.com/office/drawing/2014/main" id="{00000000-0008-0000-0B00-000094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61" name="Text Box 23">
          <a:extLst>
            <a:ext uri="{FF2B5EF4-FFF2-40B4-BE49-F238E27FC236}">
              <a16:creationId xmlns:a16="http://schemas.microsoft.com/office/drawing/2014/main" id="{00000000-0008-0000-0B00-000095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62" name="Text Box 24">
          <a:extLst>
            <a:ext uri="{FF2B5EF4-FFF2-40B4-BE49-F238E27FC236}">
              <a16:creationId xmlns:a16="http://schemas.microsoft.com/office/drawing/2014/main" id="{00000000-0008-0000-0B00-000096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63" name="Text Box 25">
          <a:extLst>
            <a:ext uri="{FF2B5EF4-FFF2-40B4-BE49-F238E27FC236}">
              <a16:creationId xmlns:a16="http://schemas.microsoft.com/office/drawing/2014/main" id="{00000000-0008-0000-0B00-000097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64" name="Text Box 26">
          <a:extLst>
            <a:ext uri="{FF2B5EF4-FFF2-40B4-BE49-F238E27FC236}">
              <a16:creationId xmlns:a16="http://schemas.microsoft.com/office/drawing/2014/main" id="{00000000-0008-0000-0B00-000098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65" name="Text Box 27">
          <a:extLst>
            <a:ext uri="{FF2B5EF4-FFF2-40B4-BE49-F238E27FC236}">
              <a16:creationId xmlns:a16="http://schemas.microsoft.com/office/drawing/2014/main" id="{00000000-0008-0000-0B00-000099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66" name="Text Box 28">
          <a:extLst>
            <a:ext uri="{FF2B5EF4-FFF2-40B4-BE49-F238E27FC236}">
              <a16:creationId xmlns:a16="http://schemas.microsoft.com/office/drawing/2014/main" id="{00000000-0008-0000-0B00-00009A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67" name="Text Box 29">
          <a:extLst>
            <a:ext uri="{FF2B5EF4-FFF2-40B4-BE49-F238E27FC236}">
              <a16:creationId xmlns:a16="http://schemas.microsoft.com/office/drawing/2014/main" id="{00000000-0008-0000-0B00-00009B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68" name="Text Box 30">
          <a:extLst>
            <a:ext uri="{FF2B5EF4-FFF2-40B4-BE49-F238E27FC236}">
              <a16:creationId xmlns:a16="http://schemas.microsoft.com/office/drawing/2014/main" id="{00000000-0008-0000-0B00-00009C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69" name="Text Box 31">
          <a:extLst>
            <a:ext uri="{FF2B5EF4-FFF2-40B4-BE49-F238E27FC236}">
              <a16:creationId xmlns:a16="http://schemas.microsoft.com/office/drawing/2014/main" id="{00000000-0008-0000-0B00-00009D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70" name="Text Box 32">
          <a:extLst>
            <a:ext uri="{FF2B5EF4-FFF2-40B4-BE49-F238E27FC236}">
              <a16:creationId xmlns:a16="http://schemas.microsoft.com/office/drawing/2014/main" id="{00000000-0008-0000-0B00-00009E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71" name="Text Box 33">
          <a:extLst>
            <a:ext uri="{FF2B5EF4-FFF2-40B4-BE49-F238E27FC236}">
              <a16:creationId xmlns:a16="http://schemas.microsoft.com/office/drawing/2014/main" id="{00000000-0008-0000-0B00-00009F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72" name="Text Box 34">
          <a:extLst>
            <a:ext uri="{FF2B5EF4-FFF2-40B4-BE49-F238E27FC236}">
              <a16:creationId xmlns:a16="http://schemas.microsoft.com/office/drawing/2014/main" id="{00000000-0008-0000-0B00-0000A0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73" name="Text Box 35">
          <a:extLst>
            <a:ext uri="{FF2B5EF4-FFF2-40B4-BE49-F238E27FC236}">
              <a16:creationId xmlns:a16="http://schemas.microsoft.com/office/drawing/2014/main" id="{00000000-0008-0000-0B00-0000A1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74" name="Text Box 36">
          <a:extLst>
            <a:ext uri="{FF2B5EF4-FFF2-40B4-BE49-F238E27FC236}">
              <a16:creationId xmlns:a16="http://schemas.microsoft.com/office/drawing/2014/main" id="{00000000-0008-0000-0B00-0000A2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75" name="Text Box 37">
          <a:extLst>
            <a:ext uri="{FF2B5EF4-FFF2-40B4-BE49-F238E27FC236}">
              <a16:creationId xmlns:a16="http://schemas.microsoft.com/office/drawing/2014/main" id="{00000000-0008-0000-0B00-0000A3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76" name="Text Box 38">
          <a:extLst>
            <a:ext uri="{FF2B5EF4-FFF2-40B4-BE49-F238E27FC236}">
              <a16:creationId xmlns:a16="http://schemas.microsoft.com/office/drawing/2014/main" id="{00000000-0008-0000-0B00-0000A4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77" name="Text Box 39">
          <a:extLst>
            <a:ext uri="{FF2B5EF4-FFF2-40B4-BE49-F238E27FC236}">
              <a16:creationId xmlns:a16="http://schemas.microsoft.com/office/drawing/2014/main" id="{00000000-0008-0000-0B00-0000A5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78" name="Text Box 40">
          <a:extLst>
            <a:ext uri="{FF2B5EF4-FFF2-40B4-BE49-F238E27FC236}">
              <a16:creationId xmlns:a16="http://schemas.microsoft.com/office/drawing/2014/main" id="{00000000-0008-0000-0B00-0000A6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79" name="Text Box 41">
          <a:extLst>
            <a:ext uri="{FF2B5EF4-FFF2-40B4-BE49-F238E27FC236}">
              <a16:creationId xmlns:a16="http://schemas.microsoft.com/office/drawing/2014/main" id="{00000000-0008-0000-0B00-0000A7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80" name="Text Box 42">
          <a:extLst>
            <a:ext uri="{FF2B5EF4-FFF2-40B4-BE49-F238E27FC236}">
              <a16:creationId xmlns:a16="http://schemas.microsoft.com/office/drawing/2014/main" id="{00000000-0008-0000-0B00-0000A8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81" name="Text Box 43">
          <a:extLst>
            <a:ext uri="{FF2B5EF4-FFF2-40B4-BE49-F238E27FC236}">
              <a16:creationId xmlns:a16="http://schemas.microsoft.com/office/drawing/2014/main" id="{00000000-0008-0000-0B00-0000A9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82" name="Text Box 44">
          <a:extLst>
            <a:ext uri="{FF2B5EF4-FFF2-40B4-BE49-F238E27FC236}">
              <a16:creationId xmlns:a16="http://schemas.microsoft.com/office/drawing/2014/main" id="{00000000-0008-0000-0B00-0000AA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83" name="Text Box 45">
          <a:extLst>
            <a:ext uri="{FF2B5EF4-FFF2-40B4-BE49-F238E27FC236}">
              <a16:creationId xmlns:a16="http://schemas.microsoft.com/office/drawing/2014/main" id="{00000000-0008-0000-0B00-0000AB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84" name="Text Box 46">
          <a:extLst>
            <a:ext uri="{FF2B5EF4-FFF2-40B4-BE49-F238E27FC236}">
              <a16:creationId xmlns:a16="http://schemas.microsoft.com/office/drawing/2014/main" id="{00000000-0008-0000-0B00-0000AC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85" name="Text Box 47">
          <a:extLst>
            <a:ext uri="{FF2B5EF4-FFF2-40B4-BE49-F238E27FC236}">
              <a16:creationId xmlns:a16="http://schemas.microsoft.com/office/drawing/2014/main" id="{00000000-0008-0000-0B00-0000AD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86" name="Text Box 48">
          <a:extLst>
            <a:ext uri="{FF2B5EF4-FFF2-40B4-BE49-F238E27FC236}">
              <a16:creationId xmlns:a16="http://schemas.microsoft.com/office/drawing/2014/main" id="{00000000-0008-0000-0B00-0000AE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87" name="Text Box 49">
          <a:extLst>
            <a:ext uri="{FF2B5EF4-FFF2-40B4-BE49-F238E27FC236}">
              <a16:creationId xmlns:a16="http://schemas.microsoft.com/office/drawing/2014/main" id="{00000000-0008-0000-0B00-0000AF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88" name="Text Box 50">
          <a:extLst>
            <a:ext uri="{FF2B5EF4-FFF2-40B4-BE49-F238E27FC236}">
              <a16:creationId xmlns:a16="http://schemas.microsoft.com/office/drawing/2014/main" id="{00000000-0008-0000-0B00-0000B0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89" name="Text Box 51">
          <a:extLst>
            <a:ext uri="{FF2B5EF4-FFF2-40B4-BE49-F238E27FC236}">
              <a16:creationId xmlns:a16="http://schemas.microsoft.com/office/drawing/2014/main" id="{00000000-0008-0000-0B00-0000B1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90" name="Text Box 52">
          <a:extLst>
            <a:ext uri="{FF2B5EF4-FFF2-40B4-BE49-F238E27FC236}">
              <a16:creationId xmlns:a16="http://schemas.microsoft.com/office/drawing/2014/main" id="{00000000-0008-0000-0B00-0000B2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91" name="Text Box 53">
          <a:extLst>
            <a:ext uri="{FF2B5EF4-FFF2-40B4-BE49-F238E27FC236}">
              <a16:creationId xmlns:a16="http://schemas.microsoft.com/office/drawing/2014/main" id="{00000000-0008-0000-0B00-0000B3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92" name="Text Box 54">
          <a:extLst>
            <a:ext uri="{FF2B5EF4-FFF2-40B4-BE49-F238E27FC236}">
              <a16:creationId xmlns:a16="http://schemas.microsoft.com/office/drawing/2014/main" id="{00000000-0008-0000-0B00-0000B4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93" name="Text Box 55">
          <a:extLst>
            <a:ext uri="{FF2B5EF4-FFF2-40B4-BE49-F238E27FC236}">
              <a16:creationId xmlns:a16="http://schemas.microsoft.com/office/drawing/2014/main" id="{00000000-0008-0000-0B00-0000B5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94" name="Text Box 56">
          <a:extLst>
            <a:ext uri="{FF2B5EF4-FFF2-40B4-BE49-F238E27FC236}">
              <a16:creationId xmlns:a16="http://schemas.microsoft.com/office/drawing/2014/main" id="{00000000-0008-0000-0B00-0000B6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95" name="Text Box 57">
          <a:extLst>
            <a:ext uri="{FF2B5EF4-FFF2-40B4-BE49-F238E27FC236}">
              <a16:creationId xmlns:a16="http://schemas.microsoft.com/office/drawing/2014/main" id="{00000000-0008-0000-0B00-0000B7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96" name="Text Box 58">
          <a:extLst>
            <a:ext uri="{FF2B5EF4-FFF2-40B4-BE49-F238E27FC236}">
              <a16:creationId xmlns:a16="http://schemas.microsoft.com/office/drawing/2014/main" id="{00000000-0008-0000-0B00-0000B8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97" name="Text Box 59">
          <a:extLst>
            <a:ext uri="{FF2B5EF4-FFF2-40B4-BE49-F238E27FC236}">
              <a16:creationId xmlns:a16="http://schemas.microsoft.com/office/drawing/2014/main" id="{00000000-0008-0000-0B00-0000B9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98" name="Text Box 60">
          <a:extLst>
            <a:ext uri="{FF2B5EF4-FFF2-40B4-BE49-F238E27FC236}">
              <a16:creationId xmlns:a16="http://schemas.microsoft.com/office/drawing/2014/main" id="{00000000-0008-0000-0B00-0000BA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699" name="Text Box 61">
          <a:extLst>
            <a:ext uri="{FF2B5EF4-FFF2-40B4-BE49-F238E27FC236}">
              <a16:creationId xmlns:a16="http://schemas.microsoft.com/office/drawing/2014/main" id="{00000000-0008-0000-0B00-0000BB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00" name="Text Box 62">
          <a:extLst>
            <a:ext uri="{FF2B5EF4-FFF2-40B4-BE49-F238E27FC236}">
              <a16:creationId xmlns:a16="http://schemas.microsoft.com/office/drawing/2014/main" id="{00000000-0008-0000-0B00-0000BC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01" name="Text Box 63">
          <a:extLst>
            <a:ext uri="{FF2B5EF4-FFF2-40B4-BE49-F238E27FC236}">
              <a16:creationId xmlns:a16="http://schemas.microsoft.com/office/drawing/2014/main" id="{00000000-0008-0000-0B00-0000BD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02" name="Text Box 64">
          <a:extLst>
            <a:ext uri="{FF2B5EF4-FFF2-40B4-BE49-F238E27FC236}">
              <a16:creationId xmlns:a16="http://schemas.microsoft.com/office/drawing/2014/main" id="{00000000-0008-0000-0B00-0000BE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03" name="Text Box 65">
          <a:extLst>
            <a:ext uri="{FF2B5EF4-FFF2-40B4-BE49-F238E27FC236}">
              <a16:creationId xmlns:a16="http://schemas.microsoft.com/office/drawing/2014/main" id="{00000000-0008-0000-0B00-0000BF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04" name="Text Box 66">
          <a:extLst>
            <a:ext uri="{FF2B5EF4-FFF2-40B4-BE49-F238E27FC236}">
              <a16:creationId xmlns:a16="http://schemas.microsoft.com/office/drawing/2014/main" id="{00000000-0008-0000-0B00-0000C0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05" name="Text Box 67">
          <a:extLst>
            <a:ext uri="{FF2B5EF4-FFF2-40B4-BE49-F238E27FC236}">
              <a16:creationId xmlns:a16="http://schemas.microsoft.com/office/drawing/2014/main" id="{00000000-0008-0000-0B00-0000C1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06" name="Text Box 68">
          <a:extLst>
            <a:ext uri="{FF2B5EF4-FFF2-40B4-BE49-F238E27FC236}">
              <a16:creationId xmlns:a16="http://schemas.microsoft.com/office/drawing/2014/main" id="{00000000-0008-0000-0B00-0000C2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07" name="Text Box 69">
          <a:extLst>
            <a:ext uri="{FF2B5EF4-FFF2-40B4-BE49-F238E27FC236}">
              <a16:creationId xmlns:a16="http://schemas.microsoft.com/office/drawing/2014/main" id="{00000000-0008-0000-0B00-0000C3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08" name="Text Box 70">
          <a:extLst>
            <a:ext uri="{FF2B5EF4-FFF2-40B4-BE49-F238E27FC236}">
              <a16:creationId xmlns:a16="http://schemas.microsoft.com/office/drawing/2014/main" id="{00000000-0008-0000-0B00-0000C4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09" name="Text Box 72">
          <a:extLst>
            <a:ext uri="{FF2B5EF4-FFF2-40B4-BE49-F238E27FC236}">
              <a16:creationId xmlns:a16="http://schemas.microsoft.com/office/drawing/2014/main" id="{00000000-0008-0000-0B00-0000C5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10" name="Text Box 73">
          <a:extLst>
            <a:ext uri="{FF2B5EF4-FFF2-40B4-BE49-F238E27FC236}">
              <a16:creationId xmlns:a16="http://schemas.microsoft.com/office/drawing/2014/main" id="{00000000-0008-0000-0B00-0000C6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11" name="Text Box 77">
          <a:extLst>
            <a:ext uri="{FF2B5EF4-FFF2-40B4-BE49-F238E27FC236}">
              <a16:creationId xmlns:a16="http://schemas.microsoft.com/office/drawing/2014/main" id="{00000000-0008-0000-0B00-0000C7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12" name="Text Box 78">
          <a:extLst>
            <a:ext uri="{FF2B5EF4-FFF2-40B4-BE49-F238E27FC236}">
              <a16:creationId xmlns:a16="http://schemas.microsoft.com/office/drawing/2014/main" id="{00000000-0008-0000-0B00-0000C8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13" name="Text Box 79">
          <a:extLst>
            <a:ext uri="{FF2B5EF4-FFF2-40B4-BE49-F238E27FC236}">
              <a16:creationId xmlns:a16="http://schemas.microsoft.com/office/drawing/2014/main" id="{00000000-0008-0000-0B00-0000C9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14" name="Text Box 80">
          <a:extLst>
            <a:ext uri="{FF2B5EF4-FFF2-40B4-BE49-F238E27FC236}">
              <a16:creationId xmlns:a16="http://schemas.microsoft.com/office/drawing/2014/main" id="{00000000-0008-0000-0B00-0000CA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15" name="Text Box 81">
          <a:extLst>
            <a:ext uri="{FF2B5EF4-FFF2-40B4-BE49-F238E27FC236}">
              <a16:creationId xmlns:a16="http://schemas.microsoft.com/office/drawing/2014/main" id="{00000000-0008-0000-0B00-0000CB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16" name="Text Box 82">
          <a:extLst>
            <a:ext uri="{FF2B5EF4-FFF2-40B4-BE49-F238E27FC236}">
              <a16:creationId xmlns:a16="http://schemas.microsoft.com/office/drawing/2014/main" id="{00000000-0008-0000-0B00-0000CC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17" name="Text Box 84">
          <a:extLst>
            <a:ext uri="{FF2B5EF4-FFF2-40B4-BE49-F238E27FC236}">
              <a16:creationId xmlns:a16="http://schemas.microsoft.com/office/drawing/2014/main" id="{00000000-0008-0000-0B00-0000CD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18" name="Text Box 85">
          <a:extLst>
            <a:ext uri="{FF2B5EF4-FFF2-40B4-BE49-F238E27FC236}">
              <a16:creationId xmlns:a16="http://schemas.microsoft.com/office/drawing/2014/main" id="{00000000-0008-0000-0B00-0000CE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19" name="Text Box 89">
          <a:extLst>
            <a:ext uri="{FF2B5EF4-FFF2-40B4-BE49-F238E27FC236}">
              <a16:creationId xmlns:a16="http://schemas.microsoft.com/office/drawing/2014/main" id="{00000000-0008-0000-0B00-0000CF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20" name="Text Box 90">
          <a:extLst>
            <a:ext uri="{FF2B5EF4-FFF2-40B4-BE49-F238E27FC236}">
              <a16:creationId xmlns:a16="http://schemas.microsoft.com/office/drawing/2014/main" id="{00000000-0008-0000-0B00-0000D0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21" name="Text Box 91">
          <a:extLst>
            <a:ext uri="{FF2B5EF4-FFF2-40B4-BE49-F238E27FC236}">
              <a16:creationId xmlns:a16="http://schemas.microsoft.com/office/drawing/2014/main" id="{00000000-0008-0000-0B00-0000D1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22" name="Text Box 92">
          <a:extLst>
            <a:ext uri="{FF2B5EF4-FFF2-40B4-BE49-F238E27FC236}">
              <a16:creationId xmlns:a16="http://schemas.microsoft.com/office/drawing/2014/main" id="{00000000-0008-0000-0B00-0000D2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23" name="Text Box 93">
          <a:extLst>
            <a:ext uri="{FF2B5EF4-FFF2-40B4-BE49-F238E27FC236}">
              <a16:creationId xmlns:a16="http://schemas.microsoft.com/office/drawing/2014/main" id="{00000000-0008-0000-0B00-0000D3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24" name="Text Box 94">
          <a:extLst>
            <a:ext uri="{FF2B5EF4-FFF2-40B4-BE49-F238E27FC236}">
              <a16:creationId xmlns:a16="http://schemas.microsoft.com/office/drawing/2014/main" id="{00000000-0008-0000-0B00-0000D4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25" name="Text Box 95">
          <a:extLst>
            <a:ext uri="{FF2B5EF4-FFF2-40B4-BE49-F238E27FC236}">
              <a16:creationId xmlns:a16="http://schemas.microsoft.com/office/drawing/2014/main" id="{00000000-0008-0000-0B00-0000D5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26" name="Text Box 96">
          <a:extLst>
            <a:ext uri="{FF2B5EF4-FFF2-40B4-BE49-F238E27FC236}">
              <a16:creationId xmlns:a16="http://schemas.microsoft.com/office/drawing/2014/main" id="{00000000-0008-0000-0B00-0000D6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27" name="Text Box 97">
          <a:extLst>
            <a:ext uri="{FF2B5EF4-FFF2-40B4-BE49-F238E27FC236}">
              <a16:creationId xmlns:a16="http://schemas.microsoft.com/office/drawing/2014/main" id="{00000000-0008-0000-0B00-0000D7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28" name="Text Box 101">
          <a:extLst>
            <a:ext uri="{FF2B5EF4-FFF2-40B4-BE49-F238E27FC236}">
              <a16:creationId xmlns:a16="http://schemas.microsoft.com/office/drawing/2014/main" id="{00000000-0008-0000-0B00-0000D8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29" name="Text Box 102">
          <a:extLst>
            <a:ext uri="{FF2B5EF4-FFF2-40B4-BE49-F238E27FC236}">
              <a16:creationId xmlns:a16="http://schemas.microsoft.com/office/drawing/2014/main" id="{00000000-0008-0000-0B00-0000D9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30" name="Text Box 103">
          <a:extLst>
            <a:ext uri="{FF2B5EF4-FFF2-40B4-BE49-F238E27FC236}">
              <a16:creationId xmlns:a16="http://schemas.microsoft.com/office/drawing/2014/main" id="{00000000-0008-0000-0B00-0000DA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31" name="Text Box 104">
          <a:extLst>
            <a:ext uri="{FF2B5EF4-FFF2-40B4-BE49-F238E27FC236}">
              <a16:creationId xmlns:a16="http://schemas.microsoft.com/office/drawing/2014/main" id="{00000000-0008-0000-0B00-0000DB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32" name="Text Box 105">
          <a:extLst>
            <a:ext uri="{FF2B5EF4-FFF2-40B4-BE49-F238E27FC236}">
              <a16:creationId xmlns:a16="http://schemas.microsoft.com/office/drawing/2014/main" id="{00000000-0008-0000-0B00-0000DC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33" name="Text Box 106">
          <a:extLst>
            <a:ext uri="{FF2B5EF4-FFF2-40B4-BE49-F238E27FC236}">
              <a16:creationId xmlns:a16="http://schemas.microsoft.com/office/drawing/2014/main" id="{00000000-0008-0000-0B00-0000DD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34" name="Text Box 107">
          <a:extLst>
            <a:ext uri="{FF2B5EF4-FFF2-40B4-BE49-F238E27FC236}">
              <a16:creationId xmlns:a16="http://schemas.microsoft.com/office/drawing/2014/main" id="{00000000-0008-0000-0B00-0000DE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35" name="Text Box 108">
          <a:extLst>
            <a:ext uri="{FF2B5EF4-FFF2-40B4-BE49-F238E27FC236}">
              <a16:creationId xmlns:a16="http://schemas.microsoft.com/office/drawing/2014/main" id="{00000000-0008-0000-0B00-0000DF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36" name="Text Box 109">
          <a:extLst>
            <a:ext uri="{FF2B5EF4-FFF2-40B4-BE49-F238E27FC236}">
              <a16:creationId xmlns:a16="http://schemas.microsoft.com/office/drawing/2014/main" id="{00000000-0008-0000-0B00-0000E0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37" name="Text Box 113">
          <a:extLst>
            <a:ext uri="{FF2B5EF4-FFF2-40B4-BE49-F238E27FC236}">
              <a16:creationId xmlns:a16="http://schemas.microsoft.com/office/drawing/2014/main" id="{00000000-0008-0000-0B00-0000E1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38" name="Text Box 114">
          <a:extLst>
            <a:ext uri="{FF2B5EF4-FFF2-40B4-BE49-F238E27FC236}">
              <a16:creationId xmlns:a16="http://schemas.microsoft.com/office/drawing/2014/main" id="{00000000-0008-0000-0B00-0000E2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39" name="Text Box 115">
          <a:extLst>
            <a:ext uri="{FF2B5EF4-FFF2-40B4-BE49-F238E27FC236}">
              <a16:creationId xmlns:a16="http://schemas.microsoft.com/office/drawing/2014/main" id="{00000000-0008-0000-0B00-0000E3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40" name="Text Box 116">
          <a:extLst>
            <a:ext uri="{FF2B5EF4-FFF2-40B4-BE49-F238E27FC236}">
              <a16:creationId xmlns:a16="http://schemas.microsoft.com/office/drawing/2014/main" id="{00000000-0008-0000-0B00-0000E4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41" name="Text Box 117">
          <a:extLst>
            <a:ext uri="{FF2B5EF4-FFF2-40B4-BE49-F238E27FC236}">
              <a16:creationId xmlns:a16="http://schemas.microsoft.com/office/drawing/2014/main" id="{00000000-0008-0000-0B00-0000E5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42" name="Text Box 118">
          <a:extLst>
            <a:ext uri="{FF2B5EF4-FFF2-40B4-BE49-F238E27FC236}">
              <a16:creationId xmlns:a16="http://schemas.microsoft.com/office/drawing/2014/main" id="{00000000-0008-0000-0B00-0000E6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43" name="Text Box 119">
          <a:extLst>
            <a:ext uri="{FF2B5EF4-FFF2-40B4-BE49-F238E27FC236}">
              <a16:creationId xmlns:a16="http://schemas.microsoft.com/office/drawing/2014/main" id="{00000000-0008-0000-0B00-0000E7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44" name="Text Box 120">
          <a:extLst>
            <a:ext uri="{FF2B5EF4-FFF2-40B4-BE49-F238E27FC236}">
              <a16:creationId xmlns:a16="http://schemas.microsoft.com/office/drawing/2014/main" id="{00000000-0008-0000-0B00-0000E8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45" name="Text Box 121">
          <a:extLst>
            <a:ext uri="{FF2B5EF4-FFF2-40B4-BE49-F238E27FC236}">
              <a16:creationId xmlns:a16="http://schemas.microsoft.com/office/drawing/2014/main" id="{00000000-0008-0000-0B00-0000E9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46" name="Text Box 125">
          <a:extLst>
            <a:ext uri="{FF2B5EF4-FFF2-40B4-BE49-F238E27FC236}">
              <a16:creationId xmlns:a16="http://schemas.microsoft.com/office/drawing/2014/main" id="{00000000-0008-0000-0B00-0000EA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47" name="Text Box 126">
          <a:extLst>
            <a:ext uri="{FF2B5EF4-FFF2-40B4-BE49-F238E27FC236}">
              <a16:creationId xmlns:a16="http://schemas.microsoft.com/office/drawing/2014/main" id="{00000000-0008-0000-0B00-0000EB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48" name="Text Box 127">
          <a:extLst>
            <a:ext uri="{FF2B5EF4-FFF2-40B4-BE49-F238E27FC236}">
              <a16:creationId xmlns:a16="http://schemas.microsoft.com/office/drawing/2014/main" id="{00000000-0008-0000-0B00-0000EC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49" name="Text Box 128">
          <a:extLst>
            <a:ext uri="{FF2B5EF4-FFF2-40B4-BE49-F238E27FC236}">
              <a16:creationId xmlns:a16="http://schemas.microsoft.com/office/drawing/2014/main" id="{00000000-0008-0000-0B00-0000ED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50" name="Text Box 129">
          <a:extLst>
            <a:ext uri="{FF2B5EF4-FFF2-40B4-BE49-F238E27FC236}">
              <a16:creationId xmlns:a16="http://schemas.microsoft.com/office/drawing/2014/main" id="{00000000-0008-0000-0B00-0000EE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51" name="Text Box 130">
          <a:extLst>
            <a:ext uri="{FF2B5EF4-FFF2-40B4-BE49-F238E27FC236}">
              <a16:creationId xmlns:a16="http://schemas.microsoft.com/office/drawing/2014/main" id="{00000000-0008-0000-0B00-0000EF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52" name="Text Box 131">
          <a:extLst>
            <a:ext uri="{FF2B5EF4-FFF2-40B4-BE49-F238E27FC236}">
              <a16:creationId xmlns:a16="http://schemas.microsoft.com/office/drawing/2014/main" id="{00000000-0008-0000-0B00-0000F0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53" name="Text Box 132">
          <a:extLst>
            <a:ext uri="{FF2B5EF4-FFF2-40B4-BE49-F238E27FC236}">
              <a16:creationId xmlns:a16="http://schemas.microsoft.com/office/drawing/2014/main" id="{00000000-0008-0000-0B00-0000F1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54" name="Text Box 133">
          <a:extLst>
            <a:ext uri="{FF2B5EF4-FFF2-40B4-BE49-F238E27FC236}">
              <a16:creationId xmlns:a16="http://schemas.microsoft.com/office/drawing/2014/main" id="{00000000-0008-0000-0B00-0000F2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55" name="Text Box 137">
          <a:extLst>
            <a:ext uri="{FF2B5EF4-FFF2-40B4-BE49-F238E27FC236}">
              <a16:creationId xmlns:a16="http://schemas.microsoft.com/office/drawing/2014/main" id="{00000000-0008-0000-0B00-0000F3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56" name="Text Box 138">
          <a:extLst>
            <a:ext uri="{FF2B5EF4-FFF2-40B4-BE49-F238E27FC236}">
              <a16:creationId xmlns:a16="http://schemas.microsoft.com/office/drawing/2014/main" id="{00000000-0008-0000-0B00-0000F4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57" name="Text Box 139">
          <a:extLst>
            <a:ext uri="{FF2B5EF4-FFF2-40B4-BE49-F238E27FC236}">
              <a16:creationId xmlns:a16="http://schemas.microsoft.com/office/drawing/2014/main" id="{00000000-0008-0000-0B00-0000F5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58" name="Text Box 140">
          <a:extLst>
            <a:ext uri="{FF2B5EF4-FFF2-40B4-BE49-F238E27FC236}">
              <a16:creationId xmlns:a16="http://schemas.microsoft.com/office/drawing/2014/main" id="{00000000-0008-0000-0B00-0000F6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59" name="Text Box 141">
          <a:extLst>
            <a:ext uri="{FF2B5EF4-FFF2-40B4-BE49-F238E27FC236}">
              <a16:creationId xmlns:a16="http://schemas.microsoft.com/office/drawing/2014/main" id="{00000000-0008-0000-0B00-0000F7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60" name="Text Box 142">
          <a:extLst>
            <a:ext uri="{FF2B5EF4-FFF2-40B4-BE49-F238E27FC236}">
              <a16:creationId xmlns:a16="http://schemas.microsoft.com/office/drawing/2014/main" id="{00000000-0008-0000-0B00-0000F8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61" name="Text Box 143">
          <a:extLst>
            <a:ext uri="{FF2B5EF4-FFF2-40B4-BE49-F238E27FC236}">
              <a16:creationId xmlns:a16="http://schemas.microsoft.com/office/drawing/2014/main" id="{00000000-0008-0000-0B00-0000F9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62" name="Text Box 144">
          <a:extLst>
            <a:ext uri="{FF2B5EF4-FFF2-40B4-BE49-F238E27FC236}">
              <a16:creationId xmlns:a16="http://schemas.microsoft.com/office/drawing/2014/main" id="{00000000-0008-0000-0B00-0000FA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63" name="Text Box 145">
          <a:extLst>
            <a:ext uri="{FF2B5EF4-FFF2-40B4-BE49-F238E27FC236}">
              <a16:creationId xmlns:a16="http://schemas.microsoft.com/office/drawing/2014/main" id="{00000000-0008-0000-0B00-0000FB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64" name="Text Box 149">
          <a:extLst>
            <a:ext uri="{FF2B5EF4-FFF2-40B4-BE49-F238E27FC236}">
              <a16:creationId xmlns:a16="http://schemas.microsoft.com/office/drawing/2014/main" id="{00000000-0008-0000-0B00-0000FC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65" name="Text Box 150">
          <a:extLst>
            <a:ext uri="{FF2B5EF4-FFF2-40B4-BE49-F238E27FC236}">
              <a16:creationId xmlns:a16="http://schemas.microsoft.com/office/drawing/2014/main" id="{00000000-0008-0000-0B00-0000FD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66" name="Text Box 151">
          <a:extLst>
            <a:ext uri="{FF2B5EF4-FFF2-40B4-BE49-F238E27FC236}">
              <a16:creationId xmlns:a16="http://schemas.microsoft.com/office/drawing/2014/main" id="{00000000-0008-0000-0B00-0000FE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67" name="Text Box 152">
          <a:extLst>
            <a:ext uri="{FF2B5EF4-FFF2-40B4-BE49-F238E27FC236}">
              <a16:creationId xmlns:a16="http://schemas.microsoft.com/office/drawing/2014/main" id="{00000000-0008-0000-0B00-0000FF02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68" name="Text Box 153">
          <a:extLst>
            <a:ext uri="{FF2B5EF4-FFF2-40B4-BE49-F238E27FC236}">
              <a16:creationId xmlns:a16="http://schemas.microsoft.com/office/drawing/2014/main" id="{00000000-0008-0000-0B00-000000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69" name="Text Box 154">
          <a:extLst>
            <a:ext uri="{FF2B5EF4-FFF2-40B4-BE49-F238E27FC236}">
              <a16:creationId xmlns:a16="http://schemas.microsoft.com/office/drawing/2014/main" id="{00000000-0008-0000-0B00-000001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70" name="Text Box 155">
          <a:extLst>
            <a:ext uri="{FF2B5EF4-FFF2-40B4-BE49-F238E27FC236}">
              <a16:creationId xmlns:a16="http://schemas.microsoft.com/office/drawing/2014/main" id="{00000000-0008-0000-0B00-000002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71" name="Text Box 156">
          <a:extLst>
            <a:ext uri="{FF2B5EF4-FFF2-40B4-BE49-F238E27FC236}">
              <a16:creationId xmlns:a16="http://schemas.microsoft.com/office/drawing/2014/main" id="{00000000-0008-0000-0B00-000003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72" name="Text Box 157">
          <a:extLst>
            <a:ext uri="{FF2B5EF4-FFF2-40B4-BE49-F238E27FC236}">
              <a16:creationId xmlns:a16="http://schemas.microsoft.com/office/drawing/2014/main" id="{00000000-0008-0000-0B00-000004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73" name="Text Box 161">
          <a:extLst>
            <a:ext uri="{FF2B5EF4-FFF2-40B4-BE49-F238E27FC236}">
              <a16:creationId xmlns:a16="http://schemas.microsoft.com/office/drawing/2014/main" id="{00000000-0008-0000-0B00-000005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74" name="Text Box 162">
          <a:extLst>
            <a:ext uri="{FF2B5EF4-FFF2-40B4-BE49-F238E27FC236}">
              <a16:creationId xmlns:a16="http://schemas.microsoft.com/office/drawing/2014/main" id="{00000000-0008-0000-0B00-000006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75" name="Text Box 163">
          <a:extLst>
            <a:ext uri="{FF2B5EF4-FFF2-40B4-BE49-F238E27FC236}">
              <a16:creationId xmlns:a16="http://schemas.microsoft.com/office/drawing/2014/main" id="{00000000-0008-0000-0B00-000007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76" name="Text Box 164">
          <a:extLst>
            <a:ext uri="{FF2B5EF4-FFF2-40B4-BE49-F238E27FC236}">
              <a16:creationId xmlns:a16="http://schemas.microsoft.com/office/drawing/2014/main" id="{00000000-0008-0000-0B00-000008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77" name="Text Box 165">
          <a:extLst>
            <a:ext uri="{FF2B5EF4-FFF2-40B4-BE49-F238E27FC236}">
              <a16:creationId xmlns:a16="http://schemas.microsoft.com/office/drawing/2014/main" id="{00000000-0008-0000-0B00-000009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78" name="Text Box 166">
          <a:extLst>
            <a:ext uri="{FF2B5EF4-FFF2-40B4-BE49-F238E27FC236}">
              <a16:creationId xmlns:a16="http://schemas.microsoft.com/office/drawing/2014/main" id="{00000000-0008-0000-0B00-00000A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79" name="Text Box 167">
          <a:extLst>
            <a:ext uri="{FF2B5EF4-FFF2-40B4-BE49-F238E27FC236}">
              <a16:creationId xmlns:a16="http://schemas.microsoft.com/office/drawing/2014/main" id="{00000000-0008-0000-0B00-00000B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80" name="Text Box 168">
          <a:extLst>
            <a:ext uri="{FF2B5EF4-FFF2-40B4-BE49-F238E27FC236}">
              <a16:creationId xmlns:a16="http://schemas.microsoft.com/office/drawing/2014/main" id="{00000000-0008-0000-0B00-00000C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81" name="Text Box 169">
          <a:extLst>
            <a:ext uri="{FF2B5EF4-FFF2-40B4-BE49-F238E27FC236}">
              <a16:creationId xmlns:a16="http://schemas.microsoft.com/office/drawing/2014/main" id="{00000000-0008-0000-0B00-00000D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82" name="Text Box 170">
          <a:extLst>
            <a:ext uri="{FF2B5EF4-FFF2-40B4-BE49-F238E27FC236}">
              <a16:creationId xmlns:a16="http://schemas.microsoft.com/office/drawing/2014/main" id="{00000000-0008-0000-0B00-00000E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83" name="Text Box 171">
          <a:extLst>
            <a:ext uri="{FF2B5EF4-FFF2-40B4-BE49-F238E27FC236}">
              <a16:creationId xmlns:a16="http://schemas.microsoft.com/office/drawing/2014/main" id="{00000000-0008-0000-0B00-00000F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84" name="Text Box 172">
          <a:extLst>
            <a:ext uri="{FF2B5EF4-FFF2-40B4-BE49-F238E27FC236}">
              <a16:creationId xmlns:a16="http://schemas.microsoft.com/office/drawing/2014/main" id="{00000000-0008-0000-0B00-000010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85" name="Text Box 173">
          <a:extLst>
            <a:ext uri="{FF2B5EF4-FFF2-40B4-BE49-F238E27FC236}">
              <a16:creationId xmlns:a16="http://schemas.microsoft.com/office/drawing/2014/main" id="{00000000-0008-0000-0B00-000011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86" name="Text Box 174">
          <a:extLst>
            <a:ext uri="{FF2B5EF4-FFF2-40B4-BE49-F238E27FC236}">
              <a16:creationId xmlns:a16="http://schemas.microsoft.com/office/drawing/2014/main" id="{00000000-0008-0000-0B00-000012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87" name="Text Box 176">
          <a:extLst>
            <a:ext uri="{FF2B5EF4-FFF2-40B4-BE49-F238E27FC236}">
              <a16:creationId xmlns:a16="http://schemas.microsoft.com/office/drawing/2014/main" id="{00000000-0008-0000-0B00-000013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88" name="Text Box 178">
          <a:extLst>
            <a:ext uri="{FF2B5EF4-FFF2-40B4-BE49-F238E27FC236}">
              <a16:creationId xmlns:a16="http://schemas.microsoft.com/office/drawing/2014/main" id="{00000000-0008-0000-0B00-000014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89" name="Text Box 179">
          <a:extLst>
            <a:ext uri="{FF2B5EF4-FFF2-40B4-BE49-F238E27FC236}">
              <a16:creationId xmlns:a16="http://schemas.microsoft.com/office/drawing/2014/main" id="{00000000-0008-0000-0B00-000015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90" name="Text Box 180">
          <a:extLst>
            <a:ext uri="{FF2B5EF4-FFF2-40B4-BE49-F238E27FC236}">
              <a16:creationId xmlns:a16="http://schemas.microsoft.com/office/drawing/2014/main" id="{00000000-0008-0000-0B00-000016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91" name="Text Box 181">
          <a:extLst>
            <a:ext uri="{FF2B5EF4-FFF2-40B4-BE49-F238E27FC236}">
              <a16:creationId xmlns:a16="http://schemas.microsoft.com/office/drawing/2014/main" id="{00000000-0008-0000-0B00-000017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92" name="Text Box 182">
          <a:extLst>
            <a:ext uri="{FF2B5EF4-FFF2-40B4-BE49-F238E27FC236}">
              <a16:creationId xmlns:a16="http://schemas.microsoft.com/office/drawing/2014/main" id="{00000000-0008-0000-0B00-000018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93" name="Text Box 183">
          <a:extLst>
            <a:ext uri="{FF2B5EF4-FFF2-40B4-BE49-F238E27FC236}">
              <a16:creationId xmlns:a16="http://schemas.microsoft.com/office/drawing/2014/main" id="{00000000-0008-0000-0B00-000019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94" name="Text Box 184">
          <a:extLst>
            <a:ext uri="{FF2B5EF4-FFF2-40B4-BE49-F238E27FC236}">
              <a16:creationId xmlns:a16="http://schemas.microsoft.com/office/drawing/2014/main" id="{00000000-0008-0000-0B00-00001A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95" name="Text Box 185">
          <a:extLst>
            <a:ext uri="{FF2B5EF4-FFF2-40B4-BE49-F238E27FC236}">
              <a16:creationId xmlns:a16="http://schemas.microsoft.com/office/drawing/2014/main" id="{00000000-0008-0000-0B00-00001B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96" name="Text Box 186">
          <a:extLst>
            <a:ext uri="{FF2B5EF4-FFF2-40B4-BE49-F238E27FC236}">
              <a16:creationId xmlns:a16="http://schemas.microsoft.com/office/drawing/2014/main" id="{00000000-0008-0000-0B00-00001C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97" name="Text Box 187">
          <a:extLst>
            <a:ext uri="{FF2B5EF4-FFF2-40B4-BE49-F238E27FC236}">
              <a16:creationId xmlns:a16="http://schemas.microsoft.com/office/drawing/2014/main" id="{00000000-0008-0000-0B00-00001D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98" name="Text Box 188">
          <a:extLst>
            <a:ext uri="{FF2B5EF4-FFF2-40B4-BE49-F238E27FC236}">
              <a16:creationId xmlns:a16="http://schemas.microsoft.com/office/drawing/2014/main" id="{00000000-0008-0000-0B00-00001E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799" name="Text Box 189">
          <a:extLst>
            <a:ext uri="{FF2B5EF4-FFF2-40B4-BE49-F238E27FC236}">
              <a16:creationId xmlns:a16="http://schemas.microsoft.com/office/drawing/2014/main" id="{00000000-0008-0000-0B00-00001F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00" name="Text Box 190">
          <a:extLst>
            <a:ext uri="{FF2B5EF4-FFF2-40B4-BE49-F238E27FC236}">
              <a16:creationId xmlns:a16="http://schemas.microsoft.com/office/drawing/2014/main" id="{00000000-0008-0000-0B00-000020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01" name="Text Box 191">
          <a:extLst>
            <a:ext uri="{FF2B5EF4-FFF2-40B4-BE49-F238E27FC236}">
              <a16:creationId xmlns:a16="http://schemas.microsoft.com/office/drawing/2014/main" id="{00000000-0008-0000-0B00-000021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02" name="Text Box 192">
          <a:extLst>
            <a:ext uri="{FF2B5EF4-FFF2-40B4-BE49-F238E27FC236}">
              <a16:creationId xmlns:a16="http://schemas.microsoft.com/office/drawing/2014/main" id="{00000000-0008-0000-0B00-000022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03" name="Text Box 193">
          <a:extLst>
            <a:ext uri="{FF2B5EF4-FFF2-40B4-BE49-F238E27FC236}">
              <a16:creationId xmlns:a16="http://schemas.microsoft.com/office/drawing/2014/main" id="{00000000-0008-0000-0B00-000023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04" name="Text Box 194">
          <a:extLst>
            <a:ext uri="{FF2B5EF4-FFF2-40B4-BE49-F238E27FC236}">
              <a16:creationId xmlns:a16="http://schemas.microsoft.com/office/drawing/2014/main" id="{00000000-0008-0000-0B00-000024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05" name="Text Box 195">
          <a:extLst>
            <a:ext uri="{FF2B5EF4-FFF2-40B4-BE49-F238E27FC236}">
              <a16:creationId xmlns:a16="http://schemas.microsoft.com/office/drawing/2014/main" id="{00000000-0008-0000-0B00-000025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06" name="Text Box 196">
          <a:extLst>
            <a:ext uri="{FF2B5EF4-FFF2-40B4-BE49-F238E27FC236}">
              <a16:creationId xmlns:a16="http://schemas.microsoft.com/office/drawing/2014/main" id="{00000000-0008-0000-0B00-000026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07" name="Text Box 197">
          <a:extLst>
            <a:ext uri="{FF2B5EF4-FFF2-40B4-BE49-F238E27FC236}">
              <a16:creationId xmlns:a16="http://schemas.microsoft.com/office/drawing/2014/main" id="{00000000-0008-0000-0B00-000027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08" name="Text Box 198">
          <a:extLst>
            <a:ext uri="{FF2B5EF4-FFF2-40B4-BE49-F238E27FC236}">
              <a16:creationId xmlns:a16="http://schemas.microsoft.com/office/drawing/2014/main" id="{00000000-0008-0000-0B00-000028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09" name="Text Box 199">
          <a:extLst>
            <a:ext uri="{FF2B5EF4-FFF2-40B4-BE49-F238E27FC236}">
              <a16:creationId xmlns:a16="http://schemas.microsoft.com/office/drawing/2014/main" id="{00000000-0008-0000-0B00-000029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10" name="Text Box 200">
          <a:extLst>
            <a:ext uri="{FF2B5EF4-FFF2-40B4-BE49-F238E27FC236}">
              <a16:creationId xmlns:a16="http://schemas.microsoft.com/office/drawing/2014/main" id="{00000000-0008-0000-0B00-00002A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11" name="Text Box 201">
          <a:extLst>
            <a:ext uri="{FF2B5EF4-FFF2-40B4-BE49-F238E27FC236}">
              <a16:creationId xmlns:a16="http://schemas.microsoft.com/office/drawing/2014/main" id="{00000000-0008-0000-0B00-00002B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12" name="Text Box 202">
          <a:extLst>
            <a:ext uri="{FF2B5EF4-FFF2-40B4-BE49-F238E27FC236}">
              <a16:creationId xmlns:a16="http://schemas.microsoft.com/office/drawing/2014/main" id="{00000000-0008-0000-0B00-00002C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13" name="Text Box 203">
          <a:extLst>
            <a:ext uri="{FF2B5EF4-FFF2-40B4-BE49-F238E27FC236}">
              <a16:creationId xmlns:a16="http://schemas.microsoft.com/office/drawing/2014/main" id="{00000000-0008-0000-0B00-00002D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14" name="Text Box 204">
          <a:extLst>
            <a:ext uri="{FF2B5EF4-FFF2-40B4-BE49-F238E27FC236}">
              <a16:creationId xmlns:a16="http://schemas.microsoft.com/office/drawing/2014/main" id="{00000000-0008-0000-0B00-00002E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15" name="Text Box 206">
          <a:extLst>
            <a:ext uri="{FF2B5EF4-FFF2-40B4-BE49-F238E27FC236}">
              <a16:creationId xmlns:a16="http://schemas.microsoft.com/office/drawing/2014/main" id="{00000000-0008-0000-0B00-00002F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16" name="Text Box 207">
          <a:extLst>
            <a:ext uri="{FF2B5EF4-FFF2-40B4-BE49-F238E27FC236}">
              <a16:creationId xmlns:a16="http://schemas.microsoft.com/office/drawing/2014/main" id="{00000000-0008-0000-0B00-000030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17" name="Text Box 208">
          <a:extLst>
            <a:ext uri="{FF2B5EF4-FFF2-40B4-BE49-F238E27FC236}">
              <a16:creationId xmlns:a16="http://schemas.microsoft.com/office/drawing/2014/main" id="{00000000-0008-0000-0B00-000031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18" name="Text Box 209">
          <a:extLst>
            <a:ext uri="{FF2B5EF4-FFF2-40B4-BE49-F238E27FC236}">
              <a16:creationId xmlns:a16="http://schemas.microsoft.com/office/drawing/2014/main" id="{00000000-0008-0000-0B00-000032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19" name="Text Box 210">
          <a:extLst>
            <a:ext uri="{FF2B5EF4-FFF2-40B4-BE49-F238E27FC236}">
              <a16:creationId xmlns:a16="http://schemas.microsoft.com/office/drawing/2014/main" id="{00000000-0008-0000-0B00-000033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20" name="Text Box 211">
          <a:extLst>
            <a:ext uri="{FF2B5EF4-FFF2-40B4-BE49-F238E27FC236}">
              <a16:creationId xmlns:a16="http://schemas.microsoft.com/office/drawing/2014/main" id="{00000000-0008-0000-0B00-000034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21" name="Text Box 212">
          <a:extLst>
            <a:ext uri="{FF2B5EF4-FFF2-40B4-BE49-F238E27FC236}">
              <a16:creationId xmlns:a16="http://schemas.microsoft.com/office/drawing/2014/main" id="{00000000-0008-0000-0B00-000035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22" name="Text Box 213">
          <a:extLst>
            <a:ext uri="{FF2B5EF4-FFF2-40B4-BE49-F238E27FC236}">
              <a16:creationId xmlns:a16="http://schemas.microsoft.com/office/drawing/2014/main" id="{00000000-0008-0000-0B00-000036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41</xdr:row>
      <xdr:rowOff>76200</xdr:rowOff>
    </xdr:from>
    <xdr:to>
      <xdr:col>3</xdr:col>
      <xdr:colOff>347663</xdr:colOff>
      <xdr:row>44</xdr:row>
      <xdr:rowOff>0</xdr:rowOff>
    </xdr:to>
    <xdr:sp macro="" textlink="">
      <xdr:nvSpPr>
        <xdr:cNvPr id="823" name="Text Box 214">
          <a:extLst>
            <a:ext uri="{FF2B5EF4-FFF2-40B4-BE49-F238E27FC236}">
              <a16:creationId xmlns:a16="http://schemas.microsoft.com/office/drawing/2014/main" id="{00000000-0008-0000-0B00-000037030000}"/>
            </a:ext>
          </a:extLst>
        </xdr:cNvPr>
        <xdr:cNvSpPr txBox="1">
          <a:spLocks noChangeArrowheads="1"/>
        </xdr:cNvSpPr>
      </xdr:nvSpPr>
      <xdr:spPr bwMode="auto">
        <a:xfrm>
          <a:off x="4724401" y="6410325"/>
          <a:ext cx="19050" cy="40957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24" name="Text Box 216">
          <a:extLst>
            <a:ext uri="{FF2B5EF4-FFF2-40B4-BE49-F238E27FC236}">
              <a16:creationId xmlns:a16="http://schemas.microsoft.com/office/drawing/2014/main" id="{00000000-0008-0000-0B00-000038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25" name="Text Box 217">
          <a:extLst>
            <a:ext uri="{FF2B5EF4-FFF2-40B4-BE49-F238E27FC236}">
              <a16:creationId xmlns:a16="http://schemas.microsoft.com/office/drawing/2014/main" id="{00000000-0008-0000-0B00-000039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26" name="Text Box 218">
          <a:extLst>
            <a:ext uri="{FF2B5EF4-FFF2-40B4-BE49-F238E27FC236}">
              <a16:creationId xmlns:a16="http://schemas.microsoft.com/office/drawing/2014/main" id="{00000000-0008-0000-0B00-00003A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27" name="Text Box 219">
          <a:extLst>
            <a:ext uri="{FF2B5EF4-FFF2-40B4-BE49-F238E27FC236}">
              <a16:creationId xmlns:a16="http://schemas.microsoft.com/office/drawing/2014/main" id="{00000000-0008-0000-0B00-00003B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28" name="Text Box 220">
          <a:extLst>
            <a:ext uri="{FF2B5EF4-FFF2-40B4-BE49-F238E27FC236}">
              <a16:creationId xmlns:a16="http://schemas.microsoft.com/office/drawing/2014/main" id="{00000000-0008-0000-0B00-00003C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29" name="Text Box 221">
          <a:extLst>
            <a:ext uri="{FF2B5EF4-FFF2-40B4-BE49-F238E27FC236}">
              <a16:creationId xmlns:a16="http://schemas.microsoft.com/office/drawing/2014/main" id="{00000000-0008-0000-0B00-00003D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30" name="Text Box 222">
          <a:extLst>
            <a:ext uri="{FF2B5EF4-FFF2-40B4-BE49-F238E27FC236}">
              <a16:creationId xmlns:a16="http://schemas.microsoft.com/office/drawing/2014/main" id="{00000000-0008-0000-0B00-00003E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31" name="Text Box 223">
          <a:extLst>
            <a:ext uri="{FF2B5EF4-FFF2-40B4-BE49-F238E27FC236}">
              <a16:creationId xmlns:a16="http://schemas.microsoft.com/office/drawing/2014/main" id="{00000000-0008-0000-0B00-00003F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32" name="Text Box 224">
          <a:extLst>
            <a:ext uri="{FF2B5EF4-FFF2-40B4-BE49-F238E27FC236}">
              <a16:creationId xmlns:a16="http://schemas.microsoft.com/office/drawing/2014/main" id="{00000000-0008-0000-0B00-000040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33" name="Text Box 225">
          <a:extLst>
            <a:ext uri="{FF2B5EF4-FFF2-40B4-BE49-F238E27FC236}">
              <a16:creationId xmlns:a16="http://schemas.microsoft.com/office/drawing/2014/main" id="{00000000-0008-0000-0B00-000041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34" name="Text Box 226">
          <a:extLst>
            <a:ext uri="{FF2B5EF4-FFF2-40B4-BE49-F238E27FC236}">
              <a16:creationId xmlns:a16="http://schemas.microsoft.com/office/drawing/2014/main" id="{00000000-0008-0000-0B00-000042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35" name="Text Box 227">
          <a:extLst>
            <a:ext uri="{FF2B5EF4-FFF2-40B4-BE49-F238E27FC236}">
              <a16:creationId xmlns:a16="http://schemas.microsoft.com/office/drawing/2014/main" id="{00000000-0008-0000-0B00-000043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36" name="Text Box 228">
          <a:extLst>
            <a:ext uri="{FF2B5EF4-FFF2-40B4-BE49-F238E27FC236}">
              <a16:creationId xmlns:a16="http://schemas.microsoft.com/office/drawing/2014/main" id="{00000000-0008-0000-0B00-000044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37" name="Text Box 229">
          <a:extLst>
            <a:ext uri="{FF2B5EF4-FFF2-40B4-BE49-F238E27FC236}">
              <a16:creationId xmlns:a16="http://schemas.microsoft.com/office/drawing/2014/main" id="{00000000-0008-0000-0B00-000045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38" name="Text Box 230">
          <a:extLst>
            <a:ext uri="{FF2B5EF4-FFF2-40B4-BE49-F238E27FC236}">
              <a16:creationId xmlns:a16="http://schemas.microsoft.com/office/drawing/2014/main" id="{00000000-0008-0000-0B00-000046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39" name="Text Box 231">
          <a:extLst>
            <a:ext uri="{FF2B5EF4-FFF2-40B4-BE49-F238E27FC236}">
              <a16:creationId xmlns:a16="http://schemas.microsoft.com/office/drawing/2014/main" id="{00000000-0008-0000-0B00-000047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40" name="Text Box 232">
          <a:extLst>
            <a:ext uri="{FF2B5EF4-FFF2-40B4-BE49-F238E27FC236}">
              <a16:creationId xmlns:a16="http://schemas.microsoft.com/office/drawing/2014/main" id="{00000000-0008-0000-0B00-000048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41" name="Text Box 233">
          <a:extLst>
            <a:ext uri="{FF2B5EF4-FFF2-40B4-BE49-F238E27FC236}">
              <a16:creationId xmlns:a16="http://schemas.microsoft.com/office/drawing/2014/main" id="{00000000-0008-0000-0B00-000049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42" name="Text Box 234">
          <a:extLst>
            <a:ext uri="{FF2B5EF4-FFF2-40B4-BE49-F238E27FC236}">
              <a16:creationId xmlns:a16="http://schemas.microsoft.com/office/drawing/2014/main" id="{00000000-0008-0000-0B00-00004A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43" name="Text Box 235">
          <a:extLst>
            <a:ext uri="{FF2B5EF4-FFF2-40B4-BE49-F238E27FC236}">
              <a16:creationId xmlns:a16="http://schemas.microsoft.com/office/drawing/2014/main" id="{00000000-0008-0000-0B00-00004B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44" name="Text Box 237">
          <a:extLst>
            <a:ext uri="{FF2B5EF4-FFF2-40B4-BE49-F238E27FC236}">
              <a16:creationId xmlns:a16="http://schemas.microsoft.com/office/drawing/2014/main" id="{00000000-0008-0000-0B00-00004C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45" name="Text Box 238">
          <a:extLst>
            <a:ext uri="{FF2B5EF4-FFF2-40B4-BE49-F238E27FC236}">
              <a16:creationId xmlns:a16="http://schemas.microsoft.com/office/drawing/2014/main" id="{00000000-0008-0000-0B00-00004D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46" name="Text Box 239">
          <a:extLst>
            <a:ext uri="{FF2B5EF4-FFF2-40B4-BE49-F238E27FC236}">
              <a16:creationId xmlns:a16="http://schemas.microsoft.com/office/drawing/2014/main" id="{00000000-0008-0000-0B00-00004E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47" name="Text Box 240">
          <a:extLst>
            <a:ext uri="{FF2B5EF4-FFF2-40B4-BE49-F238E27FC236}">
              <a16:creationId xmlns:a16="http://schemas.microsoft.com/office/drawing/2014/main" id="{00000000-0008-0000-0B00-00004F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35</xdr:row>
      <xdr:rowOff>19050</xdr:rowOff>
    </xdr:from>
    <xdr:to>
      <xdr:col>3</xdr:col>
      <xdr:colOff>347663</xdr:colOff>
      <xdr:row>36</xdr:row>
      <xdr:rowOff>28575</xdr:rowOff>
    </xdr:to>
    <xdr:sp macro="" textlink="">
      <xdr:nvSpPr>
        <xdr:cNvPr id="848" name="Text Box 241">
          <a:extLst>
            <a:ext uri="{FF2B5EF4-FFF2-40B4-BE49-F238E27FC236}">
              <a16:creationId xmlns:a16="http://schemas.microsoft.com/office/drawing/2014/main" id="{00000000-0008-0000-0B00-000050030000}"/>
            </a:ext>
          </a:extLst>
        </xdr:cNvPr>
        <xdr:cNvSpPr txBox="1">
          <a:spLocks noChangeArrowheads="1"/>
        </xdr:cNvSpPr>
      </xdr:nvSpPr>
      <xdr:spPr bwMode="auto">
        <a:xfrm>
          <a:off x="4724401" y="5453063"/>
          <a:ext cx="19050"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26</xdr:row>
      <xdr:rowOff>0</xdr:rowOff>
    </xdr:from>
    <xdr:to>
      <xdr:col>4</xdr:col>
      <xdr:colOff>9525</xdr:colOff>
      <xdr:row>28</xdr:row>
      <xdr:rowOff>28575</xdr:rowOff>
    </xdr:to>
    <xdr:sp macro="" textlink="">
      <xdr:nvSpPr>
        <xdr:cNvPr id="849" name="Text Box 187">
          <a:extLst>
            <a:ext uri="{FF2B5EF4-FFF2-40B4-BE49-F238E27FC236}">
              <a16:creationId xmlns:a16="http://schemas.microsoft.com/office/drawing/2014/main" id="{00000000-0008-0000-0B00-000051030000}"/>
            </a:ext>
          </a:extLst>
        </xdr:cNvPr>
        <xdr:cNvSpPr txBox="1">
          <a:spLocks noChangeArrowheads="1"/>
        </xdr:cNvSpPr>
      </xdr:nvSpPr>
      <xdr:spPr bwMode="auto">
        <a:xfrm>
          <a:off x="4733926" y="4000500"/>
          <a:ext cx="80962" cy="4333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34</xdr:row>
      <xdr:rowOff>0</xdr:rowOff>
    </xdr:from>
    <xdr:to>
      <xdr:col>4</xdr:col>
      <xdr:colOff>9525</xdr:colOff>
      <xdr:row>35</xdr:row>
      <xdr:rowOff>66675</xdr:rowOff>
    </xdr:to>
    <xdr:sp macro="" textlink="">
      <xdr:nvSpPr>
        <xdr:cNvPr id="850" name="Text Box 188">
          <a:extLst>
            <a:ext uri="{FF2B5EF4-FFF2-40B4-BE49-F238E27FC236}">
              <a16:creationId xmlns:a16="http://schemas.microsoft.com/office/drawing/2014/main" id="{00000000-0008-0000-0B00-000052030000}"/>
            </a:ext>
          </a:extLst>
        </xdr:cNvPr>
        <xdr:cNvSpPr txBox="1">
          <a:spLocks noChangeArrowheads="1"/>
        </xdr:cNvSpPr>
      </xdr:nvSpPr>
      <xdr:spPr bwMode="auto">
        <a:xfrm>
          <a:off x="4733926" y="5305425"/>
          <a:ext cx="80962" cy="195263"/>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35</xdr:row>
      <xdr:rowOff>19050</xdr:rowOff>
    </xdr:from>
    <xdr:to>
      <xdr:col>4</xdr:col>
      <xdr:colOff>9525</xdr:colOff>
      <xdr:row>36</xdr:row>
      <xdr:rowOff>47625</xdr:rowOff>
    </xdr:to>
    <xdr:sp macro="" textlink="">
      <xdr:nvSpPr>
        <xdr:cNvPr id="851" name="Text Box 189">
          <a:extLst>
            <a:ext uri="{FF2B5EF4-FFF2-40B4-BE49-F238E27FC236}">
              <a16:creationId xmlns:a16="http://schemas.microsoft.com/office/drawing/2014/main" id="{00000000-0008-0000-0B00-000053030000}"/>
            </a:ext>
          </a:extLst>
        </xdr:cNvPr>
        <xdr:cNvSpPr txBox="1">
          <a:spLocks noChangeArrowheads="1"/>
        </xdr:cNvSpPr>
      </xdr:nvSpPr>
      <xdr:spPr bwMode="auto">
        <a:xfrm>
          <a:off x="4733926" y="5453063"/>
          <a:ext cx="80962" cy="15716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35</xdr:row>
      <xdr:rowOff>19050</xdr:rowOff>
    </xdr:from>
    <xdr:to>
      <xdr:col>4</xdr:col>
      <xdr:colOff>9525</xdr:colOff>
      <xdr:row>36</xdr:row>
      <xdr:rowOff>47625</xdr:rowOff>
    </xdr:to>
    <xdr:sp macro="" textlink="">
      <xdr:nvSpPr>
        <xdr:cNvPr id="852" name="Text Box 190">
          <a:extLst>
            <a:ext uri="{FF2B5EF4-FFF2-40B4-BE49-F238E27FC236}">
              <a16:creationId xmlns:a16="http://schemas.microsoft.com/office/drawing/2014/main" id="{00000000-0008-0000-0B00-000054030000}"/>
            </a:ext>
          </a:extLst>
        </xdr:cNvPr>
        <xdr:cNvSpPr txBox="1">
          <a:spLocks noChangeArrowheads="1"/>
        </xdr:cNvSpPr>
      </xdr:nvSpPr>
      <xdr:spPr bwMode="auto">
        <a:xfrm>
          <a:off x="4733926" y="5453063"/>
          <a:ext cx="80962" cy="15716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35</xdr:row>
      <xdr:rowOff>19050</xdr:rowOff>
    </xdr:from>
    <xdr:to>
      <xdr:col>4</xdr:col>
      <xdr:colOff>9525</xdr:colOff>
      <xdr:row>36</xdr:row>
      <xdr:rowOff>47625</xdr:rowOff>
    </xdr:to>
    <xdr:sp macro="" textlink="">
      <xdr:nvSpPr>
        <xdr:cNvPr id="853" name="Text Box 191">
          <a:extLst>
            <a:ext uri="{FF2B5EF4-FFF2-40B4-BE49-F238E27FC236}">
              <a16:creationId xmlns:a16="http://schemas.microsoft.com/office/drawing/2014/main" id="{00000000-0008-0000-0B00-000055030000}"/>
            </a:ext>
          </a:extLst>
        </xdr:cNvPr>
        <xdr:cNvSpPr txBox="1">
          <a:spLocks noChangeArrowheads="1"/>
        </xdr:cNvSpPr>
      </xdr:nvSpPr>
      <xdr:spPr bwMode="auto">
        <a:xfrm>
          <a:off x="4733926" y="5453063"/>
          <a:ext cx="80962" cy="15716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35</xdr:row>
      <xdr:rowOff>19050</xdr:rowOff>
    </xdr:from>
    <xdr:to>
      <xdr:col>4</xdr:col>
      <xdr:colOff>9525</xdr:colOff>
      <xdr:row>36</xdr:row>
      <xdr:rowOff>47625</xdr:rowOff>
    </xdr:to>
    <xdr:sp macro="" textlink="">
      <xdr:nvSpPr>
        <xdr:cNvPr id="854" name="Text Box 192">
          <a:extLst>
            <a:ext uri="{FF2B5EF4-FFF2-40B4-BE49-F238E27FC236}">
              <a16:creationId xmlns:a16="http://schemas.microsoft.com/office/drawing/2014/main" id="{00000000-0008-0000-0B00-000056030000}"/>
            </a:ext>
          </a:extLst>
        </xdr:cNvPr>
        <xdr:cNvSpPr txBox="1">
          <a:spLocks noChangeArrowheads="1"/>
        </xdr:cNvSpPr>
      </xdr:nvSpPr>
      <xdr:spPr bwMode="auto">
        <a:xfrm>
          <a:off x="4733926" y="5453063"/>
          <a:ext cx="80962" cy="15716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36</xdr:row>
      <xdr:rowOff>9525</xdr:rowOff>
    </xdr:from>
    <xdr:to>
      <xdr:col>4</xdr:col>
      <xdr:colOff>9525</xdr:colOff>
      <xdr:row>37</xdr:row>
      <xdr:rowOff>285750</xdr:rowOff>
    </xdr:to>
    <xdr:sp macro="" textlink="">
      <xdr:nvSpPr>
        <xdr:cNvPr id="855" name="Text Box 193">
          <a:extLst>
            <a:ext uri="{FF2B5EF4-FFF2-40B4-BE49-F238E27FC236}">
              <a16:creationId xmlns:a16="http://schemas.microsoft.com/office/drawing/2014/main" id="{00000000-0008-0000-0B00-000057030000}"/>
            </a:ext>
          </a:extLst>
        </xdr:cNvPr>
        <xdr:cNvSpPr txBox="1">
          <a:spLocks noChangeArrowheads="1"/>
        </xdr:cNvSpPr>
      </xdr:nvSpPr>
      <xdr:spPr bwMode="auto">
        <a:xfrm>
          <a:off x="4733926" y="5572125"/>
          <a:ext cx="80962" cy="24765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36</xdr:row>
      <xdr:rowOff>9525</xdr:rowOff>
    </xdr:from>
    <xdr:to>
      <xdr:col>4</xdr:col>
      <xdr:colOff>9525</xdr:colOff>
      <xdr:row>37</xdr:row>
      <xdr:rowOff>285750</xdr:rowOff>
    </xdr:to>
    <xdr:sp macro="" textlink="">
      <xdr:nvSpPr>
        <xdr:cNvPr id="856" name="Text Box 194">
          <a:extLst>
            <a:ext uri="{FF2B5EF4-FFF2-40B4-BE49-F238E27FC236}">
              <a16:creationId xmlns:a16="http://schemas.microsoft.com/office/drawing/2014/main" id="{00000000-0008-0000-0B00-000058030000}"/>
            </a:ext>
          </a:extLst>
        </xdr:cNvPr>
        <xdr:cNvSpPr txBox="1">
          <a:spLocks noChangeArrowheads="1"/>
        </xdr:cNvSpPr>
      </xdr:nvSpPr>
      <xdr:spPr bwMode="auto">
        <a:xfrm>
          <a:off x="4733926" y="5572125"/>
          <a:ext cx="80962" cy="24765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36</xdr:row>
      <xdr:rowOff>9525</xdr:rowOff>
    </xdr:from>
    <xdr:to>
      <xdr:col>4</xdr:col>
      <xdr:colOff>9525</xdr:colOff>
      <xdr:row>37</xdr:row>
      <xdr:rowOff>285750</xdr:rowOff>
    </xdr:to>
    <xdr:sp macro="" textlink="">
      <xdr:nvSpPr>
        <xdr:cNvPr id="857" name="Text Box 195">
          <a:extLst>
            <a:ext uri="{FF2B5EF4-FFF2-40B4-BE49-F238E27FC236}">
              <a16:creationId xmlns:a16="http://schemas.microsoft.com/office/drawing/2014/main" id="{00000000-0008-0000-0B00-000059030000}"/>
            </a:ext>
          </a:extLst>
        </xdr:cNvPr>
        <xdr:cNvSpPr txBox="1">
          <a:spLocks noChangeArrowheads="1"/>
        </xdr:cNvSpPr>
      </xdr:nvSpPr>
      <xdr:spPr bwMode="auto">
        <a:xfrm>
          <a:off x="4733926" y="5572125"/>
          <a:ext cx="80962" cy="24765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26</xdr:row>
      <xdr:rowOff>0</xdr:rowOff>
    </xdr:from>
    <xdr:to>
      <xdr:col>4</xdr:col>
      <xdr:colOff>9525</xdr:colOff>
      <xdr:row>28</xdr:row>
      <xdr:rowOff>28575</xdr:rowOff>
    </xdr:to>
    <xdr:sp macro="" textlink="">
      <xdr:nvSpPr>
        <xdr:cNvPr id="858" name="Text Box 193">
          <a:extLst>
            <a:ext uri="{FF2B5EF4-FFF2-40B4-BE49-F238E27FC236}">
              <a16:creationId xmlns:a16="http://schemas.microsoft.com/office/drawing/2014/main" id="{00000000-0008-0000-0B00-00005A030000}"/>
            </a:ext>
          </a:extLst>
        </xdr:cNvPr>
        <xdr:cNvSpPr txBox="1">
          <a:spLocks noChangeArrowheads="1"/>
        </xdr:cNvSpPr>
      </xdr:nvSpPr>
      <xdr:spPr bwMode="auto">
        <a:xfrm>
          <a:off x="4733926" y="4000500"/>
          <a:ext cx="80962" cy="4333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26</xdr:row>
      <xdr:rowOff>0</xdr:rowOff>
    </xdr:from>
    <xdr:to>
      <xdr:col>4</xdr:col>
      <xdr:colOff>9525</xdr:colOff>
      <xdr:row>28</xdr:row>
      <xdr:rowOff>28575</xdr:rowOff>
    </xdr:to>
    <xdr:sp macro="" textlink="">
      <xdr:nvSpPr>
        <xdr:cNvPr id="859" name="Text Box 194">
          <a:extLst>
            <a:ext uri="{FF2B5EF4-FFF2-40B4-BE49-F238E27FC236}">
              <a16:creationId xmlns:a16="http://schemas.microsoft.com/office/drawing/2014/main" id="{00000000-0008-0000-0B00-00005B030000}"/>
            </a:ext>
          </a:extLst>
        </xdr:cNvPr>
        <xdr:cNvSpPr txBox="1">
          <a:spLocks noChangeArrowheads="1"/>
        </xdr:cNvSpPr>
      </xdr:nvSpPr>
      <xdr:spPr bwMode="auto">
        <a:xfrm>
          <a:off x="4733926" y="4000500"/>
          <a:ext cx="80962" cy="4333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26</xdr:row>
      <xdr:rowOff>0</xdr:rowOff>
    </xdr:from>
    <xdr:to>
      <xdr:col>4</xdr:col>
      <xdr:colOff>9525</xdr:colOff>
      <xdr:row>28</xdr:row>
      <xdr:rowOff>28575</xdr:rowOff>
    </xdr:to>
    <xdr:sp macro="" textlink="">
      <xdr:nvSpPr>
        <xdr:cNvPr id="860" name="Text Box 195">
          <a:extLst>
            <a:ext uri="{FF2B5EF4-FFF2-40B4-BE49-F238E27FC236}">
              <a16:creationId xmlns:a16="http://schemas.microsoft.com/office/drawing/2014/main" id="{00000000-0008-0000-0B00-00005C030000}"/>
            </a:ext>
          </a:extLst>
        </xdr:cNvPr>
        <xdr:cNvSpPr txBox="1">
          <a:spLocks noChangeArrowheads="1"/>
        </xdr:cNvSpPr>
      </xdr:nvSpPr>
      <xdr:spPr bwMode="auto">
        <a:xfrm>
          <a:off x="4733926" y="4000500"/>
          <a:ext cx="80962" cy="4333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23</xdr:row>
      <xdr:rowOff>0</xdr:rowOff>
    </xdr:from>
    <xdr:to>
      <xdr:col>4</xdr:col>
      <xdr:colOff>9525</xdr:colOff>
      <xdr:row>24</xdr:row>
      <xdr:rowOff>95250</xdr:rowOff>
    </xdr:to>
    <xdr:sp macro="" textlink="">
      <xdr:nvSpPr>
        <xdr:cNvPr id="861" name="Text Box 193">
          <a:extLst>
            <a:ext uri="{FF2B5EF4-FFF2-40B4-BE49-F238E27FC236}">
              <a16:creationId xmlns:a16="http://schemas.microsoft.com/office/drawing/2014/main" id="{00000000-0008-0000-0B00-00005D030000}"/>
            </a:ext>
          </a:extLst>
        </xdr:cNvPr>
        <xdr:cNvSpPr txBox="1">
          <a:spLocks noChangeArrowheads="1"/>
        </xdr:cNvSpPr>
      </xdr:nvSpPr>
      <xdr:spPr bwMode="auto">
        <a:xfrm>
          <a:off x="4733926" y="3357563"/>
          <a:ext cx="80962" cy="22383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23</xdr:row>
      <xdr:rowOff>0</xdr:rowOff>
    </xdr:from>
    <xdr:to>
      <xdr:col>4</xdr:col>
      <xdr:colOff>9525</xdr:colOff>
      <xdr:row>24</xdr:row>
      <xdr:rowOff>95250</xdr:rowOff>
    </xdr:to>
    <xdr:sp macro="" textlink="">
      <xdr:nvSpPr>
        <xdr:cNvPr id="862" name="Text Box 194">
          <a:extLst>
            <a:ext uri="{FF2B5EF4-FFF2-40B4-BE49-F238E27FC236}">
              <a16:creationId xmlns:a16="http://schemas.microsoft.com/office/drawing/2014/main" id="{00000000-0008-0000-0B00-00005E030000}"/>
            </a:ext>
          </a:extLst>
        </xdr:cNvPr>
        <xdr:cNvSpPr txBox="1">
          <a:spLocks noChangeArrowheads="1"/>
        </xdr:cNvSpPr>
      </xdr:nvSpPr>
      <xdr:spPr bwMode="auto">
        <a:xfrm>
          <a:off x="4733926" y="3357563"/>
          <a:ext cx="80962" cy="22383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23</xdr:row>
      <xdr:rowOff>0</xdr:rowOff>
    </xdr:from>
    <xdr:to>
      <xdr:col>4</xdr:col>
      <xdr:colOff>9525</xdr:colOff>
      <xdr:row>24</xdr:row>
      <xdr:rowOff>95250</xdr:rowOff>
    </xdr:to>
    <xdr:sp macro="" textlink="">
      <xdr:nvSpPr>
        <xdr:cNvPr id="863" name="Text Box 195">
          <a:extLst>
            <a:ext uri="{FF2B5EF4-FFF2-40B4-BE49-F238E27FC236}">
              <a16:creationId xmlns:a16="http://schemas.microsoft.com/office/drawing/2014/main" id="{00000000-0008-0000-0B00-00005F030000}"/>
            </a:ext>
          </a:extLst>
        </xdr:cNvPr>
        <xdr:cNvSpPr txBox="1">
          <a:spLocks noChangeArrowheads="1"/>
        </xdr:cNvSpPr>
      </xdr:nvSpPr>
      <xdr:spPr bwMode="auto">
        <a:xfrm>
          <a:off x="4733926" y="3357563"/>
          <a:ext cx="80962" cy="22383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36</xdr:row>
      <xdr:rowOff>9525</xdr:rowOff>
    </xdr:from>
    <xdr:to>
      <xdr:col>4</xdr:col>
      <xdr:colOff>9525</xdr:colOff>
      <xdr:row>37</xdr:row>
      <xdr:rowOff>285750</xdr:rowOff>
    </xdr:to>
    <xdr:sp macro="" textlink="">
      <xdr:nvSpPr>
        <xdr:cNvPr id="864" name="Text Box 193">
          <a:extLst>
            <a:ext uri="{FF2B5EF4-FFF2-40B4-BE49-F238E27FC236}">
              <a16:creationId xmlns:a16="http://schemas.microsoft.com/office/drawing/2014/main" id="{00000000-0008-0000-0B00-000060030000}"/>
            </a:ext>
          </a:extLst>
        </xdr:cNvPr>
        <xdr:cNvSpPr txBox="1">
          <a:spLocks noChangeArrowheads="1"/>
        </xdr:cNvSpPr>
      </xdr:nvSpPr>
      <xdr:spPr bwMode="auto">
        <a:xfrm>
          <a:off x="4733926" y="5572125"/>
          <a:ext cx="80962" cy="24765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36</xdr:row>
      <xdr:rowOff>9525</xdr:rowOff>
    </xdr:from>
    <xdr:to>
      <xdr:col>4</xdr:col>
      <xdr:colOff>9525</xdr:colOff>
      <xdr:row>37</xdr:row>
      <xdr:rowOff>285750</xdr:rowOff>
    </xdr:to>
    <xdr:sp macro="" textlink="">
      <xdr:nvSpPr>
        <xdr:cNvPr id="865" name="Text Box 194">
          <a:extLst>
            <a:ext uri="{FF2B5EF4-FFF2-40B4-BE49-F238E27FC236}">
              <a16:creationId xmlns:a16="http://schemas.microsoft.com/office/drawing/2014/main" id="{00000000-0008-0000-0B00-000061030000}"/>
            </a:ext>
          </a:extLst>
        </xdr:cNvPr>
        <xdr:cNvSpPr txBox="1">
          <a:spLocks noChangeArrowheads="1"/>
        </xdr:cNvSpPr>
      </xdr:nvSpPr>
      <xdr:spPr bwMode="auto">
        <a:xfrm>
          <a:off x="4733926" y="5572125"/>
          <a:ext cx="80962" cy="24765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36</xdr:row>
      <xdr:rowOff>9525</xdr:rowOff>
    </xdr:from>
    <xdr:to>
      <xdr:col>4</xdr:col>
      <xdr:colOff>9525</xdr:colOff>
      <xdr:row>37</xdr:row>
      <xdr:rowOff>285750</xdr:rowOff>
    </xdr:to>
    <xdr:sp macro="" textlink="">
      <xdr:nvSpPr>
        <xdr:cNvPr id="866" name="Text Box 195">
          <a:extLst>
            <a:ext uri="{FF2B5EF4-FFF2-40B4-BE49-F238E27FC236}">
              <a16:creationId xmlns:a16="http://schemas.microsoft.com/office/drawing/2014/main" id="{00000000-0008-0000-0B00-000062030000}"/>
            </a:ext>
          </a:extLst>
        </xdr:cNvPr>
        <xdr:cNvSpPr txBox="1">
          <a:spLocks noChangeArrowheads="1"/>
        </xdr:cNvSpPr>
      </xdr:nvSpPr>
      <xdr:spPr bwMode="auto">
        <a:xfrm>
          <a:off x="4733926" y="5572125"/>
          <a:ext cx="80962" cy="24765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37</xdr:row>
      <xdr:rowOff>219075</xdr:rowOff>
    </xdr:from>
    <xdr:to>
      <xdr:col>4</xdr:col>
      <xdr:colOff>9525</xdr:colOff>
      <xdr:row>39</xdr:row>
      <xdr:rowOff>9525</xdr:rowOff>
    </xdr:to>
    <xdr:sp macro="" textlink="">
      <xdr:nvSpPr>
        <xdr:cNvPr id="867" name="Text Box 193">
          <a:extLst>
            <a:ext uri="{FF2B5EF4-FFF2-40B4-BE49-F238E27FC236}">
              <a16:creationId xmlns:a16="http://schemas.microsoft.com/office/drawing/2014/main" id="{00000000-0008-0000-0B00-000063030000}"/>
            </a:ext>
          </a:extLst>
        </xdr:cNvPr>
        <xdr:cNvSpPr txBox="1">
          <a:spLocks noChangeArrowheads="1"/>
        </xdr:cNvSpPr>
      </xdr:nvSpPr>
      <xdr:spPr bwMode="auto">
        <a:xfrm>
          <a:off x="4733926" y="5819776"/>
          <a:ext cx="80962"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37</xdr:row>
      <xdr:rowOff>219075</xdr:rowOff>
    </xdr:from>
    <xdr:to>
      <xdr:col>4</xdr:col>
      <xdr:colOff>9525</xdr:colOff>
      <xdr:row>39</xdr:row>
      <xdr:rowOff>9525</xdr:rowOff>
    </xdr:to>
    <xdr:sp macro="" textlink="">
      <xdr:nvSpPr>
        <xdr:cNvPr id="868" name="Text Box 194">
          <a:extLst>
            <a:ext uri="{FF2B5EF4-FFF2-40B4-BE49-F238E27FC236}">
              <a16:creationId xmlns:a16="http://schemas.microsoft.com/office/drawing/2014/main" id="{00000000-0008-0000-0B00-000064030000}"/>
            </a:ext>
          </a:extLst>
        </xdr:cNvPr>
        <xdr:cNvSpPr txBox="1">
          <a:spLocks noChangeArrowheads="1"/>
        </xdr:cNvSpPr>
      </xdr:nvSpPr>
      <xdr:spPr bwMode="auto">
        <a:xfrm>
          <a:off x="4733926" y="5819776"/>
          <a:ext cx="80962"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37</xdr:row>
      <xdr:rowOff>219075</xdr:rowOff>
    </xdr:from>
    <xdr:to>
      <xdr:col>4</xdr:col>
      <xdr:colOff>9525</xdr:colOff>
      <xdr:row>39</xdr:row>
      <xdr:rowOff>9525</xdr:rowOff>
    </xdr:to>
    <xdr:sp macro="" textlink="">
      <xdr:nvSpPr>
        <xdr:cNvPr id="869" name="Text Box 195">
          <a:extLst>
            <a:ext uri="{FF2B5EF4-FFF2-40B4-BE49-F238E27FC236}">
              <a16:creationId xmlns:a16="http://schemas.microsoft.com/office/drawing/2014/main" id="{00000000-0008-0000-0B00-000065030000}"/>
            </a:ext>
          </a:extLst>
        </xdr:cNvPr>
        <xdr:cNvSpPr txBox="1">
          <a:spLocks noChangeArrowheads="1"/>
        </xdr:cNvSpPr>
      </xdr:nvSpPr>
      <xdr:spPr bwMode="auto">
        <a:xfrm>
          <a:off x="4733926" y="5819776"/>
          <a:ext cx="80962" cy="13811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25</xdr:row>
      <xdr:rowOff>0</xdr:rowOff>
    </xdr:from>
    <xdr:to>
      <xdr:col>4</xdr:col>
      <xdr:colOff>9525</xdr:colOff>
      <xdr:row>27</xdr:row>
      <xdr:rowOff>28575</xdr:rowOff>
    </xdr:to>
    <xdr:sp macro="" textlink="">
      <xdr:nvSpPr>
        <xdr:cNvPr id="870" name="Text Box 187">
          <a:extLst>
            <a:ext uri="{FF2B5EF4-FFF2-40B4-BE49-F238E27FC236}">
              <a16:creationId xmlns:a16="http://schemas.microsoft.com/office/drawing/2014/main" id="{00000000-0008-0000-0B00-000066030000}"/>
            </a:ext>
          </a:extLst>
        </xdr:cNvPr>
        <xdr:cNvSpPr txBox="1">
          <a:spLocks noChangeArrowheads="1"/>
        </xdr:cNvSpPr>
      </xdr:nvSpPr>
      <xdr:spPr bwMode="auto">
        <a:xfrm>
          <a:off x="4733926" y="3743325"/>
          <a:ext cx="80962" cy="4333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25</xdr:row>
      <xdr:rowOff>0</xdr:rowOff>
    </xdr:from>
    <xdr:to>
      <xdr:col>4</xdr:col>
      <xdr:colOff>9525</xdr:colOff>
      <xdr:row>27</xdr:row>
      <xdr:rowOff>28575</xdr:rowOff>
    </xdr:to>
    <xdr:sp macro="" textlink="">
      <xdr:nvSpPr>
        <xdr:cNvPr id="871" name="Text Box 193">
          <a:extLst>
            <a:ext uri="{FF2B5EF4-FFF2-40B4-BE49-F238E27FC236}">
              <a16:creationId xmlns:a16="http://schemas.microsoft.com/office/drawing/2014/main" id="{00000000-0008-0000-0B00-000067030000}"/>
            </a:ext>
          </a:extLst>
        </xdr:cNvPr>
        <xdr:cNvSpPr txBox="1">
          <a:spLocks noChangeArrowheads="1"/>
        </xdr:cNvSpPr>
      </xdr:nvSpPr>
      <xdr:spPr bwMode="auto">
        <a:xfrm>
          <a:off x="4733926" y="3743325"/>
          <a:ext cx="80962" cy="4333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25</xdr:row>
      <xdr:rowOff>0</xdr:rowOff>
    </xdr:from>
    <xdr:to>
      <xdr:col>4</xdr:col>
      <xdr:colOff>9525</xdr:colOff>
      <xdr:row>27</xdr:row>
      <xdr:rowOff>28575</xdr:rowOff>
    </xdr:to>
    <xdr:sp macro="" textlink="">
      <xdr:nvSpPr>
        <xdr:cNvPr id="872" name="Text Box 194">
          <a:extLst>
            <a:ext uri="{FF2B5EF4-FFF2-40B4-BE49-F238E27FC236}">
              <a16:creationId xmlns:a16="http://schemas.microsoft.com/office/drawing/2014/main" id="{00000000-0008-0000-0B00-000068030000}"/>
            </a:ext>
          </a:extLst>
        </xdr:cNvPr>
        <xdr:cNvSpPr txBox="1">
          <a:spLocks noChangeArrowheads="1"/>
        </xdr:cNvSpPr>
      </xdr:nvSpPr>
      <xdr:spPr bwMode="auto">
        <a:xfrm>
          <a:off x="4733926" y="3743325"/>
          <a:ext cx="80962" cy="4333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25</xdr:row>
      <xdr:rowOff>0</xdr:rowOff>
    </xdr:from>
    <xdr:to>
      <xdr:col>4</xdr:col>
      <xdr:colOff>9525</xdr:colOff>
      <xdr:row>27</xdr:row>
      <xdr:rowOff>28575</xdr:rowOff>
    </xdr:to>
    <xdr:sp macro="" textlink="">
      <xdr:nvSpPr>
        <xdr:cNvPr id="873" name="Text Box 195">
          <a:extLst>
            <a:ext uri="{FF2B5EF4-FFF2-40B4-BE49-F238E27FC236}">
              <a16:creationId xmlns:a16="http://schemas.microsoft.com/office/drawing/2014/main" id="{00000000-0008-0000-0B00-000069030000}"/>
            </a:ext>
          </a:extLst>
        </xdr:cNvPr>
        <xdr:cNvSpPr txBox="1">
          <a:spLocks noChangeArrowheads="1"/>
        </xdr:cNvSpPr>
      </xdr:nvSpPr>
      <xdr:spPr bwMode="auto">
        <a:xfrm>
          <a:off x="4733926" y="3743325"/>
          <a:ext cx="80962" cy="4333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24</xdr:row>
      <xdr:rowOff>0</xdr:rowOff>
    </xdr:from>
    <xdr:to>
      <xdr:col>4</xdr:col>
      <xdr:colOff>9525</xdr:colOff>
      <xdr:row>24</xdr:row>
      <xdr:rowOff>285750</xdr:rowOff>
    </xdr:to>
    <xdr:sp macro="" textlink="">
      <xdr:nvSpPr>
        <xdr:cNvPr id="874" name="Text Box 193">
          <a:extLst>
            <a:ext uri="{FF2B5EF4-FFF2-40B4-BE49-F238E27FC236}">
              <a16:creationId xmlns:a16="http://schemas.microsoft.com/office/drawing/2014/main" id="{00000000-0008-0000-0B00-00006A030000}"/>
            </a:ext>
          </a:extLst>
        </xdr:cNvPr>
        <xdr:cNvSpPr txBox="1">
          <a:spLocks noChangeArrowheads="1"/>
        </xdr:cNvSpPr>
      </xdr:nvSpPr>
      <xdr:spPr bwMode="auto">
        <a:xfrm>
          <a:off x="4733926" y="3486150"/>
          <a:ext cx="80962"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24</xdr:row>
      <xdr:rowOff>0</xdr:rowOff>
    </xdr:from>
    <xdr:to>
      <xdr:col>4</xdr:col>
      <xdr:colOff>9525</xdr:colOff>
      <xdr:row>24</xdr:row>
      <xdr:rowOff>285750</xdr:rowOff>
    </xdr:to>
    <xdr:sp macro="" textlink="">
      <xdr:nvSpPr>
        <xdr:cNvPr id="875" name="Text Box 194">
          <a:extLst>
            <a:ext uri="{FF2B5EF4-FFF2-40B4-BE49-F238E27FC236}">
              <a16:creationId xmlns:a16="http://schemas.microsoft.com/office/drawing/2014/main" id="{00000000-0008-0000-0B00-00006B030000}"/>
            </a:ext>
          </a:extLst>
        </xdr:cNvPr>
        <xdr:cNvSpPr txBox="1">
          <a:spLocks noChangeArrowheads="1"/>
        </xdr:cNvSpPr>
      </xdr:nvSpPr>
      <xdr:spPr bwMode="auto">
        <a:xfrm>
          <a:off x="4733926" y="3486150"/>
          <a:ext cx="80962"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24</xdr:row>
      <xdr:rowOff>0</xdr:rowOff>
    </xdr:from>
    <xdr:to>
      <xdr:col>4</xdr:col>
      <xdr:colOff>9525</xdr:colOff>
      <xdr:row>24</xdr:row>
      <xdr:rowOff>285750</xdr:rowOff>
    </xdr:to>
    <xdr:sp macro="" textlink="">
      <xdr:nvSpPr>
        <xdr:cNvPr id="876" name="Text Box 195">
          <a:extLst>
            <a:ext uri="{FF2B5EF4-FFF2-40B4-BE49-F238E27FC236}">
              <a16:creationId xmlns:a16="http://schemas.microsoft.com/office/drawing/2014/main" id="{00000000-0008-0000-0B00-00006C030000}"/>
            </a:ext>
          </a:extLst>
        </xdr:cNvPr>
        <xdr:cNvSpPr txBox="1">
          <a:spLocks noChangeArrowheads="1"/>
        </xdr:cNvSpPr>
      </xdr:nvSpPr>
      <xdr:spPr bwMode="auto">
        <a:xfrm>
          <a:off x="4733926" y="3486150"/>
          <a:ext cx="80962"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77" name="Text Box 1">
          <a:extLst>
            <a:ext uri="{FF2B5EF4-FFF2-40B4-BE49-F238E27FC236}">
              <a16:creationId xmlns:a16="http://schemas.microsoft.com/office/drawing/2014/main" id="{00000000-0008-0000-0B00-00006D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78" name="Text Box 23">
          <a:extLst>
            <a:ext uri="{FF2B5EF4-FFF2-40B4-BE49-F238E27FC236}">
              <a16:creationId xmlns:a16="http://schemas.microsoft.com/office/drawing/2014/main" id="{00000000-0008-0000-0B00-00006E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79" name="Text Box 24">
          <a:extLst>
            <a:ext uri="{FF2B5EF4-FFF2-40B4-BE49-F238E27FC236}">
              <a16:creationId xmlns:a16="http://schemas.microsoft.com/office/drawing/2014/main" id="{00000000-0008-0000-0B00-00006F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80" name="Text Box 25">
          <a:extLst>
            <a:ext uri="{FF2B5EF4-FFF2-40B4-BE49-F238E27FC236}">
              <a16:creationId xmlns:a16="http://schemas.microsoft.com/office/drawing/2014/main" id="{00000000-0008-0000-0B00-000070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81" name="Text Box 26">
          <a:extLst>
            <a:ext uri="{FF2B5EF4-FFF2-40B4-BE49-F238E27FC236}">
              <a16:creationId xmlns:a16="http://schemas.microsoft.com/office/drawing/2014/main" id="{00000000-0008-0000-0B00-000071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82" name="Text Box 27">
          <a:extLst>
            <a:ext uri="{FF2B5EF4-FFF2-40B4-BE49-F238E27FC236}">
              <a16:creationId xmlns:a16="http://schemas.microsoft.com/office/drawing/2014/main" id="{00000000-0008-0000-0B00-000072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83" name="Text Box 28">
          <a:extLst>
            <a:ext uri="{FF2B5EF4-FFF2-40B4-BE49-F238E27FC236}">
              <a16:creationId xmlns:a16="http://schemas.microsoft.com/office/drawing/2014/main" id="{00000000-0008-0000-0B00-000073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84" name="Text Box 29">
          <a:extLst>
            <a:ext uri="{FF2B5EF4-FFF2-40B4-BE49-F238E27FC236}">
              <a16:creationId xmlns:a16="http://schemas.microsoft.com/office/drawing/2014/main" id="{00000000-0008-0000-0B00-000074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85" name="Text Box 30">
          <a:extLst>
            <a:ext uri="{FF2B5EF4-FFF2-40B4-BE49-F238E27FC236}">
              <a16:creationId xmlns:a16="http://schemas.microsoft.com/office/drawing/2014/main" id="{00000000-0008-0000-0B00-000075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86" name="Text Box 31">
          <a:extLst>
            <a:ext uri="{FF2B5EF4-FFF2-40B4-BE49-F238E27FC236}">
              <a16:creationId xmlns:a16="http://schemas.microsoft.com/office/drawing/2014/main" id="{00000000-0008-0000-0B00-000076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87" name="Text Box 32">
          <a:extLst>
            <a:ext uri="{FF2B5EF4-FFF2-40B4-BE49-F238E27FC236}">
              <a16:creationId xmlns:a16="http://schemas.microsoft.com/office/drawing/2014/main" id="{00000000-0008-0000-0B00-000077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88" name="Text Box 33">
          <a:extLst>
            <a:ext uri="{FF2B5EF4-FFF2-40B4-BE49-F238E27FC236}">
              <a16:creationId xmlns:a16="http://schemas.microsoft.com/office/drawing/2014/main" id="{00000000-0008-0000-0B00-000078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89" name="Text Box 34">
          <a:extLst>
            <a:ext uri="{FF2B5EF4-FFF2-40B4-BE49-F238E27FC236}">
              <a16:creationId xmlns:a16="http://schemas.microsoft.com/office/drawing/2014/main" id="{00000000-0008-0000-0B00-000079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90" name="Text Box 35">
          <a:extLst>
            <a:ext uri="{FF2B5EF4-FFF2-40B4-BE49-F238E27FC236}">
              <a16:creationId xmlns:a16="http://schemas.microsoft.com/office/drawing/2014/main" id="{00000000-0008-0000-0B00-00007A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91" name="Text Box 36">
          <a:extLst>
            <a:ext uri="{FF2B5EF4-FFF2-40B4-BE49-F238E27FC236}">
              <a16:creationId xmlns:a16="http://schemas.microsoft.com/office/drawing/2014/main" id="{00000000-0008-0000-0B00-00007B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92" name="Text Box 37">
          <a:extLst>
            <a:ext uri="{FF2B5EF4-FFF2-40B4-BE49-F238E27FC236}">
              <a16:creationId xmlns:a16="http://schemas.microsoft.com/office/drawing/2014/main" id="{00000000-0008-0000-0B00-00007C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93" name="Text Box 38">
          <a:extLst>
            <a:ext uri="{FF2B5EF4-FFF2-40B4-BE49-F238E27FC236}">
              <a16:creationId xmlns:a16="http://schemas.microsoft.com/office/drawing/2014/main" id="{00000000-0008-0000-0B00-00007D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94" name="Text Box 39">
          <a:extLst>
            <a:ext uri="{FF2B5EF4-FFF2-40B4-BE49-F238E27FC236}">
              <a16:creationId xmlns:a16="http://schemas.microsoft.com/office/drawing/2014/main" id="{00000000-0008-0000-0B00-00007E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95" name="Text Box 40">
          <a:extLst>
            <a:ext uri="{FF2B5EF4-FFF2-40B4-BE49-F238E27FC236}">
              <a16:creationId xmlns:a16="http://schemas.microsoft.com/office/drawing/2014/main" id="{00000000-0008-0000-0B00-00007F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96" name="Text Box 41">
          <a:extLst>
            <a:ext uri="{FF2B5EF4-FFF2-40B4-BE49-F238E27FC236}">
              <a16:creationId xmlns:a16="http://schemas.microsoft.com/office/drawing/2014/main" id="{00000000-0008-0000-0B00-000080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97" name="Text Box 42">
          <a:extLst>
            <a:ext uri="{FF2B5EF4-FFF2-40B4-BE49-F238E27FC236}">
              <a16:creationId xmlns:a16="http://schemas.microsoft.com/office/drawing/2014/main" id="{00000000-0008-0000-0B00-000081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98" name="Text Box 43">
          <a:extLst>
            <a:ext uri="{FF2B5EF4-FFF2-40B4-BE49-F238E27FC236}">
              <a16:creationId xmlns:a16="http://schemas.microsoft.com/office/drawing/2014/main" id="{00000000-0008-0000-0B00-000082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899" name="Text Box 44">
          <a:extLst>
            <a:ext uri="{FF2B5EF4-FFF2-40B4-BE49-F238E27FC236}">
              <a16:creationId xmlns:a16="http://schemas.microsoft.com/office/drawing/2014/main" id="{00000000-0008-0000-0B00-000083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00" name="Text Box 45">
          <a:extLst>
            <a:ext uri="{FF2B5EF4-FFF2-40B4-BE49-F238E27FC236}">
              <a16:creationId xmlns:a16="http://schemas.microsoft.com/office/drawing/2014/main" id="{00000000-0008-0000-0B00-000084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01" name="Text Box 46">
          <a:extLst>
            <a:ext uri="{FF2B5EF4-FFF2-40B4-BE49-F238E27FC236}">
              <a16:creationId xmlns:a16="http://schemas.microsoft.com/office/drawing/2014/main" id="{00000000-0008-0000-0B00-000085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02" name="Text Box 47">
          <a:extLst>
            <a:ext uri="{FF2B5EF4-FFF2-40B4-BE49-F238E27FC236}">
              <a16:creationId xmlns:a16="http://schemas.microsoft.com/office/drawing/2014/main" id="{00000000-0008-0000-0B00-000086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03" name="Text Box 48">
          <a:extLst>
            <a:ext uri="{FF2B5EF4-FFF2-40B4-BE49-F238E27FC236}">
              <a16:creationId xmlns:a16="http://schemas.microsoft.com/office/drawing/2014/main" id="{00000000-0008-0000-0B00-000087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04" name="Text Box 49">
          <a:extLst>
            <a:ext uri="{FF2B5EF4-FFF2-40B4-BE49-F238E27FC236}">
              <a16:creationId xmlns:a16="http://schemas.microsoft.com/office/drawing/2014/main" id="{00000000-0008-0000-0B00-000088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05" name="Text Box 50">
          <a:extLst>
            <a:ext uri="{FF2B5EF4-FFF2-40B4-BE49-F238E27FC236}">
              <a16:creationId xmlns:a16="http://schemas.microsoft.com/office/drawing/2014/main" id="{00000000-0008-0000-0B00-000089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06" name="Text Box 51">
          <a:extLst>
            <a:ext uri="{FF2B5EF4-FFF2-40B4-BE49-F238E27FC236}">
              <a16:creationId xmlns:a16="http://schemas.microsoft.com/office/drawing/2014/main" id="{00000000-0008-0000-0B00-00008A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07" name="Text Box 52">
          <a:extLst>
            <a:ext uri="{FF2B5EF4-FFF2-40B4-BE49-F238E27FC236}">
              <a16:creationId xmlns:a16="http://schemas.microsoft.com/office/drawing/2014/main" id="{00000000-0008-0000-0B00-00008B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08" name="Text Box 53">
          <a:extLst>
            <a:ext uri="{FF2B5EF4-FFF2-40B4-BE49-F238E27FC236}">
              <a16:creationId xmlns:a16="http://schemas.microsoft.com/office/drawing/2014/main" id="{00000000-0008-0000-0B00-00008C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09" name="Text Box 54">
          <a:extLst>
            <a:ext uri="{FF2B5EF4-FFF2-40B4-BE49-F238E27FC236}">
              <a16:creationId xmlns:a16="http://schemas.microsoft.com/office/drawing/2014/main" id="{00000000-0008-0000-0B00-00008D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10" name="Text Box 55">
          <a:extLst>
            <a:ext uri="{FF2B5EF4-FFF2-40B4-BE49-F238E27FC236}">
              <a16:creationId xmlns:a16="http://schemas.microsoft.com/office/drawing/2014/main" id="{00000000-0008-0000-0B00-00008E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11" name="Text Box 56">
          <a:extLst>
            <a:ext uri="{FF2B5EF4-FFF2-40B4-BE49-F238E27FC236}">
              <a16:creationId xmlns:a16="http://schemas.microsoft.com/office/drawing/2014/main" id="{00000000-0008-0000-0B00-00008F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12" name="Text Box 57">
          <a:extLst>
            <a:ext uri="{FF2B5EF4-FFF2-40B4-BE49-F238E27FC236}">
              <a16:creationId xmlns:a16="http://schemas.microsoft.com/office/drawing/2014/main" id="{00000000-0008-0000-0B00-000090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13" name="Text Box 58">
          <a:extLst>
            <a:ext uri="{FF2B5EF4-FFF2-40B4-BE49-F238E27FC236}">
              <a16:creationId xmlns:a16="http://schemas.microsoft.com/office/drawing/2014/main" id="{00000000-0008-0000-0B00-000091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14" name="Text Box 59">
          <a:extLst>
            <a:ext uri="{FF2B5EF4-FFF2-40B4-BE49-F238E27FC236}">
              <a16:creationId xmlns:a16="http://schemas.microsoft.com/office/drawing/2014/main" id="{00000000-0008-0000-0B00-000092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15" name="Text Box 60">
          <a:extLst>
            <a:ext uri="{FF2B5EF4-FFF2-40B4-BE49-F238E27FC236}">
              <a16:creationId xmlns:a16="http://schemas.microsoft.com/office/drawing/2014/main" id="{00000000-0008-0000-0B00-000093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16" name="Text Box 61">
          <a:extLst>
            <a:ext uri="{FF2B5EF4-FFF2-40B4-BE49-F238E27FC236}">
              <a16:creationId xmlns:a16="http://schemas.microsoft.com/office/drawing/2014/main" id="{00000000-0008-0000-0B00-000094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17" name="Text Box 62">
          <a:extLst>
            <a:ext uri="{FF2B5EF4-FFF2-40B4-BE49-F238E27FC236}">
              <a16:creationId xmlns:a16="http://schemas.microsoft.com/office/drawing/2014/main" id="{00000000-0008-0000-0B00-000095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18" name="Text Box 63">
          <a:extLst>
            <a:ext uri="{FF2B5EF4-FFF2-40B4-BE49-F238E27FC236}">
              <a16:creationId xmlns:a16="http://schemas.microsoft.com/office/drawing/2014/main" id="{00000000-0008-0000-0B00-000096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19" name="Text Box 64">
          <a:extLst>
            <a:ext uri="{FF2B5EF4-FFF2-40B4-BE49-F238E27FC236}">
              <a16:creationId xmlns:a16="http://schemas.microsoft.com/office/drawing/2014/main" id="{00000000-0008-0000-0B00-000097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20" name="Text Box 65">
          <a:extLst>
            <a:ext uri="{FF2B5EF4-FFF2-40B4-BE49-F238E27FC236}">
              <a16:creationId xmlns:a16="http://schemas.microsoft.com/office/drawing/2014/main" id="{00000000-0008-0000-0B00-000098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21" name="Text Box 66">
          <a:extLst>
            <a:ext uri="{FF2B5EF4-FFF2-40B4-BE49-F238E27FC236}">
              <a16:creationId xmlns:a16="http://schemas.microsoft.com/office/drawing/2014/main" id="{00000000-0008-0000-0B00-000099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22" name="Text Box 67">
          <a:extLst>
            <a:ext uri="{FF2B5EF4-FFF2-40B4-BE49-F238E27FC236}">
              <a16:creationId xmlns:a16="http://schemas.microsoft.com/office/drawing/2014/main" id="{00000000-0008-0000-0B00-00009A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23" name="Text Box 68">
          <a:extLst>
            <a:ext uri="{FF2B5EF4-FFF2-40B4-BE49-F238E27FC236}">
              <a16:creationId xmlns:a16="http://schemas.microsoft.com/office/drawing/2014/main" id="{00000000-0008-0000-0B00-00009B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24" name="Text Box 69">
          <a:extLst>
            <a:ext uri="{FF2B5EF4-FFF2-40B4-BE49-F238E27FC236}">
              <a16:creationId xmlns:a16="http://schemas.microsoft.com/office/drawing/2014/main" id="{00000000-0008-0000-0B00-00009C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25" name="Text Box 70">
          <a:extLst>
            <a:ext uri="{FF2B5EF4-FFF2-40B4-BE49-F238E27FC236}">
              <a16:creationId xmlns:a16="http://schemas.microsoft.com/office/drawing/2014/main" id="{00000000-0008-0000-0B00-00009D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9525</xdr:colOff>
      <xdr:row>40</xdr:row>
      <xdr:rowOff>85725</xdr:rowOff>
    </xdr:from>
    <xdr:to>
      <xdr:col>4</xdr:col>
      <xdr:colOff>90488</xdr:colOff>
      <xdr:row>41</xdr:row>
      <xdr:rowOff>85725</xdr:rowOff>
    </xdr:to>
    <xdr:sp macro="" textlink="">
      <xdr:nvSpPr>
        <xdr:cNvPr id="926" name="Text Box 71">
          <a:extLst>
            <a:ext uri="{FF2B5EF4-FFF2-40B4-BE49-F238E27FC236}">
              <a16:creationId xmlns:a16="http://schemas.microsoft.com/office/drawing/2014/main" id="{00000000-0008-0000-0B00-00009E030000}"/>
            </a:ext>
          </a:extLst>
        </xdr:cNvPr>
        <xdr:cNvSpPr txBox="1">
          <a:spLocks noChangeArrowheads="1"/>
        </xdr:cNvSpPr>
      </xdr:nvSpPr>
      <xdr:spPr bwMode="auto">
        <a:xfrm>
          <a:off x="4814888" y="6162675"/>
          <a:ext cx="80963"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27" name="Text Box 72">
          <a:extLst>
            <a:ext uri="{FF2B5EF4-FFF2-40B4-BE49-F238E27FC236}">
              <a16:creationId xmlns:a16="http://schemas.microsoft.com/office/drawing/2014/main" id="{00000000-0008-0000-0B00-00009F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28" name="Text Box 73">
          <a:extLst>
            <a:ext uri="{FF2B5EF4-FFF2-40B4-BE49-F238E27FC236}">
              <a16:creationId xmlns:a16="http://schemas.microsoft.com/office/drawing/2014/main" id="{00000000-0008-0000-0B00-0000A0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29" name="Text Box 77">
          <a:extLst>
            <a:ext uri="{FF2B5EF4-FFF2-40B4-BE49-F238E27FC236}">
              <a16:creationId xmlns:a16="http://schemas.microsoft.com/office/drawing/2014/main" id="{00000000-0008-0000-0B00-0000A1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30" name="Text Box 78">
          <a:extLst>
            <a:ext uri="{FF2B5EF4-FFF2-40B4-BE49-F238E27FC236}">
              <a16:creationId xmlns:a16="http://schemas.microsoft.com/office/drawing/2014/main" id="{00000000-0008-0000-0B00-0000A2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31" name="Text Box 79">
          <a:extLst>
            <a:ext uri="{FF2B5EF4-FFF2-40B4-BE49-F238E27FC236}">
              <a16:creationId xmlns:a16="http://schemas.microsoft.com/office/drawing/2014/main" id="{00000000-0008-0000-0B00-0000A3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32" name="Text Box 80">
          <a:extLst>
            <a:ext uri="{FF2B5EF4-FFF2-40B4-BE49-F238E27FC236}">
              <a16:creationId xmlns:a16="http://schemas.microsoft.com/office/drawing/2014/main" id="{00000000-0008-0000-0B00-0000A4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33" name="Text Box 81">
          <a:extLst>
            <a:ext uri="{FF2B5EF4-FFF2-40B4-BE49-F238E27FC236}">
              <a16:creationId xmlns:a16="http://schemas.microsoft.com/office/drawing/2014/main" id="{00000000-0008-0000-0B00-0000A5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34" name="Text Box 82">
          <a:extLst>
            <a:ext uri="{FF2B5EF4-FFF2-40B4-BE49-F238E27FC236}">
              <a16:creationId xmlns:a16="http://schemas.microsoft.com/office/drawing/2014/main" id="{00000000-0008-0000-0B00-0000A6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35" name="Text Box 84">
          <a:extLst>
            <a:ext uri="{FF2B5EF4-FFF2-40B4-BE49-F238E27FC236}">
              <a16:creationId xmlns:a16="http://schemas.microsoft.com/office/drawing/2014/main" id="{00000000-0008-0000-0B00-0000A7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36" name="Text Box 85">
          <a:extLst>
            <a:ext uri="{FF2B5EF4-FFF2-40B4-BE49-F238E27FC236}">
              <a16:creationId xmlns:a16="http://schemas.microsoft.com/office/drawing/2014/main" id="{00000000-0008-0000-0B00-0000A8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37" name="Text Box 89">
          <a:extLst>
            <a:ext uri="{FF2B5EF4-FFF2-40B4-BE49-F238E27FC236}">
              <a16:creationId xmlns:a16="http://schemas.microsoft.com/office/drawing/2014/main" id="{00000000-0008-0000-0B00-0000A9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38" name="Text Box 90">
          <a:extLst>
            <a:ext uri="{FF2B5EF4-FFF2-40B4-BE49-F238E27FC236}">
              <a16:creationId xmlns:a16="http://schemas.microsoft.com/office/drawing/2014/main" id="{00000000-0008-0000-0B00-0000AA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39" name="Text Box 91">
          <a:extLst>
            <a:ext uri="{FF2B5EF4-FFF2-40B4-BE49-F238E27FC236}">
              <a16:creationId xmlns:a16="http://schemas.microsoft.com/office/drawing/2014/main" id="{00000000-0008-0000-0B00-0000AB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40" name="Text Box 92">
          <a:extLst>
            <a:ext uri="{FF2B5EF4-FFF2-40B4-BE49-F238E27FC236}">
              <a16:creationId xmlns:a16="http://schemas.microsoft.com/office/drawing/2014/main" id="{00000000-0008-0000-0B00-0000AC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41" name="Text Box 93">
          <a:extLst>
            <a:ext uri="{FF2B5EF4-FFF2-40B4-BE49-F238E27FC236}">
              <a16:creationId xmlns:a16="http://schemas.microsoft.com/office/drawing/2014/main" id="{00000000-0008-0000-0B00-0000AD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42" name="Text Box 94">
          <a:extLst>
            <a:ext uri="{FF2B5EF4-FFF2-40B4-BE49-F238E27FC236}">
              <a16:creationId xmlns:a16="http://schemas.microsoft.com/office/drawing/2014/main" id="{00000000-0008-0000-0B00-0000AE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43" name="Text Box 95">
          <a:extLst>
            <a:ext uri="{FF2B5EF4-FFF2-40B4-BE49-F238E27FC236}">
              <a16:creationId xmlns:a16="http://schemas.microsoft.com/office/drawing/2014/main" id="{00000000-0008-0000-0B00-0000AF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44" name="Text Box 96">
          <a:extLst>
            <a:ext uri="{FF2B5EF4-FFF2-40B4-BE49-F238E27FC236}">
              <a16:creationId xmlns:a16="http://schemas.microsoft.com/office/drawing/2014/main" id="{00000000-0008-0000-0B00-0000B0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45" name="Text Box 97">
          <a:extLst>
            <a:ext uri="{FF2B5EF4-FFF2-40B4-BE49-F238E27FC236}">
              <a16:creationId xmlns:a16="http://schemas.microsoft.com/office/drawing/2014/main" id="{00000000-0008-0000-0B00-0000B1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46" name="Text Box 101">
          <a:extLst>
            <a:ext uri="{FF2B5EF4-FFF2-40B4-BE49-F238E27FC236}">
              <a16:creationId xmlns:a16="http://schemas.microsoft.com/office/drawing/2014/main" id="{00000000-0008-0000-0B00-0000B2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47" name="Text Box 102">
          <a:extLst>
            <a:ext uri="{FF2B5EF4-FFF2-40B4-BE49-F238E27FC236}">
              <a16:creationId xmlns:a16="http://schemas.microsoft.com/office/drawing/2014/main" id="{00000000-0008-0000-0B00-0000B3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48" name="Text Box 103">
          <a:extLst>
            <a:ext uri="{FF2B5EF4-FFF2-40B4-BE49-F238E27FC236}">
              <a16:creationId xmlns:a16="http://schemas.microsoft.com/office/drawing/2014/main" id="{00000000-0008-0000-0B00-0000B4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49" name="Text Box 104">
          <a:extLst>
            <a:ext uri="{FF2B5EF4-FFF2-40B4-BE49-F238E27FC236}">
              <a16:creationId xmlns:a16="http://schemas.microsoft.com/office/drawing/2014/main" id="{00000000-0008-0000-0B00-0000B5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50" name="Text Box 105">
          <a:extLst>
            <a:ext uri="{FF2B5EF4-FFF2-40B4-BE49-F238E27FC236}">
              <a16:creationId xmlns:a16="http://schemas.microsoft.com/office/drawing/2014/main" id="{00000000-0008-0000-0B00-0000B6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51" name="Text Box 106">
          <a:extLst>
            <a:ext uri="{FF2B5EF4-FFF2-40B4-BE49-F238E27FC236}">
              <a16:creationId xmlns:a16="http://schemas.microsoft.com/office/drawing/2014/main" id="{00000000-0008-0000-0B00-0000B7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52" name="Text Box 107">
          <a:extLst>
            <a:ext uri="{FF2B5EF4-FFF2-40B4-BE49-F238E27FC236}">
              <a16:creationId xmlns:a16="http://schemas.microsoft.com/office/drawing/2014/main" id="{00000000-0008-0000-0B00-0000B8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53" name="Text Box 108">
          <a:extLst>
            <a:ext uri="{FF2B5EF4-FFF2-40B4-BE49-F238E27FC236}">
              <a16:creationId xmlns:a16="http://schemas.microsoft.com/office/drawing/2014/main" id="{00000000-0008-0000-0B00-0000B9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54" name="Text Box 109">
          <a:extLst>
            <a:ext uri="{FF2B5EF4-FFF2-40B4-BE49-F238E27FC236}">
              <a16:creationId xmlns:a16="http://schemas.microsoft.com/office/drawing/2014/main" id="{00000000-0008-0000-0B00-0000BA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55" name="Text Box 113">
          <a:extLst>
            <a:ext uri="{FF2B5EF4-FFF2-40B4-BE49-F238E27FC236}">
              <a16:creationId xmlns:a16="http://schemas.microsoft.com/office/drawing/2014/main" id="{00000000-0008-0000-0B00-0000BB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56" name="Text Box 114">
          <a:extLst>
            <a:ext uri="{FF2B5EF4-FFF2-40B4-BE49-F238E27FC236}">
              <a16:creationId xmlns:a16="http://schemas.microsoft.com/office/drawing/2014/main" id="{00000000-0008-0000-0B00-0000BC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57" name="Text Box 115">
          <a:extLst>
            <a:ext uri="{FF2B5EF4-FFF2-40B4-BE49-F238E27FC236}">
              <a16:creationId xmlns:a16="http://schemas.microsoft.com/office/drawing/2014/main" id="{00000000-0008-0000-0B00-0000BD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58" name="Text Box 116">
          <a:extLst>
            <a:ext uri="{FF2B5EF4-FFF2-40B4-BE49-F238E27FC236}">
              <a16:creationId xmlns:a16="http://schemas.microsoft.com/office/drawing/2014/main" id="{00000000-0008-0000-0B00-0000BE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59" name="Text Box 117">
          <a:extLst>
            <a:ext uri="{FF2B5EF4-FFF2-40B4-BE49-F238E27FC236}">
              <a16:creationId xmlns:a16="http://schemas.microsoft.com/office/drawing/2014/main" id="{00000000-0008-0000-0B00-0000BF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60" name="Text Box 118">
          <a:extLst>
            <a:ext uri="{FF2B5EF4-FFF2-40B4-BE49-F238E27FC236}">
              <a16:creationId xmlns:a16="http://schemas.microsoft.com/office/drawing/2014/main" id="{00000000-0008-0000-0B00-0000C0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61" name="Text Box 119">
          <a:extLst>
            <a:ext uri="{FF2B5EF4-FFF2-40B4-BE49-F238E27FC236}">
              <a16:creationId xmlns:a16="http://schemas.microsoft.com/office/drawing/2014/main" id="{00000000-0008-0000-0B00-0000C1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62" name="Text Box 120">
          <a:extLst>
            <a:ext uri="{FF2B5EF4-FFF2-40B4-BE49-F238E27FC236}">
              <a16:creationId xmlns:a16="http://schemas.microsoft.com/office/drawing/2014/main" id="{00000000-0008-0000-0B00-0000C2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63" name="Text Box 121">
          <a:extLst>
            <a:ext uri="{FF2B5EF4-FFF2-40B4-BE49-F238E27FC236}">
              <a16:creationId xmlns:a16="http://schemas.microsoft.com/office/drawing/2014/main" id="{00000000-0008-0000-0B00-0000C3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64" name="Text Box 125">
          <a:extLst>
            <a:ext uri="{FF2B5EF4-FFF2-40B4-BE49-F238E27FC236}">
              <a16:creationId xmlns:a16="http://schemas.microsoft.com/office/drawing/2014/main" id="{00000000-0008-0000-0B00-0000C4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65" name="Text Box 126">
          <a:extLst>
            <a:ext uri="{FF2B5EF4-FFF2-40B4-BE49-F238E27FC236}">
              <a16:creationId xmlns:a16="http://schemas.microsoft.com/office/drawing/2014/main" id="{00000000-0008-0000-0B00-0000C5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66" name="Text Box 127">
          <a:extLst>
            <a:ext uri="{FF2B5EF4-FFF2-40B4-BE49-F238E27FC236}">
              <a16:creationId xmlns:a16="http://schemas.microsoft.com/office/drawing/2014/main" id="{00000000-0008-0000-0B00-0000C6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67" name="Text Box 128">
          <a:extLst>
            <a:ext uri="{FF2B5EF4-FFF2-40B4-BE49-F238E27FC236}">
              <a16:creationId xmlns:a16="http://schemas.microsoft.com/office/drawing/2014/main" id="{00000000-0008-0000-0B00-0000C7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68" name="Text Box 129">
          <a:extLst>
            <a:ext uri="{FF2B5EF4-FFF2-40B4-BE49-F238E27FC236}">
              <a16:creationId xmlns:a16="http://schemas.microsoft.com/office/drawing/2014/main" id="{00000000-0008-0000-0B00-0000C8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69" name="Text Box 130">
          <a:extLst>
            <a:ext uri="{FF2B5EF4-FFF2-40B4-BE49-F238E27FC236}">
              <a16:creationId xmlns:a16="http://schemas.microsoft.com/office/drawing/2014/main" id="{00000000-0008-0000-0B00-0000C9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70" name="Text Box 131">
          <a:extLst>
            <a:ext uri="{FF2B5EF4-FFF2-40B4-BE49-F238E27FC236}">
              <a16:creationId xmlns:a16="http://schemas.microsoft.com/office/drawing/2014/main" id="{00000000-0008-0000-0B00-0000CA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71" name="Text Box 132">
          <a:extLst>
            <a:ext uri="{FF2B5EF4-FFF2-40B4-BE49-F238E27FC236}">
              <a16:creationId xmlns:a16="http://schemas.microsoft.com/office/drawing/2014/main" id="{00000000-0008-0000-0B00-0000CB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72" name="Text Box 133">
          <a:extLst>
            <a:ext uri="{FF2B5EF4-FFF2-40B4-BE49-F238E27FC236}">
              <a16:creationId xmlns:a16="http://schemas.microsoft.com/office/drawing/2014/main" id="{00000000-0008-0000-0B00-0000CC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73" name="Text Box 137">
          <a:extLst>
            <a:ext uri="{FF2B5EF4-FFF2-40B4-BE49-F238E27FC236}">
              <a16:creationId xmlns:a16="http://schemas.microsoft.com/office/drawing/2014/main" id="{00000000-0008-0000-0B00-0000CD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74" name="Text Box 138">
          <a:extLst>
            <a:ext uri="{FF2B5EF4-FFF2-40B4-BE49-F238E27FC236}">
              <a16:creationId xmlns:a16="http://schemas.microsoft.com/office/drawing/2014/main" id="{00000000-0008-0000-0B00-0000CE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75" name="Text Box 139">
          <a:extLst>
            <a:ext uri="{FF2B5EF4-FFF2-40B4-BE49-F238E27FC236}">
              <a16:creationId xmlns:a16="http://schemas.microsoft.com/office/drawing/2014/main" id="{00000000-0008-0000-0B00-0000CF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76" name="Text Box 140">
          <a:extLst>
            <a:ext uri="{FF2B5EF4-FFF2-40B4-BE49-F238E27FC236}">
              <a16:creationId xmlns:a16="http://schemas.microsoft.com/office/drawing/2014/main" id="{00000000-0008-0000-0B00-0000D0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77" name="Text Box 141">
          <a:extLst>
            <a:ext uri="{FF2B5EF4-FFF2-40B4-BE49-F238E27FC236}">
              <a16:creationId xmlns:a16="http://schemas.microsoft.com/office/drawing/2014/main" id="{00000000-0008-0000-0B00-0000D1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78" name="Text Box 142">
          <a:extLst>
            <a:ext uri="{FF2B5EF4-FFF2-40B4-BE49-F238E27FC236}">
              <a16:creationId xmlns:a16="http://schemas.microsoft.com/office/drawing/2014/main" id="{00000000-0008-0000-0B00-0000D2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79" name="Text Box 143">
          <a:extLst>
            <a:ext uri="{FF2B5EF4-FFF2-40B4-BE49-F238E27FC236}">
              <a16:creationId xmlns:a16="http://schemas.microsoft.com/office/drawing/2014/main" id="{00000000-0008-0000-0B00-0000D3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80" name="Text Box 144">
          <a:extLst>
            <a:ext uri="{FF2B5EF4-FFF2-40B4-BE49-F238E27FC236}">
              <a16:creationId xmlns:a16="http://schemas.microsoft.com/office/drawing/2014/main" id="{00000000-0008-0000-0B00-0000D4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81" name="Text Box 145">
          <a:extLst>
            <a:ext uri="{FF2B5EF4-FFF2-40B4-BE49-F238E27FC236}">
              <a16:creationId xmlns:a16="http://schemas.microsoft.com/office/drawing/2014/main" id="{00000000-0008-0000-0B00-0000D5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82" name="Text Box 149">
          <a:extLst>
            <a:ext uri="{FF2B5EF4-FFF2-40B4-BE49-F238E27FC236}">
              <a16:creationId xmlns:a16="http://schemas.microsoft.com/office/drawing/2014/main" id="{00000000-0008-0000-0B00-0000D6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83" name="Text Box 150">
          <a:extLst>
            <a:ext uri="{FF2B5EF4-FFF2-40B4-BE49-F238E27FC236}">
              <a16:creationId xmlns:a16="http://schemas.microsoft.com/office/drawing/2014/main" id="{00000000-0008-0000-0B00-0000D7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84" name="Text Box 151">
          <a:extLst>
            <a:ext uri="{FF2B5EF4-FFF2-40B4-BE49-F238E27FC236}">
              <a16:creationId xmlns:a16="http://schemas.microsoft.com/office/drawing/2014/main" id="{00000000-0008-0000-0B00-0000D8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85" name="Text Box 152">
          <a:extLst>
            <a:ext uri="{FF2B5EF4-FFF2-40B4-BE49-F238E27FC236}">
              <a16:creationId xmlns:a16="http://schemas.microsoft.com/office/drawing/2014/main" id="{00000000-0008-0000-0B00-0000D9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86" name="Text Box 153">
          <a:extLst>
            <a:ext uri="{FF2B5EF4-FFF2-40B4-BE49-F238E27FC236}">
              <a16:creationId xmlns:a16="http://schemas.microsoft.com/office/drawing/2014/main" id="{00000000-0008-0000-0B00-0000DA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87" name="Text Box 154">
          <a:extLst>
            <a:ext uri="{FF2B5EF4-FFF2-40B4-BE49-F238E27FC236}">
              <a16:creationId xmlns:a16="http://schemas.microsoft.com/office/drawing/2014/main" id="{00000000-0008-0000-0B00-0000DB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88" name="Text Box 155">
          <a:extLst>
            <a:ext uri="{FF2B5EF4-FFF2-40B4-BE49-F238E27FC236}">
              <a16:creationId xmlns:a16="http://schemas.microsoft.com/office/drawing/2014/main" id="{00000000-0008-0000-0B00-0000DC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89" name="Text Box 156">
          <a:extLst>
            <a:ext uri="{FF2B5EF4-FFF2-40B4-BE49-F238E27FC236}">
              <a16:creationId xmlns:a16="http://schemas.microsoft.com/office/drawing/2014/main" id="{00000000-0008-0000-0B00-0000DD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90" name="Text Box 157">
          <a:extLst>
            <a:ext uri="{FF2B5EF4-FFF2-40B4-BE49-F238E27FC236}">
              <a16:creationId xmlns:a16="http://schemas.microsoft.com/office/drawing/2014/main" id="{00000000-0008-0000-0B00-0000DE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91" name="Text Box 161">
          <a:extLst>
            <a:ext uri="{FF2B5EF4-FFF2-40B4-BE49-F238E27FC236}">
              <a16:creationId xmlns:a16="http://schemas.microsoft.com/office/drawing/2014/main" id="{00000000-0008-0000-0B00-0000DF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92" name="Text Box 162">
          <a:extLst>
            <a:ext uri="{FF2B5EF4-FFF2-40B4-BE49-F238E27FC236}">
              <a16:creationId xmlns:a16="http://schemas.microsoft.com/office/drawing/2014/main" id="{00000000-0008-0000-0B00-0000E0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93" name="Text Box 163">
          <a:extLst>
            <a:ext uri="{FF2B5EF4-FFF2-40B4-BE49-F238E27FC236}">
              <a16:creationId xmlns:a16="http://schemas.microsoft.com/office/drawing/2014/main" id="{00000000-0008-0000-0B00-0000E1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94" name="Text Box 164">
          <a:extLst>
            <a:ext uri="{FF2B5EF4-FFF2-40B4-BE49-F238E27FC236}">
              <a16:creationId xmlns:a16="http://schemas.microsoft.com/office/drawing/2014/main" id="{00000000-0008-0000-0B00-0000E2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95" name="Text Box 165">
          <a:extLst>
            <a:ext uri="{FF2B5EF4-FFF2-40B4-BE49-F238E27FC236}">
              <a16:creationId xmlns:a16="http://schemas.microsoft.com/office/drawing/2014/main" id="{00000000-0008-0000-0B00-0000E3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96" name="Text Box 166">
          <a:extLst>
            <a:ext uri="{FF2B5EF4-FFF2-40B4-BE49-F238E27FC236}">
              <a16:creationId xmlns:a16="http://schemas.microsoft.com/office/drawing/2014/main" id="{00000000-0008-0000-0B00-0000E4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97" name="Text Box 167">
          <a:extLst>
            <a:ext uri="{FF2B5EF4-FFF2-40B4-BE49-F238E27FC236}">
              <a16:creationId xmlns:a16="http://schemas.microsoft.com/office/drawing/2014/main" id="{00000000-0008-0000-0B00-0000E5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98" name="Text Box 168">
          <a:extLst>
            <a:ext uri="{FF2B5EF4-FFF2-40B4-BE49-F238E27FC236}">
              <a16:creationId xmlns:a16="http://schemas.microsoft.com/office/drawing/2014/main" id="{00000000-0008-0000-0B00-0000E6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999" name="Text Box 169">
          <a:extLst>
            <a:ext uri="{FF2B5EF4-FFF2-40B4-BE49-F238E27FC236}">
              <a16:creationId xmlns:a16="http://schemas.microsoft.com/office/drawing/2014/main" id="{00000000-0008-0000-0B00-0000E7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00" name="Text Box 170">
          <a:extLst>
            <a:ext uri="{FF2B5EF4-FFF2-40B4-BE49-F238E27FC236}">
              <a16:creationId xmlns:a16="http://schemas.microsoft.com/office/drawing/2014/main" id="{00000000-0008-0000-0B00-0000E8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01" name="Text Box 171">
          <a:extLst>
            <a:ext uri="{FF2B5EF4-FFF2-40B4-BE49-F238E27FC236}">
              <a16:creationId xmlns:a16="http://schemas.microsoft.com/office/drawing/2014/main" id="{00000000-0008-0000-0B00-0000E9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02" name="Text Box 172">
          <a:extLst>
            <a:ext uri="{FF2B5EF4-FFF2-40B4-BE49-F238E27FC236}">
              <a16:creationId xmlns:a16="http://schemas.microsoft.com/office/drawing/2014/main" id="{00000000-0008-0000-0B00-0000EA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03" name="Text Box 173">
          <a:extLst>
            <a:ext uri="{FF2B5EF4-FFF2-40B4-BE49-F238E27FC236}">
              <a16:creationId xmlns:a16="http://schemas.microsoft.com/office/drawing/2014/main" id="{00000000-0008-0000-0B00-0000EB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04" name="Text Box 174">
          <a:extLst>
            <a:ext uri="{FF2B5EF4-FFF2-40B4-BE49-F238E27FC236}">
              <a16:creationId xmlns:a16="http://schemas.microsoft.com/office/drawing/2014/main" id="{00000000-0008-0000-0B00-0000EC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9525</xdr:colOff>
      <xdr:row>40</xdr:row>
      <xdr:rowOff>85725</xdr:rowOff>
    </xdr:from>
    <xdr:to>
      <xdr:col>4</xdr:col>
      <xdr:colOff>90488</xdr:colOff>
      <xdr:row>41</xdr:row>
      <xdr:rowOff>85725</xdr:rowOff>
    </xdr:to>
    <xdr:sp macro="" textlink="">
      <xdr:nvSpPr>
        <xdr:cNvPr id="1005" name="Text Box 175">
          <a:extLst>
            <a:ext uri="{FF2B5EF4-FFF2-40B4-BE49-F238E27FC236}">
              <a16:creationId xmlns:a16="http://schemas.microsoft.com/office/drawing/2014/main" id="{00000000-0008-0000-0B00-0000ED030000}"/>
            </a:ext>
          </a:extLst>
        </xdr:cNvPr>
        <xdr:cNvSpPr txBox="1">
          <a:spLocks noChangeArrowheads="1"/>
        </xdr:cNvSpPr>
      </xdr:nvSpPr>
      <xdr:spPr bwMode="auto">
        <a:xfrm>
          <a:off x="4814888" y="6162675"/>
          <a:ext cx="80963"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06" name="Text Box 176">
          <a:extLst>
            <a:ext uri="{FF2B5EF4-FFF2-40B4-BE49-F238E27FC236}">
              <a16:creationId xmlns:a16="http://schemas.microsoft.com/office/drawing/2014/main" id="{00000000-0008-0000-0B00-0000EE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07" name="Text Box 178">
          <a:extLst>
            <a:ext uri="{FF2B5EF4-FFF2-40B4-BE49-F238E27FC236}">
              <a16:creationId xmlns:a16="http://schemas.microsoft.com/office/drawing/2014/main" id="{00000000-0008-0000-0B00-0000EF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08" name="Text Box 179">
          <a:extLst>
            <a:ext uri="{FF2B5EF4-FFF2-40B4-BE49-F238E27FC236}">
              <a16:creationId xmlns:a16="http://schemas.microsoft.com/office/drawing/2014/main" id="{00000000-0008-0000-0B00-0000F0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09" name="Text Box 180">
          <a:extLst>
            <a:ext uri="{FF2B5EF4-FFF2-40B4-BE49-F238E27FC236}">
              <a16:creationId xmlns:a16="http://schemas.microsoft.com/office/drawing/2014/main" id="{00000000-0008-0000-0B00-0000F1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10" name="Text Box 181">
          <a:extLst>
            <a:ext uri="{FF2B5EF4-FFF2-40B4-BE49-F238E27FC236}">
              <a16:creationId xmlns:a16="http://schemas.microsoft.com/office/drawing/2014/main" id="{00000000-0008-0000-0B00-0000F2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11" name="Text Box 182">
          <a:extLst>
            <a:ext uri="{FF2B5EF4-FFF2-40B4-BE49-F238E27FC236}">
              <a16:creationId xmlns:a16="http://schemas.microsoft.com/office/drawing/2014/main" id="{00000000-0008-0000-0B00-0000F3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12" name="Text Box 183">
          <a:extLst>
            <a:ext uri="{FF2B5EF4-FFF2-40B4-BE49-F238E27FC236}">
              <a16:creationId xmlns:a16="http://schemas.microsoft.com/office/drawing/2014/main" id="{00000000-0008-0000-0B00-0000F4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13" name="Text Box 184">
          <a:extLst>
            <a:ext uri="{FF2B5EF4-FFF2-40B4-BE49-F238E27FC236}">
              <a16:creationId xmlns:a16="http://schemas.microsoft.com/office/drawing/2014/main" id="{00000000-0008-0000-0B00-0000F5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14" name="Text Box 185">
          <a:extLst>
            <a:ext uri="{FF2B5EF4-FFF2-40B4-BE49-F238E27FC236}">
              <a16:creationId xmlns:a16="http://schemas.microsoft.com/office/drawing/2014/main" id="{00000000-0008-0000-0B00-0000F6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15" name="Text Box 186">
          <a:extLst>
            <a:ext uri="{FF2B5EF4-FFF2-40B4-BE49-F238E27FC236}">
              <a16:creationId xmlns:a16="http://schemas.microsoft.com/office/drawing/2014/main" id="{00000000-0008-0000-0B00-0000F7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16" name="Text Box 187">
          <a:extLst>
            <a:ext uri="{FF2B5EF4-FFF2-40B4-BE49-F238E27FC236}">
              <a16:creationId xmlns:a16="http://schemas.microsoft.com/office/drawing/2014/main" id="{00000000-0008-0000-0B00-0000F8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17" name="Text Box 188">
          <a:extLst>
            <a:ext uri="{FF2B5EF4-FFF2-40B4-BE49-F238E27FC236}">
              <a16:creationId xmlns:a16="http://schemas.microsoft.com/office/drawing/2014/main" id="{00000000-0008-0000-0B00-0000F9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18" name="Text Box 189">
          <a:extLst>
            <a:ext uri="{FF2B5EF4-FFF2-40B4-BE49-F238E27FC236}">
              <a16:creationId xmlns:a16="http://schemas.microsoft.com/office/drawing/2014/main" id="{00000000-0008-0000-0B00-0000FA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19" name="Text Box 190">
          <a:extLst>
            <a:ext uri="{FF2B5EF4-FFF2-40B4-BE49-F238E27FC236}">
              <a16:creationId xmlns:a16="http://schemas.microsoft.com/office/drawing/2014/main" id="{00000000-0008-0000-0B00-0000FB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20" name="Text Box 191">
          <a:extLst>
            <a:ext uri="{FF2B5EF4-FFF2-40B4-BE49-F238E27FC236}">
              <a16:creationId xmlns:a16="http://schemas.microsoft.com/office/drawing/2014/main" id="{00000000-0008-0000-0B00-0000FC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21" name="Text Box 192">
          <a:extLst>
            <a:ext uri="{FF2B5EF4-FFF2-40B4-BE49-F238E27FC236}">
              <a16:creationId xmlns:a16="http://schemas.microsoft.com/office/drawing/2014/main" id="{00000000-0008-0000-0B00-0000FD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22" name="Text Box 193">
          <a:extLst>
            <a:ext uri="{FF2B5EF4-FFF2-40B4-BE49-F238E27FC236}">
              <a16:creationId xmlns:a16="http://schemas.microsoft.com/office/drawing/2014/main" id="{00000000-0008-0000-0B00-0000FE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23" name="Text Box 194">
          <a:extLst>
            <a:ext uri="{FF2B5EF4-FFF2-40B4-BE49-F238E27FC236}">
              <a16:creationId xmlns:a16="http://schemas.microsoft.com/office/drawing/2014/main" id="{00000000-0008-0000-0B00-0000FF03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24" name="Text Box 195">
          <a:extLst>
            <a:ext uri="{FF2B5EF4-FFF2-40B4-BE49-F238E27FC236}">
              <a16:creationId xmlns:a16="http://schemas.microsoft.com/office/drawing/2014/main" id="{00000000-0008-0000-0B00-00000004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25" name="Text Box 196">
          <a:extLst>
            <a:ext uri="{FF2B5EF4-FFF2-40B4-BE49-F238E27FC236}">
              <a16:creationId xmlns:a16="http://schemas.microsoft.com/office/drawing/2014/main" id="{00000000-0008-0000-0B00-00000104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26" name="Text Box 197">
          <a:extLst>
            <a:ext uri="{FF2B5EF4-FFF2-40B4-BE49-F238E27FC236}">
              <a16:creationId xmlns:a16="http://schemas.microsoft.com/office/drawing/2014/main" id="{00000000-0008-0000-0B00-00000204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27" name="Text Box 198">
          <a:extLst>
            <a:ext uri="{FF2B5EF4-FFF2-40B4-BE49-F238E27FC236}">
              <a16:creationId xmlns:a16="http://schemas.microsoft.com/office/drawing/2014/main" id="{00000000-0008-0000-0B00-00000304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28" name="Text Box 199">
          <a:extLst>
            <a:ext uri="{FF2B5EF4-FFF2-40B4-BE49-F238E27FC236}">
              <a16:creationId xmlns:a16="http://schemas.microsoft.com/office/drawing/2014/main" id="{00000000-0008-0000-0B00-00000404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29" name="Text Box 200">
          <a:extLst>
            <a:ext uri="{FF2B5EF4-FFF2-40B4-BE49-F238E27FC236}">
              <a16:creationId xmlns:a16="http://schemas.microsoft.com/office/drawing/2014/main" id="{00000000-0008-0000-0B00-00000504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30" name="Text Box 201">
          <a:extLst>
            <a:ext uri="{FF2B5EF4-FFF2-40B4-BE49-F238E27FC236}">
              <a16:creationId xmlns:a16="http://schemas.microsoft.com/office/drawing/2014/main" id="{00000000-0008-0000-0B00-00000604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31" name="Text Box 202">
          <a:extLst>
            <a:ext uri="{FF2B5EF4-FFF2-40B4-BE49-F238E27FC236}">
              <a16:creationId xmlns:a16="http://schemas.microsoft.com/office/drawing/2014/main" id="{00000000-0008-0000-0B00-00000704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32" name="Text Box 203">
          <a:extLst>
            <a:ext uri="{FF2B5EF4-FFF2-40B4-BE49-F238E27FC236}">
              <a16:creationId xmlns:a16="http://schemas.microsoft.com/office/drawing/2014/main" id="{00000000-0008-0000-0B00-00000804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33" name="Text Box 204">
          <a:extLst>
            <a:ext uri="{FF2B5EF4-FFF2-40B4-BE49-F238E27FC236}">
              <a16:creationId xmlns:a16="http://schemas.microsoft.com/office/drawing/2014/main" id="{00000000-0008-0000-0B00-00000904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34" name="Text Box 206">
          <a:extLst>
            <a:ext uri="{FF2B5EF4-FFF2-40B4-BE49-F238E27FC236}">
              <a16:creationId xmlns:a16="http://schemas.microsoft.com/office/drawing/2014/main" id="{00000000-0008-0000-0B00-00000A04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35" name="Text Box 207">
          <a:extLst>
            <a:ext uri="{FF2B5EF4-FFF2-40B4-BE49-F238E27FC236}">
              <a16:creationId xmlns:a16="http://schemas.microsoft.com/office/drawing/2014/main" id="{00000000-0008-0000-0B00-00000B04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36" name="Text Box 208">
          <a:extLst>
            <a:ext uri="{FF2B5EF4-FFF2-40B4-BE49-F238E27FC236}">
              <a16:creationId xmlns:a16="http://schemas.microsoft.com/office/drawing/2014/main" id="{00000000-0008-0000-0B00-00000C04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37" name="Text Box 209">
          <a:extLst>
            <a:ext uri="{FF2B5EF4-FFF2-40B4-BE49-F238E27FC236}">
              <a16:creationId xmlns:a16="http://schemas.microsoft.com/office/drawing/2014/main" id="{00000000-0008-0000-0B00-00000D04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38" name="Text Box 210">
          <a:extLst>
            <a:ext uri="{FF2B5EF4-FFF2-40B4-BE49-F238E27FC236}">
              <a16:creationId xmlns:a16="http://schemas.microsoft.com/office/drawing/2014/main" id="{00000000-0008-0000-0B00-00000E04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39" name="Text Box 211">
          <a:extLst>
            <a:ext uri="{FF2B5EF4-FFF2-40B4-BE49-F238E27FC236}">
              <a16:creationId xmlns:a16="http://schemas.microsoft.com/office/drawing/2014/main" id="{00000000-0008-0000-0B00-00000F04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40" name="Text Box 212">
          <a:extLst>
            <a:ext uri="{FF2B5EF4-FFF2-40B4-BE49-F238E27FC236}">
              <a16:creationId xmlns:a16="http://schemas.microsoft.com/office/drawing/2014/main" id="{00000000-0008-0000-0B00-00001004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41" name="Text Box 213">
          <a:extLst>
            <a:ext uri="{FF2B5EF4-FFF2-40B4-BE49-F238E27FC236}">
              <a16:creationId xmlns:a16="http://schemas.microsoft.com/office/drawing/2014/main" id="{00000000-0008-0000-0B00-00001104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40</xdr:row>
      <xdr:rowOff>85725</xdr:rowOff>
    </xdr:from>
    <xdr:to>
      <xdr:col>4</xdr:col>
      <xdr:colOff>52388</xdr:colOff>
      <xdr:row>41</xdr:row>
      <xdr:rowOff>85725</xdr:rowOff>
    </xdr:to>
    <xdr:sp macro="" textlink="">
      <xdr:nvSpPr>
        <xdr:cNvPr id="1042" name="Text Box 214">
          <a:extLst>
            <a:ext uri="{FF2B5EF4-FFF2-40B4-BE49-F238E27FC236}">
              <a16:creationId xmlns:a16="http://schemas.microsoft.com/office/drawing/2014/main" id="{00000000-0008-0000-0B00-000012040000}"/>
            </a:ext>
          </a:extLst>
        </xdr:cNvPr>
        <xdr:cNvSpPr txBox="1">
          <a:spLocks noChangeArrowheads="1"/>
        </xdr:cNvSpPr>
      </xdr:nvSpPr>
      <xdr:spPr bwMode="auto">
        <a:xfrm>
          <a:off x="4724401" y="6162675"/>
          <a:ext cx="1333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43" name="Text Box 216">
          <a:extLst>
            <a:ext uri="{FF2B5EF4-FFF2-40B4-BE49-F238E27FC236}">
              <a16:creationId xmlns:a16="http://schemas.microsoft.com/office/drawing/2014/main" id="{00000000-0008-0000-0B00-000013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44" name="Text Box 217">
          <a:extLst>
            <a:ext uri="{FF2B5EF4-FFF2-40B4-BE49-F238E27FC236}">
              <a16:creationId xmlns:a16="http://schemas.microsoft.com/office/drawing/2014/main" id="{00000000-0008-0000-0B00-000014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45" name="Text Box 218">
          <a:extLst>
            <a:ext uri="{FF2B5EF4-FFF2-40B4-BE49-F238E27FC236}">
              <a16:creationId xmlns:a16="http://schemas.microsoft.com/office/drawing/2014/main" id="{00000000-0008-0000-0B00-000015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46" name="Text Box 219">
          <a:extLst>
            <a:ext uri="{FF2B5EF4-FFF2-40B4-BE49-F238E27FC236}">
              <a16:creationId xmlns:a16="http://schemas.microsoft.com/office/drawing/2014/main" id="{00000000-0008-0000-0B00-000016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47" name="Text Box 220">
          <a:extLst>
            <a:ext uri="{FF2B5EF4-FFF2-40B4-BE49-F238E27FC236}">
              <a16:creationId xmlns:a16="http://schemas.microsoft.com/office/drawing/2014/main" id="{00000000-0008-0000-0B00-000017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48" name="Text Box 221">
          <a:extLst>
            <a:ext uri="{FF2B5EF4-FFF2-40B4-BE49-F238E27FC236}">
              <a16:creationId xmlns:a16="http://schemas.microsoft.com/office/drawing/2014/main" id="{00000000-0008-0000-0B00-000018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49" name="Text Box 222">
          <a:extLst>
            <a:ext uri="{FF2B5EF4-FFF2-40B4-BE49-F238E27FC236}">
              <a16:creationId xmlns:a16="http://schemas.microsoft.com/office/drawing/2014/main" id="{00000000-0008-0000-0B00-000019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50" name="Text Box 223">
          <a:extLst>
            <a:ext uri="{FF2B5EF4-FFF2-40B4-BE49-F238E27FC236}">
              <a16:creationId xmlns:a16="http://schemas.microsoft.com/office/drawing/2014/main" id="{00000000-0008-0000-0B00-00001A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51" name="Text Box 224">
          <a:extLst>
            <a:ext uri="{FF2B5EF4-FFF2-40B4-BE49-F238E27FC236}">
              <a16:creationId xmlns:a16="http://schemas.microsoft.com/office/drawing/2014/main" id="{00000000-0008-0000-0B00-00001B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52" name="Text Box 225">
          <a:extLst>
            <a:ext uri="{FF2B5EF4-FFF2-40B4-BE49-F238E27FC236}">
              <a16:creationId xmlns:a16="http://schemas.microsoft.com/office/drawing/2014/main" id="{00000000-0008-0000-0B00-00001C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53" name="Text Box 226">
          <a:extLst>
            <a:ext uri="{FF2B5EF4-FFF2-40B4-BE49-F238E27FC236}">
              <a16:creationId xmlns:a16="http://schemas.microsoft.com/office/drawing/2014/main" id="{00000000-0008-0000-0B00-00001D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54" name="Text Box 227">
          <a:extLst>
            <a:ext uri="{FF2B5EF4-FFF2-40B4-BE49-F238E27FC236}">
              <a16:creationId xmlns:a16="http://schemas.microsoft.com/office/drawing/2014/main" id="{00000000-0008-0000-0B00-00001E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55" name="Text Box 228">
          <a:extLst>
            <a:ext uri="{FF2B5EF4-FFF2-40B4-BE49-F238E27FC236}">
              <a16:creationId xmlns:a16="http://schemas.microsoft.com/office/drawing/2014/main" id="{00000000-0008-0000-0B00-00001F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56" name="Text Box 229">
          <a:extLst>
            <a:ext uri="{FF2B5EF4-FFF2-40B4-BE49-F238E27FC236}">
              <a16:creationId xmlns:a16="http://schemas.microsoft.com/office/drawing/2014/main" id="{00000000-0008-0000-0B00-000020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57" name="Text Box 230">
          <a:extLst>
            <a:ext uri="{FF2B5EF4-FFF2-40B4-BE49-F238E27FC236}">
              <a16:creationId xmlns:a16="http://schemas.microsoft.com/office/drawing/2014/main" id="{00000000-0008-0000-0B00-000021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58" name="Text Box 231">
          <a:extLst>
            <a:ext uri="{FF2B5EF4-FFF2-40B4-BE49-F238E27FC236}">
              <a16:creationId xmlns:a16="http://schemas.microsoft.com/office/drawing/2014/main" id="{00000000-0008-0000-0B00-000022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59" name="Text Box 232">
          <a:extLst>
            <a:ext uri="{FF2B5EF4-FFF2-40B4-BE49-F238E27FC236}">
              <a16:creationId xmlns:a16="http://schemas.microsoft.com/office/drawing/2014/main" id="{00000000-0008-0000-0B00-000023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60" name="Text Box 233">
          <a:extLst>
            <a:ext uri="{FF2B5EF4-FFF2-40B4-BE49-F238E27FC236}">
              <a16:creationId xmlns:a16="http://schemas.microsoft.com/office/drawing/2014/main" id="{00000000-0008-0000-0B00-000024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61" name="Text Box 234">
          <a:extLst>
            <a:ext uri="{FF2B5EF4-FFF2-40B4-BE49-F238E27FC236}">
              <a16:creationId xmlns:a16="http://schemas.microsoft.com/office/drawing/2014/main" id="{00000000-0008-0000-0B00-000025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62" name="Text Box 235">
          <a:extLst>
            <a:ext uri="{FF2B5EF4-FFF2-40B4-BE49-F238E27FC236}">
              <a16:creationId xmlns:a16="http://schemas.microsoft.com/office/drawing/2014/main" id="{00000000-0008-0000-0B00-000026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63" name="Text Box 237">
          <a:extLst>
            <a:ext uri="{FF2B5EF4-FFF2-40B4-BE49-F238E27FC236}">
              <a16:creationId xmlns:a16="http://schemas.microsoft.com/office/drawing/2014/main" id="{00000000-0008-0000-0B00-000027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64" name="Text Box 238">
          <a:extLst>
            <a:ext uri="{FF2B5EF4-FFF2-40B4-BE49-F238E27FC236}">
              <a16:creationId xmlns:a16="http://schemas.microsoft.com/office/drawing/2014/main" id="{00000000-0008-0000-0B00-000028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65" name="Text Box 239">
          <a:extLst>
            <a:ext uri="{FF2B5EF4-FFF2-40B4-BE49-F238E27FC236}">
              <a16:creationId xmlns:a16="http://schemas.microsoft.com/office/drawing/2014/main" id="{00000000-0008-0000-0B00-000029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66" name="Text Box 240">
          <a:extLst>
            <a:ext uri="{FF2B5EF4-FFF2-40B4-BE49-F238E27FC236}">
              <a16:creationId xmlns:a16="http://schemas.microsoft.com/office/drawing/2014/main" id="{00000000-0008-0000-0B00-00002A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328613</xdr:colOff>
      <xdr:row>34</xdr:row>
      <xdr:rowOff>0</xdr:rowOff>
    </xdr:from>
    <xdr:to>
      <xdr:col>4</xdr:col>
      <xdr:colOff>52388</xdr:colOff>
      <xdr:row>35</xdr:row>
      <xdr:rowOff>19050</xdr:rowOff>
    </xdr:to>
    <xdr:sp macro="" textlink="">
      <xdr:nvSpPr>
        <xdr:cNvPr id="1067" name="Text Box 241">
          <a:extLst>
            <a:ext uri="{FF2B5EF4-FFF2-40B4-BE49-F238E27FC236}">
              <a16:creationId xmlns:a16="http://schemas.microsoft.com/office/drawing/2014/main" id="{00000000-0008-0000-0B00-00002B040000}"/>
            </a:ext>
          </a:extLst>
        </xdr:cNvPr>
        <xdr:cNvSpPr txBox="1">
          <a:spLocks noChangeArrowheads="1"/>
        </xdr:cNvSpPr>
      </xdr:nvSpPr>
      <xdr:spPr bwMode="auto">
        <a:xfrm>
          <a:off x="4724401" y="5305425"/>
          <a:ext cx="133350" cy="1476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0</xdr:colOff>
      <xdr:row>40</xdr:row>
      <xdr:rowOff>85725</xdr:rowOff>
    </xdr:from>
    <xdr:to>
      <xdr:col>4</xdr:col>
      <xdr:colOff>71438</xdr:colOff>
      <xdr:row>41</xdr:row>
      <xdr:rowOff>85725</xdr:rowOff>
    </xdr:to>
    <xdr:sp macro="" textlink="">
      <xdr:nvSpPr>
        <xdr:cNvPr id="1068" name="Text Box 246">
          <a:extLst>
            <a:ext uri="{FF2B5EF4-FFF2-40B4-BE49-F238E27FC236}">
              <a16:creationId xmlns:a16="http://schemas.microsoft.com/office/drawing/2014/main" id="{00000000-0008-0000-0B00-00002C040000}"/>
            </a:ext>
          </a:extLst>
        </xdr:cNvPr>
        <xdr:cNvSpPr txBox="1">
          <a:spLocks noChangeArrowheads="1"/>
        </xdr:cNvSpPr>
      </xdr:nvSpPr>
      <xdr:spPr bwMode="auto">
        <a:xfrm>
          <a:off x="4805363" y="6162675"/>
          <a:ext cx="71438"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25</xdr:row>
      <xdr:rowOff>0</xdr:rowOff>
    </xdr:from>
    <xdr:to>
      <xdr:col>4</xdr:col>
      <xdr:colOff>71438</xdr:colOff>
      <xdr:row>25</xdr:row>
      <xdr:rowOff>285750</xdr:rowOff>
    </xdr:to>
    <xdr:sp macro="" textlink="">
      <xdr:nvSpPr>
        <xdr:cNvPr id="1069" name="Text Box 187">
          <a:extLst>
            <a:ext uri="{FF2B5EF4-FFF2-40B4-BE49-F238E27FC236}">
              <a16:creationId xmlns:a16="http://schemas.microsoft.com/office/drawing/2014/main" id="{00000000-0008-0000-0B00-00002D040000}"/>
            </a:ext>
          </a:extLst>
        </xdr:cNvPr>
        <xdr:cNvSpPr txBox="1">
          <a:spLocks noChangeArrowheads="1"/>
        </xdr:cNvSpPr>
      </xdr:nvSpPr>
      <xdr:spPr bwMode="auto">
        <a:xfrm>
          <a:off x="4733926" y="3743325"/>
          <a:ext cx="142875"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33</xdr:row>
      <xdr:rowOff>19050</xdr:rowOff>
    </xdr:from>
    <xdr:to>
      <xdr:col>4</xdr:col>
      <xdr:colOff>71438</xdr:colOff>
      <xdr:row>34</xdr:row>
      <xdr:rowOff>38100</xdr:rowOff>
    </xdr:to>
    <xdr:sp macro="" textlink="">
      <xdr:nvSpPr>
        <xdr:cNvPr id="1070" name="Text Box 188">
          <a:extLst>
            <a:ext uri="{FF2B5EF4-FFF2-40B4-BE49-F238E27FC236}">
              <a16:creationId xmlns:a16="http://schemas.microsoft.com/office/drawing/2014/main" id="{00000000-0008-0000-0B00-00002E040000}"/>
            </a:ext>
          </a:extLst>
        </xdr:cNvPr>
        <xdr:cNvSpPr txBox="1">
          <a:spLocks noChangeArrowheads="1"/>
        </xdr:cNvSpPr>
      </xdr:nvSpPr>
      <xdr:spPr bwMode="auto">
        <a:xfrm>
          <a:off x="4733926" y="5195888"/>
          <a:ext cx="142875" cy="14763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34</xdr:row>
      <xdr:rowOff>0</xdr:rowOff>
    </xdr:from>
    <xdr:to>
      <xdr:col>4</xdr:col>
      <xdr:colOff>71438</xdr:colOff>
      <xdr:row>35</xdr:row>
      <xdr:rowOff>38100</xdr:rowOff>
    </xdr:to>
    <xdr:sp macro="" textlink="">
      <xdr:nvSpPr>
        <xdr:cNvPr id="1071" name="Text Box 189">
          <a:extLst>
            <a:ext uri="{FF2B5EF4-FFF2-40B4-BE49-F238E27FC236}">
              <a16:creationId xmlns:a16="http://schemas.microsoft.com/office/drawing/2014/main" id="{00000000-0008-0000-0B00-00002F040000}"/>
            </a:ext>
          </a:extLst>
        </xdr:cNvPr>
        <xdr:cNvSpPr txBox="1">
          <a:spLocks noChangeArrowheads="1"/>
        </xdr:cNvSpPr>
      </xdr:nvSpPr>
      <xdr:spPr bwMode="auto">
        <a:xfrm>
          <a:off x="4733926" y="5305425"/>
          <a:ext cx="142875" cy="1666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34</xdr:row>
      <xdr:rowOff>0</xdr:rowOff>
    </xdr:from>
    <xdr:to>
      <xdr:col>4</xdr:col>
      <xdr:colOff>71438</xdr:colOff>
      <xdr:row>35</xdr:row>
      <xdr:rowOff>38100</xdr:rowOff>
    </xdr:to>
    <xdr:sp macro="" textlink="">
      <xdr:nvSpPr>
        <xdr:cNvPr id="1072" name="Text Box 190">
          <a:extLst>
            <a:ext uri="{FF2B5EF4-FFF2-40B4-BE49-F238E27FC236}">
              <a16:creationId xmlns:a16="http://schemas.microsoft.com/office/drawing/2014/main" id="{00000000-0008-0000-0B00-000030040000}"/>
            </a:ext>
          </a:extLst>
        </xdr:cNvPr>
        <xdr:cNvSpPr txBox="1">
          <a:spLocks noChangeArrowheads="1"/>
        </xdr:cNvSpPr>
      </xdr:nvSpPr>
      <xdr:spPr bwMode="auto">
        <a:xfrm>
          <a:off x="4733926" y="5305425"/>
          <a:ext cx="142875" cy="1666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34</xdr:row>
      <xdr:rowOff>0</xdr:rowOff>
    </xdr:from>
    <xdr:to>
      <xdr:col>4</xdr:col>
      <xdr:colOff>71438</xdr:colOff>
      <xdr:row>35</xdr:row>
      <xdr:rowOff>38100</xdr:rowOff>
    </xdr:to>
    <xdr:sp macro="" textlink="">
      <xdr:nvSpPr>
        <xdr:cNvPr id="1073" name="Text Box 191">
          <a:extLst>
            <a:ext uri="{FF2B5EF4-FFF2-40B4-BE49-F238E27FC236}">
              <a16:creationId xmlns:a16="http://schemas.microsoft.com/office/drawing/2014/main" id="{00000000-0008-0000-0B00-000031040000}"/>
            </a:ext>
          </a:extLst>
        </xdr:cNvPr>
        <xdr:cNvSpPr txBox="1">
          <a:spLocks noChangeArrowheads="1"/>
        </xdr:cNvSpPr>
      </xdr:nvSpPr>
      <xdr:spPr bwMode="auto">
        <a:xfrm>
          <a:off x="4733926" y="5305425"/>
          <a:ext cx="142875" cy="1666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34</xdr:row>
      <xdr:rowOff>0</xdr:rowOff>
    </xdr:from>
    <xdr:to>
      <xdr:col>4</xdr:col>
      <xdr:colOff>71438</xdr:colOff>
      <xdr:row>35</xdr:row>
      <xdr:rowOff>38100</xdr:rowOff>
    </xdr:to>
    <xdr:sp macro="" textlink="">
      <xdr:nvSpPr>
        <xdr:cNvPr id="1074" name="Text Box 192">
          <a:extLst>
            <a:ext uri="{FF2B5EF4-FFF2-40B4-BE49-F238E27FC236}">
              <a16:creationId xmlns:a16="http://schemas.microsoft.com/office/drawing/2014/main" id="{00000000-0008-0000-0B00-000032040000}"/>
            </a:ext>
          </a:extLst>
        </xdr:cNvPr>
        <xdr:cNvSpPr txBox="1">
          <a:spLocks noChangeArrowheads="1"/>
        </xdr:cNvSpPr>
      </xdr:nvSpPr>
      <xdr:spPr bwMode="auto">
        <a:xfrm>
          <a:off x="4733926" y="5305425"/>
          <a:ext cx="142875" cy="16668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35</xdr:row>
      <xdr:rowOff>19050</xdr:rowOff>
    </xdr:from>
    <xdr:to>
      <xdr:col>4</xdr:col>
      <xdr:colOff>71438</xdr:colOff>
      <xdr:row>36</xdr:row>
      <xdr:rowOff>19050</xdr:rowOff>
    </xdr:to>
    <xdr:sp macro="" textlink="">
      <xdr:nvSpPr>
        <xdr:cNvPr id="1075" name="Text Box 193">
          <a:extLst>
            <a:ext uri="{FF2B5EF4-FFF2-40B4-BE49-F238E27FC236}">
              <a16:creationId xmlns:a16="http://schemas.microsoft.com/office/drawing/2014/main" id="{00000000-0008-0000-0B00-000033040000}"/>
            </a:ext>
          </a:extLst>
        </xdr:cNvPr>
        <xdr:cNvSpPr txBox="1">
          <a:spLocks noChangeArrowheads="1"/>
        </xdr:cNvSpPr>
      </xdr:nvSpPr>
      <xdr:spPr bwMode="auto">
        <a:xfrm>
          <a:off x="4733926" y="5453063"/>
          <a:ext cx="142875" cy="12858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35</xdr:row>
      <xdr:rowOff>19050</xdr:rowOff>
    </xdr:from>
    <xdr:to>
      <xdr:col>4</xdr:col>
      <xdr:colOff>71438</xdr:colOff>
      <xdr:row>36</xdr:row>
      <xdr:rowOff>19050</xdr:rowOff>
    </xdr:to>
    <xdr:sp macro="" textlink="">
      <xdr:nvSpPr>
        <xdr:cNvPr id="1076" name="Text Box 194">
          <a:extLst>
            <a:ext uri="{FF2B5EF4-FFF2-40B4-BE49-F238E27FC236}">
              <a16:creationId xmlns:a16="http://schemas.microsoft.com/office/drawing/2014/main" id="{00000000-0008-0000-0B00-000034040000}"/>
            </a:ext>
          </a:extLst>
        </xdr:cNvPr>
        <xdr:cNvSpPr txBox="1">
          <a:spLocks noChangeArrowheads="1"/>
        </xdr:cNvSpPr>
      </xdr:nvSpPr>
      <xdr:spPr bwMode="auto">
        <a:xfrm>
          <a:off x="4733926" y="5453063"/>
          <a:ext cx="142875" cy="12858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35</xdr:row>
      <xdr:rowOff>19050</xdr:rowOff>
    </xdr:from>
    <xdr:to>
      <xdr:col>4</xdr:col>
      <xdr:colOff>71438</xdr:colOff>
      <xdr:row>36</xdr:row>
      <xdr:rowOff>19050</xdr:rowOff>
    </xdr:to>
    <xdr:sp macro="" textlink="">
      <xdr:nvSpPr>
        <xdr:cNvPr id="1077" name="Text Box 195">
          <a:extLst>
            <a:ext uri="{FF2B5EF4-FFF2-40B4-BE49-F238E27FC236}">
              <a16:creationId xmlns:a16="http://schemas.microsoft.com/office/drawing/2014/main" id="{00000000-0008-0000-0B00-000035040000}"/>
            </a:ext>
          </a:extLst>
        </xdr:cNvPr>
        <xdr:cNvSpPr txBox="1">
          <a:spLocks noChangeArrowheads="1"/>
        </xdr:cNvSpPr>
      </xdr:nvSpPr>
      <xdr:spPr bwMode="auto">
        <a:xfrm>
          <a:off x="4733926" y="5453063"/>
          <a:ext cx="142875" cy="12858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25</xdr:row>
      <xdr:rowOff>0</xdr:rowOff>
    </xdr:from>
    <xdr:to>
      <xdr:col>4</xdr:col>
      <xdr:colOff>71438</xdr:colOff>
      <xdr:row>25</xdr:row>
      <xdr:rowOff>285750</xdr:rowOff>
    </xdr:to>
    <xdr:sp macro="" textlink="">
      <xdr:nvSpPr>
        <xdr:cNvPr id="1078" name="Text Box 193">
          <a:extLst>
            <a:ext uri="{FF2B5EF4-FFF2-40B4-BE49-F238E27FC236}">
              <a16:creationId xmlns:a16="http://schemas.microsoft.com/office/drawing/2014/main" id="{00000000-0008-0000-0B00-000036040000}"/>
            </a:ext>
          </a:extLst>
        </xdr:cNvPr>
        <xdr:cNvSpPr txBox="1">
          <a:spLocks noChangeArrowheads="1"/>
        </xdr:cNvSpPr>
      </xdr:nvSpPr>
      <xdr:spPr bwMode="auto">
        <a:xfrm>
          <a:off x="4733926" y="3743325"/>
          <a:ext cx="142875"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25</xdr:row>
      <xdr:rowOff>0</xdr:rowOff>
    </xdr:from>
    <xdr:to>
      <xdr:col>4</xdr:col>
      <xdr:colOff>71438</xdr:colOff>
      <xdr:row>25</xdr:row>
      <xdr:rowOff>285750</xdr:rowOff>
    </xdr:to>
    <xdr:sp macro="" textlink="">
      <xdr:nvSpPr>
        <xdr:cNvPr id="1079" name="Text Box 194">
          <a:extLst>
            <a:ext uri="{FF2B5EF4-FFF2-40B4-BE49-F238E27FC236}">
              <a16:creationId xmlns:a16="http://schemas.microsoft.com/office/drawing/2014/main" id="{00000000-0008-0000-0B00-000037040000}"/>
            </a:ext>
          </a:extLst>
        </xdr:cNvPr>
        <xdr:cNvSpPr txBox="1">
          <a:spLocks noChangeArrowheads="1"/>
        </xdr:cNvSpPr>
      </xdr:nvSpPr>
      <xdr:spPr bwMode="auto">
        <a:xfrm>
          <a:off x="4733926" y="3743325"/>
          <a:ext cx="142875"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25</xdr:row>
      <xdr:rowOff>0</xdr:rowOff>
    </xdr:from>
    <xdr:to>
      <xdr:col>4</xdr:col>
      <xdr:colOff>71438</xdr:colOff>
      <xdr:row>25</xdr:row>
      <xdr:rowOff>285750</xdr:rowOff>
    </xdr:to>
    <xdr:sp macro="" textlink="">
      <xdr:nvSpPr>
        <xdr:cNvPr id="1080" name="Text Box 195">
          <a:extLst>
            <a:ext uri="{FF2B5EF4-FFF2-40B4-BE49-F238E27FC236}">
              <a16:creationId xmlns:a16="http://schemas.microsoft.com/office/drawing/2014/main" id="{00000000-0008-0000-0B00-000038040000}"/>
            </a:ext>
          </a:extLst>
        </xdr:cNvPr>
        <xdr:cNvSpPr txBox="1">
          <a:spLocks noChangeArrowheads="1"/>
        </xdr:cNvSpPr>
      </xdr:nvSpPr>
      <xdr:spPr bwMode="auto">
        <a:xfrm>
          <a:off x="4733926" y="3743325"/>
          <a:ext cx="142875"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22</xdr:row>
      <xdr:rowOff>0</xdr:rowOff>
    </xdr:from>
    <xdr:to>
      <xdr:col>4</xdr:col>
      <xdr:colOff>71438</xdr:colOff>
      <xdr:row>23</xdr:row>
      <xdr:rowOff>57150</xdr:rowOff>
    </xdr:to>
    <xdr:sp macro="" textlink="">
      <xdr:nvSpPr>
        <xdr:cNvPr id="1081" name="Text Box 193">
          <a:extLst>
            <a:ext uri="{FF2B5EF4-FFF2-40B4-BE49-F238E27FC236}">
              <a16:creationId xmlns:a16="http://schemas.microsoft.com/office/drawing/2014/main" id="{00000000-0008-0000-0B00-000039040000}"/>
            </a:ext>
          </a:extLst>
        </xdr:cNvPr>
        <xdr:cNvSpPr txBox="1">
          <a:spLocks noChangeArrowheads="1"/>
        </xdr:cNvSpPr>
      </xdr:nvSpPr>
      <xdr:spPr bwMode="auto">
        <a:xfrm>
          <a:off x="4733926" y="3228975"/>
          <a:ext cx="142875" cy="1857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22</xdr:row>
      <xdr:rowOff>0</xdr:rowOff>
    </xdr:from>
    <xdr:to>
      <xdr:col>4</xdr:col>
      <xdr:colOff>71438</xdr:colOff>
      <xdr:row>23</xdr:row>
      <xdr:rowOff>57150</xdr:rowOff>
    </xdr:to>
    <xdr:sp macro="" textlink="">
      <xdr:nvSpPr>
        <xdr:cNvPr id="1082" name="Text Box 194">
          <a:extLst>
            <a:ext uri="{FF2B5EF4-FFF2-40B4-BE49-F238E27FC236}">
              <a16:creationId xmlns:a16="http://schemas.microsoft.com/office/drawing/2014/main" id="{00000000-0008-0000-0B00-00003A040000}"/>
            </a:ext>
          </a:extLst>
        </xdr:cNvPr>
        <xdr:cNvSpPr txBox="1">
          <a:spLocks noChangeArrowheads="1"/>
        </xdr:cNvSpPr>
      </xdr:nvSpPr>
      <xdr:spPr bwMode="auto">
        <a:xfrm>
          <a:off x="4733926" y="3228975"/>
          <a:ext cx="142875" cy="1857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22</xdr:row>
      <xdr:rowOff>0</xdr:rowOff>
    </xdr:from>
    <xdr:to>
      <xdr:col>4</xdr:col>
      <xdr:colOff>71438</xdr:colOff>
      <xdr:row>23</xdr:row>
      <xdr:rowOff>57150</xdr:rowOff>
    </xdr:to>
    <xdr:sp macro="" textlink="">
      <xdr:nvSpPr>
        <xdr:cNvPr id="1083" name="Text Box 195">
          <a:extLst>
            <a:ext uri="{FF2B5EF4-FFF2-40B4-BE49-F238E27FC236}">
              <a16:creationId xmlns:a16="http://schemas.microsoft.com/office/drawing/2014/main" id="{00000000-0008-0000-0B00-00003B040000}"/>
            </a:ext>
          </a:extLst>
        </xdr:cNvPr>
        <xdr:cNvSpPr txBox="1">
          <a:spLocks noChangeArrowheads="1"/>
        </xdr:cNvSpPr>
      </xdr:nvSpPr>
      <xdr:spPr bwMode="auto">
        <a:xfrm>
          <a:off x="4733926" y="3228975"/>
          <a:ext cx="142875" cy="185738"/>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35</xdr:row>
      <xdr:rowOff>19050</xdr:rowOff>
    </xdr:from>
    <xdr:to>
      <xdr:col>4</xdr:col>
      <xdr:colOff>71438</xdr:colOff>
      <xdr:row>36</xdr:row>
      <xdr:rowOff>19050</xdr:rowOff>
    </xdr:to>
    <xdr:sp macro="" textlink="">
      <xdr:nvSpPr>
        <xdr:cNvPr id="1084" name="Text Box 193">
          <a:extLst>
            <a:ext uri="{FF2B5EF4-FFF2-40B4-BE49-F238E27FC236}">
              <a16:creationId xmlns:a16="http://schemas.microsoft.com/office/drawing/2014/main" id="{00000000-0008-0000-0B00-00003C040000}"/>
            </a:ext>
          </a:extLst>
        </xdr:cNvPr>
        <xdr:cNvSpPr txBox="1">
          <a:spLocks noChangeArrowheads="1"/>
        </xdr:cNvSpPr>
      </xdr:nvSpPr>
      <xdr:spPr bwMode="auto">
        <a:xfrm>
          <a:off x="4733926" y="5453063"/>
          <a:ext cx="142875" cy="12858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35</xdr:row>
      <xdr:rowOff>19050</xdr:rowOff>
    </xdr:from>
    <xdr:to>
      <xdr:col>4</xdr:col>
      <xdr:colOff>71438</xdr:colOff>
      <xdr:row>36</xdr:row>
      <xdr:rowOff>19050</xdr:rowOff>
    </xdr:to>
    <xdr:sp macro="" textlink="">
      <xdr:nvSpPr>
        <xdr:cNvPr id="1085" name="Text Box 194">
          <a:extLst>
            <a:ext uri="{FF2B5EF4-FFF2-40B4-BE49-F238E27FC236}">
              <a16:creationId xmlns:a16="http://schemas.microsoft.com/office/drawing/2014/main" id="{00000000-0008-0000-0B00-00003D040000}"/>
            </a:ext>
          </a:extLst>
        </xdr:cNvPr>
        <xdr:cNvSpPr txBox="1">
          <a:spLocks noChangeArrowheads="1"/>
        </xdr:cNvSpPr>
      </xdr:nvSpPr>
      <xdr:spPr bwMode="auto">
        <a:xfrm>
          <a:off x="4733926" y="5453063"/>
          <a:ext cx="142875" cy="12858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35</xdr:row>
      <xdr:rowOff>19050</xdr:rowOff>
    </xdr:from>
    <xdr:to>
      <xdr:col>4</xdr:col>
      <xdr:colOff>71438</xdr:colOff>
      <xdr:row>36</xdr:row>
      <xdr:rowOff>19050</xdr:rowOff>
    </xdr:to>
    <xdr:sp macro="" textlink="">
      <xdr:nvSpPr>
        <xdr:cNvPr id="1086" name="Text Box 195">
          <a:extLst>
            <a:ext uri="{FF2B5EF4-FFF2-40B4-BE49-F238E27FC236}">
              <a16:creationId xmlns:a16="http://schemas.microsoft.com/office/drawing/2014/main" id="{00000000-0008-0000-0B00-00003E040000}"/>
            </a:ext>
          </a:extLst>
        </xdr:cNvPr>
        <xdr:cNvSpPr txBox="1">
          <a:spLocks noChangeArrowheads="1"/>
        </xdr:cNvSpPr>
      </xdr:nvSpPr>
      <xdr:spPr bwMode="auto">
        <a:xfrm>
          <a:off x="4733926" y="5453063"/>
          <a:ext cx="142875" cy="12858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36</xdr:row>
      <xdr:rowOff>9525</xdr:rowOff>
    </xdr:from>
    <xdr:to>
      <xdr:col>4</xdr:col>
      <xdr:colOff>71438</xdr:colOff>
      <xdr:row>37</xdr:row>
      <xdr:rowOff>285750</xdr:rowOff>
    </xdr:to>
    <xdr:sp macro="" textlink="">
      <xdr:nvSpPr>
        <xdr:cNvPr id="1087" name="Text Box 193">
          <a:extLst>
            <a:ext uri="{FF2B5EF4-FFF2-40B4-BE49-F238E27FC236}">
              <a16:creationId xmlns:a16="http://schemas.microsoft.com/office/drawing/2014/main" id="{00000000-0008-0000-0B00-00003F040000}"/>
            </a:ext>
          </a:extLst>
        </xdr:cNvPr>
        <xdr:cNvSpPr txBox="1">
          <a:spLocks noChangeArrowheads="1"/>
        </xdr:cNvSpPr>
      </xdr:nvSpPr>
      <xdr:spPr bwMode="auto">
        <a:xfrm>
          <a:off x="4733926" y="5572125"/>
          <a:ext cx="142875" cy="24765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36</xdr:row>
      <xdr:rowOff>9525</xdr:rowOff>
    </xdr:from>
    <xdr:to>
      <xdr:col>4</xdr:col>
      <xdr:colOff>71438</xdr:colOff>
      <xdr:row>37</xdr:row>
      <xdr:rowOff>285750</xdr:rowOff>
    </xdr:to>
    <xdr:sp macro="" textlink="">
      <xdr:nvSpPr>
        <xdr:cNvPr id="1088" name="Text Box 194">
          <a:extLst>
            <a:ext uri="{FF2B5EF4-FFF2-40B4-BE49-F238E27FC236}">
              <a16:creationId xmlns:a16="http://schemas.microsoft.com/office/drawing/2014/main" id="{00000000-0008-0000-0B00-000040040000}"/>
            </a:ext>
          </a:extLst>
        </xdr:cNvPr>
        <xdr:cNvSpPr txBox="1">
          <a:spLocks noChangeArrowheads="1"/>
        </xdr:cNvSpPr>
      </xdr:nvSpPr>
      <xdr:spPr bwMode="auto">
        <a:xfrm>
          <a:off x="4733926" y="5572125"/>
          <a:ext cx="142875" cy="24765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36</xdr:row>
      <xdr:rowOff>9525</xdr:rowOff>
    </xdr:from>
    <xdr:to>
      <xdr:col>4</xdr:col>
      <xdr:colOff>71438</xdr:colOff>
      <xdr:row>37</xdr:row>
      <xdr:rowOff>285750</xdr:rowOff>
    </xdr:to>
    <xdr:sp macro="" textlink="">
      <xdr:nvSpPr>
        <xdr:cNvPr id="1089" name="Text Box 195">
          <a:extLst>
            <a:ext uri="{FF2B5EF4-FFF2-40B4-BE49-F238E27FC236}">
              <a16:creationId xmlns:a16="http://schemas.microsoft.com/office/drawing/2014/main" id="{00000000-0008-0000-0B00-000041040000}"/>
            </a:ext>
          </a:extLst>
        </xdr:cNvPr>
        <xdr:cNvSpPr txBox="1">
          <a:spLocks noChangeArrowheads="1"/>
        </xdr:cNvSpPr>
      </xdr:nvSpPr>
      <xdr:spPr bwMode="auto">
        <a:xfrm>
          <a:off x="4733926" y="5572125"/>
          <a:ext cx="142875" cy="247651"/>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24</xdr:row>
      <xdr:rowOff>0</xdr:rowOff>
    </xdr:from>
    <xdr:to>
      <xdr:col>4</xdr:col>
      <xdr:colOff>71438</xdr:colOff>
      <xdr:row>24</xdr:row>
      <xdr:rowOff>285750</xdr:rowOff>
    </xdr:to>
    <xdr:sp macro="" textlink="">
      <xdr:nvSpPr>
        <xdr:cNvPr id="1090" name="Text Box 187">
          <a:extLst>
            <a:ext uri="{FF2B5EF4-FFF2-40B4-BE49-F238E27FC236}">
              <a16:creationId xmlns:a16="http://schemas.microsoft.com/office/drawing/2014/main" id="{00000000-0008-0000-0B00-000042040000}"/>
            </a:ext>
          </a:extLst>
        </xdr:cNvPr>
        <xdr:cNvSpPr txBox="1">
          <a:spLocks noChangeArrowheads="1"/>
        </xdr:cNvSpPr>
      </xdr:nvSpPr>
      <xdr:spPr bwMode="auto">
        <a:xfrm>
          <a:off x="4733926" y="3486150"/>
          <a:ext cx="142875"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24</xdr:row>
      <xdr:rowOff>0</xdr:rowOff>
    </xdr:from>
    <xdr:to>
      <xdr:col>4</xdr:col>
      <xdr:colOff>71438</xdr:colOff>
      <xdr:row>24</xdr:row>
      <xdr:rowOff>285750</xdr:rowOff>
    </xdr:to>
    <xdr:sp macro="" textlink="">
      <xdr:nvSpPr>
        <xdr:cNvPr id="1091" name="Text Box 193">
          <a:extLst>
            <a:ext uri="{FF2B5EF4-FFF2-40B4-BE49-F238E27FC236}">
              <a16:creationId xmlns:a16="http://schemas.microsoft.com/office/drawing/2014/main" id="{00000000-0008-0000-0B00-000043040000}"/>
            </a:ext>
          </a:extLst>
        </xdr:cNvPr>
        <xdr:cNvSpPr txBox="1">
          <a:spLocks noChangeArrowheads="1"/>
        </xdr:cNvSpPr>
      </xdr:nvSpPr>
      <xdr:spPr bwMode="auto">
        <a:xfrm>
          <a:off x="4733926" y="3486150"/>
          <a:ext cx="142875"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24</xdr:row>
      <xdr:rowOff>0</xdr:rowOff>
    </xdr:from>
    <xdr:to>
      <xdr:col>4</xdr:col>
      <xdr:colOff>71438</xdr:colOff>
      <xdr:row>24</xdr:row>
      <xdr:rowOff>285750</xdr:rowOff>
    </xdr:to>
    <xdr:sp macro="" textlink="">
      <xdr:nvSpPr>
        <xdr:cNvPr id="1092" name="Text Box 194">
          <a:extLst>
            <a:ext uri="{FF2B5EF4-FFF2-40B4-BE49-F238E27FC236}">
              <a16:creationId xmlns:a16="http://schemas.microsoft.com/office/drawing/2014/main" id="{00000000-0008-0000-0B00-000044040000}"/>
            </a:ext>
          </a:extLst>
        </xdr:cNvPr>
        <xdr:cNvSpPr txBox="1">
          <a:spLocks noChangeArrowheads="1"/>
        </xdr:cNvSpPr>
      </xdr:nvSpPr>
      <xdr:spPr bwMode="auto">
        <a:xfrm>
          <a:off x="4733926" y="3486150"/>
          <a:ext cx="142875"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24</xdr:row>
      <xdr:rowOff>0</xdr:rowOff>
    </xdr:from>
    <xdr:to>
      <xdr:col>4</xdr:col>
      <xdr:colOff>71438</xdr:colOff>
      <xdr:row>24</xdr:row>
      <xdr:rowOff>285750</xdr:rowOff>
    </xdr:to>
    <xdr:sp macro="" textlink="">
      <xdr:nvSpPr>
        <xdr:cNvPr id="1093" name="Text Box 195">
          <a:extLst>
            <a:ext uri="{FF2B5EF4-FFF2-40B4-BE49-F238E27FC236}">
              <a16:creationId xmlns:a16="http://schemas.microsoft.com/office/drawing/2014/main" id="{00000000-0008-0000-0B00-000045040000}"/>
            </a:ext>
          </a:extLst>
        </xdr:cNvPr>
        <xdr:cNvSpPr txBox="1">
          <a:spLocks noChangeArrowheads="1"/>
        </xdr:cNvSpPr>
      </xdr:nvSpPr>
      <xdr:spPr bwMode="auto">
        <a:xfrm>
          <a:off x="4733926" y="3486150"/>
          <a:ext cx="142875"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23</xdr:row>
      <xdr:rowOff>0</xdr:rowOff>
    </xdr:from>
    <xdr:to>
      <xdr:col>4</xdr:col>
      <xdr:colOff>71438</xdr:colOff>
      <xdr:row>24</xdr:row>
      <xdr:rowOff>57150</xdr:rowOff>
    </xdr:to>
    <xdr:sp macro="" textlink="">
      <xdr:nvSpPr>
        <xdr:cNvPr id="1094" name="Text Box 193">
          <a:extLst>
            <a:ext uri="{FF2B5EF4-FFF2-40B4-BE49-F238E27FC236}">
              <a16:creationId xmlns:a16="http://schemas.microsoft.com/office/drawing/2014/main" id="{00000000-0008-0000-0B00-000046040000}"/>
            </a:ext>
          </a:extLst>
        </xdr:cNvPr>
        <xdr:cNvSpPr txBox="1">
          <a:spLocks noChangeArrowheads="1"/>
        </xdr:cNvSpPr>
      </xdr:nvSpPr>
      <xdr:spPr bwMode="auto">
        <a:xfrm>
          <a:off x="4733926" y="3357563"/>
          <a:ext cx="142875" cy="18573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23</xdr:row>
      <xdr:rowOff>0</xdr:rowOff>
    </xdr:from>
    <xdr:to>
      <xdr:col>4</xdr:col>
      <xdr:colOff>71438</xdr:colOff>
      <xdr:row>24</xdr:row>
      <xdr:rowOff>57150</xdr:rowOff>
    </xdr:to>
    <xdr:sp macro="" textlink="">
      <xdr:nvSpPr>
        <xdr:cNvPr id="1095" name="Text Box 194">
          <a:extLst>
            <a:ext uri="{FF2B5EF4-FFF2-40B4-BE49-F238E27FC236}">
              <a16:creationId xmlns:a16="http://schemas.microsoft.com/office/drawing/2014/main" id="{00000000-0008-0000-0B00-000047040000}"/>
            </a:ext>
          </a:extLst>
        </xdr:cNvPr>
        <xdr:cNvSpPr txBox="1">
          <a:spLocks noChangeArrowheads="1"/>
        </xdr:cNvSpPr>
      </xdr:nvSpPr>
      <xdr:spPr bwMode="auto">
        <a:xfrm>
          <a:off x="4733926" y="3357563"/>
          <a:ext cx="142875" cy="18573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338138</xdr:colOff>
      <xdr:row>23</xdr:row>
      <xdr:rowOff>0</xdr:rowOff>
    </xdr:from>
    <xdr:to>
      <xdr:col>4</xdr:col>
      <xdr:colOff>71438</xdr:colOff>
      <xdr:row>24</xdr:row>
      <xdr:rowOff>57150</xdr:rowOff>
    </xdr:to>
    <xdr:sp macro="" textlink="">
      <xdr:nvSpPr>
        <xdr:cNvPr id="1096" name="Text Box 195">
          <a:extLst>
            <a:ext uri="{FF2B5EF4-FFF2-40B4-BE49-F238E27FC236}">
              <a16:creationId xmlns:a16="http://schemas.microsoft.com/office/drawing/2014/main" id="{00000000-0008-0000-0B00-000048040000}"/>
            </a:ext>
          </a:extLst>
        </xdr:cNvPr>
        <xdr:cNvSpPr txBox="1">
          <a:spLocks noChangeArrowheads="1"/>
        </xdr:cNvSpPr>
      </xdr:nvSpPr>
      <xdr:spPr bwMode="auto">
        <a:xfrm>
          <a:off x="4733926" y="3357563"/>
          <a:ext cx="142875" cy="18573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9525</xdr:colOff>
      <xdr:row>40</xdr:row>
      <xdr:rowOff>0</xdr:rowOff>
    </xdr:from>
    <xdr:to>
      <xdr:col>4</xdr:col>
      <xdr:colOff>90488</xdr:colOff>
      <xdr:row>41</xdr:row>
      <xdr:rowOff>48070</xdr:rowOff>
    </xdr:to>
    <xdr:sp macro="" textlink="">
      <xdr:nvSpPr>
        <xdr:cNvPr id="1097" name="Text Box 71">
          <a:extLst>
            <a:ext uri="{FF2B5EF4-FFF2-40B4-BE49-F238E27FC236}">
              <a16:creationId xmlns:a16="http://schemas.microsoft.com/office/drawing/2014/main" id="{00000000-0008-0000-0B00-000049040000}"/>
            </a:ext>
          </a:extLst>
        </xdr:cNvPr>
        <xdr:cNvSpPr txBox="1">
          <a:spLocks noChangeArrowheads="1"/>
        </xdr:cNvSpPr>
      </xdr:nvSpPr>
      <xdr:spPr bwMode="auto">
        <a:xfrm>
          <a:off x="4814888" y="6076950"/>
          <a:ext cx="80963"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9525</xdr:colOff>
      <xdr:row>40</xdr:row>
      <xdr:rowOff>0</xdr:rowOff>
    </xdr:from>
    <xdr:to>
      <xdr:col>4</xdr:col>
      <xdr:colOff>90488</xdr:colOff>
      <xdr:row>41</xdr:row>
      <xdr:rowOff>48070</xdr:rowOff>
    </xdr:to>
    <xdr:sp macro="" textlink="">
      <xdr:nvSpPr>
        <xdr:cNvPr id="1098" name="Text Box 175">
          <a:extLst>
            <a:ext uri="{FF2B5EF4-FFF2-40B4-BE49-F238E27FC236}">
              <a16:creationId xmlns:a16="http://schemas.microsoft.com/office/drawing/2014/main" id="{00000000-0008-0000-0B00-00004A040000}"/>
            </a:ext>
          </a:extLst>
        </xdr:cNvPr>
        <xdr:cNvSpPr txBox="1">
          <a:spLocks noChangeArrowheads="1"/>
        </xdr:cNvSpPr>
      </xdr:nvSpPr>
      <xdr:spPr bwMode="auto">
        <a:xfrm>
          <a:off x="4814888" y="6076950"/>
          <a:ext cx="80963"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099" name="Text Box 1">
          <a:extLst>
            <a:ext uri="{FF2B5EF4-FFF2-40B4-BE49-F238E27FC236}">
              <a16:creationId xmlns:a16="http://schemas.microsoft.com/office/drawing/2014/main" id="{00000000-0008-0000-0B00-00004B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00" name="Text Box 23">
          <a:extLst>
            <a:ext uri="{FF2B5EF4-FFF2-40B4-BE49-F238E27FC236}">
              <a16:creationId xmlns:a16="http://schemas.microsoft.com/office/drawing/2014/main" id="{00000000-0008-0000-0B00-00004C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01" name="Text Box 24">
          <a:extLst>
            <a:ext uri="{FF2B5EF4-FFF2-40B4-BE49-F238E27FC236}">
              <a16:creationId xmlns:a16="http://schemas.microsoft.com/office/drawing/2014/main" id="{00000000-0008-0000-0B00-00004D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02" name="Text Box 25">
          <a:extLst>
            <a:ext uri="{FF2B5EF4-FFF2-40B4-BE49-F238E27FC236}">
              <a16:creationId xmlns:a16="http://schemas.microsoft.com/office/drawing/2014/main" id="{00000000-0008-0000-0B00-00004E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03" name="Text Box 26">
          <a:extLst>
            <a:ext uri="{FF2B5EF4-FFF2-40B4-BE49-F238E27FC236}">
              <a16:creationId xmlns:a16="http://schemas.microsoft.com/office/drawing/2014/main" id="{00000000-0008-0000-0B00-00004F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04" name="Text Box 27">
          <a:extLst>
            <a:ext uri="{FF2B5EF4-FFF2-40B4-BE49-F238E27FC236}">
              <a16:creationId xmlns:a16="http://schemas.microsoft.com/office/drawing/2014/main" id="{00000000-0008-0000-0B00-000050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05" name="Text Box 28">
          <a:extLst>
            <a:ext uri="{FF2B5EF4-FFF2-40B4-BE49-F238E27FC236}">
              <a16:creationId xmlns:a16="http://schemas.microsoft.com/office/drawing/2014/main" id="{00000000-0008-0000-0B00-000051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06" name="Text Box 29">
          <a:extLst>
            <a:ext uri="{FF2B5EF4-FFF2-40B4-BE49-F238E27FC236}">
              <a16:creationId xmlns:a16="http://schemas.microsoft.com/office/drawing/2014/main" id="{00000000-0008-0000-0B00-000052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07" name="Text Box 30">
          <a:extLst>
            <a:ext uri="{FF2B5EF4-FFF2-40B4-BE49-F238E27FC236}">
              <a16:creationId xmlns:a16="http://schemas.microsoft.com/office/drawing/2014/main" id="{00000000-0008-0000-0B00-000053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08" name="Text Box 31">
          <a:extLst>
            <a:ext uri="{FF2B5EF4-FFF2-40B4-BE49-F238E27FC236}">
              <a16:creationId xmlns:a16="http://schemas.microsoft.com/office/drawing/2014/main" id="{00000000-0008-0000-0B00-000054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09" name="Text Box 32">
          <a:extLst>
            <a:ext uri="{FF2B5EF4-FFF2-40B4-BE49-F238E27FC236}">
              <a16:creationId xmlns:a16="http://schemas.microsoft.com/office/drawing/2014/main" id="{00000000-0008-0000-0B00-000055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10" name="Text Box 33">
          <a:extLst>
            <a:ext uri="{FF2B5EF4-FFF2-40B4-BE49-F238E27FC236}">
              <a16:creationId xmlns:a16="http://schemas.microsoft.com/office/drawing/2014/main" id="{00000000-0008-0000-0B00-000056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11" name="Text Box 34">
          <a:extLst>
            <a:ext uri="{FF2B5EF4-FFF2-40B4-BE49-F238E27FC236}">
              <a16:creationId xmlns:a16="http://schemas.microsoft.com/office/drawing/2014/main" id="{00000000-0008-0000-0B00-000057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12" name="Text Box 35">
          <a:extLst>
            <a:ext uri="{FF2B5EF4-FFF2-40B4-BE49-F238E27FC236}">
              <a16:creationId xmlns:a16="http://schemas.microsoft.com/office/drawing/2014/main" id="{00000000-0008-0000-0B00-000058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13" name="Text Box 36">
          <a:extLst>
            <a:ext uri="{FF2B5EF4-FFF2-40B4-BE49-F238E27FC236}">
              <a16:creationId xmlns:a16="http://schemas.microsoft.com/office/drawing/2014/main" id="{00000000-0008-0000-0B00-000059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14" name="Text Box 37">
          <a:extLst>
            <a:ext uri="{FF2B5EF4-FFF2-40B4-BE49-F238E27FC236}">
              <a16:creationId xmlns:a16="http://schemas.microsoft.com/office/drawing/2014/main" id="{00000000-0008-0000-0B00-00005A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15" name="Text Box 38">
          <a:extLst>
            <a:ext uri="{FF2B5EF4-FFF2-40B4-BE49-F238E27FC236}">
              <a16:creationId xmlns:a16="http://schemas.microsoft.com/office/drawing/2014/main" id="{00000000-0008-0000-0B00-00005B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16" name="Text Box 39">
          <a:extLst>
            <a:ext uri="{FF2B5EF4-FFF2-40B4-BE49-F238E27FC236}">
              <a16:creationId xmlns:a16="http://schemas.microsoft.com/office/drawing/2014/main" id="{00000000-0008-0000-0B00-00005C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17" name="Text Box 40">
          <a:extLst>
            <a:ext uri="{FF2B5EF4-FFF2-40B4-BE49-F238E27FC236}">
              <a16:creationId xmlns:a16="http://schemas.microsoft.com/office/drawing/2014/main" id="{00000000-0008-0000-0B00-00005D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18" name="Text Box 41">
          <a:extLst>
            <a:ext uri="{FF2B5EF4-FFF2-40B4-BE49-F238E27FC236}">
              <a16:creationId xmlns:a16="http://schemas.microsoft.com/office/drawing/2014/main" id="{00000000-0008-0000-0B00-00005E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19" name="Text Box 42">
          <a:extLst>
            <a:ext uri="{FF2B5EF4-FFF2-40B4-BE49-F238E27FC236}">
              <a16:creationId xmlns:a16="http://schemas.microsoft.com/office/drawing/2014/main" id="{00000000-0008-0000-0B00-00005F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20" name="Text Box 43">
          <a:extLst>
            <a:ext uri="{FF2B5EF4-FFF2-40B4-BE49-F238E27FC236}">
              <a16:creationId xmlns:a16="http://schemas.microsoft.com/office/drawing/2014/main" id="{00000000-0008-0000-0B00-000060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21" name="Text Box 44">
          <a:extLst>
            <a:ext uri="{FF2B5EF4-FFF2-40B4-BE49-F238E27FC236}">
              <a16:creationId xmlns:a16="http://schemas.microsoft.com/office/drawing/2014/main" id="{00000000-0008-0000-0B00-000061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22" name="Text Box 45">
          <a:extLst>
            <a:ext uri="{FF2B5EF4-FFF2-40B4-BE49-F238E27FC236}">
              <a16:creationId xmlns:a16="http://schemas.microsoft.com/office/drawing/2014/main" id="{00000000-0008-0000-0B00-000062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23" name="Text Box 46">
          <a:extLst>
            <a:ext uri="{FF2B5EF4-FFF2-40B4-BE49-F238E27FC236}">
              <a16:creationId xmlns:a16="http://schemas.microsoft.com/office/drawing/2014/main" id="{00000000-0008-0000-0B00-000063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24" name="Text Box 47">
          <a:extLst>
            <a:ext uri="{FF2B5EF4-FFF2-40B4-BE49-F238E27FC236}">
              <a16:creationId xmlns:a16="http://schemas.microsoft.com/office/drawing/2014/main" id="{00000000-0008-0000-0B00-000064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25" name="Text Box 48">
          <a:extLst>
            <a:ext uri="{FF2B5EF4-FFF2-40B4-BE49-F238E27FC236}">
              <a16:creationId xmlns:a16="http://schemas.microsoft.com/office/drawing/2014/main" id="{00000000-0008-0000-0B00-000065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26" name="Text Box 49">
          <a:extLst>
            <a:ext uri="{FF2B5EF4-FFF2-40B4-BE49-F238E27FC236}">
              <a16:creationId xmlns:a16="http://schemas.microsoft.com/office/drawing/2014/main" id="{00000000-0008-0000-0B00-000066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27" name="Text Box 50">
          <a:extLst>
            <a:ext uri="{FF2B5EF4-FFF2-40B4-BE49-F238E27FC236}">
              <a16:creationId xmlns:a16="http://schemas.microsoft.com/office/drawing/2014/main" id="{00000000-0008-0000-0B00-000067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28" name="Text Box 51">
          <a:extLst>
            <a:ext uri="{FF2B5EF4-FFF2-40B4-BE49-F238E27FC236}">
              <a16:creationId xmlns:a16="http://schemas.microsoft.com/office/drawing/2014/main" id="{00000000-0008-0000-0B00-000068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29" name="Text Box 52">
          <a:extLst>
            <a:ext uri="{FF2B5EF4-FFF2-40B4-BE49-F238E27FC236}">
              <a16:creationId xmlns:a16="http://schemas.microsoft.com/office/drawing/2014/main" id="{00000000-0008-0000-0B00-000069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30" name="Text Box 53">
          <a:extLst>
            <a:ext uri="{FF2B5EF4-FFF2-40B4-BE49-F238E27FC236}">
              <a16:creationId xmlns:a16="http://schemas.microsoft.com/office/drawing/2014/main" id="{00000000-0008-0000-0B00-00006A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31" name="Text Box 54">
          <a:extLst>
            <a:ext uri="{FF2B5EF4-FFF2-40B4-BE49-F238E27FC236}">
              <a16:creationId xmlns:a16="http://schemas.microsoft.com/office/drawing/2014/main" id="{00000000-0008-0000-0B00-00006B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32" name="Text Box 55">
          <a:extLst>
            <a:ext uri="{FF2B5EF4-FFF2-40B4-BE49-F238E27FC236}">
              <a16:creationId xmlns:a16="http://schemas.microsoft.com/office/drawing/2014/main" id="{00000000-0008-0000-0B00-00006C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33" name="Text Box 56">
          <a:extLst>
            <a:ext uri="{FF2B5EF4-FFF2-40B4-BE49-F238E27FC236}">
              <a16:creationId xmlns:a16="http://schemas.microsoft.com/office/drawing/2014/main" id="{00000000-0008-0000-0B00-00006D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34" name="Text Box 57">
          <a:extLst>
            <a:ext uri="{FF2B5EF4-FFF2-40B4-BE49-F238E27FC236}">
              <a16:creationId xmlns:a16="http://schemas.microsoft.com/office/drawing/2014/main" id="{00000000-0008-0000-0B00-00006E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35" name="Text Box 58">
          <a:extLst>
            <a:ext uri="{FF2B5EF4-FFF2-40B4-BE49-F238E27FC236}">
              <a16:creationId xmlns:a16="http://schemas.microsoft.com/office/drawing/2014/main" id="{00000000-0008-0000-0B00-00006F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36" name="Text Box 59">
          <a:extLst>
            <a:ext uri="{FF2B5EF4-FFF2-40B4-BE49-F238E27FC236}">
              <a16:creationId xmlns:a16="http://schemas.microsoft.com/office/drawing/2014/main" id="{00000000-0008-0000-0B00-000070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37" name="Text Box 60">
          <a:extLst>
            <a:ext uri="{FF2B5EF4-FFF2-40B4-BE49-F238E27FC236}">
              <a16:creationId xmlns:a16="http://schemas.microsoft.com/office/drawing/2014/main" id="{00000000-0008-0000-0B00-000071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38" name="Text Box 61">
          <a:extLst>
            <a:ext uri="{FF2B5EF4-FFF2-40B4-BE49-F238E27FC236}">
              <a16:creationId xmlns:a16="http://schemas.microsoft.com/office/drawing/2014/main" id="{00000000-0008-0000-0B00-000072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39" name="Text Box 62">
          <a:extLst>
            <a:ext uri="{FF2B5EF4-FFF2-40B4-BE49-F238E27FC236}">
              <a16:creationId xmlns:a16="http://schemas.microsoft.com/office/drawing/2014/main" id="{00000000-0008-0000-0B00-000073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40" name="Text Box 63">
          <a:extLst>
            <a:ext uri="{FF2B5EF4-FFF2-40B4-BE49-F238E27FC236}">
              <a16:creationId xmlns:a16="http://schemas.microsoft.com/office/drawing/2014/main" id="{00000000-0008-0000-0B00-000074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41" name="Text Box 64">
          <a:extLst>
            <a:ext uri="{FF2B5EF4-FFF2-40B4-BE49-F238E27FC236}">
              <a16:creationId xmlns:a16="http://schemas.microsoft.com/office/drawing/2014/main" id="{00000000-0008-0000-0B00-000075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42" name="Text Box 65">
          <a:extLst>
            <a:ext uri="{FF2B5EF4-FFF2-40B4-BE49-F238E27FC236}">
              <a16:creationId xmlns:a16="http://schemas.microsoft.com/office/drawing/2014/main" id="{00000000-0008-0000-0B00-000076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43" name="Text Box 66">
          <a:extLst>
            <a:ext uri="{FF2B5EF4-FFF2-40B4-BE49-F238E27FC236}">
              <a16:creationId xmlns:a16="http://schemas.microsoft.com/office/drawing/2014/main" id="{00000000-0008-0000-0B00-000077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44" name="Text Box 67">
          <a:extLst>
            <a:ext uri="{FF2B5EF4-FFF2-40B4-BE49-F238E27FC236}">
              <a16:creationId xmlns:a16="http://schemas.microsoft.com/office/drawing/2014/main" id="{00000000-0008-0000-0B00-000078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45" name="Text Box 68">
          <a:extLst>
            <a:ext uri="{FF2B5EF4-FFF2-40B4-BE49-F238E27FC236}">
              <a16:creationId xmlns:a16="http://schemas.microsoft.com/office/drawing/2014/main" id="{00000000-0008-0000-0B00-000079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46" name="Text Box 69">
          <a:extLst>
            <a:ext uri="{FF2B5EF4-FFF2-40B4-BE49-F238E27FC236}">
              <a16:creationId xmlns:a16="http://schemas.microsoft.com/office/drawing/2014/main" id="{00000000-0008-0000-0B00-00007A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47" name="Text Box 70">
          <a:extLst>
            <a:ext uri="{FF2B5EF4-FFF2-40B4-BE49-F238E27FC236}">
              <a16:creationId xmlns:a16="http://schemas.microsoft.com/office/drawing/2014/main" id="{00000000-0008-0000-0B00-00007B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48" name="Text Box 72">
          <a:extLst>
            <a:ext uri="{FF2B5EF4-FFF2-40B4-BE49-F238E27FC236}">
              <a16:creationId xmlns:a16="http://schemas.microsoft.com/office/drawing/2014/main" id="{00000000-0008-0000-0B00-00007C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49" name="Text Box 73">
          <a:extLst>
            <a:ext uri="{FF2B5EF4-FFF2-40B4-BE49-F238E27FC236}">
              <a16:creationId xmlns:a16="http://schemas.microsoft.com/office/drawing/2014/main" id="{00000000-0008-0000-0B00-00007D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50" name="Text Box 77">
          <a:extLst>
            <a:ext uri="{FF2B5EF4-FFF2-40B4-BE49-F238E27FC236}">
              <a16:creationId xmlns:a16="http://schemas.microsoft.com/office/drawing/2014/main" id="{00000000-0008-0000-0B00-00007E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51" name="Text Box 78">
          <a:extLst>
            <a:ext uri="{FF2B5EF4-FFF2-40B4-BE49-F238E27FC236}">
              <a16:creationId xmlns:a16="http://schemas.microsoft.com/office/drawing/2014/main" id="{00000000-0008-0000-0B00-00007F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52" name="Text Box 79">
          <a:extLst>
            <a:ext uri="{FF2B5EF4-FFF2-40B4-BE49-F238E27FC236}">
              <a16:creationId xmlns:a16="http://schemas.microsoft.com/office/drawing/2014/main" id="{00000000-0008-0000-0B00-000080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53" name="Text Box 80">
          <a:extLst>
            <a:ext uri="{FF2B5EF4-FFF2-40B4-BE49-F238E27FC236}">
              <a16:creationId xmlns:a16="http://schemas.microsoft.com/office/drawing/2014/main" id="{00000000-0008-0000-0B00-000081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54" name="Text Box 81">
          <a:extLst>
            <a:ext uri="{FF2B5EF4-FFF2-40B4-BE49-F238E27FC236}">
              <a16:creationId xmlns:a16="http://schemas.microsoft.com/office/drawing/2014/main" id="{00000000-0008-0000-0B00-000082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55" name="Text Box 82">
          <a:extLst>
            <a:ext uri="{FF2B5EF4-FFF2-40B4-BE49-F238E27FC236}">
              <a16:creationId xmlns:a16="http://schemas.microsoft.com/office/drawing/2014/main" id="{00000000-0008-0000-0B00-000083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56" name="Text Box 84">
          <a:extLst>
            <a:ext uri="{FF2B5EF4-FFF2-40B4-BE49-F238E27FC236}">
              <a16:creationId xmlns:a16="http://schemas.microsoft.com/office/drawing/2014/main" id="{00000000-0008-0000-0B00-000084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57" name="Text Box 85">
          <a:extLst>
            <a:ext uri="{FF2B5EF4-FFF2-40B4-BE49-F238E27FC236}">
              <a16:creationId xmlns:a16="http://schemas.microsoft.com/office/drawing/2014/main" id="{00000000-0008-0000-0B00-000085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58" name="Text Box 89">
          <a:extLst>
            <a:ext uri="{FF2B5EF4-FFF2-40B4-BE49-F238E27FC236}">
              <a16:creationId xmlns:a16="http://schemas.microsoft.com/office/drawing/2014/main" id="{00000000-0008-0000-0B00-000086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59" name="Text Box 90">
          <a:extLst>
            <a:ext uri="{FF2B5EF4-FFF2-40B4-BE49-F238E27FC236}">
              <a16:creationId xmlns:a16="http://schemas.microsoft.com/office/drawing/2014/main" id="{00000000-0008-0000-0B00-000087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60" name="Text Box 91">
          <a:extLst>
            <a:ext uri="{FF2B5EF4-FFF2-40B4-BE49-F238E27FC236}">
              <a16:creationId xmlns:a16="http://schemas.microsoft.com/office/drawing/2014/main" id="{00000000-0008-0000-0B00-000088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61" name="Text Box 92">
          <a:extLst>
            <a:ext uri="{FF2B5EF4-FFF2-40B4-BE49-F238E27FC236}">
              <a16:creationId xmlns:a16="http://schemas.microsoft.com/office/drawing/2014/main" id="{00000000-0008-0000-0B00-000089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62" name="Text Box 93">
          <a:extLst>
            <a:ext uri="{FF2B5EF4-FFF2-40B4-BE49-F238E27FC236}">
              <a16:creationId xmlns:a16="http://schemas.microsoft.com/office/drawing/2014/main" id="{00000000-0008-0000-0B00-00008A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63" name="Text Box 94">
          <a:extLst>
            <a:ext uri="{FF2B5EF4-FFF2-40B4-BE49-F238E27FC236}">
              <a16:creationId xmlns:a16="http://schemas.microsoft.com/office/drawing/2014/main" id="{00000000-0008-0000-0B00-00008B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64" name="Text Box 95">
          <a:extLst>
            <a:ext uri="{FF2B5EF4-FFF2-40B4-BE49-F238E27FC236}">
              <a16:creationId xmlns:a16="http://schemas.microsoft.com/office/drawing/2014/main" id="{00000000-0008-0000-0B00-00008C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65" name="Text Box 96">
          <a:extLst>
            <a:ext uri="{FF2B5EF4-FFF2-40B4-BE49-F238E27FC236}">
              <a16:creationId xmlns:a16="http://schemas.microsoft.com/office/drawing/2014/main" id="{00000000-0008-0000-0B00-00008D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66" name="Text Box 97">
          <a:extLst>
            <a:ext uri="{FF2B5EF4-FFF2-40B4-BE49-F238E27FC236}">
              <a16:creationId xmlns:a16="http://schemas.microsoft.com/office/drawing/2014/main" id="{00000000-0008-0000-0B00-00008E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67" name="Text Box 101">
          <a:extLst>
            <a:ext uri="{FF2B5EF4-FFF2-40B4-BE49-F238E27FC236}">
              <a16:creationId xmlns:a16="http://schemas.microsoft.com/office/drawing/2014/main" id="{00000000-0008-0000-0B00-00008F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68" name="Text Box 102">
          <a:extLst>
            <a:ext uri="{FF2B5EF4-FFF2-40B4-BE49-F238E27FC236}">
              <a16:creationId xmlns:a16="http://schemas.microsoft.com/office/drawing/2014/main" id="{00000000-0008-0000-0B00-000090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69" name="Text Box 103">
          <a:extLst>
            <a:ext uri="{FF2B5EF4-FFF2-40B4-BE49-F238E27FC236}">
              <a16:creationId xmlns:a16="http://schemas.microsoft.com/office/drawing/2014/main" id="{00000000-0008-0000-0B00-000091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70" name="Text Box 104">
          <a:extLst>
            <a:ext uri="{FF2B5EF4-FFF2-40B4-BE49-F238E27FC236}">
              <a16:creationId xmlns:a16="http://schemas.microsoft.com/office/drawing/2014/main" id="{00000000-0008-0000-0B00-000092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71" name="Text Box 105">
          <a:extLst>
            <a:ext uri="{FF2B5EF4-FFF2-40B4-BE49-F238E27FC236}">
              <a16:creationId xmlns:a16="http://schemas.microsoft.com/office/drawing/2014/main" id="{00000000-0008-0000-0B00-000093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72" name="Text Box 106">
          <a:extLst>
            <a:ext uri="{FF2B5EF4-FFF2-40B4-BE49-F238E27FC236}">
              <a16:creationId xmlns:a16="http://schemas.microsoft.com/office/drawing/2014/main" id="{00000000-0008-0000-0B00-000094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73" name="Text Box 107">
          <a:extLst>
            <a:ext uri="{FF2B5EF4-FFF2-40B4-BE49-F238E27FC236}">
              <a16:creationId xmlns:a16="http://schemas.microsoft.com/office/drawing/2014/main" id="{00000000-0008-0000-0B00-000095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74" name="Text Box 108">
          <a:extLst>
            <a:ext uri="{FF2B5EF4-FFF2-40B4-BE49-F238E27FC236}">
              <a16:creationId xmlns:a16="http://schemas.microsoft.com/office/drawing/2014/main" id="{00000000-0008-0000-0B00-000096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75" name="Text Box 109">
          <a:extLst>
            <a:ext uri="{FF2B5EF4-FFF2-40B4-BE49-F238E27FC236}">
              <a16:creationId xmlns:a16="http://schemas.microsoft.com/office/drawing/2014/main" id="{00000000-0008-0000-0B00-000097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76" name="Text Box 113">
          <a:extLst>
            <a:ext uri="{FF2B5EF4-FFF2-40B4-BE49-F238E27FC236}">
              <a16:creationId xmlns:a16="http://schemas.microsoft.com/office/drawing/2014/main" id="{00000000-0008-0000-0B00-000098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77" name="Text Box 114">
          <a:extLst>
            <a:ext uri="{FF2B5EF4-FFF2-40B4-BE49-F238E27FC236}">
              <a16:creationId xmlns:a16="http://schemas.microsoft.com/office/drawing/2014/main" id="{00000000-0008-0000-0B00-000099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78" name="Text Box 115">
          <a:extLst>
            <a:ext uri="{FF2B5EF4-FFF2-40B4-BE49-F238E27FC236}">
              <a16:creationId xmlns:a16="http://schemas.microsoft.com/office/drawing/2014/main" id="{00000000-0008-0000-0B00-00009A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79" name="Text Box 116">
          <a:extLst>
            <a:ext uri="{FF2B5EF4-FFF2-40B4-BE49-F238E27FC236}">
              <a16:creationId xmlns:a16="http://schemas.microsoft.com/office/drawing/2014/main" id="{00000000-0008-0000-0B00-00009B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80" name="Text Box 117">
          <a:extLst>
            <a:ext uri="{FF2B5EF4-FFF2-40B4-BE49-F238E27FC236}">
              <a16:creationId xmlns:a16="http://schemas.microsoft.com/office/drawing/2014/main" id="{00000000-0008-0000-0B00-00009C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81" name="Text Box 118">
          <a:extLst>
            <a:ext uri="{FF2B5EF4-FFF2-40B4-BE49-F238E27FC236}">
              <a16:creationId xmlns:a16="http://schemas.microsoft.com/office/drawing/2014/main" id="{00000000-0008-0000-0B00-00009D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82" name="Text Box 119">
          <a:extLst>
            <a:ext uri="{FF2B5EF4-FFF2-40B4-BE49-F238E27FC236}">
              <a16:creationId xmlns:a16="http://schemas.microsoft.com/office/drawing/2014/main" id="{00000000-0008-0000-0B00-00009E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83" name="Text Box 120">
          <a:extLst>
            <a:ext uri="{FF2B5EF4-FFF2-40B4-BE49-F238E27FC236}">
              <a16:creationId xmlns:a16="http://schemas.microsoft.com/office/drawing/2014/main" id="{00000000-0008-0000-0B00-00009F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84" name="Text Box 121">
          <a:extLst>
            <a:ext uri="{FF2B5EF4-FFF2-40B4-BE49-F238E27FC236}">
              <a16:creationId xmlns:a16="http://schemas.microsoft.com/office/drawing/2014/main" id="{00000000-0008-0000-0B00-0000A0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85" name="Text Box 125">
          <a:extLst>
            <a:ext uri="{FF2B5EF4-FFF2-40B4-BE49-F238E27FC236}">
              <a16:creationId xmlns:a16="http://schemas.microsoft.com/office/drawing/2014/main" id="{00000000-0008-0000-0B00-0000A1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86" name="Text Box 126">
          <a:extLst>
            <a:ext uri="{FF2B5EF4-FFF2-40B4-BE49-F238E27FC236}">
              <a16:creationId xmlns:a16="http://schemas.microsoft.com/office/drawing/2014/main" id="{00000000-0008-0000-0B00-0000A2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87" name="Text Box 127">
          <a:extLst>
            <a:ext uri="{FF2B5EF4-FFF2-40B4-BE49-F238E27FC236}">
              <a16:creationId xmlns:a16="http://schemas.microsoft.com/office/drawing/2014/main" id="{00000000-0008-0000-0B00-0000A3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88" name="Text Box 128">
          <a:extLst>
            <a:ext uri="{FF2B5EF4-FFF2-40B4-BE49-F238E27FC236}">
              <a16:creationId xmlns:a16="http://schemas.microsoft.com/office/drawing/2014/main" id="{00000000-0008-0000-0B00-0000A4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89" name="Text Box 129">
          <a:extLst>
            <a:ext uri="{FF2B5EF4-FFF2-40B4-BE49-F238E27FC236}">
              <a16:creationId xmlns:a16="http://schemas.microsoft.com/office/drawing/2014/main" id="{00000000-0008-0000-0B00-0000A5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90" name="Text Box 130">
          <a:extLst>
            <a:ext uri="{FF2B5EF4-FFF2-40B4-BE49-F238E27FC236}">
              <a16:creationId xmlns:a16="http://schemas.microsoft.com/office/drawing/2014/main" id="{00000000-0008-0000-0B00-0000A6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91" name="Text Box 131">
          <a:extLst>
            <a:ext uri="{FF2B5EF4-FFF2-40B4-BE49-F238E27FC236}">
              <a16:creationId xmlns:a16="http://schemas.microsoft.com/office/drawing/2014/main" id="{00000000-0008-0000-0B00-0000A7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92" name="Text Box 132">
          <a:extLst>
            <a:ext uri="{FF2B5EF4-FFF2-40B4-BE49-F238E27FC236}">
              <a16:creationId xmlns:a16="http://schemas.microsoft.com/office/drawing/2014/main" id="{00000000-0008-0000-0B00-0000A8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93" name="Text Box 133">
          <a:extLst>
            <a:ext uri="{FF2B5EF4-FFF2-40B4-BE49-F238E27FC236}">
              <a16:creationId xmlns:a16="http://schemas.microsoft.com/office/drawing/2014/main" id="{00000000-0008-0000-0B00-0000A9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94" name="Text Box 137">
          <a:extLst>
            <a:ext uri="{FF2B5EF4-FFF2-40B4-BE49-F238E27FC236}">
              <a16:creationId xmlns:a16="http://schemas.microsoft.com/office/drawing/2014/main" id="{00000000-0008-0000-0B00-0000AA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95" name="Text Box 138">
          <a:extLst>
            <a:ext uri="{FF2B5EF4-FFF2-40B4-BE49-F238E27FC236}">
              <a16:creationId xmlns:a16="http://schemas.microsoft.com/office/drawing/2014/main" id="{00000000-0008-0000-0B00-0000AB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96" name="Text Box 139">
          <a:extLst>
            <a:ext uri="{FF2B5EF4-FFF2-40B4-BE49-F238E27FC236}">
              <a16:creationId xmlns:a16="http://schemas.microsoft.com/office/drawing/2014/main" id="{00000000-0008-0000-0B00-0000AC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97" name="Text Box 140">
          <a:extLst>
            <a:ext uri="{FF2B5EF4-FFF2-40B4-BE49-F238E27FC236}">
              <a16:creationId xmlns:a16="http://schemas.microsoft.com/office/drawing/2014/main" id="{00000000-0008-0000-0B00-0000AD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98" name="Text Box 141">
          <a:extLst>
            <a:ext uri="{FF2B5EF4-FFF2-40B4-BE49-F238E27FC236}">
              <a16:creationId xmlns:a16="http://schemas.microsoft.com/office/drawing/2014/main" id="{00000000-0008-0000-0B00-0000AE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199" name="Text Box 142">
          <a:extLst>
            <a:ext uri="{FF2B5EF4-FFF2-40B4-BE49-F238E27FC236}">
              <a16:creationId xmlns:a16="http://schemas.microsoft.com/office/drawing/2014/main" id="{00000000-0008-0000-0B00-0000AF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00" name="Text Box 143">
          <a:extLst>
            <a:ext uri="{FF2B5EF4-FFF2-40B4-BE49-F238E27FC236}">
              <a16:creationId xmlns:a16="http://schemas.microsoft.com/office/drawing/2014/main" id="{00000000-0008-0000-0B00-0000B0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01" name="Text Box 144">
          <a:extLst>
            <a:ext uri="{FF2B5EF4-FFF2-40B4-BE49-F238E27FC236}">
              <a16:creationId xmlns:a16="http://schemas.microsoft.com/office/drawing/2014/main" id="{00000000-0008-0000-0B00-0000B1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02" name="Text Box 145">
          <a:extLst>
            <a:ext uri="{FF2B5EF4-FFF2-40B4-BE49-F238E27FC236}">
              <a16:creationId xmlns:a16="http://schemas.microsoft.com/office/drawing/2014/main" id="{00000000-0008-0000-0B00-0000B2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03" name="Text Box 149">
          <a:extLst>
            <a:ext uri="{FF2B5EF4-FFF2-40B4-BE49-F238E27FC236}">
              <a16:creationId xmlns:a16="http://schemas.microsoft.com/office/drawing/2014/main" id="{00000000-0008-0000-0B00-0000B3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04" name="Text Box 150">
          <a:extLst>
            <a:ext uri="{FF2B5EF4-FFF2-40B4-BE49-F238E27FC236}">
              <a16:creationId xmlns:a16="http://schemas.microsoft.com/office/drawing/2014/main" id="{00000000-0008-0000-0B00-0000B4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05" name="Text Box 151">
          <a:extLst>
            <a:ext uri="{FF2B5EF4-FFF2-40B4-BE49-F238E27FC236}">
              <a16:creationId xmlns:a16="http://schemas.microsoft.com/office/drawing/2014/main" id="{00000000-0008-0000-0B00-0000B5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06" name="Text Box 152">
          <a:extLst>
            <a:ext uri="{FF2B5EF4-FFF2-40B4-BE49-F238E27FC236}">
              <a16:creationId xmlns:a16="http://schemas.microsoft.com/office/drawing/2014/main" id="{00000000-0008-0000-0B00-0000B6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07" name="Text Box 153">
          <a:extLst>
            <a:ext uri="{FF2B5EF4-FFF2-40B4-BE49-F238E27FC236}">
              <a16:creationId xmlns:a16="http://schemas.microsoft.com/office/drawing/2014/main" id="{00000000-0008-0000-0B00-0000B7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08" name="Text Box 154">
          <a:extLst>
            <a:ext uri="{FF2B5EF4-FFF2-40B4-BE49-F238E27FC236}">
              <a16:creationId xmlns:a16="http://schemas.microsoft.com/office/drawing/2014/main" id="{00000000-0008-0000-0B00-0000B8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09" name="Text Box 155">
          <a:extLst>
            <a:ext uri="{FF2B5EF4-FFF2-40B4-BE49-F238E27FC236}">
              <a16:creationId xmlns:a16="http://schemas.microsoft.com/office/drawing/2014/main" id="{00000000-0008-0000-0B00-0000B9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10" name="Text Box 156">
          <a:extLst>
            <a:ext uri="{FF2B5EF4-FFF2-40B4-BE49-F238E27FC236}">
              <a16:creationId xmlns:a16="http://schemas.microsoft.com/office/drawing/2014/main" id="{00000000-0008-0000-0B00-0000BA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11" name="Text Box 157">
          <a:extLst>
            <a:ext uri="{FF2B5EF4-FFF2-40B4-BE49-F238E27FC236}">
              <a16:creationId xmlns:a16="http://schemas.microsoft.com/office/drawing/2014/main" id="{00000000-0008-0000-0B00-0000BB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12" name="Text Box 161">
          <a:extLst>
            <a:ext uri="{FF2B5EF4-FFF2-40B4-BE49-F238E27FC236}">
              <a16:creationId xmlns:a16="http://schemas.microsoft.com/office/drawing/2014/main" id="{00000000-0008-0000-0B00-0000BC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13" name="Text Box 162">
          <a:extLst>
            <a:ext uri="{FF2B5EF4-FFF2-40B4-BE49-F238E27FC236}">
              <a16:creationId xmlns:a16="http://schemas.microsoft.com/office/drawing/2014/main" id="{00000000-0008-0000-0B00-0000BD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14" name="Text Box 163">
          <a:extLst>
            <a:ext uri="{FF2B5EF4-FFF2-40B4-BE49-F238E27FC236}">
              <a16:creationId xmlns:a16="http://schemas.microsoft.com/office/drawing/2014/main" id="{00000000-0008-0000-0B00-0000BE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15" name="Text Box 164">
          <a:extLst>
            <a:ext uri="{FF2B5EF4-FFF2-40B4-BE49-F238E27FC236}">
              <a16:creationId xmlns:a16="http://schemas.microsoft.com/office/drawing/2014/main" id="{00000000-0008-0000-0B00-0000BF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16" name="Text Box 165">
          <a:extLst>
            <a:ext uri="{FF2B5EF4-FFF2-40B4-BE49-F238E27FC236}">
              <a16:creationId xmlns:a16="http://schemas.microsoft.com/office/drawing/2014/main" id="{00000000-0008-0000-0B00-0000C0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17" name="Text Box 166">
          <a:extLst>
            <a:ext uri="{FF2B5EF4-FFF2-40B4-BE49-F238E27FC236}">
              <a16:creationId xmlns:a16="http://schemas.microsoft.com/office/drawing/2014/main" id="{00000000-0008-0000-0B00-0000C1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18" name="Text Box 167">
          <a:extLst>
            <a:ext uri="{FF2B5EF4-FFF2-40B4-BE49-F238E27FC236}">
              <a16:creationId xmlns:a16="http://schemas.microsoft.com/office/drawing/2014/main" id="{00000000-0008-0000-0B00-0000C2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19" name="Text Box 168">
          <a:extLst>
            <a:ext uri="{FF2B5EF4-FFF2-40B4-BE49-F238E27FC236}">
              <a16:creationId xmlns:a16="http://schemas.microsoft.com/office/drawing/2014/main" id="{00000000-0008-0000-0B00-0000C3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20" name="Text Box 169">
          <a:extLst>
            <a:ext uri="{FF2B5EF4-FFF2-40B4-BE49-F238E27FC236}">
              <a16:creationId xmlns:a16="http://schemas.microsoft.com/office/drawing/2014/main" id="{00000000-0008-0000-0B00-0000C4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21" name="Text Box 170">
          <a:extLst>
            <a:ext uri="{FF2B5EF4-FFF2-40B4-BE49-F238E27FC236}">
              <a16:creationId xmlns:a16="http://schemas.microsoft.com/office/drawing/2014/main" id="{00000000-0008-0000-0B00-0000C5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22" name="Text Box 171">
          <a:extLst>
            <a:ext uri="{FF2B5EF4-FFF2-40B4-BE49-F238E27FC236}">
              <a16:creationId xmlns:a16="http://schemas.microsoft.com/office/drawing/2014/main" id="{00000000-0008-0000-0B00-0000C6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23" name="Text Box 172">
          <a:extLst>
            <a:ext uri="{FF2B5EF4-FFF2-40B4-BE49-F238E27FC236}">
              <a16:creationId xmlns:a16="http://schemas.microsoft.com/office/drawing/2014/main" id="{00000000-0008-0000-0B00-0000C7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24" name="Text Box 173">
          <a:extLst>
            <a:ext uri="{FF2B5EF4-FFF2-40B4-BE49-F238E27FC236}">
              <a16:creationId xmlns:a16="http://schemas.microsoft.com/office/drawing/2014/main" id="{00000000-0008-0000-0B00-0000C8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25" name="Text Box 174">
          <a:extLst>
            <a:ext uri="{FF2B5EF4-FFF2-40B4-BE49-F238E27FC236}">
              <a16:creationId xmlns:a16="http://schemas.microsoft.com/office/drawing/2014/main" id="{00000000-0008-0000-0B00-0000C9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26" name="Text Box 176">
          <a:extLst>
            <a:ext uri="{FF2B5EF4-FFF2-40B4-BE49-F238E27FC236}">
              <a16:creationId xmlns:a16="http://schemas.microsoft.com/office/drawing/2014/main" id="{00000000-0008-0000-0B00-0000CA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27" name="Text Box 178">
          <a:extLst>
            <a:ext uri="{FF2B5EF4-FFF2-40B4-BE49-F238E27FC236}">
              <a16:creationId xmlns:a16="http://schemas.microsoft.com/office/drawing/2014/main" id="{00000000-0008-0000-0B00-0000CB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28" name="Text Box 179">
          <a:extLst>
            <a:ext uri="{FF2B5EF4-FFF2-40B4-BE49-F238E27FC236}">
              <a16:creationId xmlns:a16="http://schemas.microsoft.com/office/drawing/2014/main" id="{00000000-0008-0000-0B00-0000CC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29" name="Text Box 180">
          <a:extLst>
            <a:ext uri="{FF2B5EF4-FFF2-40B4-BE49-F238E27FC236}">
              <a16:creationId xmlns:a16="http://schemas.microsoft.com/office/drawing/2014/main" id="{00000000-0008-0000-0B00-0000CD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30" name="Text Box 181">
          <a:extLst>
            <a:ext uri="{FF2B5EF4-FFF2-40B4-BE49-F238E27FC236}">
              <a16:creationId xmlns:a16="http://schemas.microsoft.com/office/drawing/2014/main" id="{00000000-0008-0000-0B00-0000CE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31" name="Text Box 182">
          <a:extLst>
            <a:ext uri="{FF2B5EF4-FFF2-40B4-BE49-F238E27FC236}">
              <a16:creationId xmlns:a16="http://schemas.microsoft.com/office/drawing/2014/main" id="{00000000-0008-0000-0B00-0000CF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32" name="Text Box 183">
          <a:extLst>
            <a:ext uri="{FF2B5EF4-FFF2-40B4-BE49-F238E27FC236}">
              <a16:creationId xmlns:a16="http://schemas.microsoft.com/office/drawing/2014/main" id="{00000000-0008-0000-0B00-0000D0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33" name="Text Box 184">
          <a:extLst>
            <a:ext uri="{FF2B5EF4-FFF2-40B4-BE49-F238E27FC236}">
              <a16:creationId xmlns:a16="http://schemas.microsoft.com/office/drawing/2014/main" id="{00000000-0008-0000-0B00-0000D1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34" name="Text Box 185">
          <a:extLst>
            <a:ext uri="{FF2B5EF4-FFF2-40B4-BE49-F238E27FC236}">
              <a16:creationId xmlns:a16="http://schemas.microsoft.com/office/drawing/2014/main" id="{00000000-0008-0000-0B00-0000D2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35" name="Text Box 186">
          <a:extLst>
            <a:ext uri="{FF2B5EF4-FFF2-40B4-BE49-F238E27FC236}">
              <a16:creationId xmlns:a16="http://schemas.microsoft.com/office/drawing/2014/main" id="{00000000-0008-0000-0B00-0000D3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36" name="Text Box 187">
          <a:extLst>
            <a:ext uri="{FF2B5EF4-FFF2-40B4-BE49-F238E27FC236}">
              <a16:creationId xmlns:a16="http://schemas.microsoft.com/office/drawing/2014/main" id="{00000000-0008-0000-0B00-0000D4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37" name="Text Box 188">
          <a:extLst>
            <a:ext uri="{FF2B5EF4-FFF2-40B4-BE49-F238E27FC236}">
              <a16:creationId xmlns:a16="http://schemas.microsoft.com/office/drawing/2014/main" id="{00000000-0008-0000-0B00-0000D5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38" name="Text Box 189">
          <a:extLst>
            <a:ext uri="{FF2B5EF4-FFF2-40B4-BE49-F238E27FC236}">
              <a16:creationId xmlns:a16="http://schemas.microsoft.com/office/drawing/2014/main" id="{00000000-0008-0000-0B00-0000D6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39" name="Text Box 190">
          <a:extLst>
            <a:ext uri="{FF2B5EF4-FFF2-40B4-BE49-F238E27FC236}">
              <a16:creationId xmlns:a16="http://schemas.microsoft.com/office/drawing/2014/main" id="{00000000-0008-0000-0B00-0000D7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40" name="Text Box 191">
          <a:extLst>
            <a:ext uri="{FF2B5EF4-FFF2-40B4-BE49-F238E27FC236}">
              <a16:creationId xmlns:a16="http://schemas.microsoft.com/office/drawing/2014/main" id="{00000000-0008-0000-0B00-0000D8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41" name="Text Box 192">
          <a:extLst>
            <a:ext uri="{FF2B5EF4-FFF2-40B4-BE49-F238E27FC236}">
              <a16:creationId xmlns:a16="http://schemas.microsoft.com/office/drawing/2014/main" id="{00000000-0008-0000-0B00-0000D9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42" name="Text Box 193">
          <a:extLst>
            <a:ext uri="{FF2B5EF4-FFF2-40B4-BE49-F238E27FC236}">
              <a16:creationId xmlns:a16="http://schemas.microsoft.com/office/drawing/2014/main" id="{00000000-0008-0000-0B00-0000DA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43" name="Text Box 194">
          <a:extLst>
            <a:ext uri="{FF2B5EF4-FFF2-40B4-BE49-F238E27FC236}">
              <a16:creationId xmlns:a16="http://schemas.microsoft.com/office/drawing/2014/main" id="{00000000-0008-0000-0B00-0000DB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44" name="Text Box 195">
          <a:extLst>
            <a:ext uri="{FF2B5EF4-FFF2-40B4-BE49-F238E27FC236}">
              <a16:creationId xmlns:a16="http://schemas.microsoft.com/office/drawing/2014/main" id="{00000000-0008-0000-0B00-0000DC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45" name="Text Box 196">
          <a:extLst>
            <a:ext uri="{FF2B5EF4-FFF2-40B4-BE49-F238E27FC236}">
              <a16:creationId xmlns:a16="http://schemas.microsoft.com/office/drawing/2014/main" id="{00000000-0008-0000-0B00-0000DD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46" name="Text Box 197">
          <a:extLst>
            <a:ext uri="{FF2B5EF4-FFF2-40B4-BE49-F238E27FC236}">
              <a16:creationId xmlns:a16="http://schemas.microsoft.com/office/drawing/2014/main" id="{00000000-0008-0000-0B00-0000DE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47" name="Text Box 198">
          <a:extLst>
            <a:ext uri="{FF2B5EF4-FFF2-40B4-BE49-F238E27FC236}">
              <a16:creationId xmlns:a16="http://schemas.microsoft.com/office/drawing/2014/main" id="{00000000-0008-0000-0B00-0000DF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48" name="Text Box 199">
          <a:extLst>
            <a:ext uri="{FF2B5EF4-FFF2-40B4-BE49-F238E27FC236}">
              <a16:creationId xmlns:a16="http://schemas.microsoft.com/office/drawing/2014/main" id="{00000000-0008-0000-0B00-0000E0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49" name="Text Box 200">
          <a:extLst>
            <a:ext uri="{FF2B5EF4-FFF2-40B4-BE49-F238E27FC236}">
              <a16:creationId xmlns:a16="http://schemas.microsoft.com/office/drawing/2014/main" id="{00000000-0008-0000-0B00-0000E1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50" name="Text Box 201">
          <a:extLst>
            <a:ext uri="{FF2B5EF4-FFF2-40B4-BE49-F238E27FC236}">
              <a16:creationId xmlns:a16="http://schemas.microsoft.com/office/drawing/2014/main" id="{00000000-0008-0000-0B00-0000E2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51" name="Text Box 202">
          <a:extLst>
            <a:ext uri="{FF2B5EF4-FFF2-40B4-BE49-F238E27FC236}">
              <a16:creationId xmlns:a16="http://schemas.microsoft.com/office/drawing/2014/main" id="{00000000-0008-0000-0B00-0000E3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52" name="Text Box 203">
          <a:extLst>
            <a:ext uri="{FF2B5EF4-FFF2-40B4-BE49-F238E27FC236}">
              <a16:creationId xmlns:a16="http://schemas.microsoft.com/office/drawing/2014/main" id="{00000000-0008-0000-0B00-0000E4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53" name="Text Box 204">
          <a:extLst>
            <a:ext uri="{FF2B5EF4-FFF2-40B4-BE49-F238E27FC236}">
              <a16:creationId xmlns:a16="http://schemas.microsoft.com/office/drawing/2014/main" id="{00000000-0008-0000-0B00-0000E5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54" name="Text Box 206">
          <a:extLst>
            <a:ext uri="{FF2B5EF4-FFF2-40B4-BE49-F238E27FC236}">
              <a16:creationId xmlns:a16="http://schemas.microsoft.com/office/drawing/2014/main" id="{00000000-0008-0000-0B00-0000E6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55" name="Text Box 207">
          <a:extLst>
            <a:ext uri="{FF2B5EF4-FFF2-40B4-BE49-F238E27FC236}">
              <a16:creationId xmlns:a16="http://schemas.microsoft.com/office/drawing/2014/main" id="{00000000-0008-0000-0B00-0000E7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56" name="Text Box 208">
          <a:extLst>
            <a:ext uri="{FF2B5EF4-FFF2-40B4-BE49-F238E27FC236}">
              <a16:creationId xmlns:a16="http://schemas.microsoft.com/office/drawing/2014/main" id="{00000000-0008-0000-0B00-0000E8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57" name="Text Box 209">
          <a:extLst>
            <a:ext uri="{FF2B5EF4-FFF2-40B4-BE49-F238E27FC236}">
              <a16:creationId xmlns:a16="http://schemas.microsoft.com/office/drawing/2014/main" id="{00000000-0008-0000-0B00-0000E9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58" name="Text Box 210">
          <a:extLst>
            <a:ext uri="{FF2B5EF4-FFF2-40B4-BE49-F238E27FC236}">
              <a16:creationId xmlns:a16="http://schemas.microsoft.com/office/drawing/2014/main" id="{00000000-0008-0000-0B00-0000EA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59" name="Text Box 211">
          <a:extLst>
            <a:ext uri="{FF2B5EF4-FFF2-40B4-BE49-F238E27FC236}">
              <a16:creationId xmlns:a16="http://schemas.microsoft.com/office/drawing/2014/main" id="{00000000-0008-0000-0B00-0000EB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60" name="Text Box 212">
          <a:extLst>
            <a:ext uri="{FF2B5EF4-FFF2-40B4-BE49-F238E27FC236}">
              <a16:creationId xmlns:a16="http://schemas.microsoft.com/office/drawing/2014/main" id="{00000000-0008-0000-0B00-0000EC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61" name="Text Box 213">
          <a:extLst>
            <a:ext uri="{FF2B5EF4-FFF2-40B4-BE49-F238E27FC236}">
              <a16:creationId xmlns:a16="http://schemas.microsoft.com/office/drawing/2014/main" id="{00000000-0008-0000-0B00-0000ED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40</xdr:row>
      <xdr:rowOff>0</xdr:rowOff>
    </xdr:from>
    <xdr:to>
      <xdr:col>4</xdr:col>
      <xdr:colOff>66168</xdr:colOff>
      <xdr:row>41</xdr:row>
      <xdr:rowOff>48070</xdr:rowOff>
    </xdr:to>
    <xdr:sp macro="" textlink="">
      <xdr:nvSpPr>
        <xdr:cNvPr id="1262" name="Text Box 214">
          <a:extLst>
            <a:ext uri="{FF2B5EF4-FFF2-40B4-BE49-F238E27FC236}">
              <a16:creationId xmlns:a16="http://schemas.microsoft.com/office/drawing/2014/main" id="{00000000-0008-0000-0B00-0000EE040000}"/>
            </a:ext>
          </a:extLst>
        </xdr:cNvPr>
        <xdr:cNvSpPr txBox="1">
          <a:spLocks noChangeArrowheads="1"/>
        </xdr:cNvSpPr>
      </xdr:nvSpPr>
      <xdr:spPr bwMode="auto">
        <a:xfrm>
          <a:off x="4724401" y="6076950"/>
          <a:ext cx="80962"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63" name="Text Box 216">
          <a:extLst>
            <a:ext uri="{FF2B5EF4-FFF2-40B4-BE49-F238E27FC236}">
              <a16:creationId xmlns:a16="http://schemas.microsoft.com/office/drawing/2014/main" id="{00000000-0008-0000-0B00-0000EF04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64" name="Text Box 217">
          <a:extLst>
            <a:ext uri="{FF2B5EF4-FFF2-40B4-BE49-F238E27FC236}">
              <a16:creationId xmlns:a16="http://schemas.microsoft.com/office/drawing/2014/main" id="{00000000-0008-0000-0B00-0000F004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65" name="Text Box 218">
          <a:extLst>
            <a:ext uri="{FF2B5EF4-FFF2-40B4-BE49-F238E27FC236}">
              <a16:creationId xmlns:a16="http://schemas.microsoft.com/office/drawing/2014/main" id="{00000000-0008-0000-0B00-0000F104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66" name="Text Box 219">
          <a:extLst>
            <a:ext uri="{FF2B5EF4-FFF2-40B4-BE49-F238E27FC236}">
              <a16:creationId xmlns:a16="http://schemas.microsoft.com/office/drawing/2014/main" id="{00000000-0008-0000-0B00-0000F204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67" name="Text Box 220">
          <a:extLst>
            <a:ext uri="{FF2B5EF4-FFF2-40B4-BE49-F238E27FC236}">
              <a16:creationId xmlns:a16="http://schemas.microsoft.com/office/drawing/2014/main" id="{00000000-0008-0000-0B00-0000F304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68" name="Text Box 221">
          <a:extLst>
            <a:ext uri="{FF2B5EF4-FFF2-40B4-BE49-F238E27FC236}">
              <a16:creationId xmlns:a16="http://schemas.microsoft.com/office/drawing/2014/main" id="{00000000-0008-0000-0B00-0000F404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69" name="Text Box 222">
          <a:extLst>
            <a:ext uri="{FF2B5EF4-FFF2-40B4-BE49-F238E27FC236}">
              <a16:creationId xmlns:a16="http://schemas.microsoft.com/office/drawing/2014/main" id="{00000000-0008-0000-0B00-0000F504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70" name="Text Box 223">
          <a:extLst>
            <a:ext uri="{FF2B5EF4-FFF2-40B4-BE49-F238E27FC236}">
              <a16:creationId xmlns:a16="http://schemas.microsoft.com/office/drawing/2014/main" id="{00000000-0008-0000-0B00-0000F604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71" name="Text Box 224">
          <a:extLst>
            <a:ext uri="{FF2B5EF4-FFF2-40B4-BE49-F238E27FC236}">
              <a16:creationId xmlns:a16="http://schemas.microsoft.com/office/drawing/2014/main" id="{00000000-0008-0000-0B00-0000F704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72" name="Text Box 225">
          <a:extLst>
            <a:ext uri="{FF2B5EF4-FFF2-40B4-BE49-F238E27FC236}">
              <a16:creationId xmlns:a16="http://schemas.microsoft.com/office/drawing/2014/main" id="{00000000-0008-0000-0B00-0000F804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73" name="Text Box 226">
          <a:extLst>
            <a:ext uri="{FF2B5EF4-FFF2-40B4-BE49-F238E27FC236}">
              <a16:creationId xmlns:a16="http://schemas.microsoft.com/office/drawing/2014/main" id="{00000000-0008-0000-0B00-0000F904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74" name="Text Box 227">
          <a:extLst>
            <a:ext uri="{FF2B5EF4-FFF2-40B4-BE49-F238E27FC236}">
              <a16:creationId xmlns:a16="http://schemas.microsoft.com/office/drawing/2014/main" id="{00000000-0008-0000-0B00-0000FA04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75" name="Text Box 228">
          <a:extLst>
            <a:ext uri="{FF2B5EF4-FFF2-40B4-BE49-F238E27FC236}">
              <a16:creationId xmlns:a16="http://schemas.microsoft.com/office/drawing/2014/main" id="{00000000-0008-0000-0B00-0000FB04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76" name="Text Box 229">
          <a:extLst>
            <a:ext uri="{FF2B5EF4-FFF2-40B4-BE49-F238E27FC236}">
              <a16:creationId xmlns:a16="http://schemas.microsoft.com/office/drawing/2014/main" id="{00000000-0008-0000-0B00-0000FC04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77" name="Text Box 230">
          <a:extLst>
            <a:ext uri="{FF2B5EF4-FFF2-40B4-BE49-F238E27FC236}">
              <a16:creationId xmlns:a16="http://schemas.microsoft.com/office/drawing/2014/main" id="{00000000-0008-0000-0B00-0000FD04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78" name="Text Box 231">
          <a:extLst>
            <a:ext uri="{FF2B5EF4-FFF2-40B4-BE49-F238E27FC236}">
              <a16:creationId xmlns:a16="http://schemas.microsoft.com/office/drawing/2014/main" id="{00000000-0008-0000-0B00-0000FE04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79" name="Text Box 232">
          <a:extLst>
            <a:ext uri="{FF2B5EF4-FFF2-40B4-BE49-F238E27FC236}">
              <a16:creationId xmlns:a16="http://schemas.microsoft.com/office/drawing/2014/main" id="{00000000-0008-0000-0B00-0000FF04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80" name="Text Box 233">
          <a:extLst>
            <a:ext uri="{FF2B5EF4-FFF2-40B4-BE49-F238E27FC236}">
              <a16:creationId xmlns:a16="http://schemas.microsoft.com/office/drawing/2014/main" id="{00000000-0008-0000-0B00-00000005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81" name="Text Box 234">
          <a:extLst>
            <a:ext uri="{FF2B5EF4-FFF2-40B4-BE49-F238E27FC236}">
              <a16:creationId xmlns:a16="http://schemas.microsoft.com/office/drawing/2014/main" id="{00000000-0008-0000-0B00-00000105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82" name="Text Box 235">
          <a:extLst>
            <a:ext uri="{FF2B5EF4-FFF2-40B4-BE49-F238E27FC236}">
              <a16:creationId xmlns:a16="http://schemas.microsoft.com/office/drawing/2014/main" id="{00000000-0008-0000-0B00-00000205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83" name="Text Box 237">
          <a:extLst>
            <a:ext uri="{FF2B5EF4-FFF2-40B4-BE49-F238E27FC236}">
              <a16:creationId xmlns:a16="http://schemas.microsoft.com/office/drawing/2014/main" id="{00000000-0008-0000-0B00-00000305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84" name="Text Box 238">
          <a:extLst>
            <a:ext uri="{FF2B5EF4-FFF2-40B4-BE49-F238E27FC236}">
              <a16:creationId xmlns:a16="http://schemas.microsoft.com/office/drawing/2014/main" id="{00000000-0008-0000-0B00-00000405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85" name="Text Box 239">
          <a:extLst>
            <a:ext uri="{FF2B5EF4-FFF2-40B4-BE49-F238E27FC236}">
              <a16:creationId xmlns:a16="http://schemas.microsoft.com/office/drawing/2014/main" id="{00000000-0008-0000-0B00-00000505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86" name="Text Box 240">
          <a:extLst>
            <a:ext uri="{FF2B5EF4-FFF2-40B4-BE49-F238E27FC236}">
              <a16:creationId xmlns:a16="http://schemas.microsoft.com/office/drawing/2014/main" id="{00000000-0008-0000-0B00-00000605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34</xdr:row>
      <xdr:rowOff>0</xdr:rowOff>
    </xdr:from>
    <xdr:to>
      <xdr:col>4</xdr:col>
      <xdr:colOff>66168</xdr:colOff>
      <xdr:row>34</xdr:row>
      <xdr:rowOff>190501</xdr:rowOff>
    </xdr:to>
    <xdr:sp macro="" textlink="">
      <xdr:nvSpPr>
        <xdr:cNvPr id="1287" name="Text Box 241">
          <a:extLst>
            <a:ext uri="{FF2B5EF4-FFF2-40B4-BE49-F238E27FC236}">
              <a16:creationId xmlns:a16="http://schemas.microsoft.com/office/drawing/2014/main" id="{00000000-0008-0000-0B00-000007050000}"/>
            </a:ext>
          </a:extLst>
        </xdr:cNvPr>
        <xdr:cNvSpPr txBox="1">
          <a:spLocks noChangeArrowheads="1"/>
        </xdr:cNvSpPr>
      </xdr:nvSpPr>
      <xdr:spPr bwMode="auto">
        <a:xfrm>
          <a:off x="4724401" y="5305425"/>
          <a:ext cx="80962" cy="19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347663</xdr:colOff>
      <xdr:row>40</xdr:row>
      <xdr:rowOff>0</xdr:rowOff>
    </xdr:from>
    <xdr:to>
      <xdr:col>4</xdr:col>
      <xdr:colOff>66752</xdr:colOff>
      <xdr:row>41</xdr:row>
      <xdr:rowOff>48070</xdr:rowOff>
    </xdr:to>
    <xdr:sp macro="" textlink="">
      <xdr:nvSpPr>
        <xdr:cNvPr id="1288" name="Text Box 246">
          <a:extLst>
            <a:ext uri="{FF2B5EF4-FFF2-40B4-BE49-F238E27FC236}">
              <a16:creationId xmlns:a16="http://schemas.microsoft.com/office/drawing/2014/main" id="{00000000-0008-0000-0B00-000008050000}"/>
            </a:ext>
          </a:extLst>
        </xdr:cNvPr>
        <xdr:cNvSpPr txBox="1">
          <a:spLocks noChangeArrowheads="1"/>
        </xdr:cNvSpPr>
      </xdr:nvSpPr>
      <xdr:spPr bwMode="auto">
        <a:xfrm>
          <a:off x="4743451" y="6076950"/>
          <a:ext cx="71437" cy="185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25</xdr:row>
      <xdr:rowOff>0</xdr:rowOff>
    </xdr:from>
    <xdr:to>
      <xdr:col>4</xdr:col>
      <xdr:colOff>66752</xdr:colOff>
      <xdr:row>26</xdr:row>
      <xdr:rowOff>19050</xdr:rowOff>
    </xdr:to>
    <xdr:sp macro="" textlink="">
      <xdr:nvSpPr>
        <xdr:cNvPr id="1289" name="Text Box 187">
          <a:extLst>
            <a:ext uri="{FF2B5EF4-FFF2-40B4-BE49-F238E27FC236}">
              <a16:creationId xmlns:a16="http://schemas.microsoft.com/office/drawing/2014/main" id="{00000000-0008-0000-0B00-000009050000}"/>
            </a:ext>
          </a:extLst>
        </xdr:cNvPr>
        <xdr:cNvSpPr txBox="1">
          <a:spLocks noChangeArrowheads="1"/>
        </xdr:cNvSpPr>
      </xdr:nvSpPr>
      <xdr:spPr bwMode="auto">
        <a:xfrm>
          <a:off x="4733926" y="3743325"/>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33</xdr:row>
      <xdr:rowOff>0</xdr:rowOff>
    </xdr:from>
    <xdr:to>
      <xdr:col>4</xdr:col>
      <xdr:colOff>66752</xdr:colOff>
      <xdr:row>34</xdr:row>
      <xdr:rowOff>19050</xdr:rowOff>
    </xdr:to>
    <xdr:sp macro="" textlink="">
      <xdr:nvSpPr>
        <xdr:cNvPr id="1290" name="Text Box 188">
          <a:extLst>
            <a:ext uri="{FF2B5EF4-FFF2-40B4-BE49-F238E27FC236}">
              <a16:creationId xmlns:a16="http://schemas.microsoft.com/office/drawing/2014/main" id="{00000000-0008-0000-0B00-00000A050000}"/>
            </a:ext>
          </a:extLst>
        </xdr:cNvPr>
        <xdr:cNvSpPr txBox="1">
          <a:spLocks noChangeArrowheads="1"/>
        </xdr:cNvSpPr>
      </xdr:nvSpPr>
      <xdr:spPr bwMode="auto">
        <a:xfrm>
          <a:off x="4733926" y="5176838"/>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34</xdr:row>
      <xdr:rowOff>0</xdr:rowOff>
    </xdr:from>
    <xdr:to>
      <xdr:col>4</xdr:col>
      <xdr:colOff>66752</xdr:colOff>
      <xdr:row>34</xdr:row>
      <xdr:rowOff>200026</xdr:rowOff>
    </xdr:to>
    <xdr:sp macro="" textlink="">
      <xdr:nvSpPr>
        <xdr:cNvPr id="1291" name="Text Box 189">
          <a:extLst>
            <a:ext uri="{FF2B5EF4-FFF2-40B4-BE49-F238E27FC236}">
              <a16:creationId xmlns:a16="http://schemas.microsoft.com/office/drawing/2014/main" id="{00000000-0008-0000-0B00-00000B050000}"/>
            </a:ext>
          </a:extLst>
        </xdr:cNvPr>
        <xdr:cNvSpPr txBox="1">
          <a:spLocks noChangeArrowheads="1"/>
        </xdr:cNvSpPr>
      </xdr:nvSpPr>
      <xdr:spPr bwMode="auto">
        <a:xfrm>
          <a:off x="4733926" y="5305425"/>
          <a:ext cx="80962"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34</xdr:row>
      <xdr:rowOff>0</xdr:rowOff>
    </xdr:from>
    <xdr:to>
      <xdr:col>4</xdr:col>
      <xdr:colOff>66752</xdr:colOff>
      <xdr:row>34</xdr:row>
      <xdr:rowOff>200026</xdr:rowOff>
    </xdr:to>
    <xdr:sp macro="" textlink="">
      <xdr:nvSpPr>
        <xdr:cNvPr id="1292" name="Text Box 190">
          <a:extLst>
            <a:ext uri="{FF2B5EF4-FFF2-40B4-BE49-F238E27FC236}">
              <a16:creationId xmlns:a16="http://schemas.microsoft.com/office/drawing/2014/main" id="{00000000-0008-0000-0B00-00000C050000}"/>
            </a:ext>
          </a:extLst>
        </xdr:cNvPr>
        <xdr:cNvSpPr txBox="1">
          <a:spLocks noChangeArrowheads="1"/>
        </xdr:cNvSpPr>
      </xdr:nvSpPr>
      <xdr:spPr bwMode="auto">
        <a:xfrm>
          <a:off x="4733926" y="5305425"/>
          <a:ext cx="80962"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34</xdr:row>
      <xdr:rowOff>0</xdr:rowOff>
    </xdr:from>
    <xdr:to>
      <xdr:col>4</xdr:col>
      <xdr:colOff>66752</xdr:colOff>
      <xdr:row>34</xdr:row>
      <xdr:rowOff>200026</xdr:rowOff>
    </xdr:to>
    <xdr:sp macro="" textlink="">
      <xdr:nvSpPr>
        <xdr:cNvPr id="1293" name="Text Box 191">
          <a:extLst>
            <a:ext uri="{FF2B5EF4-FFF2-40B4-BE49-F238E27FC236}">
              <a16:creationId xmlns:a16="http://schemas.microsoft.com/office/drawing/2014/main" id="{00000000-0008-0000-0B00-00000D050000}"/>
            </a:ext>
          </a:extLst>
        </xdr:cNvPr>
        <xdr:cNvSpPr txBox="1">
          <a:spLocks noChangeArrowheads="1"/>
        </xdr:cNvSpPr>
      </xdr:nvSpPr>
      <xdr:spPr bwMode="auto">
        <a:xfrm>
          <a:off x="4733926" y="5305425"/>
          <a:ext cx="80962"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34</xdr:row>
      <xdr:rowOff>0</xdr:rowOff>
    </xdr:from>
    <xdr:to>
      <xdr:col>4</xdr:col>
      <xdr:colOff>66752</xdr:colOff>
      <xdr:row>34</xdr:row>
      <xdr:rowOff>200026</xdr:rowOff>
    </xdr:to>
    <xdr:sp macro="" textlink="">
      <xdr:nvSpPr>
        <xdr:cNvPr id="1294" name="Text Box 192">
          <a:extLst>
            <a:ext uri="{FF2B5EF4-FFF2-40B4-BE49-F238E27FC236}">
              <a16:creationId xmlns:a16="http://schemas.microsoft.com/office/drawing/2014/main" id="{00000000-0008-0000-0B00-00000E050000}"/>
            </a:ext>
          </a:extLst>
        </xdr:cNvPr>
        <xdr:cNvSpPr txBox="1">
          <a:spLocks noChangeArrowheads="1"/>
        </xdr:cNvSpPr>
      </xdr:nvSpPr>
      <xdr:spPr bwMode="auto">
        <a:xfrm>
          <a:off x="4733926" y="5305425"/>
          <a:ext cx="80962"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35</xdr:row>
      <xdr:rowOff>0</xdr:rowOff>
    </xdr:from>
    <xdr:to>
      <xdr:col>4</xdr:col>
      <xdr:colOff>66752</xdr:colOff>
      <xdr:row>36</xdr:row>
      <xdr:rowOff>48067</xdr:rowOff>
    </xdr:to>
    <xdr:sp macro="" textlink="">
      <xdr:nvSpPr>
        <xdr:cNvPr id="1295" name="Text Box 193">
          <a:extLst>
            <a:ext uri="{FF2B5EF4-FFF2-40B4-BE49-F238E27FC236}">
              <a16:creationId xmlns:a16="http://schemas.microsoft.com/office/drawing/2014/main" id="{00000000-0008-0000-0B00-00000F050000}"/>
            </a:ext>
          </a:extLst>
        </xdr:cNvPr>
        <xdr:cNvSpPr txBox="1">
          <a:spLocks noChangeArrowheads="1"/>
        </xdr:cNvSpPr>
      </xdr:nvSpPr>
      <xdr:spPr bwMode="auto">
        <a:xfrm>
          <a:off x="4733926" y="5434013"/>
          <a:ext cx="80962" cy="195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35</xdr:row>
      <xdr:rowOff>0</xdr:rowOff>
    </xdr:from>
    <xdr:to>
      <xdr:col>4</xdr:col>
      <xdr:colOff>66752</xdr:colOff>
      <xdr:row>36</xdr:row>
      <xdr:rowOff>48067</xdr:rowOff>
    </xdr:to>
    <xdr:sp macro="" textlink="">
      <xdr:nvSpPr>
        <xdr:cNvPr id="1296" name="Text Box 194">
          <a:extLst>
            <a:ext uri="{FF2B5EF4-FFF2-40B4-BE49-F238E27FC236}">
              <a16:creationId xmlns:a16="http://schemas.microsoft.com/office/drawing/2014/main" id="{00000000-0008-0000-0B00-000010050000}"/>
            </a:ext>
          </a:extLst>
        </xdr:cNvPr>
        <xdr:cNvSpPr txBox="1">
          <a:spLocks noChangeArrowheads="1"/>
        </xdr:cNvSpPr>
      </xdr:nvSpPr>
      <xdr:spPr bwMode="auto">
        <a:xfrm>
          <a:off x="4733926" y="5434013"/>
          <a:ext cx="80962" cy="195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35</xdr:row>
      <xdr:rowOff>0</xdr:rowOff>
    </xdr:from>
    <xdr:to>
      <xdr:col>4</xdr:col>
      <xdr:colOff>66752</xdr:colOff>
      <xdr:row>36</xdr:row>
      <xdr:rowOff>48067</xdr:rowOff>
    </xdr:to>
    <xdr:sp macro="" textlink="">
      <xdr:nvSpPr>
        <xdr:cNvPr id="1297" name="Text Box 195">
          <a:extLst>
            <a:ext uri="{FF2B5EF4-FFF2-40B4-BE49-F238E27FC236}">
              <a16:creationId xmlns:a16="http://schemas.microsoft.com/office/drawing/2014/main" id="{00000000-0008-0000-0B00-000011050000}"/>
            </a:ext>
          </a:extLst>
        </xdr:cNvPr>
        <xdr:cNvSpPr txBox="1">
          <a:spLocks noChangeArrowheads="1"/>
        </xdr:cNvSpPr>
      </xdr:nvSpPr>
      <xdr:spPr bwMode="auto">
        <a:xfrm>
          <a:off x="4733926" y="5434013"/>
          <a:ext cx="80962" cy="195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25</xdr:row>
      <xdr:rowOff>0</xdr:rowOff>
    </xdr:from>
    <xdr:to>
      <xdr:col>4</xdr:col>
      <xdr:colOff>66752</xdr:colOff>
      <xdr:row>26</xdr:row>
      <xdr:rowOff>19050</xdr:rowOff>
    </xdr:to>
    <xdr:sp macro="" textlink="">
      <xdr:nvSpPr>
        <xdr:cNvPr id="1298" name="Text Box 193">
          <a:extLst>
            <a:ext uri="{FF2B5EF4-FFF2-40B4-BE49-F238E27FC236}">
              <a16:creationId xmlns:a16="http://schemas.microsoft.com/office/drawing/2014/main" id="{00000000-0008-0000-0B00-000012050000}"/>
            </a:ext>
          </a:extLst>
        </xdr:cNvPr>
        <xdr:cNvSpPr txBox="1">
          <a:spLocks noChangeArrowheads="1"/>
        </xdr:cNvSpPr>
      </xdr:nvSpPr>
      <xdr:spPr bwMode="auto">
        <a:xfrm>
          <a:off x="4733926" y="3743325"/>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25</xdr:row>
      <xdr:rowOff>0</xdr:rowOff>
    </xdr:from>
    <xdr:to>
      <xdr:col>4</xdr:col>
      <xdr:colOff>66752</xdr:colOff>
      <xdr:row>26</xdr:row>
      <xdr:rowOff>19050</xdr:rowOff>
    </xdr:to>
    <xdr:sp macro="" textlink="">
      <xdr:nvSpPr>
        <xdr:cNvPr id="1299" name="Text Box 194">
          <a:extLst>
            <a:ext uri="{FF2B5EF4-FFF2-40B4-BE49-F238E27FC236}">
              <a16:creationId xmlns:a16="http://schemas.microsoft.com/office/drawing/2014/main" id="{00000000-0008-0000-0B00-000013050000}"/>
            </a:ext>
          </a:extLst>
        </xdr:cNvPr>
        <xdr:cNvSpPr txBox="1">
          <a:spLocks noChangeArrowheads="1"/>
        </xdr:cNvSpPr>
      </xdr:nvSpPr>
      <xdr:spPr bwMode="auto">
        <a:xfrm>
          <a:off x="4733926" y="3743325"/>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25</xdr:row>
      <xdr:rowOff>0</xdr:rowOff>
    </xdr:from>
    <xdr:to>
      <xdr:col>4</xdr:col>
      <xdr:colOff>66752</xdr:colOff>
      <xdr:row>26</xdr:row>
      <xdr:rowOff>19050</xdr:rowOff>
    </xdr:to>
    <xdr:sp macro="" textlink="">
      <xdr:nvSpPr>
        <xdr:cNvPr id="1300" name="Text Box 195">
          <a:extLst>
            <a:ext uri="{FF2B5EF4-FFF2-40B4-BE49-F238E27FC236}">
              <a16:creationId xmlns:a16="http://schemas.microsoft.com/office/drawing/2014/main" id="{00000000-0008-0000-0B00-000014050000}"/>
            </a:ext>
          </a:extLst>
        </xdr:cNvPr>
        <xdr:cNvSpPr txBox="1">
          <a:spLocks noChangeArrowheads="1"/>
        </xdr:cNvSpPr>
      </xdr:nvSpPr>
      <xdr:spPr bwMode="auto">
        <a:xfrm>
          <a:off x="4733926" y="3743325"/>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22</xdr:row>
      <xdr:rowOff>0</xdr:rowOff>
    </xdr:from>
    <xdr:to>
      <xdr:col>4</xdr:col>
      <xdr:colOff>66752</xdr:colOff>
      <xdr:row>23</xdr:row>
      <xdr:rowOff>89124</xdr:rowOff>
    </xdr:to>
    <xdr:sp macro="" textlink="">
      <xdr:nvSpPr>
        <xdr:cNvPr id="1301" name="Text Box 193">
          <a:extLst>
            <a:ext uri="{FF2B5EF4-FFF2-40B4-BE49-F238E27FC236}">
              <a16:creationId xmlns:a16="http://schemas.microsoft.com/office/drawing/2014/main" id="{00000000-0008-0000-0B00-000015050000}"/>
            </a:ext>
          </a:extLst>
        </xdr:cNvPr>
        <xdr:cNvSpPr txBox="1">
          <a:spLocks noChangeArrowheads="1"/>
        </xdr:cNvSpPr>
      </xdr:nvSpPr>
      <xdr:spPr bwMode="auto">
        <a:xfrm>
          <a:off x="4733926" y="3228975"/>
          <a:ext cx="80962" cy="195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22</xdr:row>
      <xdr:rowOff>0</xdr:rowOff>
    </xdr:from>
    <xdr:to>
      <xdr:col>4</xdr:col>
      <xdr:colOff>66752</xdr:colOff>
      <xdr:row>23</xdr:row>
      <xdr:rowOff>89124</xdr:rowOff>
    </xdr:to>
    <xdr:sp macro="" textlink="">
      <xdr:nvSpPr>
        <xdr:cNvPr id="1302" name="Text Box 194">
          <a:extLst>
            <a:ext uri="{FF2B5EF4-FFF2-40B4-BE49-F238E27FC236}">
              <a16:creationId xmlns:a16="http://schemas.microsoft.com/office/drawing/2014/main" id="{00000000-0008-0000-0B00-000016050000}"/>
            </a:ext>
          </a:extLst>
        </xdr:cNvPr>
        <xdr:cNvSpPr txBox="1">
          <a:spLocks noChangeArrowheads="1"/>
        </xdr:cNvSpPr>
      </xdr:nvSpPr>
      <xdr:spPr bwMode="auto">
        <a:xfrm>
          <a:off x="4733926" y="3228975"/>
          <a:ext cx="80962" cy="195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22</xdr:row>
      <xdr:rowOff>0</xdr:rowOff>
    </xdr:from>
    <xdr:to>
      <xdr:col>4</xdr:col>
      <xdr:colOff>66752</xdr:colOff>
      <xdr:row>23</xdr:row>
      <xdr:rowOff>89124</xdr:rowOff>
    </xdr:to>
    <xdr:sp macro="" textlink="">
      <xdr:nvSpPr>
        <xdr:cNvPr id="1303" name="Text Box 195">
          <a:extLst>
            <a:ext uri="{FF2B5EF4-FFF2-40B4-BE49-F238E27FC236}">
              <a16:creationId xmlns:a16="http://schemas.microsoft.com/office/drawing/2014/main" id="{00000000-0008-0000-0B00-000017050000}"/>
            </a:ext>
          </a:extLst>
        </xdr:cNvPr>
        <xdr:cNvSpPr txBox="1">
          <a:spLocks noChangeArrowheads="1"/>
        </xdr:cNvSpPr>
      </xdr:nvSpPr>
      <xdr:spPr bwMode="auto">
        <a:xfrm>
          <a:off x="4733926" y="3228975"/>
          <a:ext cx="80962" cy="195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35</xdr:row>
      <xdr:rowOff>0</xdr:rowOff>
    </xdr:from>
    <xdr:to>
      <xdr:col>4</xdr:col>
      <xdr:colOff>66752</xdr:colOff>
      <xdr:row>36</xdr:row>
      <xdr:rowOff>48067</xdr:rowOff>
    </xdr:to>
    <xdr:sp macro="" textlink="">
      <xdr:nvSpPr>
        <xdr:cNvPr id="1304" name="Text Box 193">
          <a:extLst>
            <a:ext uri="{FF2B5EF4-FFF2-40B4-BE49-F238E27FC236}">
              <a16:creationId xmlns:a16="http://schemas.microsoft.com/office/drawing/2014/main" id="{00000000-0008-0000-0B00-000018050000}"/>
            </a:ext>
          </a:extLst>
        </xdr:cNvPr>
        <xdr:cNvSpPr txBox="1">
          <a:spLocks noChangeArrowheads="1"/>
        </xdr:cNvSpPr>
      </xdr:nvSpPr>
      <xdr:spPr bwMode="auto">
        <a:xfrm>
          <a:off x="4733926" y="5434013"/>
          <a:ext cx="80962" cy="195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35</xdr:row>
      <xdr:rowOff>0</xdr:rowOff>
    </xdr:from>
    <xdr:to>
      <xdr:col>4</xdr:col>
      <xdr:colOff>66752</xdr:colOff>
      <xdr:row>36</xdr:row>
      <xdr:rowOff>48067</xdr:rowOff>
    </xdr:to>
    <xdr:sp macro="" textlink="">
      <xdr:nvSpPr>
        <xdr:cNvPr id="1305" name="Text Box 194">
          <a:extLst>
            <a:ext uri="{FF2B5EF4-FFF2-40B4-BE49-F238E27FC236}">
              <a16:creationId xmlns:a16="http://schemas.microsoft.com/office/drawing/2014/main" id="{00000000-0008-0000-0B00-000019050000}"/>
            </a:ext>
          </a:extLst>
        </xdr:cNvPr>
        <xdr:cNvSpPr txBox="1">
          <a:spLocks noChangeArrowheads="1"/>
        </xdr:cNvSpPr>
      </xdr:nvSpPr>
      <xdr:spPr bwMode="auto">
        <a:xfrm>
          <a:off x="4733926" y="5434013"/>
          <a:ext cx="80962" cy="195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35</xdr:row>
      <xdr:rowOff>0</xdr:rowOff>
    </xdr:from>
    <xdr:to>
      <xdr:col>4</xdr:col>
      <xdr:colOff>66752</xdr:colOff>
      <xdr:row>36</xdr:row>
      <xdr:rowOff>48067</xdr:rowOff>
    </xdr:to>
    <xdr:sp macro="" textlink="">
      <xdr:nvSpPr>
        <xdr:cNvPr id="1306" name="Text Box 195">
          <a:extLst>
            <a:ext uri="{FF2B5EF4-FFF2-40B4-BE49-F238E27FC236}">
              <a16:creationId xmlns:a16="http://schemas.microsoft.com/office/drawing/2014/main" id="{00000000-0008-0000-0B00-00001A050000}"/>
            </a:ext>
          </a:extLst>
        </xdr:cNvPr>
        <xdr:cNvSpPr txBox="1">
          <a:spLocks noChangeArrowheads="1"/>
        </xdr:cNvSpPr>
      </xdr:nvSpPr>
      <xdr:spPr bwMode="auto">
        <a:xfrm>
          <a:off x="4733926" y="5434013"/>
          <a:ext cx="80962" cy="195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36</xdr:row>
      <xdr:rowOff>0</xdr:rowOff>
    </xdr:from>
    <xdr:to>
      <xdr:col>4</xdr:col>
      <xdr:colOff>66752</xdr:colOff>
      <xdr:row>38</xdr:row>
      <xdr:rowOff>46310</xdr:rowOff>
    </xdr:to>
    <xdr:sp macro="" textlink="">
      <xdr:nvSpPr>
        <xdr:cNvPr id="1307" name="Text Box 193">
          <a:extLst>
            <a:ext uri="{FF2B5EF4-FFF2-40B4-BE49-F238E27FC236}">
              <a16:creationId xmlns:a16="http://schemas.microsoft.com/office/drawing/2014/main" id="{00000000-0008-0000-0B00-00001B050000}"/>
            </a:ext>
          </a:extLst>
        </xdr:cNvPr>
        <xdr:cNvSpPr txBox="1">
          <a:spLocks noChangeArrowheads="1"/>
        </xdr:cNvSpPr>
      </xdr:nvSpPr>
      <xdr:spPr bwMode="auto">
        <a:xfrm>
          <a:off x="4733926" y="5562600"/>
          <a:ext cx="80962" cy="3857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36</xdr:row>
      <xdr:rowOff>0</xdr:rowOff>
    </xdr:from>
    <xdr:to>
      <xdr:col>4</xdr:col>
      <xdr:colOff>66752</xdr:colOff>
      <xdr:row>38</xdr:row>
      <xdr:rowOff>46310</xdr:rowOff>
    </xdr:to>
    <xdr:sp macro="" textlink="">
      <xdr:nvSpPr>
        <xdr:cNvPr id="1308" name="Text Box 194">
          <a:extLst>
            <a:ext uri="{FF2B5EF4-FFF2-40B4-BE49-F238E27FC236}">
              <a16:creationId xmlns:a16="http://schemas.microsoft.com/office/drawing/2014/main" id="{00000000-0008-0000-0B00-00001C050000}"/>
            </a:ext>
          </a:extLst>
        </xdr:cNvPr>
        <xdr:cNvSpPr txBox="1">
          <a:spLocks noChangeArrowheads="1"/>
        </xdr:cNvSpPr>
      </xdr:nvSpPr>
      <xdr:spPr bwMode="auto">
        <a:xfrm>
          <a:off x="4733926" y="5562600"/>
          <a:ext cx="80962" cy="3857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36</xdr:row>
      <xdr:rowOff>0</xdr:rowOff>
    </xdr:from>
    <xdr:to>
      <xdr:col>4</xdr:col>
      <xdr:colOff>66752</xdr:colOff>
      <xdr:row>38</xdr:row>
      <xdr:rowOff>46310</xdr:rowOff>
    </xdr:to>
    <xdr:sp macro="" textlink="">
      <xdr:nvSpPr>
        <xdr:cNvPr id="1309" name="Text Box 195">
          <a:extLst>
            <a:ext uri="{FF2B5EF4-FFF2-40B4-BE49-F238E27FC236}">
              <a16:creationId xmlns:a16="http://schemas.microsoft.com/office/drawing/2014/main" id="{00000000-0008-0000-0B00-00001D050000}"/>
            </a:ext>
          </a:extLst>
        </xdr:cNvPr>
        <xdr:cNvSpPr txBox="1">
          <a:spLocks noChangeArrowheads="1"/>
        </xdr:cNvSpPr>
      </xdr:nvSpPr>
      <xdr:spPr bwMode="auto">
        <a:xfrm>
          <a:off x="4733926" y="5562600"/>
          <a:ext cx="80962" cy="3857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24</xdr:row>
      <xdr:rowOff>0</xdr:rowOff>
    </xdr:from>
    <xdr:to>
      <xdr:col>4</xdr:col>
      <xdr:colOff>66752</xdr:colOff>
      <xdr:row>25</xdr:row>
      <xdr:rowOff>19054</xdr:rowOff>
    </xdr:to>
    <xdr:sp macro="" textlink="">
      <xdr:nvSpPr>
        <xdr:cNvPr id="1310" name="Text Box 187">
          <a:extLst>
            <a:ext uri="{FF2B5EF4-FFF2-40B4-BE49-F238E27FC236}">
              <a16:creationId xmlns:a16="http://schemas.microsoft.com/office/drawing/2014/main" id="{00000000-0008-0000-0B00-00001E050000}"/>
            </a:ext>
          </a:extLst>
        </xdr:cNvPr>
        <xdr:cNvSpPr txBox="1">
          <a:spLocks noChangeArrowheads="1"/>
        </xdr:cNvSpPr>
      </xdr:nvSpPr>
      <xdr:spPr bwMode="auto">
        <a:xfrm>
          <a:off x="4733926" y="3486150"/>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24</xdr:row>
      <xdr:rowOff>0</xdr:rowOff>
    </xdr:from>
    <xdr:to>
      <xdr:col>4</xdr:col>
      <xdr:colOff>66752</xdr:colOff>
      <xdr:row>25</xdr:row>
      <xdr:rowOff>19054</xdr:rowOff>
    </xdr:to>
    <xdr:sp macro="" textlink="">
      <xdr:nvSpPr>
        <xdr:cNvPr id="1311" name="Text Box 193">
          <a:extLst>
            <a:ext uri="{FF2B5EF4-FFF2-40B4-BE49-F238E27FC236}">
              <a16:creationId xmlns:a16="http://schemas.microsoft.com/office/drawing/2014/main" id="{00000000-0008-0000-0B00-00001F050000}"/>
            </a:ext>
          </a:extLst>
        </xdr:cNvPr>
        <xdr:cNvSpPr txBox="1">
          <a:spLocks noChangeArrowheads="1"/>
        </xdr:cNvSpPr>
      </xdr:nvSpPr>
      <xdr:spPr bwMode="auto">
        <a:xfrm>
          <a:off x="4733926" y="3486150"/>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24</xdr:row>
      <xdr:rowOff>0</xdr:rowOff>
    </xdr:from>
    <xdr:to>
      <xdr:col>4</xdr:col>
      <xdr:colOff>66752</xdr:colOff>
      <xdr:row>25</xdr:row>
      <xdr:rowOff>19054</xdr:rowOff>
    </xdr:to>
    <xdr:sp macro="" textlink="">
      <xdr:nvSpPr>
        <xdr:cNvPr id="1312" name="Text Box 194">
          <a:extLst>
            <a:ext uri="{FF2B5EF4-FFF2-40B4-BE49-F238E27FC236}">
              <a16:creationId xmlns:a16="http://schemas.microsoft.com/office/drawing/2014/main" id="{00000000-0008-0000-0B00-000020050000}"/>
            </a:ext>
          </a:extLst>
        </xdr:cNvPr>
        <xdr:cNvSpPr txBox="1">
          <a:spLocks noChangeArrowheads="1"/>
        </xdr:cNvSpPr>
      </xdr:nvSpPr>
      <xdr:spPr bwMode="auto">
        <a:xfrm>
          <a:off x="4733926" y="3486150"/>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24</xdr:row>
      <xdr:rowOff>0</xdr:rowOff>
    </xdr:from>
    <xdr:to>
      <xdr:col>4</xdr:col>
      <xdr:colOff>66752</xdr:colOff>
      <xdr:row>25</xdr:row>
      <xdr:rowOff>19054</xdr:rowOff>
    </xdr:to>
    <xdr:sp macro="" textlink="">
      <xdr:nvSpPr>
        <xdr:cNvPr id="1313" name="Text Box 195">
          <a:extLst>
            <a:ext uri="{FF2B5EF4-FFF2-40B4-BE49-F238E27FC236}">
              <a16:creationId xmlns:a16="http://schemas.microsoft.com/office/drawing/2014/main" id="{00000000-0008-0000-0B00-000021050000}"/>
            </a:ext>
          </a:extLst>
        </xdr:cNvPr>
        <xdr:cNvSpPr txBox="1">
          <a:spLocks noChangeArrowheads="1"/>
        </xdr:cNvSpPr>
      </xdr:nvSpPr>
      <xdr:spPr bwMode="auto">
        <a:xfrm>
          <a:off x="4733926" y="3486150"/>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23</xdr:row>
      <xdr:rowOff>0</xdr:rowOff>
    </xdr:from>
    <xdr:to>
      <xdr:col>4</xdr:col>
      <xdr:colOff>66752</xdr:colOff>
      <xdr:row>24</xdr:row>
      <xdr:rowOff>19050</xdr:rowOff>
    </xdr:to>
    <xdr:sp macro="" textlink="">
      <xdr:nvSpPr>
        <xdr:cNvPr id="1314" name="Text Box 193">
          <a:extLst>
            <a:ext uri="{FF2B5EF4-FFF2-40B4-BE49-F238E27FC236}">
              <a16:creationId xmlns:a16="http://schemas.microsoft.com/office/drawing/2014/main" id="{00000000-0008-0000-0B00-000022050000}"/>
            </a:ext>
          </a:extLst>
        </xdr:cNvPr>
        <xdr:cNvSpPr txBox="1">
          <a:spLocks noChangeArrowheads="1"/>
        </xdr:cNvSpPr>
      </xdr:nvSpPr>
      <xdr:spPr bwMode="auto">
        <a:xfrm>
          <a:off x="4733926" y="3357563"/>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23</xdr:row>
      <xdr:rowOff>0</xdr:rowOff>
    </xdr:from>
    <xdr:to>
      <xdr:col>4</xdr:col>
      <xdr:colOff>66752</xdr:colOff>
      <xdr:row>24</xdr:row>
      <xdr:rowOff>19050</xdr:rowOff>
    </xdr:to>
    <xdr:sp macro="" textlink="">
      <xdr:nvSpPr>
        <xdr:cNvPr id="1315" name="Text Box 194">
          <a:extLst>
            <a:ext uri="{FF2B5EF4-FFF2-40B4-BE49-F238E27FC236}">
              <a16:creationId xmlns:a16="http://schemas.microsoft.com/office/drawing/2014/main" id="{00000000-0008-0000-0B00-000023050000}"/>
            </a:ext>
          </a:extLst>
        </xdr:cNvPr>
        <xdr:cNvSpPr txBox="1">
          <a:spLocks noChangeArrowheads="1"/>
        </xdr:cNvSpPr>
      </xdr:nvSpPr>
      <xdr:spPr bwMode="auto">
        <a:xfrm>
          <a:off x="4733926" y="3357563"/>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338138</xdr:colOff>
      <xdr:row>23</xdr:row>
      <xdr:rowOff>0</xdr:rowOff>
    </xdr:from>
    <xdr:to>
      <xdr:col>4</xdr:col>
      <xdr:colOff>66752</xdr:colOff>
      <xdr:row>24</xdr:row>
      <xdr:rowOff>19050</xdr:rowOff>
    </xdr:to>
    <xdr:sp macro="" textlink="">
      <xdr:nvSpPr>
        <xdr:cNvPr id="1316" name="Text Box 195">
          <a:extLst>
            <a:ext uri="{FF2B5EF4-FFF2-40B4-BE49-F238E27FC236}">
              <a16:creationId xmlns:a16="http://schemas.microsoft.com/office/drawing/2014/main" id="{00000000-0008-0000-0B00-000024050000}"/>
            </a:ext>
          </a:extLst>
        </xdr:cNvPr>
        <xdr:cNvSpPr txBox="1">
          <a:spLocks noChangeArrowheads="1"/>
        </xdr:cNvSpPr>
      </xdr:nvSpPr>
      <xdr:spPr bwMode="auto">
        <a:xfrm>
          <a:off x="4733926" y="3357563"/>
          <a:ext cx="80962"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9525</xdr:colOff>
      <xdr:row>41</xdr:row>
      <xdr:rowOff>0</xdr:rowOff>
    </xdr:from>
    <xdr:to>
      <xdr:col>4</xdr:col>
      <xdr:colOff>90488</xdr:colOff>
      <xdr:row>41</xdr:row>
      <xdr:rowOff>180974</xdr:rowOff>
    </xdr:to>
    <xdr:sp macro="" textlink="">
      <xdr:nvSpPr>
        <xdr:cNvPr id="1317" name="Text Box 71">
          <a:extLst>
            <a:ext uri="{FF2B5EF4-FFF2-40B4-BE49-F238E27FC236}">
              <a16:creationId xmlns:a16="http://schemas.microsoft.com/office/drawing/2014/main" id="{00000000-0008-0000-0B00-000025050000}"/>
            </a:ext>
          </a:extLst>
        </xdr:cNvPr>
        <xdr:cNvSpPr txBox="1">
          <a:spLocks noChangeArrowheads="1"/>
        </xdr:cNvSpPr>
      </xdr:nvSpPr>
      <xdr:spPr bwMode="auto">
        <a:xfrm>
          <a:off x="4814888" y="6205538"/>
          <a:ext cx="80963"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9525</xdr:colOff>
      <xdr:row>41</xdr:row>
      <xdr:rowOff>0</xdr:rowOff>
    </xdr:from>
    <xdr:to>
      <xdr:col>4</xdr:col>
      <xdr:colOff>90488</xdr:colOff>
      <xdr:row>41</xdr:row>
      <xdr:rowOff>180974</xdr:rowOff>
    </xdr:to>
    <xdr:sp macro="" textlink="">
      <xdr:nvSpPr>
        <xdr:cNvPr id="1318" name="Text Box 175">
          <a:extLst>
            <a:ext uri="{FF2B5EF4-FFF2-40B4-BE49-F238E27FC236}">
              <a16:creationId xmlns:a16="http://schemas.microsoft.com/office/drawing/2014/main" id="{00000000-0008-0000-0B00-000026050000}"/>
            </a:ext>
          </a:extLst>
        </xdr:cNvPr>
        <xdr:cNvSpPr txBox="1">
          <a:spLocks noChangeArrowheads="1"/>
        </xdr:cNvSpPr>
      </xdr:nvSpPr>
      <xdr:spPr bwMode="auto">
        <a:xfrm>
          <a:off x="4814888" y="6205538"/>
          <a:ext cx="80963"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19" name="Text Box 1">
          <a:extLst>
            <a:ext uri="{FF2B5EF4-FFF2-40B4-BE49-F238E27FC236}">
              <a16:creationId xmlns:a16="http://schemas.microsoft.com/office/drawing/2014/main" id="{00000000-0008-0000-0B00-000027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20" name="Text Box 23">
          <a:extLst>
            <a:ext uri="{FF2B5EF4-FFF2-40B4-BE49-F238E27FC236}">
              <a16:creationId xmlns:a16="http://schemas.microsoft.com/office/drawing/2014/main" id="{00000000-0008-0000-0B00-000028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21" name="Text Box 24">
          <a:extLst>
            <a:ext uri="{FF2B5EF4-FFF2-40B4-BE49-F238E27FC236}">
              <a16:creationId xmlns:a16="http://schemas.microsoft.com/office/drawing/2014/main" id="{00000000-0008-0000-0B00-000029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22" name="Text Box 25">
          <a:extLst>
            <a:ext uri="{FF2B5EF4-FFF2-40B4-BE49-F238E27FC236}">
              <a16:creationId xmlns:a16="http://schemas.microsoft.com/office/drawing/2014/main" id="{00000000-0008-0000-0B00-00002A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23" name="Text Box 26">
          <a:extLst>
            <a:ext uri="{FF2B5EF4-FFF2-40B4-BE49-F238E27FC236}">
              <a16:creationId xmlns:a16="http://schemas.microsoft.com/office/drawing/2014/main" id="{00000000-0008-0000-0B00-00002B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24" name="Text Box 27">
          <a:extLst>
            <a:ext uri="{FF2B5EF4-FFF2-40B4-BE49-F238E27FC236}">
              <a16:creationId xmlns:a16="http://schemas.microsoft.com/office/drawing/2014/main" id="{00000000-0008-0000-0B00-00002C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25" name="Text Box 28">
          <a:extLst>
            <a:ext uri="{FF2B5EF4-FFF2-40B4-BE49-F238E27FC236}">
              <a16:creationId xmlns:a16="http://schemas.microsoft.com/office/drawing/2014/main" id="{00000000-0008-0000-0B00-00002D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26" name="Text Box 29">
          <a:extLst>
            <a:ext uri="{FF2B5EF4-FFF2-40B4-BE49-F238E27FC236}">
              <a16:creationId xmlns:a16="http://schemas.microsoft.com/office/drawing/2014/main" id="{00000000-0008-0000-0B00-00002E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27" name="Text Box 30">
          <a:extLst>
            <a:ext uri="{FF2B5EF4-FFF2-40B4-BE49-F238E27FC236}">
              <a16:creationId xmlns:a16="http://schemas.microsoft.com/office/drawing/2014/main" id="{00000000-0008-0000-0B00-00002F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28" name="Text Box 31">
          <a:extLst>
            <a:ext uri="{FF2B5EF4-FFF2-40B4-BE49-F238E27FC236}">
              <a16:creationId xmlns:a16="http://schemas.microsoft.com/office/drawing/2014/main" id="{00000000-0008-0000-0B00-000030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29" name="Text Box 32">
          <a:extLst>
            <a:ext uri="{FF2B5EF4-FFF2-40B4-BE49-F238E27FC236}">
              <a16:creationId xmlns:a16="http://schemas.microsoft.com/office/drawing/2014/main" id="{00000000-0008-0000-0B00-000031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30" name="Text Box 33">
          <a:extLst>
            <a:ext uri="{FF2B5EF4-FFF2-40B4-BE49-F238E27FC236}">
              <a16:creationId xmlns:a16="http://schemas.microsoft.com/office/drawing/2014/main" id="{00000000-0008-0000-0B00-000032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31" name="Text Box 34">
          <a:extLst>
            <a:ext uri="{FF2B5EF4-FFF2-40B4-BE49-F238E27FC236}">
              <a16:creationId xmlns:a16="http://schemas.microsoft.com/office/drawing/2014/main" id="{00000000-0008-0000-0B00-000033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32" name="Text Box 35">
          <a:extLst>
            <a:ext uri="{FF2B5EF4-FFF2-40B4-BE49-F238E27FC236}">
              <a16:creationId xmlns:a16="http://schemas.microsoft.com/office/drawing/2014/main" id="{00000000-0008-0000-0B00-000034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33" name="Text Box 36">
          <a:extLst>
            <a:ext uri="{FF2B5EF4-FFF2-40B4-BE49-F238E27FC236}">
              <a16:creationId xmlns:a16="http://schemas.microsoft.com/office/drawing/2014/main" id="{00000000-0008-0000-0B00-000035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34" name="Text Box 37">
          <a:extLst>
            <a:ext uri="{FF2B5EF4-FFF2-40B4-BE49-F238E27FC236}">
              <a16:creationId xmlns:a16="http://schemas.microsoft.com/office/drawing/2014/main" id="{00000000-0008-0000-0B00-000036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35" name="Text Box 38">
          <a:extLst>
            <a:ext uri="{FF2B5EF4-FFF2-40B4-BE49-F238E27FC236}">
              <a16:creationId xmlns:a16="http://schemas.microsoft.com/office/drawing/2014/main" id="{00000000-0008-0000-0B00-000037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36" name="Text Box 39">
          <a:extLst>
            <a:ext uri="{FF2B5EF4-FFF2-40B4-BE49-F238E27FC236}">
              <a16:creationId xmlns:a16="http://schemas.microsoft.com/office/drawing/2014/main" id="{00000000-0008-0000-0B00-000038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37" name="Text Box 40">
          <a:extLst>
            <a:ext uri="{FF2B5EF4-FFF2-40B4-BE49-F238E27FC236}">
              <a16:creationId xmlns:a16="http://schemas.microsoft.com/office/drawing/2014/main" id="{00000000-0008-0000-0B00-000039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38" name="Text Box 41">
          <a:extLst>
            <a:ext uri="{FF2B5EF4-FFF2-40B4-BE49-F238E27FC236}">
              <a16:creationId xmlns:a16="http://schemas.microsoft.com/office/drawing/2014/main" id="{00000000-0008-0000-0B00-00003A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39" name="Text Box 42">
          <a:extLst>
            <a:ext uri="{FF2B5EF4-FFF2-40B4-BE49-F238E27FC236}">
              <a16:creationId xmlns:a16="http://schemas.microsoft.com/office/drawing/2014/main" id="{00000000-0008-0000-0B00-00003B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40" name="Text Box 43">
          <a:extLst>
            <a:ext uri="{FF2B5EF4-FFF2-40B4-BE49-F238E27FC236}">
              <a16:creationId xmlns:a16="http://schemas.microsoft.com/office/drawing/2014/main" id="{00000000-0008-0000-0B00-00003C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41" name="Text Box 44">
          <a:extLst>
            <a:ext uri="{FF2B5EF4-FFF2-40B4-BE49-F238E27FC236}">
              <a16:creationId xmlns:a16="http://schemas.microsoft.com/office/drawing/2014/main" id="{00000000-0008-0000-0B00-00003D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42" name="Text Box 45">
          <a:extLst>
            <a:ext uri="{FF2B5EF4-FFF2-40B4-BE49-F238E27FC236}">
              <a16:creationId xmlns:a16="http://schemas.microsoft.com/office/drawing/2014/main" id="{00000000-0008-0000-0B00-00003E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43" name="Text Box 46">
          <a:extLst>
            <a:ext uri="{FF2B5EF4-FFF2-40B4-BE49-F238E27FC236}">
              <a16:creationId xmlns:a16="http://schemas.microsoft.com/office/drawing/2014/main" id="{00000000-0008-0000-0B00-00003F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44" name="Text Box 47">
          <a:extLst>
            <a:ext uri="{FF2B5EF4-FFF2-40B4-BE49-F238E27FC236}">
              <a16:creationId xmlns:a16="http://schemas.microsoft.com/office/drawing/2014/main" id="{00000000-0008-0000-0B00-000040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45" name="Text Box 48">
          <a:extLst>
            <a:ext uri="{FF2B5EF4-FFF2-40B4-BE49-F238E27FC236}">
              <a16:creationId xmlns:a16="http://schemas.microsoft.com/office/drawing/2014/main" id="{00000000-0008-0000-0B00-000041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46" name="Text Box 49">
          <a:extLst>
            <a:ext uri="{FF2B5EF4-FFF2-40B4-BE49-F238E27FC236}">
              <a16:creationId xmlns:a16="http://schemas.microsoft.com/office/drawing/2014/main" id="{00000000-0008-0000-0B00-000042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47" name="Text Box 50">
          <a:extLst>
            <a:ext uri="{FF2B5EF4-FFF2-40B4-BE49-F238E27FC236}">
              <a16:creationId xmlns:a16="http://schemas.microsoft.com/office/drawing/2014/main" id="{00000000-0008-0000-0B00-000043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48" name="Text Box 51">
          <a:extLst>
            <a:ext uri="{FF2B5EF4-FFF2-40B4-BE49-F238E27FC236}">
              <a16:creationId xmlns:a16="http://schemas.microsoft.com/office/drawing/2014/main" id="{00000000-0008-0000-0B00-000044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49" name="Text Box 52">
          <a:extLst>
            <a:ext uri="{FF2B5EF4-FFF2-40B4-BE49-F238E27FC236}">
              <a16:creationId xmlns:a16="http://schemas.microsoft.com/office/drawing/2014/main" id="{00000000-0008-0000-0B00-000045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50" name="Text Box 53">
          <a:extLst>
            <a:ext uri="{FF2B5EF4-FFF2-40B4-BE49-F238E27FC236}">
              <a16:creationId xmlns:a16="http://schemas.microsoft.com/office/drawing/2014/main" id="{00000000-0008-0000-0B00-000046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51" name="Text Box 54">
          <a:extLst>
            <a:ext uri="{FF2B5EF4-FFF2-40B4-BE49-F238E27FC236}">
              <a16:creationId xmlns:a16="http://schemas.microsoft.com/office/drawing/2014/main" id="{00000000-0008-0000-0B00-000047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52" name="Text Box 55">
          <a:extLst>
            <a:ext uri="{FF2B5EF4-FFF2-40B4-BE49-F238E27FC236}">
              <a16:creationId xmlns:a16="http://schemas.microsoft.com/office/drawing/2014/main" id="{00000000-0008-0000-0B00-000048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53" name="Text Box 56">
          <a:extLst>
            <a:ext uri="{FF2B5EF4-FFF2-40B4-BE49-F238E27FC236}">
              <a16:creationId xmlns:a16="http://schemas.microsoft.com/office/drawing/2014/main" id="{00000000-0008-0000-0B00-000049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54" name="Text Box 57">
          <a:extLst>
            <a:ext uri="{FF2B5EF4-FFF2-40B4-BE49-F238E27FC236}">
              <a16:creationId xmlns:a16="http://schemas.microsoft.com/office/drawing/2014/main" id="{00000000-0008-0000-0B00-00004A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55" name="Text Box 58">
          <a:extLst>
            <a:ext uri="{FF2B5EF4-FFF2-40B4-BE49-F238E27FC236}">
              <a16:creationId xmlns:a16="http://schemas.microsoft.com/office/drawing/2014/main" id="{00000000-0008-0000-0B00-00004B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56" name="Text Box 59">
          <a:extLst>
            <a:ext uri="{FF2B5EF4-FFF2-40B4-BE49-F238E27FC236}">
              <a16:creationId xmlns:a16="http://schemas.microsoft.com/office/drawing/2014/main" id="{00000000-0008-0000-0B00-00004C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57" name="Text Box 60">
          <a:extLst>
            <a:ext uri="{FF2B5EF4-FFF2-40B4-BE49-F238E27FC236}">
              <a16:creationId xmlns:a16="http://schemas.microsoft.com/office/drawing/2014/main" id="{00000000-0008-0000-0B00-00004D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58" name="Text Box 61">
          <a:extLst>
            <a:ext uri="{FF2B5EF4-FFF2-40B4-BE49-F238E27FC236}">
              <a16:creationId xmlns:a16="http://schemas.microsoft.com/office/drawing/2014/main" id="{00000000-0008-0000-0B00-00004E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59" name="Text Box 62">
          <a:extLst>
            <a:ext uri="{FF2B5EF4-FFF2-40B4-BE49-F238E27FC236}">
              <a16:creationId xmlns:a16="http://schemas.microsoft.com/office/drawing/2014/main" id="{00000000-0008-0000-0B00-00004F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60" name="Text Box 63">
          <a:extLst>
            <a:ext uri="{FF2B5EF4-FFF2-40B4-BE49-F238E27FC236}">
              <a16:creationId xmlns:a16="http://schemas.microsoft.com/office/drawing/2014/main" id="{00000000-0008-0000-0B00-000050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61" name="Text Box 64">
          <a:extLst>
            <a:ext uri="{FF2B5EF4-FFF2-40B4-BE49-F238E27FC236}">
              <a16:creationId xmlns:a16="http://schemas.microsoft.com/office/drawing/2014/main" id="{00000000-0008-0000-0B00-000051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62" name="Text Box 65">
          <a:extLst>
            <a:ext uri="{FF2B5EF4-FFF2-40B4-BE49-F238E27FC236}">
              <a16:creationId xmlns:a16="http://schemas.microsoft.com/office/drawing/2014/main" id="{00000000-0008-0000-0B00-000052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63" name="Text Box 66">
          <a:extLst>
            <a:ext uri="{FF2B5EF4-FFF2-40B4-BE49-F238E27FC236}">
              <a16:creationId xmlns:a16="http://schemas.microsoft.com/office/drawing/2014/main" id="{00000000-0008-0000-0B00-000053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64" name="Text Box 67">
          <a:extLst>
            <a:ext uri="{FF2B5EF4-FFF2-40B4-BE49-F238E27FC236}">
              <a16:creationId xmlns:a16="http://schemas.microsoft.com/office/drawing/2014/main" id="{00000000-0008-0000-0B00-000054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65" name="Text Box 68">
          <a:extLst>
            <a:ext uri="{FF2B5EF4-FFF2-40B4-BE49-F238E27FC236}">
              <a16:creationId xmlns:a16="http://schemas.microsoft.com/office/drawing/2014/main" id="{00000000-0008-0000-0B00-000055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66" name="Text Box 69">
          <a:extLst>
            <a:ext uri="{FF2B5EF4-FFF2-40B4-BE49-F238E27FC236}">
              <a16:creationId xmlns:a16="http://schemas.microsoft.com/office/drawing/2014/main" id="{00000000-0008-0000-0B00-000056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67" name="Text Box 70">
          <a:extLst>
            <a:ext uri="{FF2B5EF4-FFF2-40B4-BE49-F238E27FC236}">
              <a16:creationId xmlns:a16="http://schemas.microsoft.com/office/drawing/2014/main" id="{00000000-0008-0000-0B00-000057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68" name="Text Box 72">
          <a:extLst>
            <a:ext uri="{FF2B5EF4-FFF2-40B4-BE49-F238E27FC236}">
              <a16:creationId xmlns:a16="http://schemas.microsoft.com/office/drawing/2014/main" id="{00000000-0008-0000-0B00-000058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69" name="Text Box 73">
          <a:extLst>
            <a:ext uri="{FF2B5EF4-FFF2-40B4-BE49-F238E27FC236}">
              <a16:creationId xmlns:a16="http://schemas.microsoft.com/office/drawing/2014/main" id="{00000000-0008-0000-0B00-000059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70" name="Text Box 77">
          <a:extLst>
            <a:ext uri="{FF2B5EF4-FFF2-40B4-BE49-F238E27FC236}">
              <a16:creationId xmlns:a16="http://schemas.microsoft.com/office/drawing/2014/main" id="{00000000-0008-0000-0B00-00005A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71" name="Text Box 78">
          <a:extLst>
            <a:ext uri="{FF2B5EF4-FFF2-40B4-BE49-F238E27FC236}">
              <a16:creationId xmlns:a16="http://schemas.microsoft.com/office/drawing/2014/main" id="{00000000-0008-0000-0B00-00005B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72" name="Text Box 79">
          <a:extLst>
            <a:ext uri="{FF2B5EF4-FFF2-40B4-BE49-F238E27FC236}">
              <a16:creationId xmlns:a16="http://schemas.microsoft.com/office/drawing/2014/main" id="{00000000-0008-0000-0B00-00005C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73" name="Text Box 80">
          <a:extLst>
            <a:ext uri="{FF2B5EF4-FFF2-40B4-BE49-F238E27FC236}">
              <a16:creationId xmlns:a16="http://schemas.microsoft.com/office/drawing/2014/main" id="{00000000-0008-0000-0B00-00005D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74" name="Text Box 81">
          <a:extLst>
            <a:ext uri="{FF2B5EF4-FFF2-40B4-BE49-F238E27FC236}">
              <a16:creationId xmlns:a16="http://schemas.microsoft.com/office/drawing/2014/main" id="{00000000-0008-0000-0B00-00005E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75" name="Text Box 82">
          <a:extLst>
            <a:ext uri="{FF2B5EF4-FFF2-40B4-BE49-F238E27FC236}">
              <a16:creationId xmlns:a16="http://schemas.microsoft.com/office/drawing/2014/main" id="{00000000-0008-0000-0B00-00005F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76" name="Text Box 84">
          <a:extLst>
            <a:ext uri="{FF2B5EF4-FFF2-40B4-BE49-F238E27FC236}">
              <a16:creationId xmlns:a16="http://schemas.microsoft.com/office/drawing/2014/main" id="{00000000-0008-0000-0B00-000060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77" name="Text Box 85">
          <a:extLst>
            <a:ext uri="{FF2B5EF4-FFF2-40B4-BE49-F238E27FC236}">
              <a16:creationId xmlns:a16="http://schemas.microsoft.com/office/drawing/2014/main" id="{00000000-0008-0000-0B00-000061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78" name="Text Box 89">
          <a:extLst>
            <a:ext uri="{FF2B5EF4-FFF2-40B4-BE49-F238E27FC236}">
              <a16:creationId xmlns:a16="http://schemas.microsoft.com/office/drawing/2014/main" id="{00000000-0008-0000-0B00-000062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79" name="Text Box 90">
          <a:extLst>
            <a:ext uri="{FF2B5EF4-FFF2-40B4-BE49-F238E27FC236}">
              <a16:creationId xmlns:a16="http://schemas.microsoft.com/office/drawing/2014/main" id="{00000000-0008-0000-0B00-000063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80" name="Text Box 91">
          <a:extLst>
            <a:ext uri="{FF2B5EF4-FFF2-40B4-BE49-F238E27FC236}">
              <a16:creationId xmlns:a16="http://schemas.microsoft.com/office/drawing/2014/main" id="{00000000-0008-0000-0B00-000064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81" name="Text Box 92">
          <a:extLst>
            <a:ext uri="{FF2B5EF4-FFF2-40B4-BE49-F238E27FC236}">
              <a16:creationId xmlns:a16="http://schemas.microsoft.com/office/drawing/2014/main" id="{00000000-0008-0000-0B00-000065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82" name="Text Box 93">
          <a:extLst>
            <a:ext uri="{FF2B5EF4-FFF2-40B4-BE49-F238E27FC236}">
              <a16:creationId xmlns:a16="http://schemas.microsoft.com/office/drawing/2014/main" id="{00000000-0008-0000-0B00-000066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83" name="Text Box 94">
          <a:extLst>
            <a:ext uri="{FF2B5EF4-FFF2-40B4-BE49-F238E27FC236}">
              <a16:creationId xmlns:a16="http://schemas.microsoft.com/office/drawing/2014/main" id="{00000000-0008-0000-0B00-000067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84" name="Text Box 95">
          <a:extLst>
            <a:ext uri="{FF2B5EF4-FFF2-40B4-BE49-F238E27FC236}">
              <a16:creationId xmlns:a16="http://schemas.microsoft.com/office/drawing/2014/main" id="{00000000-0008-0000-0B00-000068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85" name="Text Box 96">
          <a:extLst>
            <a:ext uri="{FF2B5EF4-FFF2-40B4-BE49-F238E27FC236}">
              <a16:creationId xmlns:a16="http://schemas.microsoft.com/office/drawing/2014/main" id="{00000000-0008-0000-0B00-000069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86" name="Text Box 97">
          <a:extLst>
            <a:ext uri="{FF2B5EF4-FFF2-40B4-BE49-F238E27FC236}">
              <a16:creationId xmlns:a16="http://schemas.microsoft.com/office/drawing/2014/main" id="{00000000-0008-0000-0B00-00006A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87" name="Text Box 101">
          <a:extLst>
            <a:ext uri="{FF2B5EF4-FFF2-40B4-BE49-F238E27FC236}">
              <a16:creationId xmlns:a16="http://schemas.microsoft.com/office/drawing/2014/main" id="{00000000-0008-0000-0B00-00006B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88" name="Text Box 102">
          <a:extLst>
            <a:ext uri="{FF2B5EF4-FFF2-40B4-BE49-F238E27FC236}">
              <a16:creationId xmlns:a16="http://schemas.microsoft.com/office/drawing/2014/main" id="{00000000-0008-0000-0B00-00006C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89" name="Text Box 103">
          <a:extLst>
            <a:ext uri="{FF2B5EF4-FFF2-40B4-BE49-F238E27FC236}">
              <a16:creationId xmlns:a16="http://schemas.microsoft.com/office/drawing/2014/main" id="{00000000-0008-0000-0B00-00006D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90" name="Text Box 104">
          <a:extLst>
            <a:ext uri="{FF2B5EF4-FFF2-40B4-BE49-F238E27FC236}">
              <a16:creationId xmlns:a16="http://schemas.microsoft.com/office/drawing/2014/main" id="{00000000-0008-0000-0B00-00006E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91" name="Text Box 105">
          <a:extLst>
            <a:ext uri="{FF2B5EF4-FFF2-40B4-BE49-F238E27FC236}">
              <a16:creationId xmlns:a16="http://schemas.microsoft.com/office/drawing/2014/main" id="{00000000-0008-0000-0B00-00006F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92" name="Text Box 106">
          <a:extLst>
            <a:ext uri="{FF2B5EF4-FFF2-40B4-BE49-F238E27FC236}">
              <a16:creationId xmlns:a16="http://schemas.microsoft.com/office/drawing/2014/main" id="{00000000-0008-0000-0B00-000070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93" name="Text Box 107">
          <a:extLst>
            <a:ext uri="{FF2B5EF4-FFF2-40B4-BE49-F238E27FC236}">
              <a16:creationId xmlns:a16="http://schemas.microsoft.com/office/drawing/2014/main" id="{00000000-0008-0000-0B00-000071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94" name="Text Box 108">
          <a:extLst>
            <a:ext uri="{FF2B5EF4-FFF2-40B4-BE49-F238E27FC236}">
              <a16:creationId xmlns:a16="http://schemas.microsoft.com/office/drawing/2014/main" id="{00000000-0008-0000-0B00-000072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95" name="Text Box 109">
          <a:extLst>
            <a:ext uri="{FF2B5EF4-FFF2-40B4-BE49-F238E27FC236}">
              <a16:creationId xmlns:a16="http://schemas.microsoft.com/office/drawing/2014/main" id="{00000000-0008-0000-0B00-000073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96" name="Text Box 113">
          <a:extLst>
            <a:ext uri="{FF2B5EF4-FFF2-40B4-BE49-F238E27FC236}">
              <a16:creationId xmlns:a16="http://schemas.microsoft.com/office/drawing/2014/main" id="{00000000-0008-0000-0B00-000074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97" name="Text Box 114">
          <a:extLst>
            <a:ext uri="{FF2B5EF4-FFF2-40B4-BE49-F238E27FC236}">
              <a16:creationId xmlns:a16="http://schemas.microsoft.com/office/drawing/2014/main" id="{00000000-0008-0000-0B00-000075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98" name="Text Box 115">
          <a:extLst>
            <a:ext uri="{FF2B5EF4-FFF2-40B4-BE49-F238E27FC236}">
              <a16:creationId xmlns:a16="http://schemas.microsoft.com/office/drawing/2014/main" id="{00000000-0008-0000-0B00-000076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399" name="Text Box 116">
          <a:extLst>
            <a:ext uri="{FF2B5EF4-FFF2-40B4-BE49-F238E27FC236}">
              <a16:creationId xmlns:a16="http://schemas.microsoft.com/office/drawing/2014/main" id="{00000000-0008-0000-0B00-000077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00" name="Text Box 117">
          <a:extLst>
            <a:ext uri="{FF2B5EF4-FFF2-40B4-BE49-F238E27FC236}">
              <a16:creationId xmlns:a16="http://schemas.microsoft.com/office/drawing/2014/main" id="{00000000-0008-0000-0B00-000078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01" name="Text Box 118">
          <a:extLst>
            <a:ext uri="{FF2B5EF4-FFF2-40B4-BE49-F238E27FC236}">
              <a16:creationId xmlns:a16="http://schemas.microsoft.com/office/drawing/2014/main" id="{00000000-0008-0000-0B00-000079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02" name="Text Box 119">
          <a:extLst>
            <a:ext uri="{FF2B5EF4-FFF2-40B4-BE49-F238E27FC236}">
              <a16:creationId xmlns:a16="http://schemas.microsoft.com/office/drawing/2014/main" id="{00000000-0008-0000-0B00-00007A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03" name="Text Box 120">
          <a:extLst>
            <a:ext uri="{FF2B5EF4-FFF2-40B4-BE49-F238E27FC236}">
              <a16:creationId xmlns:a16="http://schemas.microsoft.com/office/drawing/2014/main" id="{00000000-0008-0000-0B00-00007B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04" name="Text Box 121">
          <a:extLst>
            <a:ext uri="{FF2B5EF4-FFF2-40B4-BE49-F238E27FC236}">
              <a16:creationId xmlns:a16="http://schemas.microsoft.com/office/drawing/2014/main" id="{00000000-0008-0000-0B00-00007C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05" name="Text Box 125">
          <a:extLst>
            <a:ext uri="{FF2B5EF4-FFF2-40B4-BE49-F238E27FC236}">
              <a16:creationId xmlns:a16="http://schemas.microsoft.com/office/drawing/2014/main" id="{00000000-0008-0000-0B00-00007D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06" name="Text Box 126">
          <a:extLst>
            <a:ext uri="{FF2B5EF4-FFF2-40B4-BE49-F238E27FC236}">
              <a16:creationId xmlns:a16="http://schemas.microsoft.com/office/drawing/2014/main" id="{00000000-0008-0000-0B00-00007E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07" name="Text Box 127">
          <a:extLst>
            <a:ext uri="{FF2B5EF4-FFF2-40B4-BE49-F238E27FC236}">
              <a16:creationId xmlns:a16="http://schemas.microsoft.com/office/drawing/2014/main" id="{00000000-0008-0000-0B00-00007F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08" name="Text Box 128">
          <a:extLst>
            <a:ext uri="{FF2B5EF4-FFF2-40B4-BE49-F238E27FC236}">
              <a16:creationId xmlns:a16="http://schemas.microsoft.com/office/drawing/2014/main" id="{00000000-0008-0000-0B00-000080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09" name="Text Box 129">
          <a:extLst>
            <a:ext uri="{FF2B5EF4-FFF2-40B4-BE49-F238E27FC236}">
              <a16:creationId xmlns:a16="http://schemas.microsoft.com/office/drawing/2014/main" id="{00000000-0008-0000-0B00-000081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10" name="Text Box 130">
          <a:extLst>
            <a:ext uri="{FF2B5EF4-FFF2-40B4-BE49-F238E27FC236}">
              <a16:creationId xmlns:a16="http://schemas.microsoft.com/office/drawing/2014/main" id="{00000000-0008-0000-0B00-000082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11" name="Text Box 131">
          <a:extLst>
            <a:ext uri="{FF2B5EF4-FFF2-40B4-BE49-F238E27FC236}">
              <a16:creationId xmlns:a16="http://schemas.microsoft.com/office/drawing/2014/main" id="{00000000-0008-0000-0B00-000083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12" name="Text Box 132">
          <a:extLst>
            <a:ext uri="{FF2B5EF4-FFF2-40B4-BE49-F238E27FC236}">
              <a16:creationId xmlns:a16="http://schemas.microsoft.com/office/drawing/2014/main" id="{00000000-0008-0000-0B00-000084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13" name="Text Box 133">
          <a:extLst>
            <a:ext uri="{FF2B5EF4-FFF2-40B4-BE49-F238E27FC236}">
              <a16:creationId xmlns:a16="http://schemas.microsoft.com/office/drawing/2014/main" id="{00000000-0008-0000-0B00-000085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14" name="Text Box 137">
          <a:extLst>
            <a:ext uri="{FF2B5EF4-FFF2-40B4-BE49-F238E27FC236}">
              <a16:creationId xmlns:a16="http://schemas.microsoft.com/office/drawing/2014/main" id="{00000000-0008-0000-0B00-000086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15" name="Text Box 138">
          <a:extLst>
            <a:ext uri="{FF2B5EF4-FFF2-40B4-BE49-F238E27FC236}">
              <a16:creationId xmlns:a16="http://schemas.microsoft.com/office/drawing/2014/main" id="{00000000-0008-0000-0B00-000087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16" name="Text Box 139">
          <a:extLst>
            <a:ext uri="{FF2B5EF4-FFF2-40B4-BE49-F238E27FC236}">
              <a16:creationId xmlns:a16="http://schemas.microsoft.com/office/drawing/2014/main" id="{00000000-0008-0000-0B00-000088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17" name="Text Box 140">
          <a:extLst>
            <a:ext uri="{FF2B5EF4-FFF2-40B4-BE49-F238E27FC236}">
              <a16:creationId xmlns:a16="http://schemas.microsoft.com/office/drawing/2014/main" id="{00000000-0008-0000-0B00-000089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18" name="Text Box 141">
          <a:extLst>
            <a:ext uri="{FF2B5EF4-FFF2-40B4-BE49-F238E27FC236}">
              <a16:creationId xmlns:a16="http://schemas.microsoft.com/office/drawing/2014/main" id="{00000000-0008-0000-0B00-00008A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19" name="Text Box 142">
          <a:extLst>
            <a:ext uri="{FF2B5EF4-FFF2-40B4-BE49-F238E27FC236}">
              <a16:creationId xmlns:a16="http://schemas.microsoft.com/office/drawing/2014/main" id="{00000000-0008-0000-0B00-00008B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20" name="Text Box 143">
          <a:extLst>
            <a:ext uri="{FF2B5EF4-FFF2-40B4-BE49-F238E27FC236}">
              <a16:creationId xmlns:a16="http://schemas.microsoft.com/office/drawing/2014/main" id="{00000000-0008-0000-0B00-00008C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21" name="Text Box 144">
          <a:extLst>
            <a:ext uri="{FF2B5EF4-FFF2-40B4-BE49-F238E27FC236}">
              <a16:creationId xmlns:a16="http://schemas.microsoft.com/office/drawing/2014/main" id="{00000000-0008-0000-0B00-00008D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22" name="Text Box 145">
          <a:extLst>
            <a:ext uri="{FF2B5EF4-FFF2-40B4-BE49-F238E27FC236}">
              <a16:creationId xmlns:a16="http://schemas.microsoft.com/office/drawing/2014/main" id="{00000000-0008-0000-0B00-00008E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23" name="Text Box 149">
          <a:extLst>
            <a:ext uri="{FF2B5EF4-FFF2-40B4-BE49-F238E27FC236}">
              <a16:creationId xmlns:a16="http://schemas.microsoft.com/office/drawing/2014/main" id="{00000000-0008-0000-0B00-00008F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24" name="Text Box 150">
          <a:extLst>
            <a:ext uri="{FF2B5EF4-FFF2-40B4-BE49-F238E27FC236}">
              <a16:creationId xmlns:a16="http://schemas.microsoft.com/office/drawing/2014/main" id="{00000000-0008-0000-0B00-000090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25" name="Text Box 151">
          <a:extLst>
            <a:ext uri="{FF2B5EF4-FFF2-40B4-BE49-F238E27FC236}">
              <a16:creationId xmlns:a16="http://schemas.microsoft.com/office/drawing/2014/main" id="{00000000-0008-0000-0B00-000091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26" name="Text Box 152">
          <a:extLst>
            <a:ext uri="{FF2B5EF4-FFF2-40B4-BE49-F238E27FC236}">
              <a16:creationId xmlns:a16="http://schemas.microsoft.com/office/drawing/2014/main" id="{00000000-0008-0000-0B00-000092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27" name="Text Box 153">
          <a:extLst>
            <a:ext uri="{FF2B5EF4-FFF2-40B4-BE49-F238E27FC236}">
              <a16:creationId xmlns:a16="http://schemas.microsoft.com/office/drawing/2014/main" id="{00000000-0008-0000-0B00-000093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28" name="Text Box 154">
          <a:extLst>
            <a:ext uri="{FF2B5EF4-FFF2-40B4-BE49-F238E27FC236}">
              <a16:creationId xmlns:a16="http://schemas.microsoft.com/office/drawing/2014/main" id="{00000000-0008-0000-0B00-000094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29" name="Text Box 155">
          <a:extLst>
            <a:ext uri="{FF2B5EF4-FFF2-40B4-BE49-F238E27FC236}">
              <a16:creationId xmlns:a16="http://schemas.microsoft.com/office/drawing/2014/main" id="{00000000-0008-0000-0B00-000095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30" name="Text Box 156">
          <a:extLst>
            <a:ext uri="{FF2B5EF4-FFF2-40B4-BE49-F238E27FC236}">
              <a16:creationId xmlns:a16="http://schemas.microsoft.com/office/drawing/2014/main" id="{00000000-0008-0000-0B00-000096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31" name="Text Box 157">
          <a:extLst>
            <a:ext uri="{FF2B5EF4-FFF2-40B4-BE49-F238E27FC236}">
              <a16:creationId xmlns:a16="http://schemas.microsoft.com/office/drawing/2014/main" id="{00000000-0008-0000-0B00-000097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32" name="Text Box 161">
          <a:extLst>
            <a:ext uri="{FF2B5EF4-FFF2-40B4-BE49-F238E27FC236}">
              <a16:creationId xmlns:a16="http://schemas.microsoft.com/office/drawing/2014/main" id="{00000000-0008-0000-0B00-000098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33" name="Text Box 162">
          <a:extLst>
            <a:ext uri="{FF2B5EF4-FFF2-40B4-BE49-F238E27FC236}">
              <a16:creationId xmlns:a16="http://schemas.microsoft.com/office/drawing/2014/main" id="{00000000-0008-0000-0B00-000099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34" name="Text Box 163">
          <a:extLst>
            <a:ext uri="{FF2B5EF4-FFF2-40B4-BE49-F238E27FC236}">
              <a16:creationId xmlns:a16="http://schemas.microsoft.com/office/drawing/2014/main" id="{00000000-0008-0000-0B00-00009A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35" name="Text Box 164">
          <a:extLst>
            <a:ext uri="{FF2B5EF4-FFF2-40B4-BE49-F238E27FC236}">
              <a16:creationId xmlns:a16="http://schemas.microsoft.com/office/drawing/2014/main" id="{00000000-0008-0000-0B00-00009B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36" name="Text Box 165">
          <a:extLst>
            <a:ext uri="{FF2B5EF4-FFF2-40B4-BE49-F238E27FC236}">
              <a16:creationId xmlns:a16="http://schemas.microsoft.com/office/drawing/2014/main" id="{00000000-0008-0000-0B00-00009C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37" name="Text Box 166">
          <a:extLst>
            <a:ext uri="{FF2B5EF4-FFF2-40B4-BE49-F238E27FC236}">
              <a16:creationId xmlns:a16="http://schemas.microsoft.com/office/drawing/2014/main" id="{00000000-0008-0000-0B00-00009D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38" name="Text Box 167">
          <a:extLst>
            <a:ext uri="{FF2B5EF4-FFF2-40B4-BE49-F238E27FC236}">
              <a16:creationId xmlns:a16="http://schemas.microsoft.com/office/drawing/2014/main" id="{00000000-0008-0000-0B00-00009E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39" name="Text Box 168">
          <a:extLst>
            <a:ext uri="{FF2B5EF4-FFF2-40B4-BE49-F238E27FC236}">
              <a16:creationId xmlns:a16="http://schemas.microsoft.com/office/drawing/2014/main" id="{00000000-0008-0000-0B00-00009F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40" name="Text Box 169">
          <a:extLst>
            <a:ext uri="{FF2B5EF4-FFF2-40B4-BE49-F238E27FC236}">
              <a16:creationId xmlns:a16="http://schemas.microsoft.com/office/drawing/2014/main" id="{00000000-0008-0000-0B00-0000A0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41" name="Text Box 170">
          <a:extLst>
            <a:ext uri="{FF2B5EF4-FFF2-40B4-BE49-F238E27FC236}">
              <a16:creationId xmlns:a16="http://schemas.microsoft.com/office/drawing/2014/main" id="{00000000-0008-0000-0B00-0000A1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42" name="Text Box 171">
          <a:extLst>
            <a:ext uri="{FF2B5EF4-FFF2-40B4-BE49-F238E27FC236}">
              <a16:creationId xmlns:a16="http://schemas.microsoft.com/office/drawing/2014/main" id="{00000000-0008-0000-0B00-0000A2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43" name="Text Box 172">
          <a:extLst>
            <a:ext uri="{FF2B5EF4-FFF2-40B4-BE49-F238E27FC236}">
              <a16:creationId xmlns:a16="http://schemas.microsoft.com/office/drawing/2014/main" id="{00000000-0008-0000-0B00-0000A3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44" name="Text Box 173">
          <a:extLst>
            <a:ext uri="{FF2B5EF4-FFF2-40B4-BE49-F238E27FC236}">
              <a16:creationId xmlns:a16="http://schemas.microsoft.com/office/drawing/2014/main" id="{00000000-0008-0000-0B00-0000A4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45" name="Text Box 174">
          <a:extLst>
            <a:ext uri="{FF2B5EF4-FFF2-40B4-BE49-F238E27FC236}">
              <a16:creationId xmlns:a16="http://schemas.microsoft.com/office/drawing/2014/main" id="{00000000-0008-0000-0B00-0000A5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46" name="Text Box 176">
          <a:extLst>
            <a:ext uri="{FF2B5EF4-FFF2-40B4-BE49-F238E27FC236}">
              <a16:creationId xmlns:a16="http://schemas.microsoft.com/office/drawing/2014/main" id="{00000000-0008-0000-0B00-0000A6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47" name="Text Box 178">
          <a:extLst>
            <a:ext uri="{FF2B5EF4-FFF2-40B4-BE49-F238E27FC236}">
              <a16:creationId xmlns:a16="http://schemas.microsoft.com/office/drawing/2014/main" id="{00000000-0008-0000-0B00-0000A7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48" name="Text Box 179">
          <a:extLst>
            <a:ext uri="{FF2B5EF4-FFF2-40B4-BE49-F238E27FC236}">
              <a16:creationId xmlns:a16="http://schemas.microsoft.com/office/drawing/2014/main" id="{00000000-0008-0000-0B00-0000A8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49" name="Text Box 180">
          <a:extLst>
            <a:ext uri="{FF2B5EF4-FFF2-40B4-BE49-F238E27FC236}">
              <a16:creationId xmlns:a16="http://schemas.microsoft.com/office/drawing/2014/main" id="{00000000-0008-0000-0B00-0000A9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50" name="Text Box 181">
          <a:extLst>
            <a:ext uri="{FF2B5EF4-FFF2-40B4-BE49-F238E27FC236}">
              <a16:creationId xmlns:a16="http://schemas.microsoft.com/office/drawing/2014/main" id="{00000000-0008-0000-0B00-0000AA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51" name="Text Box 182">
          <a:extLst>
            <a:ext uri="{FF2B5EF4-FFF2-40B4-BE49-F238E27FC236}">
              <a16:creationId xmlns:a16="http://schemas.microsoft.com/office/drawing/2014/main" id="{00000000-0008-0000-0B00-0000AB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52" name="Text Box 183">
          <a:extLst>
            <a:ext uri="{FF2B5EF4-FFF2-40B4-BE49-F238E27FC236}">
              <a16:creationId xmlns:a16="http://schemas.microsoft.com/office/drawing/2014/main" id="{00000000-0008-0000-0B00-0000AC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53" name="Text Box 184">
          <a:extLst>
            <a:ext uri="{FF2B5EF4-FFF2-40B4-BE49-F238E27FC236}">
              <a16:creationId xmlns:a16="http://schemas.microsoft.com/office/drawing/2014/main" id="{00000000-0008-0000-0B00-0000AD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54" name="Text Box 185">
          <a:extLst>
            <a:ext uri="{FF2B5EF4-FFF2-40B4-BE49-F238E27FC236}">
              <a16:creationId xmlns:a16="http://schemas.microsoft.com/office/drawing/2014/main" id="{00000000-0008-0000-0B00-0000AE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55" name="Text Box 186">
          <a:extLst>
            <a:ext uri="{FF2B5EF4-FFF2-40B4-BE49-F238E27FC236}">
              <a16:creationId xmlns:a16="http://schemas.microsoft.com/office/drawing/2014/main" id="{00000000-0008-0000-0B00-0000AF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56" name="Text Box 187">
          <a:extLst>
            <a:ext uri="{FF2B5EF4-FFF2-40B4-BE49-F238E27FC236}">
              <a16:creationId xmlns:a16="http://schemas.microsoft.com/office/drawing/2014/main" id="{00000000-0008-0000-0B00-0000B0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57" name="Text Box 188">
          <a:extLst>
            <a:ext uri="{FF2B5EF4-FFF2-40B4-BE49-F238E27FC236}">
              <a16:creationId xmlns:a16="http://schemas.microsoft.com/office/drawing/2014/main" id="{00000000-0008-0000-0B00-0000B1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58" name="Text Box 189">
          <a:extLst>
            <a:ext uri="{FF2B5EF4-FFF2-40B4-BE49-F238E27FC236}">
              <a16:creationId xmlns:a16="http://schemas.microsoft.com/office/drawing/2014/main" id="{00000000-0008-0000-0B00-0000B2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59" name="Text Box 190">
          <a:extLst>
            <a:ext uri="{FF2B5EF4-FFF2-40B4-BE49-F238E27FC236}">
              <a16:creationId xmlns:a16="http://schemas.microsoft.com/office/drawing/2014/main" id="{00000000-0008-0000-0B00-0000B3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60" name="Text Box 191">
          <a:extLst>
            <a:ext uri="{FF2B5EF4-FFF2-40B4-BE49-F238E27FC236}">
              <a16:creationId xmlns:a16="http://schemas.microsoft.com/office/drawing/2014/main" id="{00000000-0008-0000-0B00-0000B4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61" name="Text Box 192">
          <a:extLst>
            <a:ext uri="{FF2B5EF4-FFF2-40B4-BE49-F238E27FC236}">
              <a16:creationId xmlns:a16="http://schemas.microsoft.com/office/drawing/2014/main" id="{00000000-0008-0000-0B00-0000B5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62" name="Text Box 193">
          <a:extLst>
            <a:ext uri="{FF2B5EF4-FFF2-40B4-BE49-F238E27FC236}">
              <a16:creationId xmlns:a16="http://schemas.microsoft.com/office/drawing/2014/main" id="{00000000-0008-0000-0B00-0000B6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63" name="Text Box 194">
          <a:extLst>
            <a:ext uri="{FF2B5EF4-FFF2-40B4-BE49-F238E27FC236}">
              <a16:creationId xmlns:a16="http://schemas.microsoft.com/office/drawing/2014/main" id="{00000000-0008-0000-0B00-0000B7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64" name="Text Box 195">
          <a:extLst>
            <a:ext uri="{FF2B5EF4-FFF2-40B4-BE49-F238E27FC236}">
              <a16:creationId xmlns:a16="http://schemas.microsoft.com/office/drawing/2014/main" id="{00000000-0008-0000-0B00-0000B8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65" name="Text Box 196">
          <a:extLst>
            <a:ext uri="{FF2B5EF4-FFF2-40B4-BE49-F238E27FC236}">
              <a16:creationId xmlns:a16="http://schemas.microsoft.com/office/drawing/2014/main" id="{00000000-0008-0000-0B00-0000B9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66" name="Text Box 197">
          <a:extLst>
            <a:ext uri="{FF2B5EF4-FFF2-40B4-BE49-F238E27FC236}">
              <a16:creationId xmlns:a16="http://schemas.microsoft.com/office/drawing/2014/main" id="{00000000-0008-0000-0B00-0000BA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67" name="Text Box 198">
          <a:extLst>
            <a:ext uri="{FF2B5EF4-FFF2-40B4-BE49-F238E27FC236}">
              <a16:creationId xmlns:a16="http://schemas.microsoft.com/office/drawing/2014/main" id="{00000000-0008-0000-0B00-0000BB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68" name="Text Box 199">
          <a:extLst>
            <a:ext uri="{FF2B5EF4-FFF2-40B4-BE49-F238E27FC236}">
              <a16:creationId xmlns:a16="http://schemas.microsoft.com/office/drawing/2014/main" id="{00000000-0008-0000-0B00-0000BC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69" name="Text Box 200">
          <a:extLst>
            <a:ext uri="{FF2B5EF4-FFF2-40B4-BE49-F238E27FC236}">
              <a16:creationId xmlns:a16="http://schemas.microsoft.com/office/drawing/2014/main" id="{00000000-0008-0000-0B00-0000BD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70" name="Text Box 201">
          <a:extLst>
            <a:ext uri="{FF2B5EF4-FFF2-40B4-BE49-F238E27FC236}">
              <a16:creationId xmlns:a16="http://schemas.microsoft.com/office/drawing/2014/main" id="{00000000-0008-0000-0B00-0000BE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71" name="Text Box 202">
          <a:extLst>
            <a:ext uri="{FF2B5EF4-FFF2-40B4-BE49-F238E27FC236}">
              <a16:creationId xmlns:a16="http://schemas.microsoft.com/office/drawing/2014/main" id="{00000000-0008-0000-0B00-0000BF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72" name="Text Box 203">
          <a:extLst>
            <a:ext uri="{FF2B5EF4-FFF2-40B4-BE49-F238E27FC236}">
              <a16:creationId xmlns:a16="http://schemas.microsoft.com/office/drawing/2014/main" id="{00000000-0008-0000-0B00-0000C0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73" name="Text Box 204">
          <a:extLst>
            <a:ext uri="{FF2B5EF4-FFF2-40B4-BE49-F238E27FC236}">
              <a16:creationId xmlns:a16="http://schemas.microsoft.com/office/drawing/2014/main" id="{00000000-0008-0000-0B00-0000C1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74" name="Text Box 206">
          <a:extLst>
            <a:ext uri="{FF2B5EF4-FFF2-40B4-BE49-F238E27FC236}">
              <a16:creationId xmlns:a16="http://schemas.microsoft.com/office/drawing/2014/main" id="{00000000-0008-0000-0B00-0000C2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75" name="Text Box 207">
          <a:extLst>
            <a:ext uri="{FF2B5EF4-FFF2-40B4-BE49-F238E27FC236}">
              <a16:creationId xmlns:a16="http://schemas.microsoft.com/office/drawing/2014/main" id="{00000000-0008-0000-0B00-0000C3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76" name="Text Box 208">
          <a:extLst>
            <a:ext uri="{FF2B5EF4-FFF2-40B4-BE49-F238E27FC236}">
              <a16:creationId xmlns:a16="http://schemas.microsoft.com/office/drawing/2014/main" id="{00000000-0008-0000-0B00-0000C4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77" name="Text Box 209">
          <a:extLst>
            <a:ext uri="{FF2B5EF4-FFF2-40B4-BE49-F238E27FC236}">
              <a16:creationId xmlns:a16="http://schemas.microsoft.com/office/drawing/2014/main" id="{00000000-0008-0000-0B00-0000C5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78" name="Text Box 210">
          <a:extLst>
            <a:ext uri="{FF2B5EF4-FFF2-40B4-BE49-F238E27FC236}">
              <a16:creationId xmlns:a16="http://schemas.microsoft.com/office/drawing/2014/main" id="{00000000-0008-0000-0B00-0000C6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79" name="Text Box 211">
          <a:extLst>
            <a:ext uri="{FF2B5EF4-FFF2-40B4-BE49-F238E27FC236}">
              <a16:creationId xmlns:a16="http://schemas.microsoft.com/office/drawing/2014/main" id="{00000000-0008-0000-0B00-0000C7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80" name="Text Box 212">
          <a:extLst>
            <a:ext uri="{FF2B5EF4-FFF2-40B4-BE49-F238E27FC236}">
              <a16:creationId xmlns:a16="http://schemas.microsoft.com/office/drawing/2014/main" id="{00000000-0008-0000-0B00-0000C8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81" name="Text Box 213">
          <a:extLst>
            <a:ext uri="{FF2B5EF4-FFF2-40B4-BE49-F238E27FC236}">
              <a16:creationId xmlns:a16="http://schemas.microsoft.com/office/drawing/2014/main" id="{00000000-0008-0000-0B00-0000C9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82" name="Text Box 214">
          <a:extLst>
            <a:ext uri="{FF2B5EF4-FFF2-40B4-BE49-F238E27FC236}">
              <a16:creationId xmlns:a16="http://schemas.microsoft.com/office/drawing/2014/main" id="{00000000-0008-0000-0B00-0000CA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347663</xdr:colOff>
      <xdr:row>41</xdr:row>
      <xdr:rowOff>0</xdr:rowOff>
    </xdr:from>
    <xdr:to>
      <xdr:col>4</xdr:col>
      <xdr:colOff>66752</xdr:colOff>
      <xdr:row>41</xdr:row>
      <xdr:rowOff>180974</xdr:rowOff>
    </xdr:to>
    <xdr:sp macro="" textlink="">
      <xdr:nvSpPr>
        <xdr:cNvPr id="1483" name="Text Box 246">
          <a:extLst>
            <a:ext uri="{FF2B5EF4-FFF2-40B4-BE49-F238E27FC236}">
              <a16:creationId xmlns:a16="http://schemas.microsoft.com/office/drawing/2014/main" id="{00000000-0008-0000-0B00-0000CB050000}"/>
            </a:ext>
          </a:extLst>
        </xdr:cNvPr>
        <xdr:cNvSpPr txBox="1">
          <a:spLocks noChangeArrowheads="1"/>
        </xdr:cNvSpPr>
      </xdr:nvSpPr>
      <xdr:spPr bwMode="auto">
        <a:xfrm>
          <a:off x="4743451" y="6205538"/>
          <a:ext cx="71437"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9525</xdr:colOff>
      <xdr:row>41</xdr:row>
      <xdr:rowOff>0</xdr:rowOff>
    </xdr:from>
    <xdr:to>
      <xdr:col>4</xdr:col>
      <xdr:colOff>90488</xdr:colOff>
      <xdr:row>41</xdr:row>
      <xdr:rowOff>180974</xdr:rowOff>
    </xdr:to>
    <xdr:sp macro="" textlink="">
      <xdr:nvSpPr>
        <xdr:cNvPr id="1484" name="Text Box 71">
          <a:extLst>
            <a:ext uri="{FF2B5EF4-FFF2-40B4-BE49-F238E27FC236}">
              <a16:creationId xmlns:a16="http://schemas.microsoft.com/office/drawing/2014/main" id="{00000000-0008-0000-0B00-0000CC050000}"/>
            </a:ext>
          </a:extLst>
        </xdr:cNvPr>
        <xdr:cNvSpPr txBox="1">
          <a:spLocks noChangeArrowheads="1"/>
        </xdr:cNvSpPr>
      </xdr:nvSpPr>
      <xdr:spPr bwMode="auto">
        <a:xfrm>
          <a:off x="4814888" y="6205538"/>
          <a:ext cx="80963"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9525</xdr:colOff>
      <xdr:row>41</xdr:row>
      <xdr:rowOff>0</xdr:rowOff>
    </xdr:from>
    <xdr:to>
      <xdr:col>4</xdr:col>
      <xdr:colOff>90488</xdr:colOff>
      <xdr:row>41</xdr:row>
      <xdr:rowOff>180974</xdr:rowOff>
    </xdr:to>
    <xdr:sp macro="" textlink="">
      <xdr:nvSpPr>
        <xdr:cNvPr id="1485" name="Text Box 175">
          <a:extLst>
            <a:ext uri="{FF2B5EF4-FFF2-40B4-BE49-F238E27FC236}">
              <a16:creationId xmlns:a16="http://schemas.microsoft.com/office/drawing/2014/main" id="{00000000-0008-0000-0B00-0000CD050000}"/>
            </a:ext>
          </a:extLst>
        </xdr:cNvPr>
        <xdr:cNvSpPr txBox="1">
          <a:spLocks noChangeArrowheads="1"/>
        </xdr:cNvSpPr>
      </xdr:nvSpPr>
      <xdr:spPr bwMode="auto">
        <a:xfrm>
          <a:off x="4814888" y="6205538"/>
          <a:ext cx="80963"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86" name="Text Box 1">
          <a:extLst>
            <a:ext uri="{FF2B5EF4-FFF2-40B4-BE49-F238E27FC236}">
              <a16:creationId xmlns:a16="http://schemas.microsoft.com/office/drawing/2014/main" id="{00000000-0008-0000-0B00-0000CE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87" name="Text Box 23">
          <a:extLst>
            <a:ext uri="{FF2B5EF4-FFF2-40B4-BE49-F238E27FC236}">
              <a16:creationId xmlns:a16="http://schemas.microsoft.com/office/drawing/2014/main" id="{00000000-0008-0000-0B00-0000CF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88" name="Text Box 24">
          <a:extLst>
            <a:ext uri="{FF2B5EF4-FFF2-40B4-BE49-F238E27FC236}">
              <a16:creationId xmlns:a16="http://schemas.microsoft.com/office/drawing/2014/main" id="{00000000-0008-0000-0B00-0000D0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89" name="Text Box 25">
          <a:extLst>
            <a:ext uri="{FF2B5EF4-FFF2-40B4-BE49-F238E27FC236}">
              <a16:creationId xmlns:a16="http://schemas.microsoft.com/office/drawing/2014/main" id="{00000000-0008-0000-0B00-0000D1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90" name="Text Box 26">
          <a:extLst>
            <a:ext uri="{FF2B5EF4-FFF2-40B4-BE49-F238E27FC236}">
              <a16:creationId xmlns:a16="http://schemas.microsoft.com/office/drawing/2014/main" id="{00000000-0008-0000-0B00-0000D2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91" name="Text Box 27">
          <a:extLst>
            <a:ext uri="{FF2B5EF4-FFF2-40B4-BE49-F238E27FC236}">
              <a16:creationId xmlns:a16="http://schemas.microsoft.com/office/drawing/2014/main" id="{00000000-0008-0000-0B00-0000D3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92" name="Text Box 28">
          <a:extLst>
            <a:ext uri="{FF2B5EF4-FFF2-40B4-BE49-F238E27FC236}">
              <a16:creationId xmlns:a16="http://schemas.microsoft.com/office/drawing/2014/main" id="{00000000-0008-0000-0B00-0000D4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93" name="Text Box 29">
          <a:extLst>
            <a:ext uri="{FF2B5EF4-FFF2-40B4-BE49-F238E27FC236}">
              <a16:creationId xmlns:a16="http://schemas.microsoft.com/office/drawing/2014/main" id="{00000000-0008-0000-0B00-0000D5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94" name="Text Box 30">
          <a:extLst>
            <a:ext uri="{FF2B5EF4-FFF2-40B4-BE49-F238E27FC236}">
              <a16:creationId xmlns:a16="http://schemas.microsoft.com/office/drawing/2014/main" id="{00000000-0008-0000-0B00-0000D6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95" name="Text Box 31">
          <a:extLst>
            <a:ext uri="{FF2B5EF4-FFF2-40B4-BE49-F238E27FC236}">
              <a16:creationId xmlns:a16="http://schemas.microsoft.com/office/drawing/2014/main" id="{00000000-0008-0000-0B00-0000D7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96" name="Text Box 32">
          <a:extLst>
            <a:ext uri="{FF2B5EF4-FFF2-40B4-BE49-F238E27FC236}">
              <a16:creationId xmlns:a16="http://schemas.microsoft.com/office/drawing/2014/main" id="{00000000-0008-0000-0B00-0000D8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97" name="Text Box 33">
          <a:extLst>
            <a:ext uri="{FF2B5EF4-FFF2-40B4-BE49-F238E27FC236}">
              <a16:creationId xmlns:a16="http://schemas.microsoft.com/office/drawing/2014/main" id="{00000000-0008-0000-0B00-0000D9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98" name="Text Box 34">
          <a:extLst>
            <a:ext uri="{FF2B5EF4-FFF2-40B4-BE49-F238E27FC236}">
              <a16:creationId xmlns:a16="http://schemas.microsoft.com/office/drawing/2014/main" id="{00000000-0008-0000-0B00-0000DA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499" name="Text Box 35">
          <a:extLst>
            <a:ext uri="{FF2B5EF4-FFF2-40B4-BE49-F238E27FC236}">
              <a16:creationId xmlns:a16="http://schemas.microsoft.com/office/drawing/2014/main" id="{00000000-0008-0000-0B00-0000DB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00" name="Text Box 36">
          <a:extLst>
            <a:ext uri="{FF2B5EF4-FFF2-40B4-BE49-F238E27FC236}">
              <a16:creationId xmlns:a16="http://schemas.microsoft.com/office/drawing/2014/main" id="{00000000-0008-0000-0B00-0000DC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01" name="Text Box 37">
          <a:extLst>
            <a:ext uri="{FF2B5EF4-FFF2-40B4-BE49-F238E27FC236}">
              <a16:creationId xmlns:a16="http://schemas.microsoft.com/office/drawing/2014/main" id="{00000000-0008-0000-0B00-0000DD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02" name="Text Box 38">
          <a:extLst>
            <a:ext uri="{FF2B5EF4-FFF2-40B4-BE49-F238E27FC236}">
              <a16:creationId xmlns:a16="http://schemas.microsoft.com/office/drawing/2014/main" id="{00000000-0008-0000-0B00-0000DE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03" name="Text Box 39">
          <a:extLst>
            <a:ext uri="{FF2B5EF4-FFF2-40B4-BE49-F238E27FC236}">
              <a16:creationId xmlns:a16="http://schemas.microsoft.com/office/drawing/2014/main" id="{00000000-0008-0000-0B00-0000DF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04" name="Text Box 40">
          <a:extLst>
            <a:ext uri="{FF2B5EF4-FFF2-40B4-BE49-F238E27FC236}">
              <a16:creationId xmlns:a16="http://schemas.microsoft.com/office/drawing/2014/main" id="{00000000-0008-0000-0B00-0000E0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05" name="Text Box 41">
          <a:extLst>
            <a:ext uri="{FF2B5EF4-FFF2-40B4-BE49-F238E27FC236}">
              <a16:creationId xmlns:a16="http://schemas.microsoft.com/office/drawing/2014/main" id="{00000000-0008-0000-0B00-0000E1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06" name="Text Box 42">
          <a:extLst>
            <a:ext uri="{FF2B5EF4-FFF2-40B4-BE49-F238E27FC236}">
              <a16:creationId xmlns:a16="http://schemas.microsoft.com/office/drawing/2014/main" id="{00000000-0008-0000-0B00-0000E2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07" name="Text Box 43">
          <a:extLst>
            <a:ext uri="{FF2B5EF4-FFF2-40B4-BE49-F238E27FC236}">
              <a16:creationId xmlns:a16="http://schemas.microsoft.com/office/drawing/2014/main" id="{00000000-0008-0000-0B00-0000E3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08" name="Text Box 44">
          <a:extLst>
            <a:ext uri="{FF2B5EF4-FFF2-40B4-BE49-F238E27FC236}">
              <a16:creationId xmlns:a16="http://schemas.microsoft.com/office/drawing/2014/main" id="{00000000-0008-0000-0B00-0000E4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09" name="Text Box 45">
          <a:extLst>
            <a:ext uri="{FF2B5EF4-FFF2-40B4-BE49-F238E27FC236}">
              <a16:creationId xmlns:a16="http://schemas.microsoft.com/office/drawing/2014/main" id="{00000000-0008-0000-0B00-0000E5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10" name="Text Box 46">
          <a:extLst>
            <a:ext uri="{FF2B5EF4-FFF2-40B4-BE49-F238E27FC236}">
              <a16:creationId xmlns:a16="http://schemas.microsoft.com/office/drawing/2014/main" id="{00000000-0008-0000-0B00-0000E6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11" name="Text Box 47">
          <a:extLst>
            <a:ext uri="{FF2B5EF4-FFF2-40B4-BE49-F238E27FC236}">
              <a16:creationId xmlns:a16="http://schemas.microsoft.com/office/drawing/2014/main" id="{00000000-0008-0000-0B00-0000E7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12" name="Text Box 48">
          <a:extLst>
            <a:ext uri="{FF2B5EF4-FFF2-40B4-BE49-F238E27FC236}">
              <a16:creationId xmlns:a16="http://schemas.microsoft.com/office/drawing/2014/main" id="{00000000-0008-0000-0B00-0000E8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13" name="Text Box 49">
          <a:extLst>
            <a:ext uri="{FF2B5EF4-FFF2-40B4-BE49-F238E27FC236}">
              <a16:creationId xmlns:a16="http://schemas.microsoft.com/office/drawing/2014/main" id="{00000000-0008-0000-0B00-0000E9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14" name="Text Box 50">
          <a:extLst>
            <a:ext uri="{FF2B5EF4-FFF2-40B4-BE49-F238E27FC236}">
              <a16:creationId xmlns:a16="http://schemas.microsoft.com/office/drawing/2014/main" id="{00000000-0008-0000-0B00-0000EA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15" name="Text Box 51">
          <a:extLst>
            <a:ext uri="{FF2B5EF4-FFF2-40B4-BE49-F238E27FC236}">
              <a16:creationId xmlns:a16="http://schemas.microsoft.com/office/drawing/2014/main" id="{00000000-0008-0000-0B00-0000EB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16" name="Text Box 52">
          <a:extLst>
            <a:ext uri="{FF2B5EF4-FFF2-40B4-BE49-F238E27FC236}">
              <a16:creationId xmlns:a16="http://schemas.microsoft.com/office/drawing/2014/main" id="{00000000-0008-0000-0B00-0000EC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17" name="Text Box 53">
          <a:extLst>
            <a:ext uri="{FF2B5EF4-FFF2-40B4-BE49-F238E27FC236}">
              <a16:creationId xmlns:a16="http://schemas.microsoft.com/office/drawing/2014/main" id="{00000000-0008-0000-0B00-0000ED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18" name="Text Box 54">
          <a:extLst>
            <a:ext uri="{FF2B5EF4-FFF2-40B4-BE49-F238E27FC236}">
              <a16:creationId xmlns:a16="http://schemas.microsoft.com/office/drawing/2014/main" id="{00000000-0008-0000-0B00-0000EE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19" name="Text Box 55">
          <a:extLst>
            <a:ext uri="{FF2B5EF4-FFF2-40B4-BE49-F238E27FC236}">
              <a16:creationId xmlns:a16="http://schemas.microsoft.com/office/drawing/2014/main" id="{00000000-0008-0000-0B00-0000EF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20" name="Text Box 56">
          <a:extLst>
            <a:ext uri="{FF2B5EF4-FFF2-40B4-BE49-F238E27FC236}">
              <a16:creationId xmlns:a16="http://schemas.microsoft.com/office/drawing/2014/main" id="{00000000-0008-0000-0B00-0000F0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21" name="Text Box 57">
          <a:extLst>
            <a:ext uri="{FF2B5EF4-FFF2-40B4-BE49-F238E27FC236}">
              <a16:creationId xmlns:a16="http://schemas.microsoft.com/office/drawing/2014/main" id="{00000000-0008-0000-0B00-0000F1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22" name="Text Box 58">
          <a:extLst>
            <a:ext uri="{FF2B5EF4-FFF2-40B4-BE49-F238E27FC236}">
              <a16:creationId xmlns:a16="http://schemas.microsoft.com/office/drawing/2014/main" id="{00000000-0008-0000-0B00-0000F2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23" name="Text Box 59">
          <a:extLst>
            <a:ext uri="{FF2B5EF4-FFF2-40B4-BE49-F238E27FC236}">
              <a16:creationId xmlns:a16="http://schemas.microsoft.com/office/drawing/2014/main" id="{00000000-0008-0000-0B00-0000F3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24" name="Text Box 60">
          <a:extLst>
            <a:ext uri="{FF2B5EF4-FFF2-40B4-BE49-F238E27FC236}">
              <a16:creationId xmlns:a16="http://schemas.microsoft.com/office/drawing/2014/main" id="{00000000-0008-0000-0B00-0000F4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25" name="Text Box 61">
          <a:extLst>
            <a:ext uri="{FF2B5EF4-FFF2-40B4-BE49-F238E27FC236}">
              <a16:creationId xmlns:a16="http://schemas.microsoft.com/office/drawing/2014/main" id="{00000000-0008-0000-0B00-0000F5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26" name="Text Box 62">
          <a:extLst>
            <a:ext uri="{FF2B5EF4-FFF2-40B4-BE49-F238E27FC236}">
              <a16:creationId xmlns:a16="http://schemas.microsoft.com/office/drawing/2014/main" id="{00000000-0008-0000-0B00-0000F6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27" name="Text Box 63">
          <a:extLst>
            <a:ext uri="{FF2B5EF4-FFF2-40B4-BE49-F238E27FC236}">
              <a16:creationId xmlns:a16="http://schemas.microsoft.com/office/drawing/2014/main" id="{00000000-0008-0000-0B00-0000F7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28" name="Text Box 64">
          <a:extLst>
            <a:ext uri="{FF2B5EF4-FFF2-40B4-BE49-F238E27FC236}">
              <a16:creationId xmlns:a16="http://schemas.microsoft.com/office/drawing/2014/main" id="{00000000-0008-0000-0B00-0000F8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29" name="Text Box 65">
          <a:extLst>
            <a:ext uri="{FF2B5EF4-FFF2-40B4-BE49-F238E27FC236}">
              <a16:creationId xmlns:a16="http://schemas.microsoft.com/office/drawing/2014/main" id="{00000000-0008-0000-0B00-0000F9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30" name="Text Box 66">
          <a:extLst>
            <a:ext uri="{FF2B5EF4-FFF2-40B4-BE49-F238E27FC236}">
              <a16:creationId xmlns:a16="http://schemas.microsoft.com/office/drawing/2014/main" id="{00000000-0008-0000-0B00-0000FA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31" name="Text Box 67">
          <a:extLst>
            <a:ext uri="{FF2B5EF4-FFF2-40B4-BE49-F238E27FC236}">
              <a16:creationId xmlns:a16="http://schemas.microsoft.com/office/drawing/2014/main" id="{00000000-0008-0000-0B00-0000FB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32" name="Text Box 68">
          <a:extLst>
            <a:ext uri="{FF2B5EF4-FFF2-40B4-BE49-F238E27FC236}">
              <a16:creationId xmlns:a16="http://schemas.microsoft.com/office/drawing/2014/main" id="{00000000-0008-0000-0B00-0000FC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33" name="Text Box 69">
          <a:extLst>
            <a:ext uri="{FF2B5EF4-FFF2-40B4-BE49-F238E27FC236}">
              <a16:creationId xmlns:a16="http://schemas.microsoft.com/office/drawing/2014/main" id="{00000000-0008-0000-0B00-0000FD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34" name="Text Box 70">
          <a:extLst>
            <a:ext uri="{FF2B5EF4-FFF2-40B4-BE49-F238E27FC236}">
              <a16:creationId xmlns:a16="http://schemas.microsoft.com/office/drawing/2014/main" id="{00000000-0008-0000-0B00-0000FE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35" name="Text Box 72">
          <a:extLst>
            <a:ext uri="{FF2B5EF4-FFF2-40B4-BE49-F238E27FC236}">
              <a16:creationId xmlns:a16="http://schemas.microsoft.com/office/drawing/2014/main" id="{00000000-0008-0000-0B00-0000FF05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36" name="Text Box 73">
          <a:extLst>
            <a:ext uri="{FF2B5EF4-FFF2-40B4-BE49-F238E27FC236}">
              <a16:creationId xmlns:a16="http://schemas.microsoft.com/office/drawing/2014/main" id="{00000000-0008-0000-0B00-000000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37" name="Text Box 77">
          <a:extLst>
            <a:ext uri="{FF2B5EF4-FFF2-40B4-BE49-F238E27FC236}">
              <a16:creationId xmlns:a16="http://schemas.microsoft.com/office/drawing/2014/main" id="{00000000-0008-0000-0B00-000001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38" name="Text Box 78">
          <a:extLst>
            <a:ext uri="{FF2B5EF4-FFF2-40B4-BE49-F238E27FC236}">
              <a16:creationId xmlns:a16="http://schemas.microsoft.com/office/drawing/2014/main" id="{00000000-0008-0000-0B00-000002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39" name="Text Box 79">
          <a:extLst>
            <a:ext uri="{FF2B5EF4-FFF2-40B4-BE49-F238E27FC236}">
              <a16:creationId xmlns:a16="http://schemas.microsoft.com/office/drawing/2014/main" id="{00000000-0008-0000-0B00-000003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40" name="Text Box 80">
          <a:extLst>
            <a:ext uri="{FF2B5EF4-FFF2-40B4-BE49-F238E27FC236}">
              <a16:creationId xmlns:a16="http://schemas.microsoft.com/office/drawing/2014/main" id="{00000000-0008-0000-0B00-000004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41" name="Text Box 81">
          <a:extLst>
            <a:ext uri="{FF2B5EF4-FFF2-40B4-BE49-F238E27FC236}">
              <a16:creationId xmlns:a16="http://schemas.microsoft.com/office/drawing/2014/main" id="{00000000-0008-0000-0B00-000005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42" name="Text Box 82">
          <a:extLst>
            <a:ext uri="{FF2B5EF4-FFF2-40B4-BE49-F238E27FC236}">
              <a16:creationId xmlns:a16="http://schemas.microsoft.com/office/drawing/2014/main" id="{00000000-0008-0000-0B00-000006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43" name="Text Box 84">
          <a:extLst>
            <a:ext uri="{FF2B5EF4-FFF2-40B4-BE49-F238E27FC236}">
              <a16:creationId xmlns:a16="http://schemas.microsoft.com/office/drawing/2014/main" id="{00000000-0008-0000-0B00-000007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44" name="Text Box 85">
          <a:extLst>
            <a:ext uri="{FF2B5EF4-FFF2-40B4-BE49-F238E27FC236}">
              <a16:creationId xmlns:a16="http://schemas.microsoft.com/office/drawing/2014/main" id="{00000000-0008-0000-0B00-000008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45" name="Text Box 89">
          <a:extLst>
            <a:ext uri="{FF2B5EF4-FFF2-40B4-BE49-F238E27FC236}">
              <a16:creationId xmlns:a16="http://schemas.microsoft.com/office/drawing/2014/main" id="{00000000-0008-0000-0B00-000009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46" name="Text Box 90">
          <a:extLst>
            <a:ext uri="{FF2B5EF4-FFF2-40B4-BE49-F238E27FC236}">
              <a16:creationId xmlns:a16="http://schemas.microsoft.com/office/drawing/2014/main" id="{00000000-0008-0000-0B00-00000A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47" name="Text Box 91">
          <a:extLst>
            <a:ext uri="{FF2B5EF4-FFF2-40B4-BE49-F238E27FC236}">
              <a16:creationId xmlns:a16="http://schemas.microsoft.com/office/drawing/2014/main" id="{00000000-0008-0000-0B00-00000B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48" name="Text Box 92">
          <a:extLst>
            <a:ext uri="{FF2B5EF4-FFF2-40B4-BE49-F238E27FC236}">
              <a16:creationId xmlns:a16="http://schemas.microsoft.com/office/drawing/2014/main" id="{00000000-0008-0000-0B00-00000C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49" name="Text Box 93">
          <a:extLst>
            <a:ext uri="{FF2B5EF4-FFF2-40B4-BE49-F238E27FC236}">
              <a16:creationId xmlns:a16="http://schemas.microsoft.com/office/drawing/2014/main" id="{00000000-0008-0000-0B00-00000D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50" name="Text Box 94">
          <a:extLst>
            <a:ext uri="{FF2B5EF4-FFF2-40B4-BE49-F238E27FC236}">
              <a16:creationId xmlns:a16="http://schemas.microsoft.com/office/drawing/2014/main" id="{00000000-0008-0000-0B00-00000E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51" name="Text Box 95">
          <a:extLst>
            <a:ext uri="{FF2B5EF4-FFF2-40B4-BE49-F238E27FC236}">
              <a16:creationId xmlns:a16="http://schemas.microsoft.com/office/drawing/2014/main" id="{00000000-0008-0000-0B00-00000F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52" name="Text Box 96">
          <a:extLst>
            <a:ext uri="{FF2B5EF4-FFF2-40B4-BE49-F238E27FC236}">
              <a16:creationId xmlns:a16="http://schemas.microsoft.com/office/drawing/2014/main" id="{00000000-0008-0000-0B00-000010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53" name="Text Box 97">
          <a:extLst>
            <a:ext uri="{FF2B5EF4-FFF2-40B4-BE49-F238E27FC236}">
              <a16:creationId xmlns:a16="http://schemas.microsoft.com/office/drawing/2014/main" id="{00000000-0008-0000-0B00-000011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54" name="Text Box 101">
          <a:extLst>
            <a:ext uri="{FF2B5EF4-FFF2-40B4-BE49-F238E27FC236}">
              <a16:creationId xmlns:a16="http://schemas.microsoft.com/office/drawing/2014/main" id="{00000000-0008-0000-0B00-000012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55" name="Text Box 102">
          <a:extLst>
            <a:ext uri="{FF2B5EF4-FFF2-40B4-BE49-F238E27FC236}">
              <a16:creationId xmlns:a16="http://schemas.microsoft.com/office/drawing/2014/main" id="{00000000-0008-0000-0B00-000013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56" name="Text Box 103">
          <a:extLst>
            <a:ext uri="{FF2B5EF4-FFF2-40B4-BE49-F238E27FC236}">
              <a16:creationId xmlns:a16="http://schemas.microsoft.com/office/drawing/2014/main" id="{00000000-0008-0000-0B00-000014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57" name="Text Box 104">
          <a:extLst>
            <a:ext uri="{FF2B5EF4-FFF2-40B4-BE49-F238E27FC236}">
              <a16:creationId xmlns:a16="http://schemas.microsoft.com/office/drawing/2014/main" id="{00000000-0008-0000-0B00-000015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58" name="Text Box 105">
          <a:extLst>
            <a:ext uri="{FF2B5EF4-FFF2-40B4-BE49-F238E27FC236}">
              <a16:creationId xmlns:a16="http://schemas.microsoft.com/office/drawing/2014/main" id="{00000000-0008-0000-0B00-000016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59" name="Text Box 106">
          <a:extLst>
            <a:ext uri="{FF2B5EF4-FFF2-40B4-BE49-F238E27FC236}">
              <a16:creationId xmlns:a16="http://schemas.microsoft.com/office/drawing/2014/main" id="{00000000-0008-0000-0B00-000017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60" name="Text Box 107">
          <a:extLst>
            <a:ext uri="{FF2B5EF4-FFF2-40B4-BE49-F238E27FC236}">
              <a16:creationId xmlns:a16="http://schemas.microsoft.com/office/drawing/2014/main" id="{00000000-0008-0000-0B00-000018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61" name="Text Box 108">
          <a:extLst>
            <a:ext uri="{FF2B5EF4-FFF2-40B4-BE49-F238E27FC236}">
              <a16:creationId xmlns:a16="http://schemas.microsoft.com/office/drawing/2014/main" id="{00000000-0008-0000-0B00-000019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62" name="Text Box 109">
          <a:extLst>
            <a:ext uri="{FF2B5EF4-FFF2-40B4-BE49-F238E27FC236}">
              <a16:creationId xmlns:a16="http://schemas.microsoft.com/office/drawing/2014/main" id="{00000000-0008-0000-0B00-00001A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63" name="Text Box 113">
          <a:extLst>
            <a:ext uri="{FF2B5EF4-FFF2-40B4-BE49-F238E27FC236}">
              <a16:creationId xmlns:a16="http://schemas.microsoft.com/office/drawing/2014/main" id="{00000000-0008-0000-0B00-00001B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64" name="Text Box 114">
          <a:extLst>
            <a:ext uri="{FF2B5EF4-FFF2-40B4-BE49-F238E27FC236}">
              <a16:creationId xmlns:a16="http://schemas.microsoft.com/office/drawing/2014/main" id="{00000000-0008-0000-0B00-00001C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65" name="Text Box 115">
          <a:extLst>
            <a:ext uri="{FF2B5EF4-FFF2-40B4-BE49-F238E27FC236}">
              <a16:creationId xmlns:a16="http://schemas.microsoft.com/office/drawing/2014/main" id="{00000000-0008-0000-0B00-00001D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66" name="Text Box 116">
          <a:extLst>
            <a:ext uri="{FF2B5EF4-FFF2-40B4-BE49-F238E27FC236}">
              <a16:creationId xmlns:a16="http://schemas.microsoft.com/office/drawing/2014/main" id="{00000000-0008-0000-0B00-00001E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67" name="Text Box 117">
          <a:extLst>
            <a:ext uri="{FF2B5EF4-FFF2-40B4-BE49-F238E27FC236}">
              <a16:creationId xmlns:a16="http://schemas.microsoft.com/office/drawing/2014/main" id="{00000000-0008-0000-0B00-00001F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68" name="Text Box 118">
          <a:extLst>
            <a:ext uri="{FF2B5EF4-FFF2-40B4-BE49-F238E27FC236}">
              <a16:creationId xmlns:a16="http://schemas.microsoft.com/office/drawing/2014/main" id="{00000000-0008-0000-0B00-000020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69" name="Text Box 119">
          <a:extLst>
            <a:ext uri="{FF2B5EF4-FFF2-40B4-BE49-F238E27FC236}">
              <a16:creationId xmlns:a16="http://schemas.microsoft.com/office/drawing/2014/main" id="{00000000-0008-0000-0B00-000021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70" name="Text Box 120">
          <a:extLst>
            <a:ext uri="{FF2B5EF4-FFF2-40B4-BE49-F238E27FC236}">
              <a16:creationId xmlns:a16="http://schemas.microsoft.com/office/drawing/2014/main" id="{00000000-0008-0000-0B00-000022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71" name="Text Box 121">
          <a:extLst>
            <a:ext uri="{FF2B5EF4-FFF2-40B4-BE49-F238E27FC236}">
              <a16:creationId xmlns:a16="http://schemas.microsoft.com/office/drawing/2014/main" id="{00000000-0008-0000-0B00-000023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72" name="Text Box 125">
          <a:extLst>
            <a:ext uri="{FF2B5EF4-FFF2-40B4-BE49-F238E27FC236}">
              <a16:creationId xmlns:a16="http://schemas.microsoft.com/office/drawing/2014/main" id="{00000000-0008-0000-0B00-000024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73" name="Text Box 126">
          <a:extLst>
            <a:ext uri="{FF2B5EF4-FFF2-40B4-BE49-F238E27FC236}">
              <a16:creationId xmlns:a16="http://schemas.microsoft.com/office/drawing/2014/main" id="{00000000-0008-0000-0B00-000025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74" name="Text Box 127">
          <a:extLst>
            <a:ext uri="{FF2B5EF4-FFF2-40B4-BE49-F238E27FC236}">
              <a16:creationId xmlns:a16="http://schemas.microsoft.com/office/drawing/2014/main" id="{00000000-0008-0000-0B00-000026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75" name="Text Box 128">
          <a:extLst>
            <a:ext uri="{FF2B5EF4-FFF2-40B4-BE49-F238E27FC236}">
              <a16:creationId xmlns:a16="http://schemas.microsoft.com/office/drawing/2014/main" id="{00000000-0008-0000-0B00-000027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76" name="Text Box 129">
          <a:extLst>
            <a:ext uri="{FF2B5EF4-FFF2-40B4-BE49-F238E27FC236}">
              <a16:creationId xmlns:a16="http://schemas.microsoft.com/office/drawing/2014/main" id="{00000000-0008-0000-0B00-000028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77" name="Text Box 130">
          <a:extLst>
            <a:ext uri="{FF2B5EF4-FFF2-40B4-BE49-F238E27FC236}">
              <a16:creationId xmlns:a16="http://schemas.microsoft.com/office/drawing/2014/main" id="{00000000-0008-0000-0B00-000029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78" name="Text Box 131">
          <a:extLst>
            <a:ext uri="{FF2B5EF4-FFF2-40B4-BE49-F238E27FC236}">
              <a16:creationId xmlns:a16="http://schemas.microsoft.com/office/drawing/2014/main" id="{00000000-0008-0000-0B00-00002A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79" name="Text Box 132">
          <a:extLst>
            <a:ext uri="{FF2B5EF4-FFF2-40B4-BE49-F238E27FC236}">
              <a16:creationId xmlns:a16="http://schemas.microsoft.com/office/drawing/2014/main" id="{00000000-0008-0000-0B00-00002B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80" name="Text Box 133">
          <a:extLst>
            <a:ext uri="{FF2B5EF4-FFF2-40B4-BE49-F238E27FC236}">
              <a16:creationId xmlns:a16="http://schemas.microsoft.com/office/drawing/2014/main" id="{00000000-0008-0000-0B00-00002C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81" name="Text Box 137">
          <a:extLst>
            <a:ext uri="{FF2B5EF4-FFF2-40B4-BE49-F238E27FC236}">
              <a16:creationId xmlns:a16="http://schemas.microsoft.com/office/drawing/2014/main" id="{00000000-0008-0000-0B00-00002D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82" name="Text Box 138">
          <a:extLst>
            <a:ext uri="{FF2B5EF4-FFF2-40B4-BE49-F238E27FC236}">
              <a16:creationId xmlns:a16="http://schemas.microsoft.com/office/drawing/2014/main" id="{00000000-0008-0000-0B00-00002E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83" name="Text Box 139">
          <a:extLst>
            <a:ext uri="{FF2B5EF4-FFF2-40B4-BE49-F238E27FC236}">
              <a16:creationId xmlns:a16="http://schemas.microsoft.com/office/drawing/2014/main" id="{00000000-0008-0000-0B00-00002F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84" name="Text Box 140">
          <a:extLst>
            <a:ext uri="{FF2B5EF4-FFF2-40B4-BE49-F238E27FC236}">
              <a16:creationId xmlns:a16="http://schemas.microsoft.com/office/drawing/2014/main" id="{00000000-0008-0000-0B00-000030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85" name="Text Box 141">
          <a:extLst>
            <a:ext uri="{FF2B5EF4-FFF2-40B4-BE49-F238E27FC236}">
              <a16:creationId xmlns:a16="http://schemas.microsoft.com/office/drawing/2014/main" id="{00000000-0008-0000-0B00-000031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86" name="Text Box 142">
          <a:extLst>
            <a:ext uri="{FF2B5EF4-FFF2-40B4-BE49-F238E27FC236}">
              <a16:creationId xmlns:a16="http://schemas.microsoft.com/office/drawing/2014/main" id="{00000000-0008-0000-0B00-000032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87" name="Text Box 143">
          <a:extLst>
            <a:ext uri="{FF2B5EF4-FFF2-40B4-BE49-F238E27FC236}">
              <a16:creationId xmlns:a16="http://schemas.microsoft.com/office/drawing/2014/main" id="{00000000-0008-0000-0B00-000033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88" name="Text Box 144">
          <a:extLst>
            <a:ext uri="{FF2B5EF4-FFF2-40B4-BE49-F238E27FC236}">
              <a16:creationId xmlns:a16="http://schemas.microsoft.com/office/drawing/2014/main" id="{00000000-0008-0000-0B00-000034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89" name="Text Box 145">
          <a:extLst>
            <a:ext uri="{FF2B5EF4-FFF2-40B4-BE49-F238E27FC236}">
              <a16:creationId xmlns:a16="http://schemas.microsoft.com/office/drawing/2014/main" id="{00000000-0008-0000-0B00-000035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90" name="Text Box 149">
          <a:extLst>
            <a:ext uri="{FF2B5EF4-FFF2-40B4-BE49-F238E27FC236}">
              <a16:creationId xmlns:a16="http://schemas.microsoft.com/office/drawing/2014/main" id="{00000000-0008-0000-0B00-000036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91" name="Text Box 150">
          <a:extLst>
            <a:ext uri="{FF2B5EF4-FFF2-40B4-BE49-F238E27FC236}">
              <a16:creationId xmlns:a16="http://schemas.microsoft.com/office/drawing/2014/main" id="{00000000-0008-0000-0B00-000037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92" name="Text Box 151">
          <a:extLst>
            <a:ext uri="{FF2B5EF4-FFF2-40B4-BE49-F238E27FC236}">
              <a16:creationId xmlns:a16="http://schemas.microsoft.com/office/drawing/2014/main" id="{00000000-0008-0000-0B00-000038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93" name="Text Box 152">
          <a:extLst>
            <a:ext uri="{FF2B5EF4-FFF2-40B4-BE49-F238E27FC236}">
              <a16:creationId xmlns:a16="http://schemas.microsoft.com/office/drawing/2014/main" id="{00000000-0008-0000-0B00-000039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94" name="Text Box 153">
          <a:extLst>
            <a:ext uri="{FF2B5EF4-FFF2-40B4-BE49-F238E27FC236}">
              <a16:creationId xmlns:a16="http://schemas.microsoft.com/office/drawing/2014/main" id="{00000000-0008-0000-0B00-00003A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95" name="Text Box 154">
          <a:extLst>
            <a:ext uri="{FF2B5EF4-FFF2-40B4-BE49-F238E27FC236}">
              <a16:creationId xmlns:a16="http://schemas.microsoft.com/office/drawing/2014/main" id="{00000000-0008-0000-0B00-00003B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96" name="Text Box 155">
          <a:extLst>
            <a:ext uri="{FF2B5EF4-FFF2-40B4-BE49-F238E27FC236}">
              <a16:creationId xmlns:a16="http://schemas.microsoft.com/office/drawing/2014/main" id="{00000000-0008-0000-0B00-00003C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97" name="Text Box 156">
          <a:extLst>
            <a:ext uri="{FF2B5EF4-FFF2-40B4-BE49-F238E27FC236}">
              <a16:creationId xmlns:a16="http://schemas.microsoft.com/office/drawing/2014/main" id="{00000000-0008-0000-0B00-00003D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98" name="Text Box 157">
          <a:extLst>
            <a:ext uri="{FF2B5EF4-FFF2-40B4-BE49-F238E27FC236}">
              <a16:creationId xmlns:a16="http://schemas.microsoft.com/office/drawing/2014/main" id="{00000000-0008-0000-0B00-00003E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599" name="Text Box 161">
          <a:extLst>
            <a:ext uri="{FF2B5EF4-FFF2-40B4-BE49-F238E27FC236}">
              <a16:creationId xmlns:a16="http://schemas.microsoft.com/office/drawing/2014/main" id="{00000000-0008-0000-0B00-00003F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00" name="Text Box 162">
          <a:extLst>
            <a:ext uri="{FF2B5EF4-FFF2-40B4-BE49-F238E27FC236}">
              <a16:creationId xmlns:a16="http://schemas.microsoft.com/office/drawing/2014/main" id="{00000000-0008-0000-0B00-000040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01" name="Text Box 163">
          <a:extLst>
            <a:ext uri="{FF2B5EF4-FFF2-40B4-BE49-F238E27FC236}">
              <a16:creationId xmlns:a16="http://schemas.microsoft.com/office/drawing/2014/main" id="{00000000-0008-0000-0B00-000041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02" name="Text Box 164">
          <a:extLst>
            <a:ext uri="{FF2B5EF4-FFF2-40B4-BE49-F238E27FC236}">
              <a16:creationId xmlns:a16="http://schemas.microsoft.com/office/drawing/2014/main" id="{00000000-0008-0000-0B00-000042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03" name="Text Box 165">
          <a:extLst>
            <a:ext uri="{FF2B5EF4-FFF2-40B4-BE49-F238E27FC236}">
              <a16:creationId xmlns:a16="http://schemas.microsoft.com/office/drawing/2014/main" id="{00000000-0008-0000-0B00-000043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04" name="Text Box 166">
          <a:extLst>
            <a:ext uri="{FF2B5EF4-FFF2-40B4-BE49-F238E27FC236}">
              <a16:creationId xmlns:a16="http://schemas.microsoft.com/office/drawing/2014/main" id="{00000000-0008-0000-0B00-000044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05" name="Text Box 167">
          <a:extLst>
            <a:ext uri="{FF2B5EF4-FFF2-40B4-BE49-F238E27FC236}">
              <a16:creationId xmlns:a16="http://schemas.microsoft.com/office/drawing/2014/main" id="{00000000-0008-0000-0B00-000045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06" name="Text Box 168">
          <a:extLst>
            <a:ext uri="{FF2B5EF4-FFF2-40B4-BE49-F238E27FC236}">
              <a16:creationId xmlns:a16="http://schemas.microsoft.com/office/drawing/2014/main" id="{00000000-0008-0000-0B00-000046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07" name="Text Box 169">
          <a:extLst>
            <a:ext uri="{FF2B5EF4-FFF2-40B4-BE49-F238E27FC236}">
              <a16:creationId xmlns:a16="http://schemas.microsoft.com/office/drawing/2014/main" id="{00000000-0008-0000-0B00-000047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08" name="Text Box 170">
          <a:extLst>
            <a:ext uri="{FF2B5EF4-FFF2-40B4-BE49-F238E27FC236}">
              <a16:creationId xmlns:a16="http://schemas.microsoft.com/office/drawing/2014/main" id="{00000000-0008-0000-0B00-000048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09" name="Text Box 171">
          <a:extLst>
            <a:ext uri="{FF2B5EF4-FFF2-40B4-BE49-F238E27FC236}">
              <a16:creationId xmlns:a16="http://schemas.microsoft.com/office/drawing/2014/main" id="{00000000-0008-0000-0B00-000049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10" name="Text Box 172">
          <a:extLst>
            <a:ext uri="{FF2B5EF4-FFF2-40B4-BE49-F238E27FC236}">
              <a16:creationId xmlns:a16="http://schemas.microsoft.com/office/drawing/2014/main" id="{00000000-0008-0000-0B00-00004A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11" name="Text Box 173">
          <a:extLst>
            <a:ext uri="{FF2B5EF4-FFF2-40B4-BE49-F238E27FC236}">
              <a16:creationId xmlns:a16="http://schemas.microsoft.com/office/drawing/2014/main" id="{00000000-0008-0000-0B00-00004B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12" name="Text Box 174">
          <a:extLst>
            <a:ext uri="{FF2B5EF4-FFF2-40B4-BE49-F238E27FC236}">
              <a16:creationId xmlns:a16="http://schemas.microsoft.com/office/drawing/2014/main" id="{00000000-0008-0000-0B00-00004C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13" name="Text Box 176">
          <a:extLst>
            <a:ext uri="{FF2B5EF4-FFF2-40B4-BE49-F238E27FC236}">
              <a16:creationId xmlns:a16="http://schemas.microsoft.com/office/drawing/2014/main" id="{00000000-0008-0000-0B00-00004D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14" name="Text Box 178">
          <a:extLst>
            <a:ext uri="{FF2B5EF4-FFF2-40B4-BE49-F238E27FC236}">
              <a16:creationId xmlns:a16="http://schemas.microsoft.com/office/drawing/2014/main" id="{00000000-0008-0000-0B00-00004E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15" name="Text Box 179">
          <a:extLst>
            <a:ext uri="{FF2B5EF4-FFF2-40B4-BE49-F238E27FC236}">
              <a16:creationId xmlns:a16="http://schemas.microsoft.com/office/drawing/2014/main" id="{00000000-0008-0000-0B00-00004F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16" name="Text Box 180">
          <a:extLst>
            <a:ext uri="{FF2B5EF4-FFF2-40B4-BE49-F238E27FC236}">
              <a16:creationId xmlns:a16="http://schemas.microsoft.com/office/drawing/2014/main" id="{00000000-0008-0000-0B00-000050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17" name="Text Box 181">
          <a:extLst>
            <a:ext uri="{FF2B5EF4-FFF2-40B4-BE49-F238E27FC236}">
              <a16:creationId xmlns:a16="http://schemas.microsoft.com/office/drawing/2014/main" id="{00000000-0008-0000-0B00-000051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18" name="Text Box 182">
          <a:extLst>
            <a:ext uri="{FF2B5EF4-FFF2-40B4-BE49-F238E27FC236}">
              <a16:creationId xmlns:a16="http://schemas.microsoft.com/office/drawing/2014/main" id="{00000000-0008-0000-0B00-000052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19" name="Text Box 183">
          <a:extLst>
            <a:ext uri="{FF2B5EF4-FFF2-40B4-BE49-F238E27FC236}">
              <a16:creationId xmlns:a16="http://schemas.microsoft.com/office/drawing/2014/main" id="{00000000-0008-0000-0B00-000053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20" name="Text Box 184">
          <a:extLst>
            <a:ext uri="{FF2B5EF4-FFF2-40B4-BE49-F238E27FC236}">
              <a16:creationId xmlns:a16="http://schemas.microsoft.com/office/drawing/2014/main" id="{00000000-0008-0000-0B00-000054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21" name="Text Box 185">
          <a:extLst>
            <a:ext uri="{FF2B5EF4-FFF2-40B4-BE49-F238E27FC236}">
              <a16:creationId xmlns:a16="http://schemas.microsoft.com/office/drawing/2014/main" id="{00000000-0008-0000-0B00-000055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22" name="Text Box 186">
          <a:extLst>
            <a:ext uri="{FF2B5EF4-FFF2-40B4-BE49-F238E27FC236}">
              <a16:creationId xmlns:a16="http://schemas.microsoft.com/office/drawing/2014/main" id="{00000000-0008-0000-0B00-000056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23" name="Text Box 187">
          <a:extLst>
            <a:ext uri="{FF2B5EF4-FFF2-40B4-BE49-F238E27FC236}">
              <a16:creationId xmlns:a16="http://schemas.microsoft.com/office/drawing/2014/main" id="{00000000-0008-0000-0B00-000057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24" name="Text Box 188">
          <a:extLst>
            <a:ext uri="{FF2B5EF4-FFF2-40B4-BE49-F238E27FC236}">
              <a16:creationId xmlns:a16="http://schemas.microsoft.com/office/drawing/2014/main" id="{00000000-0008-0000-0B00-000058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25" name="Text Box 189">
          <a:extLst>
            <a:ext uri="{FF2B5EF4-FFF2-40B4-BE49-F238E27FC236}">
              <a16:creationId xmlns:a16="http://schemas.microsoft.com/office/drawing/2014/main" id="{00000000-0008-0000-0B00-000059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26" name="Text Box 190">
          <a:extLst>
            <a:ext uri="{FF2B5EF4-FFF2-40B4-BE49-F238E27FC236}">
              <a16:creationId xmlns:a16="http://schemas.microsoft.com/office/drawing/2014/main" id="{00000000-0008-0000-0B00-00005A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27" name="Text Box 191">
          <a:extLst>
            <a:ext uri="{FF2B5EF4-FFF2-40B4-BE49-F238E27FC236}">
              <a16:creationId xmlns:a16="http://schemas.microsoft.com/office/drawing/2014/main" id="{00000000-0008-0000-0B00-00005B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28" name="Text Box 192">
          <a:extLst>
            <a:ext uri="{FF2B5EF4-FFF2-40B4-BE49-F238E27FC236}">
              <a16:creationId xmlns:a16="http://schemas.microsoft.com/office/drawing/2014/main" id="{00000000-0008-0000-0B00-00005C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29" name="Text Box 193">
          <a:extLst>
            <a:ext uri="{FF2B5EF4-FFF2-40B4-BE49-F238E27FC236}">
              <a16:creationId xmlns:a16="http://schemas.microsoft.com/office/drawing/2014/main" id="{00000000-0008-0000-0B00-00005D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30" name="Text Box 194">
          <a:extLst>
            <a:ext uri="{FF2B5EF4-FFF2-40B4-BE49-F238E27FC236}">
              <a16:creationId xmlns:a16="http://schemas.microsoft.com/office/drawing/2014/main" id="{00000000-0008-0000-0B00-00005E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31" name="Text Box 195">
          <a:extLst>
            <a:ext uri="{FF2B5EF4-FFF2-40B4-BE49-F238E27FC236}">
              <a16:creationId xmlns:a16="http://schemas.microsoft.com/office/drawing/2014/main" id="{00000000-0008-0000-0B00-00005F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32" name="Text Box 196">
          <a:extLst>
            <a:ext uri="{FF2B5EF4-FFF2-40B4-BE49-F238E27FC236}">
              <a16:creationId xmlns:a16="http://schemas.microsoft.com/office/drawing/2014/main" id="{00000000-0008-0000-0B00-000060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33" name="Text Box 197">
          <a:extLst>
            <a:ext uri="{FF2B5EF4-FFF2-40B4-BE49-F238E27FC236}">
              <a16:creationId xmlns:a16="http://schemas.microsoft.com/office/drawing/2014/main" id="{00000000-0008-0000-0B00-000061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34" name="Text Box 198">
          <a:extLst>
            <a:ext uri="{FF2B5EF4-FFF2-40B4-BE49-F238E27FC236}">
              <a16:creationId xmlns:a16="http://schemas.microsoft.com/office/drawing/2014/main" id="{00000000-0008-0000-0B00-000062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35" name="Text Box 199">
          <a:extLst>
            <a:ext uri="{FF2B5EF4-FFF2-40B4-BE49-F238E27FC236}">
              <a16:creationId xmlns:a16="http://schemas.microsoft.com/office/drawing/2014/main" id="{00000000-0008-0000-0B00-000063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36" name="Text Box 200">
          <a:extLst>
            <a:ext uri="{FF2B5EF4-FFF2-40B4-BE49-F238E27FC236}">
              <a16:creationId xmlns:a16="http://schemas.microsoft.com/office/drawing/2014/main" id="{00000000-0008-0000-0B00-000064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37" name="Text Box 201">
          <a:extLst>
            <a:ext uri="{FF2B5EF4-FFF2-40B4-BE49-F238E27FC236}">
              <a16:creationId xmlns:a16="http://schemas.microsoft.com/office/drawing/2014/main" id="{00000000-0008-0000-0B00-000065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38" name="Text Box 202">
          <a:extLst>
            <a:ext uri="{FF2B5EF4-FFF2-40B4-BE49-F238E27FC236}">
              <a16:creationId xmlns:a16="http://schemas.microsoft.com/office/drawing/2014/main" id="{00000000-0008-0000-0B00-000066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39" name="Text Box 203">
          <a:extLst>
            <a:ext uri="{FF2B5EF4-FFF2-40B4-BE49-F238E27FC236}">
              <a16:creationId xmlns:a16="http://schemas.microsoft.com/office/drawing/2014/main" id="{00000000-0008-0000-0B00-000067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40" name="Text Box 204">
          <a:extLst>
            <a:ext uri="{FF2B5EF4-FFF2-40B4-BE49-F238E27FC236}">
              <a16:creationId xmlns:a16="http://schemas.microsoft.com/office/drawing/2014/main" id="{00000000-0008-0000-0B00-000068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41" name="Text Box 206">
          <a:extLst>
            <a:ext uri="{FF2B5EF4-FFF2-40B4-BE49-F238E27FC236}">
              <a16:creationId xmlns:a16="http://schemas.microsoft.com/office/drawing/2014/main" id="{00000000-0008-0000-0B00-000069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42" name="Text Box 207">
          <a:extLst>
            <a:ext uri="{FF2B5EF4-FFF2-40B4-BE49-F238E27FC236}">
              <a16:creationId xmlns:a16="http://schemas.microsoft.com/office/drawing/2014/main" id="{00000000-0008-0000-0B00-00006A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43" name="Text Box 208">
          <a:extLst>
            <a:ext uri="{FF2B5EF4-FFF2-40B4-BE49-F238E27FC236}">
              <a16:creationId xmlns:a16="http://schemas.microsoft.com/office/drawing/2014/main" id="{00000000-0008-0000-0B00-00006B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44" name="Text Box 209">
          <a:extLst>
            <a:ext uri="{FF2B5EF4-FFF2-40B4-BE49-F238E27FC236}">
              <a16:creationId xmlns:a16="http://schemas.microsoft.com/office/drawing/2014/main" id="{00000000-0008-0000-0B00-00006C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45" name="Text Box 210">
          <a:extLst>
            <a:ext uri="{FF2B5EF4-FFF2-40B4-BE49-F238E27FC236}">
              <a16:creationId xmlns:a16="http://schemas.microsoft.com/office/drawing/2014/main" id="{00000000-0008-0000-0B00-00006D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46" name="Text Box 211">
          <a:extLst>
            <a:ext uri="{FF2B5EF4-FFF2-40B4-BE49-F238E27FC236}">
              <a16:creationId xmlns:a16="http://schemas.microsoft.com/office/drawing/2014/main" id="{00000000-0008-0000-0B00-00006E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47" name="Text Box 212">
          <a:extLst>
            <a:ext uri="{FF2B5EF4-FFF2-40B4-BE49-F238E27FC236}">
              <a16:creationId xmlns:a16="http://schemas.microsoft.com/office/drawing/2014/main" id="{00000000-0008-0000-0B00-00006F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48" name="Text Box 213">
          <a:extLst>
            <a:ext uri="{FF2B5EF4-FFF2-40B4-BE49-F238E27FC236}">
              <a16:creationId xmlns:a16="http://schemas.microsoft.com/office/drawing/2014/main" id="{00000000-0008-0000-0B00-000070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328613</xdr:colOff>
      <xdr:row>41</xdr:row>
      <xdr:rowOff>0</xdr:rowOff>
    </xdr:from>
    <xdr:to>
      <xdr:col>4</xdr:col>
      <xdr:colOff>66168</xdr:colOff>
      <xdr:row>41</xdr:row>
      <xdr:rowOff>180974</xdr:rowOff>
    </xdr:to>
    <xdr:sp macro="" textlink="">
      <xdr:nvSpPr>
        <xdr:cNvPr id="1649" name="Text Box 214">
          <a:extLst>
            <a:ext uri="{FF2B5EF4-FFF2-40B4-BE49-F238E27FC236}">
              <a16:creationId xmlns:a16="http://schemas.microsoft.com/office/drawing/2014/main" id="{00000000-0008-0000-0B00-000071060000}"/>
            </a:ext>
          </a:extLst>
        </xdr:cNvPr>
        <xdr:cNvSpPr txBox="1">
          <a:spLocks noChangeArrowheads="1"/>
        </xdr:cNvSpPr>
      </xdr:nvSpPr>
      <xdr:spPr bwMode="auto">
        <a:xfrm>
          <a:off x="4724401" y="6205538"/>
          <a:ext cx="80962"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347663</xdr:colOff>
      <xdr:row>41</xdr:row>
      <xdr:rowOff>0</xdr:rowOff>
    </xdr:from>
    <xdr:to>
      <xdr:col>4</xdr:col>
      <xdr:colOff>66752</xdr:colOff>
      <xdr:row>41</xdr:row>
      <xdr:rowOff>180974</xdr:rowOff>
    </xdr:to>
    <xdr:sp macro="" textlink="">
      <xdr:nvSpPr>
        <xdr:cNvPr id="1650" name="Text Box 246">
          <a:extLst>
            <a:ext uri="{FF2B5EF4-FFF2-40B4-BE49-F238E27FC236}">
              <a16:creationId xmlns:a16="http://schemas.microsoft.com/office/drawing/2014/main" id="{00000000-0008-0000-0B00-000072060000}"/>
            </a:ext>
          </a:extLst>
        </xdr:cNvPr>
        <xdr:cNvSpPr txBox="1">
          <a:spLocks noChangeArrowheads="1"/>
        </xdr:cNvSpPr>
      </xdr:nvSpPr>
      <xdr:spPr bwMode="auto">
        <a:xfrm>
          <a:off x="4743451" y="6205538"/>
          <a:ext cx="71437" cy="185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2:C33"/>
  <sheetViews>
    <sheetView view="pageBreakPreview" zoomScale="115" zoomScaleNormal="100" zoomScaleSheetLayoutView="115" workbookViewId="0">
      <selection activeCell="B31" sqref="B31"/>
    </sheetView>
  </sheetViews>
  <sheetFormatPr defaultColWidth="8.6640625" defaultRowHeight="11.25" x14ac:dyDescent="0.2"/>
  <cols>
    <col min="1" max="1" width="16.83203125" style="159" customWidth="1"/>
    <col min="2" max="2" width="43.33203125" style="159" customWidth="1"/>
    <col min="3" max="3" width="22.33203125" style="159" customWidth="1"/>
    <col min="4" max="210" width="9.1640625" style="159" customWidth="1"/>
    <col min="211" max="211" width="1.33203125" style="159" customWidth="1"/>
    <col min="212" max="212" width="2.1640625" style="159" customWidth="1"/>
    <col min="213" max="213" width="16.83203125" style="159" customWidth="1"/>
    <col min="214" max="214" width="43.33203125" style="159" customWidth="1"/>
    <col min="215" max="215" width="22.33203125" style="159" customWidth="1"/>
    <col min="216" max="216" width="9.1640625" style="159" customWidth="1"/>
    <col min="217" max="217" width="13.83203125" style="159" customWidth="1"/>
    <col min="218" max="466" width="9.1640625" style="159" customWidth="1"/>
    <col min="467" max="467" width="1.33203125" style="159" customWidth="1"/>
    <col min="468" max="468" width="2.1640625" style="159" customWidth="1"/>
    <col min="469" max="469" width="16.83203125" style="159" customWidth="1"/>
    <col min="470" max="470" width="43.33203125" style="159" customWidth="1"/>
    <col min="471" max="471" width="22.33203125" style="159" customWidth="1"/>
    <col min="472" max="472" width="9.1640625" style="159" customWidth="1"/>
    <col min="473" max="473" width="13.83203125" style="159" customWidth="1"/>
    <col min="474" max="722" width="9.1640625" style="159" customWidth="1"/>
    <col min="723" max="723" width="1.33203125" style="159" customWidth="1"/>
    <col min="724" max="724" width="2.1640625" style="159" customWidth="1"/>
    <col min="725" max="725" width="16.83203125" style="159" customWidth="1"/>
    <col min="726" max="726" width="43.33203125" style="159" customWidth="1"/>
    <col min="727" max="727" width="22.33203125" style="159" customWidth="1"/>
    <col min="728" max="728" width="9.1640625" style="159" customWidth="1"/>
    <col min="729" max="729" width="13.83203125" style="159" customWidth="1"/>
    <col min="730" max="978" width="9.1640625" style="159" customWidth="1"/>
    <col min="979" max="979" width="1.33203125" style="159" customWidth="1"/>
    <col min="980" max="980" width="2.1640625" style="159" customWidth="1"/>
    <col min="981" max="981" width="16.83203125" style="159" customWidth="1"/>
    <col min="982" max="982" width="43.33203125" style="159" customWidth="1"/>
    <col min="983" max="983" width="22.33203125" style="159" customWidth="1"/>
    <col min="984" max="984" width="9.1640625" style="159" customWidth="1"/>
    <col min="985" max="985" width="13.83203125" style="159" customWidth="1"/>
    <col min="986" max="1025" width="9.1640625" style="159" customWidth="1"/>
    <col min="1026" max="16384" width="8.6640625" style="159"/>
  </cols>
  <sheetData>
    <row r="2" spans="1:3" x14ac:dyDescent="0.2">
      <c r="C2" s="521" t="s">
        <v>0</v>
      </c>
    </row>
    <row r="3" spans="1:3" x14ac:dyDescent="0.2">
      <c r="A3" s="521"/>
      <c r="B3" s="548"/>
      <c r="C3" s="548"/>
    </row>
    <row r="4" spans="1:3" x14ac:dyDescent="0.2">
      <c r="B4" s="586" t="s">
        <v>1</v>
      </c>
      <c r="C4" s="586"/>
    </row>
    <row r="5" spans="1:3" x14ac:dyDescent="0.2">
      <c r="A5" s="521"/>
      <c r="B5" s="521"/>
      <c r="C5" s="521"/>
    </row>
    <row r="6" spans="1:3" x14ac:dyDescent="0.2">
      <c r="C6" s="164" t="s">
        <v>2</v>
      </c>
    </row>
    <row r="8" spans="1:3" x14ac:dyDescent="0.2">
      <c r="B8" s="587" t="s">
        <v>522</v>
      </c>
      <c r="C8" s="587"/>
    </row>
    <row r="11" spans="1:3" x14ac:dyDescent="0.2">
      <c r="B11" s="521" t="s">
        <v>3</v>
      </c>
    </row>
    <row r="12" spans="1:3" x14ac:dyDescent="0.2">
      <c r="B12" s="438" t="s">
        <v>4</v>
      </c>
    </row>
    <row r="13" spans="1:3" x14ac:dyDescent="0.2">
      <c r="A13" s="164" t="s">
        <v>5</v>
      </c>
      <c r="B13" s="549" t="s">
        <v>54</v>
      </c>
      <c r="C13" s="549"/>
    </row>
    <row r="14" spans="1:3" x14ac:dyDescent="0.2">
      <c r="A14" s="164" t="s">
        <v>6</v>
      </c>
      <c r="B14" s="549" t="s">
        <v>55</v>
      </c>
      <c r="C14" s="549"/>
    </row>
    <row r="15" spans="1:3" x14ac:dyDescent="0.2">
      <c r="A15" s="164" t="s">
        <v>7</v>
      </c>
      <c r="B15" s="550" t="s">
        <v>298</v>
      </c>
      <c r="C15" s="551"/>
    </row>
    <row r="16" spans="1:3" x14ac:dyDescent="0.2">
      <c r="A16" s="164" t="s">
        <v>8</v>
      </c>
      <c r="B16" s="552" t="s">
        <v>299</v>
      </c>
      <c r="C16" s="553"/>
    </row>
    <row r="17" spans="1:3" ht="12" thickBot="1" x14ac:dyDescent="0.25"/>
    <row r="18" spans="1:3" x14ac:dyDescent="0.2">
      <c r="A18" s="554" t="s">
        <v>9</v>
      </c>
      <c r="B18" s="555" t="s">
        <v>10</v>
      </c>
      <c r="C18" s="556" t="s">
        <v>11</v>
      </c>
    </row>
    <row r="19" spans="1:3" ht="33.75" x14ac:dyDescent="0.2">
      <c r="A19" s="557">
        <v>1</v>
      </c>
      <c r="B19" s="558" t="s">
        <v>604</v>
      </c>
      <c r="C19" s="559">
        <f>'Kops a'!E31</f>
        <v>0</v>
      </c>
    </row>
    <row r="20" spans="1:3" ht="12" thickBot="1" x14ac:dyDescent="0.25">
      <c r="A20" s="560"/>
      <c r="B20" s="561" t="s">
        <v>12</v>
      </c>
      <c r="C20" s="562">
        <f>SUM(C19:C19)</f>
        <v>0</v>
      </c>
    </row>
    <row r="21" spans="1:3" ht="12" thickBot="1" x14ac:dyDescent="0.25">
      <c r="B21" s="563"/>
      <c r="C21" s="564"/>
    </row>
    <row r="22" spans="1:3" x14ac:dyDescent="0.2">
      <c r="A22" s="588" t="s">
        <v>13</v>
      </c>
      <c r="B22" s="588"/>
      <c r="C22" s="565">
        <f>ROUND(C20*21%,2)</f>
        <v>0</v>
      </c>
    </row>
    <row r="25" spans="1:3" x14ac:dyDescent="0.2">
      <c r="A25" s="159" t="s">
        <v>14</v>
      </c>
      <c r="B25" s="589"/>
      <c r="C25" s="589"/>
    </row>
    <row r="26" spans="1:3" x14ac:dyDescent="0.2">
      <c r="B26" s="590" t="s">
        <v>15</v>
      </c>
      <c r="C26" s="590"/>
    </row>
    <row r="28" spans="1:3" x14ac:dyDescent="0.2">
      <c r="A28" s="159" t="s">
        <v>16</v>
      </c>
      <c r="B28" s="202"/>
      <c r="C28" s="202"/>
    </row>
    <row r="29" spans="1:3" x14ac:dyDescent="0.2">
      <c r="A29" s="202"/>
      <c r="B29" s="202"/>
      <c r="C29" s="202"/>
    </row>
    <row r="30" spans="1:3" x14ac:dyDescent="0.2">
      <c r="A30" s="159" t="s">
        <v>603</v>
      </c>
    </row>
    <row r="32" spans="1:3" x14ac:dyDescent="0.2">
      <c r="A32" s="687" t="s">
        <v>685</v>
      </c>
    </row>
    <row r="33" spans="1:1" x14ac:dyDescent="0.2">
      <c r="A33" s="687" t="s">
        <v>686</v>
      </c>
    </row>
  </sheetData>
  <mergeCells count="5">
    <mergeCell ref="B4:C4"/>
    <mergeCell ref="B8:C8"/>
    <mergeCell ref="A22:B22"/>
    <mergeCell ref="B25:C25"/>
    <mergeCell ref="B26:C26"/>
  </mergeCells>
  <conditionalFormatting sqref="C19:C20 C22">
    <cfRule type="cellIs" dxfId="189" priority="8" operator="equal">
      <formula>0</formula>
    </cfRule>
  </conditionalFormatting>
  <conditionalFormatting sqref="B13:B14">
    <cfRule type="cellIs" dxfId="188" priority="6" operator="equal">
      <formula>0</formula>
    </cfRule>
  </conditionalFormatting>
  <conditionalFormatting sqref="A19">
    <cfRule type="cellIs" dxfId="187" priority="13" operator="equal">
      <formula>0</formula>
    </cfRule>
  </conditionalFormatting>
  <conditionalFormatting sqref="A30">
    <cfRule type="containsText" dxfId="186" priority="14" operator="containsText" text="Tāme sastādīta 20__. gada __. _________"/>
  </conditionalFormatting>
  <conditionalFormatting sqref="B25:C25">
    <cfRule type="cellIs" dxfId="185" priority="5" operator="equal">
      <formula>0</formula>
    </cfRule>
  </conditionalFormatting>
  <conditionalFormatting sqref="B28">
    <cfRule type="cellIs" dxfId="184" priority="4" operator="equal">
      <formula>0</formula>
    </cfRule>
  </conditionalFormatting>
  <conditionalFormatting sqref="B15">
    <cfRule type="cellIs" dxfId="183" priority="3" operator="equal">
      <formula>0</formula>
    </cfRule>
  </conditionalFormatting>
  <conditionalFormatting sqref="B16">
    <cfRule type="cellIs" dxfId="182" priority="2" operator="equal">
      <formula>0</formula>
    </cfRule>
  </conditionalFormatting>
  <conditionalFormatting sqref="B19">
    <cfRule type="cellIs" dxfId="181" priority="1" operator="equal">
      <formula>0</formula>
    </cfRule>
  </conditionalFormatting>
  <pageMargins left="0.19685039370078741" right="0.19685039370078741" top="0.75196850393700787" bottom="0.39370078740157483" header="0.51181102362204722" footer="0.51181102362204722"/>
  <pageSetup paperSize="9" scale="98" firstPageNumber="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P49"/>
  <sheetViews>
    <sheetView view="pageBreakPreview" topLeftCell="A19" zoomScale="115" zoomScaleNormal="100" zoomScaleSheetLayoutView="115" workbookViewId="0">
      <selection activeCell="P34" sqref="P34"/>
    </sheetView>
  </sheetViews>
  <sheetFormatPr defaultColWidth="8.6640625" defaultRowHeight="11.25" x14ac:dyDescent="0.2"/>
  <cols>
    <col min="1" max="1" width="4.5" style="159" customWidth="1"/>
    <col min="2" max="2" width="5.33203125" style="159" customWidth="1"/>
    <col min="3" max="3" width="38.33203125" style="159" customWidth="1"/>
    <col min="4" max="4" width="5.83203125" style="159" customWidth="1"/>
    <col min="5" max="5" width="10" style="159" customWidth="1"/>
    <col min="6" max="6" width="5.33203125" style="159" customWidth="1"/>
    <col min="7" max="7" width="7.6640625" style="159" customWidth="1"/>
    <col min="8" max="10" width="6.6640625" style="159" customWidth="1"/>
    <col min="11" max="11" width="6.83203125" style="159" customWidth="1"/>
    <col min="12" max="15" width="7.6640625" style="159" customWidth="1"/>
    <col min="16" max="16" width="8.83203125" style="159" customWidth="1"/>
    <col min="17" max="1012" width="9.1640625" style="159" customWidth="1"/>
    <col min="1013" max="16384" width="8.6640625" style="159"/>
  </cols>
  <sheetData>
    <row r="1" spans="1:16" x14ac:dyDescent="0.2">
      <c r="A1" s="156"/>
      <c r="B1" s="156"/>
      <c r="C1" s="157" t="s">
        <v>39</v>
      </c>
      <c r="D1" s="158">
        <f>'Kops a'!A21</f>
        <v>7</v>
      </c>
      <c r="E1" s="156"/>
      <c r="F1" s="156"/>
      <c r="G1" s="156"/>
      <c r="H1" s="156"/>
      <c r="I1" s="156"/>
      <c r="J1" s="156"/>
      <c r="N1" s="160"/>
      <c r="O1" s="157"/>
      <c r="P1" s="161"/>
    </row>
    <row r="2" spans="1:16" x14ac:dyDescent="0.2">
      <c r="A2" s="162"/>
      <c r="B2" s="162"/>
      <c r="C2" s="630" t="s">
        <v>422</v>
      </c>
      <c r="D2" s="630"/>
      <c r="E2" s="630"/>
      <c r="F2" s="630"/>
      <c r="G2" s="630"/>
      <c r="H2" s="630"/>
      <c r="I2" s="630"/>
      <c r="J2" s="162"/>
    </row>
    <row r="3" spans="1:16" x14ac:dyDescent="0.2">
      <c r="A3" s="163"/>
      <c r="B3" s="163"/>
      <c r="C3" s="604" t="s">
        <v>18</v>
      </c>
      <c r="D3" s="604"/>
      <c r="E3" s="604"/>
      <c r="F3" s="604"/>
      <c r="G3" s="604"/>
      <c r="H3" s="604"/>
      <c r="I3" s="604"/>
      <c r="J3" s="163"/>
    </row>
    <row r="4" spans="1:16" x14ac:dyDescent="0.2">
      <c r="A4" s="163"/>
      <c r="B4" s="163"/>
      <c r="C4" s="631" t="s">
        <v>4</v>
      </c>
      <c r="D4" s="631"/>
      <c r="E4" s="631"/>
      <c r="F4" s="631"/>
      <c r="G4" s="631"/>
      <c r="H4" s="631"/>
      <c r="I4" s="631"/>
      <c r="J4" s="163"/>
    </row>
    <row r="5" spans="1:16" x14ac:dyDescent="0.2">
      <c r="A5" s="156"/>
      <c r="B5" s="156"/>
      <c r="C5" s="157" t="s">
        <v>5</v>
      </c>
      <c r="D5" s="626" t="str">
        <f>'Kops a'!D6</f>
        <v>Daudzīvokļu dzīvojamā māja</v>
      </c>
      <c r="E5" s="626"/>
      <c r="F5" s="626"/>
      <c r="G5" s="626"/>
      <c r="H5" s="626"/>
      <c r="I5" s="626"/>
      <c r="J5" s="626"/>
      <c r="K5" s="626"/>
      <c r="L5" s="626"/>
      <c r="M5" s="202"/>
      <c r="N5" s="202"/>
      <c r="O5" s="202"/>
      <c r="P5" s="202"/>
    </row>
    <row r="6" spans="1:16" x14ac:dyDescent="0.2">
      <c r="A6" s="156"/>
      <c r="B6" s="156"/>
      <c r="C6" s="157" t="s">
        <v>6</v>
      </c>
      <c r="D6" s="626" t="str">
        <f>'Kops a'!D7</f>
        <v>fasādes vienkāršotā atjaunošana</v>
      </c>
      <c r="E6" s="626"/>
      <c r="F6" s="626"/>
      <c r="G6" s="626"/>
      <c r="H6" s="626"/>
      <c r="I6" s="626"/>
      <c r="J6" s="626"/>
      <c r="K6" s="626"/>
      <c r="L6" s="626"/>
      <c r="M6" s="202"/>
      <c r="N6" s="202"/>
      <c r="O6" s="202"/>
      <c r="P6" s="202"/>
    </row>
    <row r="7" spans="1:16" x14ac:dyDescent="0.2">
      <c r="A7" s="156"/>
      <c r="B7" s="156"/>
      <c r="C7" s="157" t="s">
        <v>7</v>
      </c>
      <c r="D7" s="626" t="str">
        <f>'Kops a'!D8</f>
        <v>Lēņu iela 2, Liepājā</v>
      </c>
      <c r="E7" s="626"/>
      <c r="F7" s="626"/>
      <c r="G7" s="626"/>
      <c r="H7" s="626"/>
      <c r="I7" s="626"/>
      <c r="J7" s="626"/>
      <c r="K7" s="626"/>
      <c r="L7" s="626"/>
      <c r="M7" s="202"/>
      <c r="N7" s="202"/>
      <c r="O7" s="202"/>
      <c r="P7" s="202"/>
    </row>
    <row r="8" spans="1:16" x14ac:dyDescent="0.2">
      <c r="A8" s="156"/>
      <c r="B8" s="156"/>
      <c r="C8" s="164" t="s">
        <v>21</v>
      </c>
      <c r="D8" s="626" t="str">
        <f>'Kops a'!D9</f>
        <v>WS-90-17 Līg.Nr. 2017/3-62/479</v>
      </c>
      <c r="E8" s="626"/>
      <c r="F8" s="626"/>
      <c r="G8" s="626"/>
      <c r="H8" s="626"/>
      <c r="I8" s="626"/>
      <c r="J8" s="626"/>
      <c r="K8" s="626"/>
      <c r="L8" s="626"/>
      <c r="M8" s="202"/>
      <c r="N8" s="202"/>
      <c r="O8" s="202"/>
      <c r="P8" s="202"/>
    </row>
    <row r="9" spans="1:16" x14ac:dyDescent="0.2">
      <c r="A9" s="627" t="s">
        <v>607</v>
      </c>
      <c r="B9" s="627"/>
      <c r="C9" s="627"/>
      <c r="D9" s="627"/>
      <c r="E9" s="627"/>
      <c r="F9" s="627"/>
      <c r="G9" s="165"/>
      <c r="H9" s="165"/>
      <c r="I9" s="165"/>
      <c r="J9" s="628" t="s">
        <v>40</v>
      </c>
      <c r="K9" s="628"/>
      <c r="L9" s="628"/>
      <c r="M9" s="628"/>
      <c r="N9" s="629">
        <f>P34</f>
        <v>0</v>
      </c>
      <c r="O9" s="629"/>
      <c r="P9" s="165"/>
    </row>
    <row r="10" spans="1:16" x14ac:dyDescent="0.2">
      <c r="A10" s="166"/>
      <c r="B10" s="167"/>
      <c r="C10" s="164"/>
      <c r="D10" s="156"/>
      <c r="E10" s="156"/>
      <c r="F10" s="156"/>
      <c r="G10" s="156"/>
      <c r="H10" s="156"/>
      <c r="I10" s="156"/>
      <c r="J10" s="156"/>
      <c r="K10" s="156"/>
      <c r="L10" s="162"/>
      <c r="M10" s="162"/>
      <c r="O10" s="168"/>
      <c r="P10" s="169" t="str">
        <f>A40</f>
        <v>Tāme sastādīta 2021. gada</v>
      </c>
    </row>
    <row r="11" spans="1:16" ht="12" thickBot="1" x14ac:dyDescent="0.25">
      <c r="A11" s="166"/>
      <c r="B11" s="167"/>
      <c r="C11" s="164"/>
      <c r="D11" s="156"/>
      <c r="E11" s="156"/>
      <c r="F11" s="156"/>
      <c r="G11" s="156"/>
      <c r="H11" s="156"/>
      <c r="I11" s="156"/>
      <c r="J11" s="156"/>
      <c r="K11" s="156"/>
      <c r="L11" s="170"/>
      <c r="M11" s="170"/>
      <c r="N11" s="171"/>
      <c r="O11" s="160"/>
      <c r="P11" s="156"/>
    </row>
    <row r="12" spans="1:16" ht="12" thickBot="1" x14ac:dyDescent="0.25">
      <c r="A12" s="621" t="s">
        <v>24</v>
      </c>
      <c r="B12" s="622" t="s">
        <v>41</v>
      </c>
      <c r="C12" s="623" t="s">
        <v>42</v>
      </c>
      <c r="D12" s="624" t="s">
        <v>43</v>
      </c>
      <c r="E12" s="625" t="s">
        <v>44</v>
      </c>
      <c r="F12" s="618" t="s">
        <v>45</v>
      </c>
      <c r="G12" s="618"/>
      <c r="H12" s="618"/>
      <c r="I12" s="618"/>
      <c r="J12" s="618"/>
      <c r="K12" s="618"/>
      <c r="L12" s="618" t="s">
        <v>46</v>
      </c>
      <c r="M12" s="618"/>
      <c r="N12" s="618"/>
      <c r="O12" s="618"/>
      <c r="P12" s="618"/>
    </row>
    <row r="13" spans="1:16" ht="69.75" thickBot="1" x14ac:dyDescent="0.25">
      <c r="A13" s="621"/>
      <c r="B13" s="622"/>
      <c r="C13" s="623"/>
      <c r="D13" s="624"/>
      <c r="E13" s="625"/>
      <c r="F13" s="206" t="s">
        <v>47</v>
      </c>
      <c r="G13" s="207" t="s">
        <v>48</v>
      </c>
      <c r="H13" s="207" t="s">
        <v>49</v>
      </c>
      <c r="I13" s="207" t="s">
        <v>50</v>
      </c>
      <c r="J13" s="207" t="s">
        <v>51</v>
      </c>
      <c r="K13" s="208" t="s">
        <v>52</v>
      </c>
      <c r="L13" s="206" t="s">
        <v>47</v>
      </c>
      <c r="M13" s="207" t="s">
        <v>49</v>
      </c>
      <c r="N13" s="207" t="s">
        <v>50</v>
      </c>
      <c r="O13" s="207" t="s">
        <v>51</v>
      </c>
      <c r="P13" s="208" t="s">
        <v>52</v>
      </c>
    </row>
    <row r="14" spans="1:16" ht="22.5" x14ac:dyDescent="0.2">
      <c r="A14" s="179">
        <f>IF(COUNTBLANK(B14)=1," ",COUNTA(B$14:B14))</f>
        <v>1</v>
      </c>
      <c r="B14" s="180" t="s">
        <v>86</v>
      </c>
      <c r="C14" s="73" t="s">
        <v>438</v>
      </c>
      <c r="D14" s="300" t="s">
        <v>56</v>
      </c>
      <c r="E14" s="301">
        <v>380</v>
      </c>
      <c r="F14" s="576"/>
      <c r="G14" s="577"/>
      <c r="H14" s="577">
        <f>ROUND(F14*G14,2)</f>
        <v>0</v>
      </c>
      <c r="I14" s="577"/>
      <c r="J14" s="577"/>
      <c r="K14" s="578">
        <f>SUM(H14:J14)</f>
        <v>0</v>
      </c>
      <c r="L14" s="576">
        <f>ROUND(E14*F14,2)</f>
        <v>0</v>
      </c>
      <c r="M14" s="577">
        <f>ROUND(H14*E14,2)</f>
        <v>0</v>
      </c>
      <c r="N14" s="577">
        <f>ROUND(I14*E14,2)</f>
        <v>0</v>
      </c>
      <c r="O14" s="577">
        <f>ROUND(J14*E14,2)</f>
        <v>0</v>
      </c>
      <c r="P14" s="578">
        <f>SUM(M14:O14)</f>
        <v>0</v>
      </c>
    </row>
    <row r="15" spans="1:16" ht="21.75" thickBot="1" x14ac:dyDescent="0.25">
      <c r="A15" s="179" t="str">
        <f>IF(COUNTBLANK(B15)=1," ",COUNTA(B$14:B15))</f>
        <v xml:space="preserve"> </v>
      </c>
      <c r="B15" s="180"/>
      <c r="C15" s="86" t="s">
        <v>423</v>
      </c>
      <c r="D15" s="300"/>
      <c r="E15" s="302"/>
      <c r="F15" s="576"/>
      <c r="G15" s="577"/>
      <c r="H15" s="572">
        <f t="shared" ref="H15:H16" si="0">ROUND(F15*G15,2)</f>
        <v>0</v>
      </c>
      <c r="I15" s="577"/>
      <c r="J15" s="577"/>
      <c r="K15" s="573">
        <f t="shared" ref="K15:K16" si="1">SUM(H15:J15)</f>
        <v>0</v>
      </c>
      <c r="L15" s="574">
        <f t="shared" ref="L15:L16" si="2">ROUND(E15*F15,2)</f>
        <v>0</v>
      </c>
      <c r="M15" s="572">
        <f t="shared" ref="M15:M16" si="3">ROUND(H15*E15,2)</f>
        <v>0</v>
      </c>
      <c r="N15" s="572">
        <f t="shared" ref="N15:N16" si="4">ROUND(I15*E15,2)</f>
        <v>0</v>
      </c>
      <c r="O15" s="572">
        <f t="shared" ref="O15:O16" si="5">ROUND(J15*E15,2)</f>
        <v>0</v>
      </c>
      <c r="P15" s="573">
        <f t="shared" ref="P15:P16" si="6">SUM(M15:O15)</f>
        <v>0</v>
      </c>
    </row>
    <row r="16" spans="1:16" ht="22.5" x14ac:dyDescent="0.2">
      <c r="A16" s="179">
        <f>IF(COUNTBLANK(B16)=1," ",COUNTA(B$14:B16))</f>
        <v>2</v>
      </c>
      <c r="B16" s="180" t="s">
        <v>86</v>
      </c>
      <c r="C16" s="73" t="s">
        <v>424</v>
      </c>
      <c r="D16" s="300" t="s">
        <v>82</v>
      </c>
      <c r="E16" s="302">
        <v>252</v>
      </c>
      <c r="F16" s="576"/>
      <c r="G16" s="577"/>
      <c r="H16" s="577">
        <f t="shared" si="0"/>
        <v>0</v>
      </c>
      <c r="I16" s="577"/>
      <c r="J16" s="577"/>
      <c r="K16" s="578">
        <f t="shared" si="1"/>
        <v>0</v>
      </c>
      <c r="L16" s="576">
        <f t="shared" si="2"/>
        <v>0</v>
      </c>
      <c r="M16" s="577">
        <f t="shared" si="3"/>
        <v>0</v>
      </c>
      <c r="N16" s="577">
        <f t="shared" si="4"/>
        <v>0</v>
      </c>
      <c r="O16" s="577">
        <f t="shared" si="5"/>
        <v>0</v>
      </c>
      <c r="P16" s="578">
        <f t="shared" si="6"/>
        <v>0</v>
      </c>
    </row>
    <row r="17" spans="1:16" x14ac:dyDescent="0.2">
      <c r="A17" s="179">
        <f>IF(COUNTBLANK(B17)=1," ",COUNTA(B$14:B17))</f>
        <v>3</v>
      </c>
      <c r="B17" s="180" t="s">
        <v>86</v>
      </c>
      <c r="C17" s="303" t="s">
        <v>425</v>
      </c>
      <c r="D17" s="300" t="s">
        <v>90</v>
      </c>
      <c r="E17" s="74">
        <f>E16*1.57</f>
        <v>395.64000000000004</v>
      </c>
      <c r="F17" s="576"/>
      <c r="G17" s="577"/>
      <c r="H17" s="572">
        <f t="shared" ref="H17:H33" si="7">ROUND(F17*G17,2)</f>
        <v>0</v>
      </c>
      <c r="I17" s="577"/>
      <c r="J17" s="577"/>
      <c r="K17" s="573">
        <f t="shared" ref="K17:K33" si="8">SUM(H17:J17)</f>
        <v>0</v>
      </c>
      <c r="L17" s="574">
        <f t="shared" ref="L17:L33" si="9">ROUND(E17*F17,2)</f>
        <v>0</v>
      </c>
      <c r="M17" s="572">
        <f t="shared" ref="M17:M33" si="10">ROUND(H17*E17,2)</f>
        <v>0</v>
      </c>
      <c r="N17" s="572">
        <f t="shared" ref="N17:N33" si="11">ROUND(I17*E17,2)</f>
        <v>0</v>
      </c>
      <c r="O17" s="572">
        <f t="shared" ref="O17:O33" si="12">ROUND(J17*E17,2)</f>
        <v>0</v>
      </c>
      <c r="P17" s="573">
        <f t="shared" ref="P17:P33" si="13">SUM(M17:O17)</f>
        <v>0</v>
      </c>
    </row>
    <row r="18" spans="1:16" x14ac:dyDescent="0.2">
      <c r="A18" s="179">
        <f>IF(COUNTBLANK(B18)=1," ",COUNTA(B$14:B18))</f>
        <v>4</v>
      </c>
      <c r="B18" s="180" t="s">
        <v>86</v>
      </c>
      <c r="C18" s="73" t="s">
        <v>426</v>
      </c>
      <c r="D18" s="304" t="s">
        <v>82</v>
      </c>
      <c r="E18" s="74">
        <f>E16*2</f>
        <v>504</v>
      </c>
      <c r="F18" s="576"/>
      <c r="G18" s="577"/>
      <c r="H18" s="577">
        <f t="shared" si="7"/>
        <v>0</v>
      </c>
      <c r="I18" s="577"/>
      <c r="J18" s="577"/>
      <c r="K18" s="578">
        <f t="shared" si="8"/>
        <v>0</v>
      </c>
      <c r="L18" s="576">
        <f t="shared" si="9"/>
        <v>0</v>
      </c>
      <c r="M18" s="577">
        <f t="shared" si="10"/>
        <v>0</v>
      </c>
      <c r="N18" s="577">
        <f t="shared" si="11"/>
        <v>0</v>
      </c>
      <c r="O18" s="577">
        <f t="shared" si="12"/>
        <v>0</v>
      </c>
      <c r="P18" s="578">
        <f t="shared" si="13"/>
        <v>0</v>
      </c>
    </row>
    <row r="19" spans="1:16" ht="22.5" x14ac:dyDescent="0.2">
      <c r="A19" s="179">
        <f>IF(COUNTBLANK(B19)=1," ",COUNTA(B$14:B19))</f>
        <v>5</v>
      </c>
      <c r="B19" s="305" t="s">
        <v>86</v>
      </c>
      <c r="C19" s="73" t="s">
        <v>427</v>
      </c>
      <c r="D19" s="87" t="s">
        <v>88</v>
      </c>
      <c r="E19" s="74">
        <v>376.6</v>
      </c>
      <c r="F19" s="576"/>
      <c r="G19" s="577"/>
      <c r="H19" s="572">
        <f t="shared" si="7"/>
        <v>0</v>
      </c>
      <c r="I19" s="577"/>
      <c r="J19" s="577"/>
      <c r="K19" s="573">
        <f t="shared" si="8"/>
        <v>0</v>
      </c>
      <c r="L19" s="574">
        <f t="shared" si="9"/>
        <v>0</v>
      </c>
      <c r="M19" s="572">
        <f t="shared" si="10"/>
        <v>0</v>
      </c>
      <c r="N19" s="572">
        <f t="shared" si="11"/>
        <v>0</v>
      </c>
      <c r="O19" s="572">
        <f t="shared" si="12"/>
        <v>0</v>
      </c>
      <c r="P19" s="573">
        <f t="shared" si="13"/>
        <v>0</v>
      </c>
    </row>
    <row r="20" spans="1:16" x14ac:dyDescent="0.2">
      <c r="A20" s="179">
        <f>IF(COUNTBLANK(B20)=1," ",COUNTA(B$14:B20))</f>
        <v>6</v>
      </c>
      <c r="B20" s="305" t="s">
        <v>86</v>
      </c>
      <c r="C20" s="88" t="s">
        <v>428</v>
      </c>
      <c r="D20" s="87" t="s">
        <v>90</v>
      </c>
      <c r="E20" s="74">
        <f>E19*9.22</f>
        <v>3472.2520000000004</v>
      </c>
      <c r="F20" s="576"/>
      <c r="G20" s="577"/>
      <c r="H20" s="577">
        <f t="shared" si="7"/>
        <v>0</v>
      </c>
      <c r="I20" s="577"/>
      <c r="J20" s="577"/>
      <c r="K20" s="578">
        <f t="shared" si="8"/>
        <v>0</v>
      </c>
      <c r="L20" s="576">
        <f t="shared" si="9"/>
        <v>0</v>
      </c>
      <c r="M20" s="577">
        <f t="shared" si="10"/>
        <v>0</v>
      </c>
      <c r="N20" s="577">
        <f t="shared" si="11"/>
        <v>0</v>
      </c>
      <c r="O20" s="577">
        <f t="shared" si="12"/>
        <v>0</v>
      </c>
      <c r="P20" s="578">
        <f t="shared" si="13"/>
        <v>0</v>
      </c>
    </row>
    <row r="21" spans="1:16" ht="22.5" x14ac:dyDescent="0.2">
      <c r="A21" s="179">
        <f>IF(COUNTBLANK(B21)=1," ",COUNTA(B$14:B21))</f>
        <v>7</v>
      </c>
      <c r="B21" s="306" t="s">
        <v>86</v>
      </c>
      <c r="C21" s="73" t="s">
        <v>429</v>
      </c>
      <c r="D21" s="87" t="s">
        <v>176</v>
      </c>
      <c r="E21" s="74">
        <v>176</v>
      </c>
      <c r="F21" s="576"/>
      <c r="G21" s="577"/>
      <c r="H21" s="572">
        <f t="shared" si="7"/>
        <v>0</v>
      </c>
      <c r="I21" s="577"/>
      <c r="J21" s="577"/>
      <c r="K21" s="573">
        <f t="shared" si="8"/>
        <v>0</v>
      </c>
      <c r="L21" s="574">
        <f t="shared" si="9"/>
        <v>0</v>
      </c>
      <c r="M21" s="572">
        <f t="shared" si="10"/>
        <v>0</v>
      </c>
      <c r="N21" s="572">
        <f t="shared" si="11"/>
        <v>0</v>
      </c>
      <c r="O21" s="572">
        <f t="shared" si="12"/>
        <v>0</v>
      </c>
      <c r="P21" s="573">
        <f t="shared" si="13"/>
        <v>0</v>
      </c>
    </row>
    <row r="22" spans="1:16" x14ac:dyDescent="0.2">
      <c r="A22" s="179">
        <f>IF(COUNTBLANK(B22)=1," ",COUNTA(B$14:B22))</f>
        <v>8</v>
      </c>
      <c r="B22" s="306" t="s">
        <v>86</v>
      </c>
      <c r="C22" s="73" t="s">
        <v>430</v>
      </c>
      <c r="D22" s="87" t="s">
        <v>90</v>
      </c>
      <c r="E22" s="74">
        <f>782*0.31*1.26</f>
        <v>305.44919999999996</v>
      </c>
      <c r="F22" s="576"/>
      <c r="G22" s="577"/>
      <c r="H22" s="577">
        <f t="shared" si="7"/>
        <v>0</v>
      </c>
      <c r="I22" s="577"/>
      <c r="J22" s="577"/>
      <c r="K22" s="578">
        <f t="shared" si="8"/>
        <v>0</v>
      </c>
      <c r="L22" s="576">
        <f t="shared" si="9"/>
        <v>0</v>
      </c>
      <c r="M22" s="577">
        <f t="shared" si="10"/>
        <v>0</v>
      </c>
      <c r="N22" s="577">
        <f t="shared" si="11"/>
        <v>0</v>
      </c>
      <c r="O22" s="577">
        <f t="shared" si="12"/>
        <v>0</v>
      </c>
      <c r="P22" s="578">
        <f t="shared" si="13"/>
        <v>0</v>
      </c>
    </row>
    <row r="23" spans="1:16" x14ac:dyDescent="0.2">
      <c r="A23" s="179">
        <f>IF(COUNTBLANK(B23)=1," ",COUNTA(B$14:B23))</f>
        <v>9</v>
      </c>
      <c r="B23" s="305" t="s">
        <v>86</v>
      </c>
      <c r="C23" s="73" t="s">
        <v>431</v>
      </c>
      <c r="D23" s="87" t="s">
        <v>82</v>
      </c>
      <c r="E23" s="74">
        <v>504</v>
      </c>
      <c r="F23" s="576"/>
      <c r="G23" s="577"/>
      <c r="H23" s="572">
        <f t="shared" si="7"/>
        <v>0</v>
      </c>
      <c r="I23" s="577"/>
      <c r="J23" s="577"/>
      <c r="K23" s="573">
        <f t="shared" si="8"/>
        <v>0</v>
      </c>
      <c r="L23" s="574">
        <f t="shared" si="9"/>
        <v>0</v>
      </c>
      <c r="M23" s="572">
        <f t="shared" si="10"/>
        <v>0</v>
      </c>
      <c r="N23" s="572">
        <f t="shared" si="11"/>
        <v>0</v>
      </c>
      <c r="O23" s="572">
        <f t="shared" si="12"/>
        <v>0</v>
      </c>
      <c r="P23" s="573">
        <f t="shared" si="13"/>
        <v>0</v>
      </c>
    </row>
    <row r="24" spans="1:16" x14ac:dyDescent="0.2">
      <c r="A24" s="179">
        <f>IF(COUNTBLANK(B24)=1," ",COUNTA(B$14:B24))</f>
        <v>10</v>
      </c>
      <c r="B24" s="305" t="s">
        <v>86</v>
      </c>
      <c r="C24" s="88" t="s">
        <v>428</v>
      </c>
      <c r="D24" s="87" t="s">
        <v>90</v>
      </c>
      <c r="E24" s="74">
        <f>E23*0.075*6.89</f>
        <v>260.44199999999995</v>
      </c>
      <c r="F24" s="576"/>
      <c r="G24" s="577"/>
      <c r="H24" s="577">
        <f t="shared" si="7"/>
        <v>0</v>
      </c>
      <c r="I24" s="577"/>
      <c r="J24" s="577"/>
      <c r="K24" s="578">
        <f t="shared" si="8"/>
        <v>0</v>
      </c>
      <c r="L24" s="576">
        <f t="shared" si="9"/>
        <v>0</v>
      </c>
      <c r="M24" s="577">
        <f t="shared" si="10"/>
        <v>0</v>
      </c>
      <c r="N24" s="577">
        <f t="shared" si="11"/>
        <v>0</v>
      </c>
      <c r="O24" s="577">
        <f t="shared" si="12"/>
        <v>0</v>
      </c>
      <c r="P24" s="578">
        <f t="shared" si="13"/>
        <v>0</v>
      </c>
    </row>
    <row r="25" spans="1:16" x14ac:dyDescent="0.2">
      <c r="A25" s="179">
        <f>IF(COUNTBLANK(B25)=1," ",COUNTA(B$14:B25))</f>
        <v>11</v>
      </c>
      <c r="B25" s="305" t="s">
        <v>86</v>
      </c>
      <c r="C25" s="73" t="s">
        <v>432</v>
      </c>
      <c r="D25" s="87" t="s">
        <v>82</v>
      </c>
      <c r="E25" s="74">
        <f>E23*1</f>
        <v>504</v>
      </c>
      <c r="F25" s="576"/>
      <c r="G25" s="577"/>
      <c r="H25" s="572">
        <f t="shared" si="7"/>
        <v>0</v>
      </c>
      <c r="I25" s="577"/>
      <c r="J25" s="577"/>
      <c r="K25" s="573">
        <f t="shared" si="8"/>
        <v>0</v>
      </c>
      <c r="L25" s="574">
        <f t="shared" si="9"/>
        <v>0</v>
      </c>
      <c r="M25" s="572">
        <f t="shared" si="10"/>
        <v>0</v>
      </c>
      <c r="N25" s="572">
        <f t="shared" si="11"/>
        <v>0</v>
      </c>
      <c r="O25" s="572">
        <f t="shared" si="12"/>
        <v>0</v>
      </c>
      <c r="P25" s="573">
        <f t="shared" si="13"/>
        <v>0</v>
      </c>
    </row>
    <row r="26" spans="1:16" x14ac:dyDescent="0.2">
      <c r="A26" s="179" t="str">
        <f>IF(COUNTBLANK(B26)=1," ",COUNTA(B$14:B26))</f>
        <v xml:space="preserve"> </v>
      </c>
      <c r="B26" s="305"/>
      <c r="C26" s="307" t="s">
        <v>433</v>
      </c>
      <c r="D26" s="304"/>
      <c r="E26" s="308"/>
      <c r="F26" s="576"/>
      <c r="G26" s="577"/>
      <c r="H26" s="577">
        <f t="shared" si="7"/>
        <v>0</v>
      </c>
      <c r="I26" s="577"/>
      <c r="J26" s="577"/>
      <c r="K26" s="578">
        <f t="shared" si="8"/>
        <v>0</v>
      </c>
      <c r="L26" s="576">
        <f t="shared" si="9"/>
        <v>0</v>
      </c>
      <c r="M26" s="577">
        <f t="shared" si="10"/>
        <v>0</v>
      </c>
      <c r="N26" s="577">
        <f t="shared" si="11"/>
        <v>0</v>
      </c>
      <c r="O26" s="577">
        <f t="shared" si="12"/>
        <v>0</v>
      </c>
      <c r="P26" s="578">
        <f t="shared" si="13"/>
        <v>0</v>
      </c>
    </row>
    <row r="27" spans="1:16" x14ac:dyDescent="0.2">
      <c r="A27" s="179">
        <f>IF(COUNTBLANK(B27)=1," ",COUNTA(B$14:B27))</f>
        <v>12</v>
      </c>
      <c r="B27" s="306" t="s">
        <v>86</v>
      </c>
      <c r="C27" s="309" t="s">
        <v>434</v>
      </c>
      <c r="D27" s="310" t="s">
        <v>176</v>
      </c>
      <c r="E27" s="311">
        <v>529.20000000000005</v>
      </c>
      <c r="F27" s="576"/>
      <c r="G27" s="577"/>
      <c r="H27" s="572">
        <f t="shared" si="7"/>
        <v>0</v>
      </c>
      <c r="I27" s="577"/>
      <c r="J27" s="577"/>
      <c r="K27" s="573">
        <f t="shared" si="8"/>
        <v>0</v>
      </c>
      <c r="L27" s="574">
        <f t="shared" si="9"/>
        <v>0</v>
      </c>
      <c r="M27" s="572">
        <f t="shared" si="10"/>
        <v>0</v>
      </c>
      <c r="N27" s="572">
        <f t="shared" si="11"/>
        <v>0</v>
      </c>
      <c r="O27" s="572">
        <f t="shared" si="12"/>
        <v>0</v>
      </c>
      <c r="P27" s="573">
        <f t="shared" si="13"/>
        <v>0</v>
      </c>
    </row>
    <row r="28" spans="1:16" x14ac:dyDescent="0.2">
      <c r="A28" s="179">
        <f>IF(COUNTBLANK(B28)=1," ",COUNTA(B$14:B28))</f>
        <v>13</v>
      </c>
      <c r="B28" s="306" t="s">
        <v>86</v>
      </c>
      <c r="C28" s="312" t="s">
        <v>435</v>
      </c>
      <c r="D28" s="300" t="s">
        <v>90</v>
      </c>
      <c r="E28" s="308">
        <f>E27*1.5</f>
        <v>793.80000000000007</v>
      </c>
      <c r="F28" s="576"/>
      <c r="G28" s="577"/>
      <c r="H28" s="577">
        <f t="shared" si="7"/>
        <v>0</v>
      </c>
      <c r="I28" s="577"/>
      <c r="J28" s="577"/>
      <c r="K28" s="578">
        <f t="shared" si="8"/>
        <v>0</v>
      </c>
      <c r="L28" s="576">
        <f t="shared" si="9"/>
        <v>0</v>
      </c>
      <c r="M28" s="577">
        <f t="shared" si="10"/>
        <v>0</v>
      </c>
      <c r="N28" s="577">
        <f t="shared" si="11"/>
        <v>0</v>
      </c>
      <c r="O28" s="577">
        <f t="shared" si="12"/>
        <v>0</v>
      </c>
      <c r="P28" s="578">
        <f t="shared" si="13"/>
        <v>0</v>
      </c>
    </row>
    <row r="29" spans="1:16" ht="22.5" x14ac:dyDescent="0.2">
      <c r="A29" s="179">
        <f>IF(COUNTBLANK(B29)=1," ",COUNTA(B$14:B29))</f>
        <v>14</v>
      </c>
      <c r="B29" s="313" t="s">
        <v>86</v>
      </c>
      <c r="C29" s="312" t="s">
        <v>436</v>
      </c>
      <c r="D29" s="300" t="s">
        <v>176</v>
      </c>
      <c r="E29" s="308">
        <f>E27</f>
        <v>529.20000000000005</v>
      </c>
      <c r="F29" s="576"/>
      <c r="G29" s="577"/>
      <c r="H29" s="572">
        <f t="shared" si="7"/>
        <v>0</v>
      </c>
      <c r="I29" s="577"/>
      <c r="J29" s="577"/>
      <c r="K29" s="573">
        <f t="shared" si="8"/>
        <v>0</v>
      </c>
      <c r="L29" s="574">
        <f t="shared" si="9"/>
        <v>0</v>
      </c>
      <c r="M29" s="572">
        <f t="shared" si="10"/>
        <v>0</v>
      </c>
      <c r="N29" s="572">
        <f t="shared" si="11"/>
        <v>0</v>
      </c>
      <c r="O29" s="572">
        <f t="shared" si="12"/>
        <v>0</v>
      </c>
      <c r="P29" s="573">
        <f t="shared" si="13"/>
        <v>0</v>
      </c>
    </row>
    <row r="30" spans="1:16" x14ac:dyDescent="0.2">
      <c r="A30" s="179">
        <f>IF(COUNTBLANK(B30)=1," ",COUNTA(B$14:B30))</f>
        <v>15</v>
      </c>
      <c r="B30" s="313" t="s">
        <v>86</v>
      </c>
      <c r="C30" s="312" t="s">
        <v>437</v>
      </c>
      <c r="D30" s="300" t="s">
        <v>90</v>
      </c>
      <c r="E30" s="308">
        <f>E29*0.3</f>
        <v>158.76000000000002</v>
      </c>
      <c r="F30" s="576"/>
      <c r="G30" s="577"/>
      <c r="H30" s="577">
        <f t="shared" si="7"/>
        <v>0</v>
      </c>
      <c r="I30" s="577"/>
      <c r="J30" s="577"/>
      <c r="K30" s="578">
        <f t="shared" si="8"/>
        <v>0</v>
      </c>
      <c r="L30" s="576">
        <f t="shared" si="9"/>
        <v>0</v>
      </c>
      <c r="M30" s="577">
        <f t="shared" si="10"/>
        <v>0</v>
      </c>
      <c r="N30" s="577">
        <f t="shared" si="11"/>
        <v>0</v>
      </c>
      <c r="O30" s="577">
        <f t="shared" si="12"/>
        <v>0</v>
      </c>
      <c r="P30" s="578">
        <f t="shared" si="13"/>
        <v>0</v>
      </c>
    </row>
    <row r="31" spans="1:16" x14ac:dyDescent="0.2">
      <c r="A31" s="179">
        <f>IF(COUNTBLANK(B31)=1," ",COUNTA(B$14:B31))</f>
        <v>16</v>
      </c>
      <c r="B31" s="313" t="s">
        <v>86</v>
      </c>
      <c r="C31" s="36" t="s">
        <v>104</v>
      </c>
      <c r="D31" s="304" t="s">
        <v>90</v>
      </c>
      <c r="E31" s="311">
        <f>E29*0.4</f>
        <v>211.68000000000004</v>
      </c>
      <c r="F31" s="576"/>
      <c r="G31" s="577"/>
      <c r="H31" s="572">
        <f t="shared" si="7"/>
        <v>0</v>
      </c>
      <c r="I31" s="577"/>
      <c r="J31" s="577"/>
      <c r="K31" s="573">
        <f t="shared" si="8"/>
        <v>0</v>
      </c>
      <c r="L31" s="574">
        <f t="shared" si="9"/>
        <v>0</v>
      </c>
      <c r="M31" s="572">
        <f t="shared" si="10"/>
        <v>0</v>
      </c>
      <c r="N31" s="572">
        <f t="shared" si="11"/>
        <v>0</v>
      </c>
      <c r="O31" s="572">
        <f t="shared" si="12"/>
        <v>0</v>
      </c>
      <c r="P31" s="573">
        <f t="shared" si="13"/>
        <v>0</v>
      </c>
    </row>
    <row r="32" spans="1:16" x14ac:dyDescent="0.2">
      <c r="A32" s="179">
        <f>IF(COUNTBLANK(B32)=1," ",COUNTA(B$14:B32))</f>
        <v>17</v>
      </c>
      <c r="B32" s="314" t="s">
        <v>86</v>
      </c>
      <c r="C32" s="89" t="s">
        <v>85</v>
      </c>
      <c r="D32" s="90" t="s">
        <v>226</v>
      </c>
      <c r="E32" s="315">
        <v>21</v>
      </c>
      <c r="F32" s="576"/>
      <c r="G32" s="577"/>
      <c r="H32" s="577">
        <f t="shared" si="7"/>
        <v>0</v>
      </c>
      <c r="I32" s="577"/>
      <c r="J32" s="577"/>
      <c r="K32" s="578">
        <f t="shared" si="8"/>
        <v>0</v>
      </c>
      <c r="L32" s="576">
        <f t="shared" si="9"/>
        <v>0</v>
      </c>
      <c r="M32" s="577">
        <f t="shared" si="10"/>
        <v>0</v>
      </c>
      <c r="N32" s="577">
        <f t="shared" si="11"/>
        <v>0</v>
      </c>
      <c r="O32" s="577">
        <f t="shared" si="12"/>
        <v>0</v>
      </c>
      <c r="P32" s="578">
        <f t="shared" si="13"/>
        <v>0</v>
      </c>
    </row>
    <row r="33" spans="1:16" ht="12" thickBot="1" x14ac:dyDescent="0.25">
      <c r="A33" s="179">
        <f>IF(COUNTBLANK(B33)=1," ",COUNTA(B$14:B33))</f>
        <v>18</v>
      </c>
      <c r="B33" s="314" t="s">
        <v>86</v>
      </c>
      <c r="C33" s="89" t="s">
        <v>83</v>
      </c>
      <c r="D33" s="90" t="s">
        <v>82</v>
      </c>
      <c r="E33" s="316">
        <f>ROUNDUP(E32*0.14,0)</f>
        <v>3</v>
      </c>
      <c r="F33" s="576"/>
      <c r="G33" s="577"/>
      <c r="H33" s="572">
        <f t="shared" si="7"/>
        <v>0</v>
      </c>
      <c r="I33" s="577"/>
      <c r="J33" s="577"/>
      <c r="K33" s="573">
        <f t="shared" si="8"/>
        <v>0</v>
      </c>
      <c r="L33" s="574">
        <f t="shared" si="9"/>
        <v>0</v>
      </c>
      <c r="M33" s="572">
        <f t="shared" si="10"/>
        <v>0</v>
      </c>
      <c r="N33" s="572">
        <f t="shared" si="11"/>
        <v>0</v>
      </c>
      <c r="O33" s="572">
        <f t="shared" si="12"/>
        <v>0</v>
      </c>
      <c r="P33" s="573">
        <f t="shared" si="13"/>
        <v>0</v>
      </c>
    </row>
    <row r="34" spans="1:16" ht="12" thickBot="1" x14ac:dyDescent="0.25">
      <c r="A34" s="656" t="s">
        <v>612</v>
      </c>
      <c r="B34" s="656"/>
      <c r="C34" s="656"/>
      <c r="D34" s="656"/>
      <c r="E34" s="656"/>
      <c r="F34" s="656"/>
      <c r="G34" s="656"/>
      <c r="H34" s="656"/>
      <c r="I34" s="656"/>
      <c r="J34" s="656"/>
      <c r="K34" s="656"/>
      <c r="L34" s="582">
        <f>SUM(L14:L33)</f>
        <v>0</v>
      </c>
      <c r="M34" s="582">
        <f t="shared" ref="M34:P34" si="14">SUM(M14:M33)</f>
        <v>0</v>
      </c>
      <c r="N34" s="582">
        <f t="shared" si="14"/>
        <v>0</v>
      </c>
      <c r="O34" s="582">
        <f t="shared" si="14"/>
        <v>0</v>
      </c>
      <c r="P34" s="582">
        <f t="shared" si="14"/>
        <v>0</v>
      </c>
    </row>
    <row r="35" spans="1:16" x14ac:dyDescent="0.2">
      <c r="A35" s="202"/>
      <c r="B35" s="202"/>
      <c r="C35" s="202"/>
      <c r="D35" s="202"/>
      <c r="E35" s="202"/>
      <c r="F35" s="202"/>
      <c r="G35" s="202"/>
      <c r="H35" s="202"/>
      <c r="I35" s="202"/>
      <c r="J35" s="202"/>
      <c r="K35" s="202"/>
      <c r="L35" s="202"/>
      <c r="M35" s="202"/>
      <c r="N35" s="202"/>
      <c r="O35" s="202"/>
      <c r="P35" s="202"/>
    </row>
    <row r="36" spans="1:16" x14ac:dyDescent="0.2">
      <c r="A36" s="202"/>
      <c r="B36" s="202"/>
      <c r="C36" s="202"/>
      <c r="D36" s="202"/>
      <c r="E36" s="202"/>
      <c r="F36" s="202"/>
      <c r="G36" s="202"/>
      <c r="H36" s="202"/>
      <c r="I36" s="202"/>
      <c r="J36" s="202"/>
      <c r="K36" s="202"/>
      <c r="L36" s="202"/>
      <c r="M36" s="202"/>
      <c r="N36" s="202"/>
      <c r="O36" s="202"/>
      <c r="P36" s="202"/>
    </row>
    <row r="37" spans="1:16" x14ac:dyDescent="0.2">
      <c r="A37" s="159" t="s">
        <v>14</v>
      </c>
      <c r="B37" s="202"/>
      <c r="C37" s="671">
        <f>'Kops a'!C36:H36</f>
        <v>0</v>
      </c>
      <c r="D37" s="671"/>
      <c r="E37" s="671"/>
      <c r="F37" s="671"/>
      <c r="G37" s="671"/>
      <c r="H37" s="671"/>
      <c r="I37" s="202"/>
      <c r="J37" s="202"/>
      <c r="K37" s="202"/>
      <c r="L37" s="202"/>
      <c r="M37" s="202"/>
      <c r="N37" s="202"/>
      <c r="O37" s="202"/>
      <c r="P37" s="202"/>
    </row>
    <row r="38" spans="1:16" x14ac:dyDescent="0.2">
      <c r="A38" s="202"/>
      <c r="B38" s="202"/>
      <c r="C38" s="590" t="s">
        <v>15</v>
      </c>
      <c r="D38" s="590"/>
      <c r="E38" s="590"/>
      <c r="F38" s="590"/>
      <c r="G38" s="590"/>
      <c r="H38" s="590"/>
      <c r="I38" s="202"/>
      <c r="J38" s="202"/>
      <c r="K38" s="202"/>
      <c r="L38" s="202"/>
      <c r="M38" s="202"/>
      <c r="N38" s="202"/>
      <c r="O38" s="202"/>
      <c r="P38" s="202"/>
    </row>
    <row r="39" spans="1:16" x14ac:dyDescent="0.2">
      <c r="A39" s="202"/>
      <c r="B39" s="202"/>
      <c r="C39" s="202"/>
      <c r="D39" s="202"/>
      <c r="E39" s="202"/>
      <c r="F39" s="202"/>
      <c r="G39" s="202"/>
      <c r="H39" s="202"/>
      <c r="I39" s="202"/>
      <c r="J39" s="202"/>
      <c r="K39" s="202"/>
      <c r="L39" s="202"/>
      <c r="M39" s="202"/>
      <c r="N39" s="202"/>
      <c r="O39" s="202"/>
      <c r="P39" s="202"/>
    </row>
    <row r="40" spans="1:16" x14ac:dyDescent="0.2">
      <c r="A40" s="203" t="str">
        <f>'Kops a'!A39</f>
        <v>Tāme sastādīta 2021. gada</v>
      </c>
      <c r="B40" s="204"/>
      <c r="C40" s="204"/>
      <c r="D40" s="204"/>
      <c r="E40" s="202"/>
      <c r="F40" s="202"/>
      <c r="G40" s="202"/>
      <c r="H40" s="202"/>
      <c r="I40" s="202"/>
      <c r="J40" s="202"/>
      <c r="K40" s="202"/>
      <c r="L40" s="202"/>
      <c r="M40" s="202"/>
      <c r="N40" s="202"/>
      <c r="O40" s="202"/>
      <c r="P40" s="202"/>
    </row>
    <row r="41" spans="1:16" x14ac:dyDescent="0.2">
      <c r="A41" s="202"/>
      <c r="B41" s="202"/>
      <c r="C41" s="202"/>
      <c r="D41" s="202"/>
      <c r="E41" s="202"/>
      <c r="F41" s="202"/>
      <c r="G41" s="202"/>
      <c r="H41" s="202"/>
      <c r="I41" s="202"/>
      <c r="J41" s="202"/>
      <c r="K41" s="202"/>
      <c r="L41" s="202"/>
      <c r="M41" s="202"/>
      <c r="N41" s="202"/>
      <c r="O41" s="202"/>
      <c r="P41" s="202"/>
    </row>
    <row r="42" spans="1:16" x14ac:dyDescent="0.2">
      <c r="A42" s="159" t="s">
        <v>38</v>
      </c>
      <c r="B42" s="202"/>
      <c r="C42" s="672">
        <f>'Kops a'!C41:H41</f>
        <v>0</v>
      </c>
      <c r="D42" s="672"/>
      <c r="E42" s="672"/>
      <c r="F42" s="672"/>
      <c r="G42" s="672"/>
      <c r="H42" s="672"/>
      <c r="I42" s="202"/>
      <c r="J42" s="202"/>
      <c r="K42" s="202"/>
      <c r="L42" s="202"/>
      <c r="M42" s="202"/>
      <c r="N42" s="202"/>
      <c r="O42" s="202"/>
      <c r="P42" s="202"/>
    </row>
    <row r="43" spans="1:16" x14ac:dyDescent="0.2">
      <c r="A43" s="202"/>
      <c r="B43" s="202"/>
      <c r="C43" s="590" t="s">
        <v>15</v>
      </c>
      <c r="D43" s="590"/>
      <c r="E43" s="590"/>
      <c r="F43" s="590"/>
      <c r="G43" s="590"/>
      <c r="H43" s="590"/>
      <c r="I43" s="202"/>
      <c r="J43" s="202"/>
      <c r="K43" s="202"/>
      <c r="L43" s="202"/>
      <c r="M43" s="202"/>
      <c r="N43" s="202"/>
      <c r="O43" s="202"/>
      <c r="P43" s="202"/>
    </row>
    <row r="44" spans="1:16" x14ac:dyDescent="0.2">
      <c r="A44" s="202"/>
      <c r="B44" s="202"/>
      <c r="C44" s="202"/>
      <c r="D44" s="202"/>
      <c r="E44" s="202"/>
      <c r="F44" s="202"/>
      <c r="G44" s="202"/>
      <c r="H44" s="202"/>
      <c r="I44" s="202"/>
      <c r="J44" s="202"/>
      <c r="K44" s="202"/>
      <c r="L44" s="202"/>
      <c r="M44" s="202"/>
      <c r="N44" s="202"/>
      <c r="O44" s="202"/>
      <c r="P44" s="202"/>
    </row>
    <row r="45" spans="1:16" x14ac:dyDescent="0.2">
      <c r="A45" s="203" t="s">
        <v>53</v>
      </c>
      <c r="B45" s="204"/>
      <c r="C45" s="159">
        <f>'Kops a'!C44</f>
        <v>0</v>
      </c>
      <c r="D45" s="205"/>
      <c r="E45" s="202"/>
      <c r="F45" s="202"/>
      <c r="G45" s="202"/>
      <c r="H45" s="202"/>
      <c r="I45" s="202"/>
      <c r="J45" s="202"/>
      <c r="K45" s="202"/>
      <c r="L45" s="202"/>
      <c r="M45" s="202"/>
      <c r="N45" s="202"/>
      <c r="O45" s="202"/>
      <c r="P45" s="202"/>
    </row>
    <row r="47" spans="1:16" x14ac:dyDescent="0.2">
      <c r="A47" s="687" t="s">
        <v>687</v>
      </c>
      <c r="B47" s="688"/>
      <c r="C47" s="689"/>
      <c r="D47" s="689"/>
      <c r="E47" s="690"/>
      <c r="F47" s="691"/>
      <c r="G47" s="690"/>
      <c r="H47" s="692"/>
      <c r="I47" s="692"/>
      <c r="J47" s="693"/>
      <c r="K47" s="694"/>
      <c r="L47" s="694"/>
      <c r="M47" s="694"/>
      <c r="N47" s="694"/>
      <c r="O47" s="694"/>
    </row>
    <row r="48" spans="1:16" x14ac:dyDescent="0.2">
      <c r="A48" s="695" t="s">
        <v>688</v>
      </c>
      <c r="B48" s="695"/>
      <c r="C48" s="695"/>
      <c r="D48" s="695"/>
      <c r="E48" s="695"/>
      <c r="F48" s="695"/>
      <c r="G48" s="695"/>
      <c r="H48" s="695"/>
      <c r="I48" s="695"/>
      <c r="J48" s="695"/>
      <c r="K48" s="695"/>
      <c r="L48" s="695"/>
      <c r="M48" s="695"/>
      <c r="N48" s="695"/>
      <c r="O48" s="695"/>
    </row>
    <row r="49" spans="1:15" x14ac:dyDescent="0.2">
      <c r="A49" s="695" t="s">
        <v>689</v>
      </c>
      <c r="B49" s="695"/>
      <c r="C49" s="695"/>
      <c r="D49" s="695"/>
      <c r="E49" s="695"/>
      <c r="F49" s="695"/>
      <c r="G49" s="695"/>
      <c r="H49" s="695"/>
      <c r="I49" s="695"/>
      <c r="J49" s="695"/>
      <c r="K49" s="695"/>
      <c r="L49" s="695"/>
      <c r="M49" s="695"/>
      <c r="N49" s="695"/>
      <c r="O49" s="695"/>
    </row>
  </sheetData>
  <mergeCells count="24">
    <mergeCell ref="A48:O48"/>
    <mergeCell ref="A49:O49"/>
    <mergeCell ref="D7:L7"/>
    <mergeCell ref="C2:I2"/>
    <mergeCell ref="C3:I3"/>
    <mergeCell ref="C4:I4"/>
    <mergeCell ref="D5:L5"/>
    <mergeCell ref="D6:L6"/>
    <mergeCell ref="C43:H43"/>
    <mergeCell ref="D8:L8"/>
    <mergeCell ref="A9:F9"/>
    <mergeCell ref="J9:M9"/>
    <mergeCell ref="N9:O9"/>
    <mergeCell ref="A12:A13"/>
    <mergeCell ref="B12:B13"/>
    <mergeCell ref="C12:C13"/>
    <mergeCell ref="D12:D13"/>
    <mergeCell ref="E12:E13"/>
    <mergeCell ref="F12:K12"/>
    <mergeCell ref="L12:P12"/>
    <mergeCell ref="A34:K34"/>
    <mergeCell ref="C37:H37"/>
    <mergeCell ref="C38:H38"/>
    <mergeCell ref="C42:H42"/>
  </mergeCells>
  <conditionalFormatting sqref="C4:I4 D5:L8 C42:H42 C37:H37 D14:E27 E28:E30 D31:E33 B14:B33">
    <cfRule type="cellIs" dxfId="85" priority="17" operator="equal">
      <formula>0</formula>
    </cfRule>
  </conditionalFormatting>
  <conditionalFormatting sqref="N9:O9 C2:I2 C42:H42 C37:H37">
    <cfRule type="cellIs" dxfId="84" priority="18" operator="equal">
      <formula>0</formula>
    </cfRule>
  </conditionalFormatting>
  <conditionalFormatting sqref="A9:F9 A34:K34">
    <cfRule type="containsText" dxfId="83" priority="19" operator="containsText" text="Tāme sastādīta  20__. gada tirgus cenās, pamatojoties uz ___ daļas rasējumiem"/>
  </conditionalFormatting>
  <conditionalFormatting sqref="O10">
    <cfRule type="cellIs" dxfId="82" priority="21" operator="equal">
      <formula>"20__. gada __. _________"</formula>
    </cfRule>
  </conditionalFormatting>
  <conditionalFormatting sqref="C14:C33">
    <cfRule type="cellIs" dxfId="81" priority="25" operator="equal">
      <formula>0</formula>
    </cfRule>
  </conditionalFormatting>
  <conditionalFormatting sqref="P10">
    <cfRule type="cellIs" dxfId="80" priority="30" operator="equal">
      <formula>"20__. gada __. _________"</formula>
    </cfRule>
  </conditionalFormatting>
  <conditionalFormatting sqref="C45">
    <cfRule type="cellIs" dxfId="79" priority="33" operator="equal">
      <formula>0</formula>
    </cfRule>
  </conditionalFormatting>
  <conditionalFormatting sqref="D1">
    <cfRule type="cellIs" dxfId="78" priority="34" operator="equal">
      <formula>0</formula>
    </cfRule>
  </conditionalFormatting>
  <conditionalFormatting sqref="A14:A33">
    <cfRule type="cellIs" dxfId="77" priority="16" operator="equal">
      <formula>0</formula>
    </cfRule>
  </conditionalFormatting>
  <conditionalFormatting sqref="D28:D30">
    <cfRule type="cellIs" dxfId="76" priority="6" operator="equal">
      <formula>0</formula>
    </cfRule>
  </conditionalFormatting>
  <conditionalFormatting sqref="I14:J33 F14:G33">
    <cfRule type="cellIs" dxfId="75" priority="3" operator="equal">
      <formula>0</formula>
    </cfRule>
  </conditionalFormatting>
  <conditionalFormatting sqref="H14:H33 K14:P33">
    <cfRule type="cellIs" dxfId="74" priority="2" operator="equal">
      <formula>0</formula>
    </cfRule>
  </conditionalFormatting>
  <conditionalFormatting sqref="L34:P34">
    <cfRule type="cellIs" dxfId="73" priority="1" operator="equal">
      <formula>0</formula>
    </cfRule>
  </conditionalFormatting>
  <pageMargins left="0.19685039370078741" right="0.19685039370078741" top="0.75196850393700787" bottom="0.39370078740157483" header="0.51181102362204722" footer="0.51181102362204722"/>
  <pageSetup paperSize="9" scale="62" firstPageNumber="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P123"/>
  <sheetViews>
    <sheetView view="pageBreakPreview" topLeftCell="A92" zoomScale="115" zoomScaleNormal="100" zoomScaleSheetLayoutView="115" workbookViewId="0">
      <selection activeCell="P108" sqref="P108"/>
    </sheetView>
  </sheetViews>
  <sheetFormatPr defaultColWidth="8.6640625" defaultRowHeight="11.25" x14ac:dyDescent="0.2"/>
  <cols>
    <col min="1" max="1" width="4.5" style="159" customWidth="1"/>
    <col min="2" max="2" width="5.33203125" style="159" customWidth="1"/>
    <col min="3" max="3" width="38.33203125" style="159" customWidth="1"/>
    <col min="4" max="4" width="5.83203125" style="159" customWidth="1"/>
    <col min="5" max="5" width="7.6640625" style="159" customWidth="1"/>
    <col min="6" max="6" width="5.33203125" style="159" customWidth="1"/>
    <col min="7" max="7" width="7.6640625" style="275" customWidth="1"/>
    <col min="8" max="10" width="6.6640625" style="159" customWidth="1"/>
    <col min="11" max="11" width="6.83203125" style="159" customWidth="1"/>
    <col min="12" max="15" width="7.6640625" style="159" customWidth="1"/>
    <col min="16" max="16" width="8.83203125" style="159" customWidth="1"/>
    <col min="17" max="1018" width="9.1640625" style="159" customWidth="1"/>
    <col min="1019" max="16384" width="8.6640625" style="159"/>
  </cols>
  <sheetData>
    <row r="1" spans="1:16" x14ac:dyDescent="0.2">
      <c r="A1" s="156"/>
      <c r="B1" s="156"/>
      <c r="C1" s="157" t="s">
        <v>39</v>
      </c>
      <c r="D1" s="158">
        <f>'Kops a'!A22</f>
        <v>8</v>
      </c>
      <c r="E1" s="156"/>
      <c r="F1" s="156"/>
      <c r="H1" s="156"/>
      <c r="I1" s="156"/>
      <c r="J1" s="156"/>
      <c r="N1" s="160"/>
      <c r="O1" s="157"/>
      <c r="P1" s="161"/>
    </row>
    <row r="2" spans="1:16" x14ac:dyDescent="0.2">
      <c r="A2" s="162"/>
      <c r="B2" s="162"/>
      <c r="C2" s="630" t="s">
        <v>150</v>
      </c>
      <c r="D2" s="630"/>
      <c r="E2" s="630"/>
      <c r="F2" s="630"/>
      <c r="G2" s="630"/>
      <c r="H2" s="630"/>
      <c r="I2" s="630"/>
      <c r="J2" s="162"/>
    </row>
    <row r="3" spans="1:16" x14ac:dyDescent="0.2">
      <c r="A3" s="163"/>
      <c r="B3" s="163"/>
      <c r="C3" s="604" t="s">
        <v>18</v>
      </c>
      <c r="D3" s="604"/>
      <c r="E3" s="604"/>
      <c r="F3" s="604"/>
      <c r="G3" s="604"/>
      <c r="H3" s="604"/>
      <c r="I3" s="604"/>
      <c r="J3" s="163"/>
    </row>
    <row r="4" spans="1:16" x14ac:dyDescent="0.2">
      <c r="A4" s="163"/>
      <c r="B4" s="163"/>
      <c r="C4" s="631" t="s">
        <v>4</v>
      </c>
      <c r="D4" s="631"/>
      <c r="E4" s="631"/>
      <c r="F4" s="631"/>
      <c r="G4" s="631"/>
      <c r="H4" s="631"/>
      <c r="I4" s="631"/>
      <c r="J4" s="163"/>
    </row>
    <row r="5" spans="1:16" x14ac:dyDescent="0.2">
      <c r="A5" s="156"/>
      <c r="B5" s="156"/>
      <c r="C5" s="157" t="s">
        <v>5</v>
      </c>
      <c r="D5" s="626" t="str">
        <f>'Kops a'!D6</f>
        <v>Daudzīvokļu dzīvojamā māja</v>
      </c>
      <c r="E5" s="626"/>
      <c r="F5" s="626"/>
      <c r="G5" s="626"/>
      <c r="H5" s="626"/>
      <c r="I5" s="626"/>
      <c r="J5" s="626"/>
      <c r="K5" s="626"/>
      <c r="L5" s="626"/>
      <c r="M5" s="202"/>
      <c r="N5" s="202"/>
      <c r="O5" s="202"/>
      <c r="P5" s="202"/>
    </row>
    <row r="6" spans="1:16" x14ac:dyDescent="0.2">
      <c r="A6" s="156"/>
      <c r="B6" s="156"/>
      <c r="C6" s="157" t="s">
        <v>6</v>
      </c>
      <c r="D6" s="626" t="str">
        <f>'Kops a'!D7</f>
        <v>fasādes vienkāršotā atjaunošana</v>
      </c>
      <c r="E6" s="626"/>
      <c r="F6" s="626"/>
      <c r="G6" s="626"/>
      <c r="H6" s="626"/>
      <c r="I6" s="626"/>
      <c r="J6" s="626"/>
      <c r="K6" s="626"/>
      <c r="L6" s="626"/>
      <c r="M6" s="202"/>
      <c r="N6" s="202"/>
      <c r="O6" s="202"/>
      <c r="P6" s="202"/>
    </row>
    <row r="7" spans="1:16" x14ac:dyDescent="0.2">
      <c r="A7" s="156"/>
      <c r="B7" s="156"/>
      <c r="C7" s="157" t="s">
        <v>7</v>
      </c>
      <c r="D7" s="626" t="str">
        <f>'Kops a'!D8</f>
        <v>Lēņu iela 2, Liepājā</v>
      </c>
      <c r="E7" s="626"/>
      <c r="F7" s="626"/>
      <c r="G7" s="626"/>
      <c r="H7" s="626"/>
      <c r="I7" s="626"/>
      <c r="J7" s="626"/>
      <c r="K7" s="626"/>
      <c r="L7" s="626"/>
      <c r="M7" s="202"/>
      <c r="N7" s="202"/>
      <c r="O7" s="202"/>
      <c r="P7" s="202"/>
    </row>
    <row r="8" spans="1:16" x14ac:dyDescent="0.2">
      <c r="A8" s="156"/>
      <c r="B8" s="156"/>
      <c r="C8" s="164" t="s">
        <v>21</v>
      </c>
      <c r="D8" s="626" t="str">
        <f>'Kops a'!D9</f>
        <v>WS-90-17 Līg.Nr. 2017/3-62/479</v>
      </c>
      <c r="E8" s="626"/>
      <c r="F8" s="626"/>
      <c r="G8" s="626"/>
      <c r="H8" s="626"/>
      <c r="I8" s="626"/>
      <c r="J8" s="626"/>
      <c r="K8" s="626"/>
      <c r="L8" s="626"/>
      <c r="M8" s="202"/>
      <c r="N8" s="202"/>
      <c r="O8" s="202"/>
      <c r="P8" s="202"/>
    </row>
    <row r="9" spans="1:16" x14ac:dyDescent="0.2">
      <c r="A9" s="627" t="s">
        <v>607</v>
      </c>
      <c r="B9" s="627"/>
      <c r="C9" s="627"/>
      <c r="D9" s="627"/>
      <c r="E9" s="627"/>
      <c r="F9" s="627"/>
      <c r="G9" s="276"/>
      <c r="H9" s="165"/>
      <c r="I9" s="165"/>
      <c r="J9" s="628" t="s">
        <v>40</v>
      </c>
      <c r="K9" s="628"/>
      <c r="L9" s="628"/>
      <c r="M9" s="628"/>
      <c r="N9" s="629">
        <f>P108</f>
        <v>0</v>
      </c>
      <c r="O9" s="629"/>
      <c r="P9" s="165"/>
    </row>
    <row r="10" spans="1:16" x14ac:dyDescent="0.2">
      <c r="A10" s="166"/>
      <c r="B10" s="167"/>
      <c r="C10" s="164"/>
      <c r="D10" s="156"/>
      <c r="E10" s="156"/>
      <c r="F10" s="156"/>
      <c r="H10" s="156"/>
      <c r="I10" s="156"/>
      <c r="J10" s="156"/>
      <c r="K10" s="156"/>
      <c r="L10" s="162"/>
      <c r="M10" s="162"/>
      <c r="O10" s="168"/>
      <c r="P10" s="169" t="str">
        <f>A114</f>
        <v>Tāme sastādīta 2021. gada</v>
      </c>
    </row>
    <row r="11" spans="1:16" ht="12" thickBot="1" x14ac:dyDescent="0.25">
      <c r="A11" s="166"/>
      <c r="B11" s="167"/>
      <c r="C11" s="164"/>
      <c r="D11" s="156"/>
      <c r="E11" s="156"/>
      <c r="F11" s="156"/>
      <c r="H11" s="156"/>
      <c r="I11" s="156"/>
      <c r="J11" s="156"/>
      <c r="K11" s="156"/>
      <c r="L11" s="170"/>
      <c r="M11" s="170"/>
      <c r="N11" s="171"/>
      <c r="O11" s="160"/>
      <c r="P11" s="156"/>
    </row>
    <row r="12" spans="1:16" ht="12" thickBot="1" x14ac:dyDescent="0.25">
      <c r="A12" s="621" t="s">
        <v>24</v>
      </c>
      <c r="B12" s="622" t="s">
        <v>41</v>
      </c>
      <c r="C12" s="623" t="s">
        <v>42</v>
      </c>
      <c r="D12" s="624" t="s">
        <v>43</v>
      </c>
      <c r="E12" s="625" t="s">
        <v>44</v>
      </c>
      <c r="F12" s="618" t="s">
        <v>45</v>
      </c>
      <c r="G12" s="618"/>
      <c r="H12" s="618"/>
      <c r="I12" s="618"/>
      <c r="J12" s="618"/>
      <c r="K12" s="618"/>
      <c r="L12" s="618" t="s">
        <v>46</v>
      </c>
      <c r="M12" s="618"/>
      <c r="N12" s="618"/>
      <c r="O12" s="618"/>
      <c r="P12" s="618"/>
    </row>
    <row r="13" spans="1:16" ht="69.75" thickBot="1" x14ac:dyDescent="0.25">
      <c r="A13" s="621"/>
      <c r="B13" s="622"/>
      <c r="C13" s="667"/>
      <c r="D13" s="624"/>
      <c r="E13" s="625"/>
      <c r="F13" s="206" t="s">
        <v>47</v>
      </c>
      <c r="G13" s="207" t="s">
        <v>48</v>
      </c>
      <c r="H13" s="207" t="s">
        <v>49</v>
      </c>
      <c r="I13" s="207" t="s">
        <v>50</v>
      </c>
      <c r="J13" s="207" t="s">
        <v>51</v>
      </c>
      <c r="K13" s="208" t="s">
        <v>52</v>
      </c>
      <c r="L13" s="206" t="s">
        <v>47</v>
      </c>
      <c r="M13" s="207" t="s">
        <v>49</v>
      </c>
      <c r="N13" s="207" t="s">
        <v>50</v>
      </c>
      <c r="O13" s="207" t="s">
        <v>51</v>
      </c>
      <c r="P13" s="208" t="s">
        <v>52</v>
      </c>
    </row>
    <row r="14" spans="1:16" ht="23.25" thickBot="1" x14ac:dyDescent="0.25">
      <c r="A14" s="179" t="str">
        <f>IF(COUNTBLANK(B14)=1," ",COUNTA(B$14:B14))</f>
        <v xml:space="preserve"> </v>
      </c>
      <c r="B14" s="277"/>
      <c r="C14" s="278" t="s">
        <v>219</v>
      </c>
      <c r="D14" s="279"/>
      <c r="E14" s="279"/>
      <c r="F14" s="576"/>
      <c r="G14" s="577"/>
      <c r="H14" s="577">
        <f>ROUND(F14*G14,2)</f>
        <v>0</v>
      </c>
      <c r="I14" s="577"/>
      <c r="J14" s="577"/>
      <c r="K14" s="578">
        <f>SUM(H14:J14)</f>
        <v>0</v>
      </c>
      <c r="L14" s="576">
        <f>ROUND(E14*F14,2)</f>
        <v>0</v>
      </c>
      <c r="M14" s="577">
        <f>ROUND(H14*E14,2)</f>
        <v>0</v>
      </c>
      <c r="N14" s="577">
        <f>ROUND(I14*E14,2)</f>
        <v>0</v>
      </c>
      <c r="O14" s="577">
        <f>ROUND(J14*E14,2)</f>
        <v>0</v>
      </c>
      <c r="P14" s="578">
        <f>SUM(M14:O14)</f>
        <v>0</v>
      </c>
    </row>
    <row r="15" spans="1:16" ht="22.5" x14ac:dyDescent="0.2">
      <c r="A15" s="179">
        <f>IF(COUNTBLANK(B15)=1," ",COUNTA(B$14:B15))</f>
        <v>1</v>
      </c>
      <c r="B15" s="277" t="s">
        <v>86</v>
      </c>
      <c r="C15" s="280" t="s">
        <v>220</v>
      </c>
      <c r="D15" s="279" t="s">
        <v>88</v>
      </c>
      <c r="E15" s="279">
        <v>56.5</v>
      </c>
      <c r="F15" s="576"/>
      <c r="G15" s="577"/>
      <c r="H15" s="572">
        <f t="shared" ref="H15:H16" si="0">ROUND(F15*G15,2)</f>
        <v>0</v>
      </c>
      <c r="I15" s="577"/>
      <c r="J15" s="577"/>
      <c r="K15" s="573">
        <f t="shared" ref="K15:K16" si="1">SUM(H15:J15)</f>
        <v>0</v>
      </c>
      <c r="L15" s="574">
        <f t="shared" ref="L15:L16" si="2">ROUND(E15*F15,2)</f>
        <v>0</v>
      </c>
      <c r="M15" s="572">
        <f t="shared" ref="M15:M16" si="3">ROUND(H15*E15,2)</f>
        <v>0</v>
      </c>
      <c r="N15" s="572">
        <f t="shared" ref="N15:N16" si="4">ROUND(I15*E15,2)</f>
        <v>0</v>
      </c>
      <c r="O15" s="572">
        <f t="shared" ref="O15:O16" si="5">ROUND(J15*E15,2)</f>
        <v>0</v>
      </c>
      <c r="P15" s="573">
        <f t="shared" ref="P15:P16" si="6">SUM(M15:O15)</f>
        <v>0</v>
      </c>
    </row>
    <row r="16" spans="1:16" ht="12" thickBot="1" x14ac:dyDescent="0.25">
      <c r="A16" s="179" t="str">
        <f>IF(COUNTBLANK(B16)=1," ",COUNTA(B$14:B16))</f>
        <v xml:space="preserve"> </v>
      </c>
      <c r="B16" s="281"/>
      <c r="C16" s="278" t="s">
        <v>489</v>
      </c>
      <c r="D16" s="282"/>
      <c r="E16" s="282"/>
      <c r="F16" s="576"/>
      <c r="G16" s="577"/>
      <c r="H16" s="577">
        <f t="shared" si="0"/>
        <v>0</v>
      </c>
      <c r="I16" s="577"/>
      <c r="J16" s="577"/>
      <c r="K16" s="578">
        <f t="shared" si="1"/>
        <v>0</v>
      </c>
      <c r="L16" s="576">
        <f t="shared" si="2"/>
        <v>0</v>
      </c>
      <c r="M16" s="577">
        <f t="shared" si="3"/>
        <v>0</v>
      </c>
      <c r="N16" s="577">
        <f t="shared" si="4"/>
        <v>0</v>
      </c>
      <c r="O16" s="577">
        <f t="shared" si="5"/>
        <v>0</v>
      </c>
      <c r="P16" s="578">
        <f t="shared" si="6"/>
        <v>0</v>
      </c>
    </row>
    <row r="17" spans="1:16" ht="22.5" x14ac:dyDescent="0.2">
      <c r="A17" s="179">
        <f>IF(COUNTBLANK(B17)=1," ",COUNTA(B$14:B17))</f>
        <v>2</v>
      </c>
      <c r="B17" s="277" t="s">
        <v>86</v>
      </c>
      <c r="C17" s="280" t="s">
        <v>221</v>
      </c>
      <c r="D17" s="279" t="s">
        <v>84</v>
      </c>
      <c r="E17" s="279">
        <v>0.26</v>
      </c>
      <c r="F17" s="576"/>
      <c r="G17" s="577"/>
      <c r="H17" s="572">
        <f t="shared" ref="H17:H80" si="7">ROUND(F17*G17,2)</f>
        <v>0</v>
      </c>
      <c r="I17" s="577"/>
      <c r="J17" s="577"/>
      <c r="K17" s="573">
        <f t="shared" ref="K17:K80" si="8">SUM(H17:J17)</f>
        <v>0</v>
      </c>
      <c r="L17" s="574">
        <f t="shared" ref="L17:L80" si="9">ROUND(E17*F17,2)</f>
        <v>0</v>
      </c>
      <c r="M17" s="572">
        <f t="shared" ref="M17:M80" si="10">ROUND(H17*E17,2)</f>
        <v>0</v>
      </c>
      <c r="N17" s="572">
        <f t="shared" ref="N17:N80" si="11">ROUND(I17*E17,2)</f>
        <v>0</v>
      </c>
      <c r="O17" s="572">
        <f t="shared" ref="O17:O80" si="12">ROUND(J17*E17,2)</f>
        <v>0</v>
      </c>
      <c r="P17" s="573">
        <f t="shared" ref="P17:P80" si="13">SUM(M17:O17)</f>
        <v>0</v>
      </c>
    </row>
    <row r="18" spans="1:16" x14ac:dyDescent="0.2">
      <c r="A18" s="179">
        <f>IF(COUNTBLANK(B18)=1," ",COUNTA(B$14:B18))</f>
        <v>3</v>
      </c>
      <c r="B18" s="277" t="s">
        <v>86</v>
      </c>
      <c r="C18" s="283" t="s">
        <v>222</v>
      </c>
      <c r="D18" s="279" t="s">
        <v>84</v>
      </c>
      <c r="E18" s="279">
        <v>0.26</v>
      </c>
      <c r="F18" s="576"/>
      <c r="G18" s="577"/>
      <c r="H18" s="577">
        <f t="shared" si="7"/>
        <v>0</v>
      </c>
      <c r="I18" s="577"/>
      <c r="J18" s="577"/>
      <c r="K18" s="578">
        <f t="shared" si="8"/>
        <v>0</v>
      </c>
      <c r="L18" s="576">
        <f t="shared" si="9"/>
        <v>0</v>
      </c>
      <c r="M18" s="577">
        <f t="shared" si="10"/>
        <v>0</v>
      </c>
      <c r="N18" s="577">
        <f t="shared" si="11"/>
        <v>0</v>
      </c>
      <c r="O18" s="577">
        <f t="shared" si="12"/>
        <v>0</v>
      </c>
      <c r="P18" s="578">
        <f t="shared" si="13"/>
        <v>0</v>
      </c>
    </row>
    <row r="19" spans="1:16" ht="22.5" x14ac:dyDescent="0.2">
      <c r="A19" s="179">
        <f>IF(COUNTBLANK(B19)=1," ",COUNTA(B$14:B19))</f>
        <v>4</v>
      </c>
      <c r="B19" s="277" t="s">
        <v>86</v>
      </c>
      <c r="C19" s="283" t="s">
        <v>223</v>
      </c>
      <c r="D19" s="279" t="s">
        <v>91</v>
      </c>
      <c r="E19" s="279">
        <v>87</v>
      </c>
      <c r="F19" s="576"/>
      <c r="G19" s="577"/>
      <c r="H19" s="572">
        <f t="shared" si="7"/>
        <v>0</v>
      </c>
      <c r="I19" s="577"/>
      <c r="J19" s="577"/>
      <c r="K19" s="573">
        <f t="shared" si="8"/>
        <v>0</v>
      </c>
      <c r="L19" s="574">
        <f t="shared" si="9"/>
        <v>0</v>
      </c>
      <c r="M19" s="572">
        <f t="shared" si="10"/>
        <v>0</v>
      </c>
      <c r="N19" s="572">
        <f t="shared" si="11"/>
        <v>0</v>
      </c>
      <c r="O19" s="572">
        <f t="shared" si="12"/>
        <v>0</v>
      </c>
      <c r="P19" s="573">
        <f t="shared" si="13"/>
        <v>0</v>
      </c>
    </row>
    <row r="20" spans="1:16" ht="22.5" x14ac:dyDescent="0.2">
      <c r="A20" s="179">
        <f>IF(COUNTBLANK(B20)=1," ",COUNTA(B$14:B20))</f>
        <v>5</v>
      </c>
      <c r="B20" s="277" t="s">
        <v>86</v>
      </c>
      <c r="C20" s="283" t="s">
        <v>626</v>
      </c>
      <c r="D20" s="279" t="s">
        <v>56</v>
      </c>
      <c r="E20" s="279">
        <f>43.35*0.3</f>
        <v>13.005000000000001</v>
      </c>
      <c r="F20" s="576"/>
      <c r="G20" s="577"/>
      <c r="H20" s="577">
        <f t="shared" si="7"/>
        <v>0</v>
      </c>
      <c r="I20" s="577"/>
      <c r="J20" s="577"/>
      <c r="K20" s="578">
        <f t="shared" si="8"/>
        <v>0</v>
      </c>
      <c r="L20" s="576">
        <f t="shared" si="9"/>
        <v>0</v>
      </c>
      <c r="M20" s="577">
        <f t="shared" si="10"/>
        <v>0</v>
      </c>
      <c r="N20" s="577">
        <f t="shared" si="11"/>
        <v>0</v>
      </c>
      <c r="O20" s="577">
        <f t="shared" si="12"/>
        <v>0</v>
      </c>
      <c r="P20" s="578">
        <f t="shared" si="13"/>
        <v>0</v>
      </c>
    </row>
    <row r="21" spans="1:16" ht="22.5" x14ac:dyDescent="0.2">
      <c r="A21" s="179">
        <f>IF(COUNTBLANK(B21)=1," ",COUNTA(B$14:B21))</f>
        <v>6</v>
      </c>
      <c r="B21" s="284" t="s">
        <v>86</v>
      </c>
      <c r="C21" s="285" t="s">
        <v>224</v>
      </c>
      <c r="D21" s="286" t="s">
        <v>84</v>
      </c>
      <c r="E21" s="287">
        <f>0.1*43.35*0.02</f>
        <v>8.6699999999999999E-2</v>
      </c>
      <c r="F21" s="576"/>
      <c r="G21" s="577"/>
      <c r="H21" s="572">
        <f t="shared" si="7"/>
        <v>0</v>
      </c>
      <c r="I21" s="577"/>
      <c r="J21" s="577"/>
      <c r="K21" s="573">
        <f t="shared" si="8"/>
        <v>0</v>
      </c>
      <c r="L21" s="574">
        <f t="shared" si="9"/>
        <v>0</v>
      </c>
      <c r="M21" s="572">
        <f t="shared" si="10"/>
        <v>0</v>
      </c>
      <c r="N21" s="572">
        <f t="shared" si="11"/>
        <v>0</v>
      </c>
      <c r="O21" s="572">
        <f t="shared" si="12"/>
        <v>0</v>
      </c>
      <c r="P21" s="573">
        <f t="shared" si="13"/>
        <v>0</v>
      </c>
    </row>
    <row r="22" spans="1:16" x14ac:dyDescent="0.2">
      <c r="A22" s="179">
        <f>IF(COUNTBLANK(B22)=1," ",COUNTA(B$14:B22))</f>
        <v>7</v>
      </c>
      <c r="B22" s="284" t="s">
        <v>86</v>
      </c>
      <c r="C22" s="285" t="s">
        <v>225</v>
      </c>
      <c r="D22" s="279" t="s">
        <v>84</v>
      </c>
      <c r="E22" s="287">
        <v>0.15400000000000003</v>
      </c>
      <c r="F22" s="576"/>
      <c r="G22" s="577"/>
      <c r="H22" s="577">
        <f t="shared" si="7"/>
        <v>0</v>
      </c>
      <c r="I22" s="577"/>
      <c r="J22" s="577"/>
      <c r="K22" s="578">
        <f t="shared" si="8"/>
        <v>0</v>
      </c>
      <c r="L22" s="576">
        <f t="shared" si="9"/>
        <v>0</v>
      </c>
      <c r="M22" s="577">
        <f t="shared" si="10"/>
        <v>0</v>
      </c>
      <c r="N22" s="577">
        <f t="shared" si="11"/>
        <v>0</v>
      </c>
      <c r="O22" s="577">
        <f t="shared" si="12"/>
        <v>0</v>
      </c>
      <c r="P22" s="578">
        <f t="shared" si="13"/>
        <v>0</v>
      </c>
    </row>
    <row r="23" spans="1:16" ht="33.75" x14ac:dyDescent="0.2">
      <c r="A23" s="179">
        <f>IF(COUNTBLANK(B23)=1," ",COUNTA(B$14:B23))</f>
        <v>8</v>
      </c>
      <c r="B23" s="284" t="s">
        <v>86</v>
      </c>
      <c r="C23" s="285" t="s">
        <v>490</v>
      </c>
      <c r="D23" s="286" t="s">
        <v>56</v>
      </c>
      <c r="E23" s="286">
        <f>43.35*0.4</f>
        <v>17.34</v>
      </c>
      <c r="F23" s="576"/>
      <c r="G23" s="577"/>
      <c r="H23" s="572">
        <f t="shared" si="7"/>
        <v>0</v>
      </c>
      <c r="I23" s="577"/>
      <c r="J23" s="577"/>
      <c r="K23" s="573">
        <f t="shared" si="8"/>
        <v>0</v>
      </c>
      <c r="L23" s="574">
        <f t="shared" si="9"/>
        <v>0</v>
      </c>
      <c r="M23" s="572">
        <f t="shared" si="10"/>
        <v>0</v>
      </c>
      <c r="N23" s="572">
        <f t="shared" si="11"/>
        <v>0</v>
      </c>
      <c r="O23" s="572">
        <f t="shared" si="12"/>
        <v>0</v>
      </c>
      <c r="P23" s="573">
        <f t="shared" si="13"/>
        <v>0</v>
      </c>
    </row>
    <row r="24" spans="1:16" x14ac:dyDescent="0.2">
      <c r="A24" s="179">
        <f>IF(COUNTBLANK(B24)=1," ",COUNTA(B$14:B24))</f>
        <v>9</v>
      </c>
      <c r="B24" s="284" t="s">
        <v>86</v>
      </c>
      <c r="C24" s="285" t="s">
        <v>228</v>
      </c>
      <c r="D24" s="286" t="s">
        <v>56</v>
      </c>
      <c r="E24" s="288">
        <f>E23*1.1</f>
        <v>19.074000000000002</v>
      </c>
      <c r="F24" s="576"/>
      <c r="G24" s="577"/>
      <c r="H24" s="577">
        <f t="shared" si="7"/>
        <v>0</v>
      </c>
      <c r="I24" s="577"/>
      <c r="J24" s="577"/>
      <c r="K24" s="578">
        <f t="shared" si="8"/>
        <v>0</v>
      </c>
      <c r="L24" s="576">
        <f t="shared" si="9"/>
        <v>0</v>
      </c>
      <c r="M24" s="577">
        <f t="shared" si="10"/>
        <v>0</v>
      </c>
      <c r="N24" s="577">
        <f t="shared" si="11"/>
        <v>0</v>
      </c>
      <c r="O24" s="577">
        <f t="shared" si="12"/>
        <v>0</v>
      </c>
      <c r="P24" s="578">
        <f t="shared" si="13"/>
        <v>0</v>
      </c>
    </row>
    <row r="25" spans="1:16" ht="22.5" x14ac:dyDescent="0.2">
      <c r="A25" s="179">
        <f>IF(COUNTBLANK(B25)=1," ",COUNTA(B$14:B25))</f>
        <v>10</v>
      </c>
      <c r="B25" s="284" t="s">
        <v>86</v>
      </c>
      <c r="C25" s="285" t="s">
        <v>491</v>
      </c>
      <c r="D25" s="286" t="s">
        <v>90</v>
      </c>
      <c r="E25" s="288">
        <f>0.2*87*1.26</f>
        <v>21.924000000000003</v>
      </c>
      <c r="F25" s="576"/>
      <c r="G25" s="577"/>
      <c r="H25" s="572">
        <f t="shared" si="7"/>
        <v>0</v>
      </c>
      <c r="I25" s="577"/>
      <c r="J25" s="577"/>
      <c r="K25" s="573">
        <f t="shared" si="8"/>
        <v>0</v>
      </c>
      <c r="L25" s="574">
        <f t="shared" si="9"/>
        <v>0</v>
      </c>
      <c r="M25" s="572">
        <f t="shared" si="10"/>
        <v>0</v>
      </c>
      <c r="N25" s="572">
        <f t="shared" si="11"/>
        <v>0</v>
      </c>
      <c r="O25" s="572">
        <f t="shared" si="12"/>
        <v>0</v>
      </c>
      <c r="P25" s="573">
        <f t="shared" si="13"/>
        <v>0</v>
      </c>
    </row>
    <row r="26" spans="1:16" ht="22.5" x14ac:dyDescent="0.2">
      <c r="A26" s="179">
        <f>IF(COUNTBLANK(B26)=1," ",COUNTA(B$14:B26))</f>
        <v>11</v>
      </c>
      <c r="B26" s="284" t="s">
        <v>86</v>
      </c>
      <c r="C26" s="285" t="s">
        <v>229</v>
      </c>
      <c r="D26" s="286" t="s">
        <v>91</v>
      </c>
      <c r="E26" s="288">
        <f>87*2</f>
        <v>174</v>
      </c>
      <c r="F26" s="576"/>
      <c r="G26" s="577"/>
      <c r="H26" s="577">
        <f t="shared" si="7"/>
        <v>0</v>
      </c>
      <c r="I26" s="577"/>
      <c r="J26" s="577"/>
      <c r="K26" s="578">
        <f t="shared" si="8"/>
        <v>0</v>
      </c>
      <c r="L26" s="576">
        <f t="shared" si="9"/>
        <v>0</v>
      </c>
      <c r="M26" s="577">
        <f t="shared" si="10"/>
        <v>0</v>
      </c>
      <c r="N26" s="577">
        <f t="shared" si="11"/>
        <v>0</v>
      </c>
      <c r="O26" s="577">
        <f t="shared" si="12"/>
        <v>0</v>
      </c>
      <c r="P26" s="578">
        <f t="shared" si="13"/>
        <v>0</v>
      </c>
    </row>
    <row r="27" spans="1:16" ht="33.75" x14ac:dyDescent="0.2">
      <c r="A27" s="179">
        <f>IF(COUNTBLANK(B27)=1," ",COUNTA(B$14:B27))</f>
        <v>12</v>
      </c>
      <c r="B27" s="284" t="s">
        <v>86</v>
      </c>
      <c r="C27" s="285" t="s">
        <v>627</v>
      </c>
      <c r="D27" s="286" t="s">
        <v>88</v>
      </c>
      <c r="E27" s="286">
        <v>43.35</v>
      </c>
      <c r="F27" s="576"/>
      <c r="G27" s="577"/>
      <c r="H27" s="572">
        <f t="shared" si="7"/>
        <v>0</v>
      </c>
      <c r="I27" s="577"/>
      <c r="J27" s="577"/>
      <c r="K27" s="573">
        <f t="shared" si="8"/>
        <v>0</v>
      </c>
      <c r="L27" s="574">
        <f t="shared" si="9"/>
        <v>0</v>
      </c>
      <c r="M27" s="572">
        <f t="shared" si="10"/>
        <v>0</v>
      </c>
      <c r="N27" s="572">
        <f t="shared" si="11"/>
        <v>0</v>
      </c>
      <c r="O27" s="572">
        <f t="shared" si="12"/>
        <v>0</v>
      </c>
      <c r="P27" s="573">
        <f t="shared" si="13"/>
        <v>0</v>
      </c>
    </row>
    <row r="28" spans="1:16" ht="12" thickBot="1" x14ac:dyDescent="0.25">
      <c r="A28" s="179" t="str">
        <f>IF(COUNTBLANK(B28)=1," ",COUNTA(B$14:B28))</f>
        <v xml:space="preserve"> </v>
      </c>
      <c r="B28" s="281"/>
      <c r="C28" s="278" t="s">
        <v>492</v>
      </c>
      <c r="D28" s="282"/>
      <c r="E28" s="282"/>
      <c r="F28" s="576"/>
      <c r="G28" s="577"/>
      <c r="H28" s="577">
        <f t="shared" si="7"/>
        <v>0</v>
      </c>
      <c r="I28" s="577"/>
      <c r="J28" s="577"/>
      <c r="K28" s="578">
        <f t="shared" si="8"/>
        <v>0</v>
      </c>
      <c r="L28" s="576">
        <f t="shared" si="9"/>
        <v>0</v>
      </c>
      <c r="M28" s="577">
        <f t="shared" si="10"/>
        <v>0</v>
      </c>
      <c r="N28" s="577">
        <f t="shared" si="11"/>
        <v>0</v>
      </c>
      <c r="O28" s="577">
        <f t="shared" si="12"/>
        <v>0</v>
      </c>
      <c r="P28" s="578">
        <f t="shared" si="13"/>
        <v>0</v>
      </c>
    </row>
    <row r="29" spans="1:16" ht="22.5" x14ac:dyDescent="0.2">
      <c r="A29" s="179">
        <f>IF(COUNTBLANK(B29)=1," ",COUNTA(B$14:B29))</f>
        <v>13</v>
      </c>
      <c r="B29" s="284" t="s">
        <v>86</v>
      </c>
      <c r="C29" s="280" t="s">
        <v>493</v>
      </c>
      <c r="D29" s="279" t="s">
        <v>84</v>
      </c>
      <c r="E29" s="289">
        <v>0.05</v>
      </c>
      <c r="F29" s="576"/>
      <c r="G29" s="577"/>
      <c r="H29" s="572">
        <f t="shared" si="7"/>
        <v>0</v>
      </c>
      <c r="I29" s="577"/>
      <c r="J29" s="577"/>
      <c r="K29" s="573">
        <f t="shared" si="8"/>
        <v>0</v>
      </c>
      <c r="L29" s="574">
        <f t="shared" si="9"/>
        <v>0</v>
      </c>
      <c r="M29" s="572">
        <f t="shared" si="10"/>
        <v>0</v>
      </c>
      <c r="N29" s="572">
        <f t="shared" si="11"/>
        <v>0</v>
      </c>
      <c r="O29" s="572">
        <f t="shared" si="12"/>
        <v>0</v>
      </c>
      <c r="P29" s="573">
        <f t="shared" si="13"/>
        <v>0</v>
      </c>
    </row>
    <row r="30" spans="1:16" x14ac:dyDescent="0.2">
      <c r="A30" s="179">
        <f>IF(COUNTBLANK(B30)=1," ",COUNTA(B$14:B30))</f>
        <v>14</v>
      </c>
      <c r="B30" s="284" t="s">
        <v>86</v>
      </c>
      <c r="C30" s="283" t="s">
        <v>494</v>
      </c>
      <c r="D30" s="279" t="s">
        <v>84</v>
      </c>
      <c r="E30" s="290">
        <v>0.05</v>
      </c>
      <c r="F30" s="576"/>
      <c r="G30" s="577"/>
      <c r="H30" s="577">
        <f t="shared" si="7"/>
        <v>0</v>
      </c>
      <c r="I30" s="577"/>
      <c r="J30" s="577"/>
      <c r="K30" s="578">
        <f t="shared" si="8"/>
        <v>0</v>
      </c>
      <c r="L30" s="576">
        <f t="shared" si="9"/>
        <v>0</v>
      </c>
      <c r="M30" s="577">
        <f t="shared" si="10"/>
        <v>0</v>
      </c>
      <c r="N30" s="577">
        <f t="shared" si="11"/>
        <v>0</v>
      </c>
      <c r="O30" s="577">
        <f t="shared" si="12"/>
        <v>0</v>
      </c>
      <c r="P30" s="578">
        <f t="shared" si="13"/>
        <v>0</v>
      </c>
    </row>
    <row r="31" spans="1:16" ht="22.5" x14ac:dyDescent="0.2">
      <c r="A31" s="179">
        <f>IF(COUNTBLANK(B31)=1," ",COUNTA(B$14:B31))</f>
        <v>15</v>
      </c>
      <c r="B31" s="284" t="s">
        <v>86</v>
      </c>
      <c r="C31" s="283" t="s">
        <v>223</v>
      </c>
      <c r="D31" s="279" t="s">
        <v>91</v>
      </c>
      <c r="E31" s="279">
        <v>10</v>
      </c>
      <c r="F31" s="576"/>
      <c r="G31" s="577"/>
      <c r="H31" s="572">
        <f t="shared" si="7"/>
        <v>0</v>
      </c>
      <c r="I31" s="577"/>
      <c r="J31" s="577"/>
      <c r="K31" s="573">
        <f t="shared" si="8"/>
        <v>0</v>
      </c>
      <c r="L31" s="574">
        <f t="shared" si="9"/>
        <v>0</v>
      </c>
      <c r="M31" s="572">
        <f t="shared" si="10"/>
        <v>0</v>
      </c>
      <c r="N31" s="572">
        <f t="shared" si="11"/>
        <v>0</v>
      </c>
      <c r="O31" s="572">
        <f t="shared" si="12"/>
        <v>0</v>
      </c>
      <c r="P31" s="573">
        <f t="shared" si="13"/>
        <v>0</v>
      </c>
    </row>
    <row r="32" spans="1:16" ht="22.5" x14ac:dyDescent="0.2">
      <c r="A32" s="179">
        <f>IF(COUNTBLANK(B32)=1," ",COUNTA(B$14:B32))</f>
        <v>16</v>
      </c>
      <c r="B32" s="284" t="s">
        <v>86</v>
      </c>
      <c r="C32" s="283" t="s">
        <v>626</v>
      </c>
      <c r="D32" s="279" t="s">
        <v>56</v>
      </c>
      <c r="E32" s="279">
        <f>0.3*5</f>
        <v>1.5</v>
      </c>
      <c r="F32" s="576"/>
      <c r="G32" s="577"/>
      <c r="H32" s="577">
        <f t="shared" si="7"/>
        <v>0</v>
      </c>
      <c r="I32" s="577"/>
      <c r="J32" s="577"/>
      <c r="K32" s="578">
        <f t="shared" si="8"/>
        <v>0</v>
      </c>
      <c r="L32" s="576">
        <f t="shared" si="9"/>
        <v>0</v>
      </c>
      <c r="M32" s="577">
        <f t="shared" si="10"/>
        <v>0</v>
      </c>
      <c r="N32" s="577">
        <f t="shared" si="11"/>
        <v>0</v>
      </c>
      <c r="O32" s="577">
        <f t="shared" si="12"/>
        <v>0</v>
      </c>
      <c r="P32" s="578">
        <f t="shared" si="13"/>
        <v>0</v>
      </c>
    </row>
    <row r="33" spans="1:16" ht="22.5" x14ac:dyDescent="0.2">
      <c r="A33" s="179">
        <f>IF(COUNTBLANK(B33)=1," ",COUNTA(B$14:B33))</f>
        <v>17</v>
      </c>
      <c r="B33" s="284" t="s">
        <v>86</v>
      </c>
      <c r="C33" s="285" t="s">
        <v>224</v>
      </c>
      <c r="D33" s="286" t="s">
        <v>84</v>
      </c>
      <c r="E33" s="287">
        <f>0.1*0.02*5</f>
        <v>0.01</v>
      </c>
      <c r="F33" s="576"/>
      <c r="G33" s="577"/>
      <c r="H33" s="572">
        <f t="shared" si="7"/>
        <v>0</v>
      </c>
      <c r="I33" s="577"/>
      <c r="J33" s="577"/>
      <c r="K33" s="573">
        <f t="shared" si="8"/>
        <v>0</v>
      </c>
      <c r="L33" s="574">
        <f t="shared" si="9"/>
        <v>0</v>
      </c>
      <c r="M33" s="572">
        <f t="shared" si="10"/>
        <v>0</v>
      </c>
      <c r="N33" s="572">
        <f t="shared" si="11"/>
        <v>0</v>
      </c>
      <c r="O33" s="572">
        <f t="shared" si="12"/>
        <v>0</v>
      </c>
      <c r="P33" s="573">
        <f t="shared" si="13"/>
        <v>0</v>
      </c>
    </row>
    <row r="34" spans="1:16" x14ac:dyDescent="0.2">
      <c r="A34" s="179">
        <f>IF(COUNTBLANK(B34)=1," ",COUNTA(B$14:B34))</f>
        <v>18</v>
      </c>
      <c r="B34" s="284" t="s">
        <v>86</v>
      </c>
      <c r="C34" s="285" t="s">
        <v>225</v>
      </c>
      <c r="D34" s="279" t="s">
        <v>84</v>
      </c>
      <c r="E34" s="287">
        <v>0.01</v>
      </c>
      <c r="F34" s="576"/>
      <c r="G34" s="577"/>
      <c r="H34" s="577">
        <f t="shared" si="7"/>
        <v>0</v>
      </c>
      <c r="I34" s="577"/>
      <c r="J34" s="577"/>
      <c r="K34" s="578">
        <f t="shared" si="8"/>
        <v>0</v>
      </c>
      <c r="L34" s="576">
        <f t="shared" si="9"/>
        <v>0</v>
      </c>
      <c r="M34" s="577">
        <f t="shared" si="10"/>
        <v>0</v>
      </c>
      <c r="N34" s="577">
        <f t="shared" si="11"/>
        <v>0</v>
      </c>
      <c r="O34" s="577">
        <f t="shared" si="12"/>
        <v>0</v>
      </c>
      <c r="P34" s="578">
        <f t="shared" si="13"/>
        <v>0</v>
      </c>
    </row>
    <row r="35" spans="1:16" ht="33.75" x14ac:dyDescent="0.2">
      <c r="A35" s="179">
        <f>IF(COUNTBLANK(B35)=1," ",COUNTA(B$14:B35))</f>
        <v>19</v>
      </c>
      <c r="B35" s="284" t="s">
        <v>86</v>
      </c>
      <c r="C35" s="285" t="s">
        <v>227</v>
      </c>
      <c r="D35" s="286" t="s">
        <v>56</v>
      </c>
      <c r="E35" s="286">
        <v>2.5</v>
      </c>
      <c r="F35" s="576"/>
      <c r="G35" s="577"/>
      <c r="H35" s="572">
        <f t="shared" si="7"/>
        <v>0</v>
      </c>
      <c r="I35" s="577"/>
      <c r="J35" s="577"/>
      <c r="K35" s="573">
        <f t="shared" si="8"/>
        <v>0</v>
      </c>
      <c r="L35" s="574">
        <f t="shared" si="9"/>
        <v>0</v>
      </c>
      <c r="M35" s="572">
        <f t="shared" si="10"/>
        <v>0</v>
      </c>
      <c r="N35" s="572">
        <f t="shared" si="11"/>
        <v>0</v>
      </c>
      <c r="O35" s="572">
        <f t="shared" si="12"/>
        <v>0</v>
      </c>
      <c r="P35" s="573">
        <f t="shared" si="13"/>
        <v>0</v>
      </c>
    </row>
    <row r="36" spans="1:16" x14ac:dyDescent="0.2">
      <c r="A36" s="179">
        <f>IF(COUNTBLANK(B36)=1," ",COUNTA(B$14:B36))</f>
        <v>20</v>
      </c>
      <c r="B36" s="284" t="s">
        <v>86</v>
      </c>
      <c r="C36" s="285" t="s">
        <v>228</v>
      </c>
      <c r="D36" s="286" t="s">
        <v>56</v>
      </c>
      <c r="E36" s="288">
        <f>E35*1.1</f>
        <v>2.75</v>
      </c>
      <c r="F36" s="576"/>
      <c r="G36" s="577"/>
      <c r="H36" s="577">
        <f t="shared" si="7"/>
        <v>0</v>
      </c>
      <c r="I36" s="577"/>
      <c r="J36" s="577"/>
      <c r="K36" s="578">
        <f t="shared" si="8"/>
        <v>0</v>
      </c>
      <c r="L36" s="576">
        <f t="shared" si="9"/>
        <v>0</v>
      </c>
      <c r="M36" s="577">
        <f t="shared" si="10"/>
        <v>0</v>
      </c>
      <c r="N36" s="577">
        <f t="shared" si="11"/>
        <v>0</v>
      </c>
      <c r="O36" s="577">
        <f t="shared" si="12"/>
        <v>0</v>
      </c>
      <c r="P36" s="578">
        <f t="shared" si="13"/>
        <v>0</v>
      </c>
    </row>
    <row r="37" spans="1:16" ht="22.5" x14ac:dyDescent="0.2">
      <c r="A37" s="179">
        <f>IF(COUNTBLANK(B37)=1," ",COUNTA(B$14:B37))</f>
        <v>21</v>
      </c>
      <c r="B37" s="284" t="s">
        <v>86</v>
      </c>
      <c r="C37" s="285" t="s">
        <v>495</v>
      </c>
      <c r="D37" s="286" t="s">
        <v>90</v>
      </c>
      <c r="E37" s="288">
        <f>0.25*11*1.26</f>
        <v>3.4649999999999999</v>
      </c>
      <c r="F37" s="576"/>
      <c r="G37" s="577"/>
      <c r="H37" s="572">
        <f t="shared" si="7"/>
        <v>0</v>
      </c>
      <c r="I37" s="577"/>
      <c r="J37" s="577"/>
      <c r="K37" s="573">
        <f t="shared" si="8"/>
        <v>0</v>
      </c>
      <c r="L37" s="574">
        <f t="shared" si="9"/>
        <v>0</v>
      </c>
      <c r="M37" s="572">
        <f t="shared" si="10"/>
        <v>0</v>
      </c>
      <c r="N37" s="572">
        <f t="shared" si="11"/>
        <v>0</v>
      </c>
      <c r="O37" s="572">
        <f t="shared" si="12"/>
        <v>0</v>
      </c>
      <c r="P37" s="573">
        <f t="shared" si="13"/>
        <v>0</v>
      </c>
    </row>
    <row r="38" spans="1:16" ht="22.5" x14ac:dyDescent="0.2">
      <c r="A38" s="179">
        <f>IF(COUNTBLANK(B38)=1," ",COUNTA(B$14:B38))</f>
        <v>22</v>
      </c>
      <c r="B38" s="284" t="s">
        <v>86</v>
      </c>
      <c r="C38" s="285" t="s">
        <v>229</v>
      </c>
      <c r="D38" s="286" t="s">
        <v>91</v>
      </c>
      <c r="E38" s="288">
        <v>22</v>
      </c>
      <c r="F38" s="576"/>
      <c r="G38" s="577"/>
      <c r="H38" s="577">
        <f t="shared" si="7"/>
        <v>0</v>
      </c>
      <c r="I38" s="577"/>
      <c r="J38" s="577"/>
      <c r="K38" s="578">
        <f t="shared" si="8"/>
        <v>0</v>
      </c>
      <c r="L38" s="576">
        <f t="shared" si="9"/>
        <v>0</v>
      </c>
      <c r="M38" s="577">
        <f t="shared" si="10"/>
        <v>0</v>
      </c>
      <c r="N38" s="577">
        <f t="shared" si="11"/>
        <v>0</v>
      </c>
      <c r="O38" s="577">
        <f t="shared" si="12"/>
        <v>0</v>
      </c>
      <c r="P38" s="578">
        <f t="shared" si="13"/>
        <v>0</v>
      </c>
    </row>
    <row r="39" spans="1:16" ht="33.75" x14ac:dyDescent="0.2">
      <c r="A39" s="179">
        <f>IF(COUNTBLANK(B39)=1," ",COUNTA(B$14:B39))</f>
        <v>23</v>
      </c>
      <c r="B39" s="284" t="s">
        <v>86</v>
      </c>
      <c r="C39" s="285" t="s">
        <v>627</v>
      </c>
      <c r="D39" s="286" t="s">
        <v>88</v>
      </c>
      <c r="E39" s="286">
        <v>5</v>
      </c>
      <c r="F39" s="576"/>
      <c r="G39" s="577"/>
      <c r="H39" s="572">
        <f t="shared" si="7"/>
        <v>0</v>
      </c>
      <c r="I39" s="577"/>
      <c r="J39" s="577"/>
      <c r="K39" s="573">
        <f t="shared" si="8"/>
        <v>0</v>
      </c>
      <c r="L39" s="574">
        <f t="shared" si="9"/>
        <v>0</v>
      </c>
      <c r="M39" s="572">
        <f t="shared" si="10"/>
        <v>0</v>
      </c>
      <c r="N39" s="572">
        <f t="shared" si="11"/>
        <v>0</v>
      </c>
      <c r="O39" s="572">
        <f t="shared" si="12"/>
        <v>0</v>
      </c>
      <c r="P39" s="573">
        <f t="shared" si="13"/>
        <v>0</v>
      </c>
    </row>
    <row r="40" spans="1:16" ht="12" thickBot="1" x14ac:dyDescent="0.25">
      <c r="A40" s="179" t="str">
        <f>IF(COUNTBLANK(B40)=1," ",COUNTA(B$14:B40))</f>
        <v xml:space="preserve"> </v>
      </c>
      <c r="B40" s="281"/>
      <c r="C40" s="278" t="s">
        <v>496</v>
      </c>
      <c r="D40" s="282"/>
      <c r="E40" s="282"/>
      <c r="F40" s="576"/>
      <c r="G40" s="577"/>
      <c r="H40" s="577">
        <f t="shared" si="7"/>
        <v>0</v>
      </c>
      <c r="I40" s="577"/>
      <c r="J40" s="577"/>
      <c r="K40" s="578">
        <f t="shared" si="8"/>
        <v>0</v>
      </c>
      <c r="L40" s="576">
        <f t="shared" si="9"/>
        <v>0</v>
      </c>
      <c r="M40" s="577">
        <f t="shared" si="10"/>
        <v>0</v>
      </c>
      <c r="N40" s="577">
        <f t="shared" si="11"/>
        <v>0</v>
      </c>
      <c r="O40" s="577">
        <f t="shared" si="12"/>
        <v>0</v>
      </c>
      <c r="P40" s="578">
        <f t="shared" si="13"/>
        <v>0</v>
      </c>
    </row>
    <row r="41" spans="1:16" ht="22.5" x14ac:dyDescent="0.2">
      <c r="A41" s="179">
        <f>IF(COUNTBLANK(B41)=1," ",COUNTA(B$14:B41))</f>
        <v>24</v>
      </c>
      <c r="B41" s="284" t="s">
        <v>86</v>
      </c>
      <c r="C41" s="280" t="s">
        <v>497</v>
      </c>
      <c r="D41" s="282" t="s">
        <v>176</v>
      </c>
      <c r="E41" s="282">
        <v>2.5</v>
      </c>
      <c r="F41" s="576"/>
      <c r="G41" s="577"/>
      <c r="H41" s="572">
        <f t="shared" si="7"/>
        <v>0</v>
      </c>
      <c r="I41" s="577"/>
      <c r="J41" s="577"/>
      <c r="K41" s="573">
        <f t="shared" si="8"/>
        <v>0</v>
      </c>
      <c r="L41" s="574">
        <f t="shared" si="9"/>
        <v>0</v>
      </c>
      <c r="M41" s="572">
        <f t="shared" si="10"/>
        <v>0</v>
      </c>
      <c r="N41" s="572">
        <f t="shared" si="11"/>
        <v>0</v>
      </c>
      <c r="O41" s="572">
        <f t="shared" si="12"/>
        <v>0</v>
      </c>
      <c r="P41" s="573">
        <f t="shared" si="13"/>
        <v>0</v>
      </c>
    </row>
    <row r="42" spans="1:16" ht="22.5" x14ac:dyDescent="0.2">
      <c r="A42" s="179">
        <f>IF(COUNTBLANK(B42)=1," ",COUNTA(B$14:B42))</f>
        <v>25</v>
      </c>
      <c r="B42" s="284" t="s">
        <v>86</v>
      </c>
      <c r="C42" s="283" t="s">
        <v>498</v>
      </c>
      <c r="D42" s="279" t="s">
        <v>84</v>
      </c>
      <c r="E42" s="289">
        <v>0.02</v>
      </c>
      <c r="F42" s="576"/>
      <c r="G42" s="577"/>
      <c r="H42" s="577">
        <f t="shared" si="7"/>
        <v>0</v>
      </c>
      <c r="I42" s="577"/>
      <c r="J42" s="577"/>
      <c r="K42" s="578">
        <f t="shared" si="8"/>
        <v>0</v>
      </c>
      <c r="L42" s="576">
        <f t="shared" si="9"/>
        <v>0</v>
      </c>
      <c r="M42" s="577">
        <f t="shared" si="10"/>
        <v>0</v>
      </c>
      <c r="N42" s="577">
        <f t="shared" si="11"/>
        <v>0</v>
      </c>
      <c r="O42" s="577">
        <f t="shared" si="12"/>
        <v>0</v>
      </c>
      <c r="P42" s="578">
        <f t="shared" si="13"/>
        <v>0</v>
      </c>
    </row>
    <row r="43" spans="1:16" x14ac:dyDescent="0.2">
      <c r="A43" s="179">
        <f>IF(COUNTBLANK(B43)=1," ",COUNTA(B$14:B43))</f>
        <v>26</v>
      </c>
      <c r="B43" s="284" t="s">
        <v>86</v>
      </c>
      <c r="C43" s="283" t="s">
        <v>499</v>
      </c>
      <c r="D43" s="279" t="s">
        <v>84</v>
      </c>
      <c r="E43" s="290">
        <v>0.05</v>
      </c>
      <c r="F43" s="576"/>
      <c r="G43" s="577"/>
      <c r="H43" s="572">
        <f t="shared" si="7"/>
        <v>0</v>
      </c>
      <c r="I43" s="577"/>
      <c r="J43" s="577"/>
      <c r="K43" s="573">
        <f t="shared" si="8"/>
        <v>0</v>
      </c>
      <c r="L43" s="574">
        <f t="shared" si="9"/>
        <v>0</v>
      </c>
      <c r="M43" s="572">
        <f t="shared" si="10"/>
        <v>0</v>
      </c>
      <c r="N43" s="572">
        <f t="shared" si="11"/>
        <v>0</v>
      </c>
      <c r="O43" s="572">
        <f t="shared" si="12"/>
        <v>0</v>
      </c>
      <c r="P43" s="573">
        <f t="shared" si="13"/>
        <v>0</v>
      </c>
    </row>
    <row r="44" spans="1:16" ht="22.5" x14ac:dyDescent="0.2">
      <c r="A44" s="179">
        <f>IF(COUNTBLANK(B44)=1," ",COUNTA(B$14:B44))</f>
        <v>27</v>
      </c>
      <c r="B44" s="284" t="s">
        <v>86</v>
      </c>
      <c r="C44" s="283" t="s">
        <v>223</v>
      </c>
      <c r="D44" s="279" t="s">
        <v>91</v>
      </c>
      <c r="E44" s="279">
        <v>13</v>
      </c>
      <c r="F44" s="576"/>
      <c r="G44" s="577"/>
      <c r="H44" s="577">
        <f t="shared" si="7"/>
        <v>0</v>
      </c>
      <c r="I44" s="577"/>
      <c r="J44" s="577"/>
      <c r="K44" s="578">
        <f t="shared" si="8"/>
        <v>0</v>
      </c>
      <c r="L44" s="576">
        <f t="shared" si="9"/>
        <v>0</v>
      </c>
      <c r="M44" s="577">
        <f t="shared" si="10"/>
        <v>0</v>
      </c>
      <c r="N44" s="577">
        <f t="shared" si="11"/>
        <v>0</v>
      </c>
      <c r="O44" s="577">
        <f t="shared" si="12"/>
        <v>0</v>
      </c>
      <c r="P44" s="578">
        <f t="shared" si="13"/>
        <v>0</v>
      </c>
    </row>
    <row r="45" spans="1:16" ht="22.5" x14ac:dyDescent="0.2">
      <c r="A45" s="179">
        <f>IF(COUNTBLANK(B45)=1," ",COUNTA(B$14:B45))</f>
        <v>28</v>
      </c>
      <c r="B45" s="284" t="s">
        <v>86</v>
      </c>
      <c r="C45" s="283" t="s">
        <v>626</v>
      </c>
      <c r="D45" s="279" t="s">
        <v>56</v>
      </c>
      <c r="E45" s="279">
        <f>6.25*0.3</f>
        <v>1.875</v>
      </c>
      <c r="F45" s="576"/>
      <c r="G45" s="577"/>
      <c r="H45" s="572">
        <f t="shared" si="7"/>
        <v>0</v>
      </c>
      <c r="I45" s="577"/>
      <c r="J45" s="577"/>
      <c r="K45" s="573">
        <f t="shared" si="8"/>
        <v>0</v>
      </c>
      <c r="L45" s="574">
        <f t="shared" si="9"/>
        <v>0</v>
      </c>
      <c r="M45" s="572">
        <f t="shared" si="10"/>
        <v>0</v>
      </c>
      <c r="N45" s="572">
        <f t="shared" si="11"/>
        <v>0</v>
      </c>
      <c r="O45" s="572">
        <f t="shared" si="12"/>
        <v>0</v>
      </c>
      <c r="P45" s="573">
        <f t="shared" si="13"/>
        <v>0</v>
      </c>
    </row>
    <row r="46" spans="1:16" ht="33.75" x14ac:dyDescent="0.2">
      <c r="A46" s="179">
        <f>IF(COUNTBLANK(B46)=1," ",COUNTA(B$14:B46))</f>
        <v>29</v>
      </c>
      <c r="B46" s="284" t="s">
        <v>86</v>
      </c>
      <c r="C46" s="285" t="s">
        <v>227</v>
      </c>
      <c r="D46" s="286" t="s">
        <v>56</v>
      </c>
      <c r="E46" s="286">
        <f>0.75*6.25</f>
        <v>4.6875</v>
      </c>
      <c r="F46" s="576"/>
      <c r="G46" s="577"/>
      <c r="H46" s="577">
        <f t="shared" si="7"/>
        <v>0</v>
      </c>
      <c r="I46" s="577"/>
      <c r="J46" s="577"/>
      <c r="K46" s="578">
        <f t="shared" si="8"/>
        <v>0</v>
      </c>
      <c r="L46" s="576">
        <f t="shared" si="9"/>
        <v>0</v>
      </c>
      <c r="M46" s="577">
        <f t="shared" si="10"/>
        <v>0</v>
      </c>
      <c r="N46" s="577">
        <f t="shared" si="11"/>
        <v>0</v>
      </c>
      <c r="O46" s="577">
        <f t="shared" si="12"/>
        <v>0</v>
      </c>
      <c r="P46" s="578">
        <f t="shared" si="13"/>
        <v>0</v>
      </c>
    </row>
    <row r="47" spans="1:16" x14ac:dyDescent="0.2">
      <c r="A47" s="179">
        <f>IF(COUNTBLANK(B47)=1," ",COUNTA(B$14:B47))</f>
        <v>30</v>
      </c>
      <c r="B47" s="284" t="s">
        <v>86</v>
      </c>
      <c r="C47" s="285" t="s">
        <v>228</v>
      </c>
      <c r="D47" s="286" t="s">
        <v>56</v>
      </c>
      <c r="E47" s="288">
        <f>E46*1.1</f>
        <v>5.15625</v>
      </c>
      <c r="F47" s="576"/>
      <c r="G47" s="577"/>
      <c r="H47" s="572">
        <f t="shared" si="7"/>
        <v>0</v>
      </c>
      <c r="I47" s="577"/>
      <c r="J47" s="577"/>
      <c r="K47" s="573">
        <f t="shared" si="8"/>
        <v>0</v>
      </c>
      <c r="L47" s="574">
        <f t="shared" si="9"/>
        <v>0</v>
      </c>
      <c r="M47" s="572">
        <f t="shared" si="10"/>
        <v>0</v>
      </c>
      <c r="N47" s="572">
        <f t="shared" si="11"/>
        <v>0</v>
      </c>
      <c r="O47" s="572">
        <f t="shared" si="12"/>
        <v>0</v>
      </c>
      <c r="P47" s="573">
        <f t="shared" si="13"/>
        <v>0</v>
      </c>
    </row>
    <row r="48" spans="1:16" ht="22.5" x14ac:dyDescent="0.2">
      <c r="A48" s="179">
        <f>IF(COUNTBLANK(B48)=1," ",COUNTA(B$14:B48))</f>
        <v>31</v>
      </c>
      <c r="B48" s="284" t="s">
        <v>86</v>
      </c>
      <c r="C48" s="285" t="s">
        <v>500</v>
      </c>
      <c r="D48" s="286" t="s">
        <v>90</v>
      </c>
      <c r="E48" s="288">
        <f>0.5*13*1.26</f>
        <v>8.19</v>
      </c>
      <c r="F48" s="576"/>
      <c r="G48" s="577"/>
      <c r="H48" s="577">
        <f t="shared" si="7"/>
        <v>0</v>
      </c>
      <c r="I48" s="577"/>
      <c r="J48" s="577"/>
      <c r="K48" s="578">
        <f t="shared" si="8"/>
        <v>0</v>
      </c>
      <c r="L48" s="576">
        <f t="shared" si="9"/>
        <v>0</v>
      </c>
      <c r="M48" s="577">
        <f t="shared" si="10"/>
        <v>0</v>
      </c>
      <c r="N48" s="577">
        <f t="shared" si="11"/>
        <v>0</v>
      </c>
      <c r="O48" s="577">
        <f t="shared" si="12"/>
        <v>0</v>
      </c>
      <c r="P48" s="578">
        <f t="shared" si="13"/>
        <v>0</v>
      </c>
    </row>
    <row r="49" spans="1:16" ht="22.5" x14ac:dyDescent="0.2">
      <c r="A49" s="179">
        <f>IF(COUNTBLANK(B49)=1," ",COUNTA(B$14:B49))</f>
        <v>32</v>
      </c>
      <c r="B49" s="284" t="s">
        <v>86</v>
      </c>
      <c r="C49" s="285" t="s">
        <v>229</v>
      </c>
      <c r="D49" s="286" t="s">
        <v>91</v>
      </c>
      <c r="E49" s="288">
        <v>26</v>
      </c>
      <c r="F49" s="576"/>
      <c r="G49" s="577"/>
      <c r="H49" s="572">
        <f t="shared" si="7"/>
        <v>0</v>
      </c>
      <c r="I49" s="577"/>
      <c r="J49" s="577"/>
      <c r="K49" s="573">
        <f t="shared" si="8"/>
        <v>0</v>
      </c>
      <c r="L49" s="574">
        <f t="shared" si="9"/>
        <v>0</v>
      </c>
      <c r="M49" s="572">
        <f t="shared" si="10"/>
        <v>0</v>
      </c>
      <c r="N49" s="572">
        <f t="shared" si="11"/>
        <v>0</v>
      </c>
      <c r="O49" s="572">
        <f t="shared" si="12"/>
        <v>0</v>
      </c>
      <c r="P49" s="573">
        <f t="shared" si="13"/>
        <v>0</v>
      </c>
    </row>
    <row r="50" spans="1:16" ht="33.75" x14ac:dyDescent="0.2">
      <c r="A50" s="179">
        <f>IF(COUNTBLANK(B50)=1," ",COUNTA(B$14:B50))</f>
        <v>33</v>
      </c>
      <c r="B50" s="284" t="s">
        <v>86</v>
      </c>
      <c r="C50" s="285" t="s">
        <v>627</v>
      </c>
      <c r="D50" s="286" t="s">
        <v>88</v>
      </c>
      <c r="E50" s="286">
        <v>6.25</v>
      </c>
      <c r="F50" s="576"/>
      <c r="G50" s="577"/>
      <c r="H50" s="577">
        <f t="shared" si="7"/>
        <v>0</v>
      </c>
      <c r="I50" s="577"/>
      <c r="J50" s="577"/>
      <c r="K50" s="578">
        <f t="shared" si="8"/>
        <v>0</v>
      </c>
      <c r="L50" s="576">
        <f t="shared" si="9"/>
        <v>0</v>
      </c>
      <c r="M50" s="577">
        <f t="shared" si="10"/>
        <v>0</v>
      </c>
      <c r="N50" s="577">
        <f t="shared" si="11"/>
        <v>0</v>
      </c>
      <c r="O50" s="577">
        <f t="shared" si="12"/>
        <v>0</v>
      </c>
      <c r="P50" s="578">
        <f t="shared" si="13"/>
        <v>0</v>
      </c>
    </row>
    <row r="51" spans="1:16" ht="23.25" thickBot="1" x14ac:dyDescent="0.25">
      <c r="A51" s="179" t="str">
        <f>IF(COUNTBLANK(B51)=1," ",COUNTA(B$14:B51))</f>
        <v xml:space="preserve"> </v>
      </c>
      <c r="B51" s="281"/>
      <c r="C51" s="278" t="s">
        <v>504</v>
      </c>
      <c r="D51" s="282"/>
      <c r="E51" s="282"/>
      <c r="F51" s="576"/>
      <c r="G51" s="577"/>
      <c r="H51" s="572">
        <f t="shared" si="7"/>
        <v>0</v>
      </c>
      <c r="I51" s="577"/>
      <c r="J51" s="577"/>
      <c r="K51" s="573">
        <f t="shared" si="8"/>
        <v>0</v>
      </c>
      <c r="L51" s="574">
        <f t="shared" si="9"/>
        <v>0</v>
      </c>
      <c r="M51" s="572">
        <f t="shared" si="10"/>
        <v>0</v>
      </c>
      <c r="N51" s="572">
        <f t="shared" si="11"/>
        <v>0</v>
      </c>
      <c r="O51" s="572">
        <f t="shared" si="12"/>
        <v>0</v>
      </c>
      <c r="P51" s="573">
        <f t="shared" si="13"/>
        <v>0</v>
      </c>
    </row>
    <row r="52" spans="1:16" ht="22.5" x14ac:dyDescent="0.2">
      <c r="A52" s="179">
        <f>IF(COUNTBLANK(B52)=1," ",COUNTA(B$14:B52))</f>
        <v>34</v>
      </c>
      <c r="B52" s="281" t="s">
        <v>86</v>
      </c>
      <c r="C52" s="280" t="s">
        <v>220</v>
      </c>
      <c r="D52" s="282" t="s">
        <v>88</v>
      </c>
      <c r="E52" s="282">
        <v>46</v>
      </c>
      <c r="F52" s="576"/>
      <c r="G52" s="577"/>
      <c r="H52" s="577">
        <f t="shared" si="7"/>
        <v>0</v>
      </c>
      <c r="I52" s="577"/>
      <c r="J52" s="577"/>
      <c r="K52" s="578">
        <f t="shared" si="8"/>
        <v>0</v>
      </c>
      <c r="L52" s="576">
        <f t="shared" si="9"/>
        <v>0</v>
      </c>
      <c r="M52" s="577">
        <f t="shared" si="10"/>
        <v>0</v>
      </c>
      <c r="N52" s="577">
        <f t="shared" si="11"/>
        <v>0</v>
      </c>
      <c r="O52" s="577">
        <f t="shared" si="12"/>
        <v>0</v>
      </c>
      <c r="P52" s="578">
        <f t="shared" si="13"/>
        <v>0</v>
      </c>
    </row>
    <row r="53" spans="1:16" ht="22.5" x14ac:dyDescent="0.2">
      <c r="A53" s="179">
        <f>IF(COUNTBLANK(B53)=1," ",COUNTA(B$14:B53))</f>
        <v>35</v>
      </c>
      <c r="B53" s="281" t="s">
        <v>86</v>
      </c>
      <c r="C53" s="285" t="s">
        <v>505</v>
      </c>
      <c r="D53" s="286" t="s">
        <v>84</v>
      </c>
      <c r="E53" s="287">
        <f>21.5*0.03</f>
        <v>0.64500000000000002</v>
      </c>
      <c r="F53" s="576"/>
      <c r="G53" s="577"/>
      <c r="H53" s="572">
        <f t="shared" si="7"/>
        <v>0</v>
      </c>
      <c r="I53" s="577"/>
      <c r="J53" s="577"/>
      <c r="K53" s="573">
        <f t="shared" si="8"/>
        <v>0</v>
      </c>
      <c r="L53" s="574">
        <f t="shared" si="9"/>
        <v>0</v>
      </c>
      <c r="M53" s="572">
        <f t="shared" si="10"/>
        <v>0</v>
      </c>
      <c r="N53" s="572">
        <f t="shared" si="11"/>
        <v>0</v>
      </c>
      <c r="O53" s="572">
        <f t="shared" si="12"/>
        <v>0</v>
      </c>
      <c r="P53" s="573">
        <f t="shared" si="13"/>
        <v>0</v>
      </c>
    </row>
    <row r="54" spans="1:16" x14ac:dyDescent="0.2">
      <c r="A54" s="179">
        <f>IF(COUNTBLANK(B54)=1," ",COUNTA(B$14:B54))</f>
        <v>36</v>
      </c>
      <c r="B54" s="281" t="s">
        <v>86</v>
      </c>
      <c r="C54" s="285" t="s">
        <v>225</v>
      </c>
      <c r="D54" s="279" t="s">
        <v>84</v>
      </c>
      <c r="E54" s="287">
        <v>0.65</v>
      </c>
      <c r="F54" s="576"/>
      <c r="G54" s="577"/>
      <c r="H54" s="577">
        <f t="shared" si="7"/>
        <v>0</v>
      </c>
      <c r="I54" s="577"/>
      <c r="J54" s="577"/>
      <c r="K54" s="578">
        <f t="shared" si="8"/>
        <v>0</v>
      </c>
      <c r="L54" s="576">
        <f t="shared" si="9"/>
        <v>0</v>
      </c>
      <c r="M54" s="577">
        <f t="shared" si="10"/>
        <v>0</v>
      </c>
      <c r="N54" s="577">
        <f t="shared" si="11"/>
        <v>0</v>
      </c>
      <c r="O54" s="577">
        <f t="shared" si="12"/>
        <v>0</v>
      </c>
      <c r="P54" s="578">
        <f t="shared" si="13"/>
        <v>0</v>
      </c>
    </row>
    <row r="55" spans="1:16" ht="22.5" x14ac:dyDescent="0.2">
      <c r="A55" s="179">
        <f>IF(COUNTBLANK(B55)=1," ",COUNTA(B$14:B55))</f>
        <v>37</v>
      </c>
      <c r="B55" s="281" t="s">
        <v>86</v>
      </c>
      <c r="C55" s="283" t="s">
        <v>628</v>
      </c>
      <c r="D55" s="279" t="s">
        <v>56</v>
      </c>
      <c r="E55" s="279">
        <f>46*0.3</f>
        <v>13.799999999999999</v>
      </c>
      <c r="F55" s="576"/>
      <c r="G55" s="577"/>
      <c r="H55" s="572">
        <f t="shared" si="7"/>
        <v>0</v>
      </c>
      <c r="I55" s="577"/>
      <c r="J55" s="577"/>
      <c r="K55" s="573">
        <f t="shared" si="8"/>
        <v>0</v>
      </c>
      <c r="L55" s="574">
        <f t="shared" si="9"/>
        <v>0</v>
      </c>
      <c r="M55" s="572">
        <f t="shared" si="10"/>
        <v>0</v>
      </c>
      <c r="N55" s="572">
        <f t="shared" si="11"/>
        <v>0</v>
      </c>
      <c r="O55" s="572">
        <f t="shared" si="12"/>
        <v>0</v>
      </c>
      <c r="P55" s="573">
        <f t="shared" si="13"/>
        <v>0</v>
      </c>
    </row>
    <row r="56" spans="1:16" ht="33.75" x14ac:dyDescent="0.2">
      <c r="A56" s="179">
        <f>IF(COUNTBLANK(B56)=1," ",COUNTA(B$14:B56))</f>
        <v>38</v>
      </c>
      <c r="B56" s="281" t="s">
        <v>86</v>
      </c>
      <c r="C56" s="285" t="s">
        <v>506</v>
      </c>
      <c r="D56" s="286" t="s">
        <v>56</v>
      </c>
      <c r="E56" s="286">
        <f>0.8*46</f>
        <v>36.800000000000004</v>
      </c>
      <c r="F56" s="576"/>
      <c r="G56" s="577"/>
      <c r="H56" s="577">
        <f t="shared" si="7"/>
        <v>0</v>
      </c>
      <c r="I56" s="577"/>
      <c r="J56" s="577"/>
      <c r="K56" s="578">
        <f t="shared" si="8"/>
        <v>0</v>
      </c>
      <c r="L56" s="576">
        <f t="shared" si="9"/>
        <v>0</v>
      </c>
      <c r="M56" s="577">
        <f t="shared" si="10"/>
        <v>0</v>
      </c>
      <c r="N56" s="577">
        <f t="shared" si="11"/>
        <v>0</v>
      </c>
      <c r="O56" s="577">
        <f t="shared" si="12"/>
        <v>0</v>
      </c>
      <c r="P56" s="578">
        <f t="shared" si="13"/>
        <v>0</v>
      </c>
    </row>
    <row r="57" spans="1:16" x14ac:dyDescent="0.2">
      <c r="A57" s="179">
        <f>IF(COUNTBLANK(B57)=1," ",COUNTA(B$14:B57))</f>
        <v>39</v>
      </c>
      <c r="B57" s="281" t="s">
        <v>86</v>
      </c>
      <c r="C57" s="285" t="s">
        <v>228</v>
      </c>
      <c r="D57" s="286" t="s">
        <v>56</v>
      </c>
      <c r="E57" s="288">
        <f>E56*1.1</f>
        <v>40.480000000000011</v>
      </c>
      <c r="F57" s="576"/>
      <c r="G57" s="577"/>
      <c r="H57" s="572">
        <f t="shared" si="7"/>
        <v>0</v>
      </c>
      <c r="I57" s="577"/>
      <c r="J57" s="577"/>
      <c r="K57" s="573">
        <f t="shared" si="8"/>
        <v>0</v>
      </c>
      <c r="L57" s="574">
        <f t="shared" si="9"/>
        <v>0</v>
      </c>
      <c r="M57" s="572">
        <f t="shared" si="10"/>
        <v>0</v>
      </c>
      <c r="N57" s="572">
        <f t="shared" si="11"/>
        <v>0</v>
      </c>
      <c r="O57" s="572">
        <f t="shared" si="12"/>
        <v>0</v>
      </c>
      <c r="P57" s="573">
        <f t="shared" si="13"/>
        <v>0</v>
      </c>
    </row>
    <row r="58" spans="1:16" ht="22.5" x14ac:dyDescent="0.2">
      <c r="A58" s="179">
        <f>IF(COUNTBLANK(B58)=1," ",COUNTA(B$14:B58))</f>
        <v>40</v>
      </c>
      <c r="B58" s="281" t="s">
        <v>86</v>
      </c>
      <c r="C58" s="285" t="s">
        <v>507</v>
      </c>
      <c r="D58" s="286" t="s">
        <v>90</v>
      </c>
      <c r="E58" s="288">
        <f>5*0.3*1.26</f>
        <v>1.8900000000000001</v>
      </c>
      <c r="F58" s="576"/>
      <c r="G58" s="577"/>
      <c r="H58" s="577">
        <f t="shared" si="7"/>
        <v>0</v>
      </c>
      <c r="I58" s="577"/>
      <c r="J58" s="577"/>
      <c r="K58" s="578">
        <f t="shared" si="8"/>
        <v>0</v>
      </c>
      <c r="L58" s="576">
        <f t="shared" si="9"/>
        <v>0</v>
      </c>
      <c r="M58" s="577">
        <f t="shared" si="10"/>
        <v>0</v>
      </c>
      <c r="N58" s="577">
        <f t="shared" si="11"/>
        <v>0</v>
      </c>
      <c r="O58" s="577">
        <f t="shared" si="12"/>
        <v>0</v>
      </c>
      <c r="P58" s="578">
        <f t="shared" si="13"/>
        <v>0</v>
      </c>
    </row>
    <row r="59" spans="1:16" ht="22.5" x14ac:dyDescent="0.2">
      <c r="A59" s="179">
        <f>IF(COUNTBLANK(B59)=1," ",COUNTA(B$14:B59))</f>
        <v>41</v>
      </c>
      <c r="B59" s="281" t="s">
        <v>86</v>
      </c>
      <c r="C59" s="285" t="s">
        <v>508</v>
      </c>
      <c r="D59" s="282" t="s">
        <v>90</v>
      </c>
      <c r="E59" s="132">
        <f>38*0.45*1.26</f>
        <v>21.546000000000003</v>
      </c>
      <c r="F59" s="576"/>
      <c r="G59" s="577"/>
      <c r="H59" s="572">
        <f t="shared" si="7"/>
        <v>0</v>
      </c>
      <c r="I59" s="577"/>
      <c r="J59" s="577"/>
      <c r="K59" s="573">
        <f t="shared" si="8"/>
        <v>0</v>
      </c>
      <c r="L59" s="574">
        <f t="shared" si="9"/>
        <v>0</v>
      </c>
      <c r="M59" s="572">
        <f t="shared" si="10"/>
        <v>0</v>
      </c>
      <c r="N59" s="572">
        <f t="shared" si="11"/>
        <v>0</v>
      </c>
      <c r="O59" s="572">
        <f t="shared" si="12"/>
        <v>0</v>
      </c>
      <c r="P59" s="573">
        <f t="shared" si="13"/>
        <v>0</v>
      </c>
    </row>
    <row r="60" spans="1:16" ht="22.5" x14ac:dyDescent="0.2">
      <c r="A60" s="179">
        <f>IF(COUNTBLANK(B60)=1," ",COUNTA(B$14:B60))</f>
        <v>42</v>
      </c>
      <c r="B60" s="281" t="s">
        <v>86</v>
      </c>
      <c r="C60" s="285" t="s">
        <v>509</v>
      </c>
      <c r="D60" s="282" t="s">
        <v>90</v>
      </c>
      <c r="E60" s="132">
        <f>3*0.5*1.26</f>
        <v>1.8900000000000001</v>
      </c>
      <c r="F60" s="576"/>
      <c r="G60" s="577"/>
      <c r="H60" s="577">
        <f t="shared" si="7"/>
        <v>0</v>
      </c>
      <c r="I60" s="577"/>
      <c r="J60" s="577"/>
      <c r="K60" s="578">
        <f t="shared" si="8"/>
        <v>0</v>
      </c>
      <c r="L60" s="576">
        <f t="shared" si="9"/>
        <v>0</v>
      </c>
      <c r="M60" s="577">
        <f t="shared" si="10"/>
        <v>0</v>
      </c>
      <c r="N60" s="577">
        <f t="shared" si="11"/>
        <v>0</v>
      </c>
      <c r="O60" s="577">
        <f t="shared" si="12"/>
        <v>0</v>
      </c>
      <c r="P60" s="578">
        <f t="shared" si="13"/>
        <v>0</v>
      </c>
    </row>
    <row r="61" spans="1:16" ht="22.5" x14ac:dyDescent="0.2">
      <c r="A61" s="179">
        <f>IF(COUNTBLANK(B61)=1," ",COUNTA(B$14:B61))</f>
        <v>43</v>
      </c>
      <c r="B61" s="281" t="s">
        <v>86</v>
      </c>
      <c r="C61" s="285" t="s">
        <v>229</v>
      </c>
      <c r="D61" s="286" t="s">
        <v>91</v>
      </c>
      <c r="E61" s="288">
        <f>46*2</f>
        <v>92</v>
      </c>
      <c r="F61" s="576"/>
      <c r="G61" s="577"/>
      <c r="H61" s="572">
        <f t="shared" si="7"/>
        <v>0</v>
      </c>
      <c r="I61" s="577"/>
      <c r="J61" s="577"/>
      <c r="K61" s="573">
        <f t="shared" si="8"/>
        <v>0</v>
      </c>
      <c r="L61" s="574">
        <f t="shared" si="9"/>
        <v>0</v>
      </c>
      <c r="M61" s="572">
        <f t="shared" si="10"/>
        <v>0</v>
      </c>
      <c r="N61" s="572">
        <f t="shared" si="11"/>
        <v>0</v>
      </c>
      <c r="O61" s="572">
        <f t="shared" si="12"/>
        <v>0</v>
      </c>
      <c r="P61" s="573">
        <f t="shared" si="13"/>
        <v>0</v>
      </c>
    </row>
    <row r="62" spans="1:16" ht="23.25" thickBot="1" x14ac:dyDescent="0.25">
      <c r="A62" s="179" t="str">
        <f>IF(COUNTBLANK(B62)=1," ",COUNTA(B$14:B62))</f>
        <v xml:space="preserve"> </v>
      </c>
      <c r="B62" s="284"/>
      <c r="C62" s="278" t="s">
        <v>231</v>
      </c>
      <c r="D62" s="286"/>
      <c r="E62" s="286"/>
      <c r="F62" s="576"/>
      <c r="G62" s="577"/>
      <c r="H62" s="577">
        <f t="shared" si="7"/>
        <v>0</v>
      </c>
      <c r="I62" s="577"/>
      <c r="J62" s="577"/>
      <c r="K62" s="578">
        <f t="shared" si="8"/>
        <v>0</v>
      </c>
      <c r="L62" s="576">
        <f t="shared" si="9"/>
        <v>0</v>
      </c>
      <c r="M62" s="577">
        <f t="shared" si="10"/>
        <v>0</v>
      </c>
      <c r="N62" s="577">
        <f t="shared" si="11"/>
        <v>0</v>
      </c>
      <c r="O62" s="577">
        <f t="shared" si="12"/>
        <v>0</v>
      </c>
      <c r="P62" s="578">
        <f t="shared" si="13"/>
        <v>0</v>
      </c>
    </row>
    <row r="63" spans="1:16" x14ac:dyDescent="0.2">
      <c r="A63" s="179">
        <f>IF(COUNTBLANK(B63)=1," ",COUNTA(B$14:B63))</f>
        <v>44</v>
      </c>
      <c r="B63" s="284" t="s">
        <v>86</v>
      </c>
      <c r="C63" s="280" t="s">
        <v>511</v>
      </c>
      <c r="D63" s="282" t="s">
        <v>88</v>
      </c>
      <c r="E63" s="282">
        <v>117</v>
      </c>
      <c r="F63" s="576"/>
      <c r="G63" s="577"/>
      <c r="H63" s="572">
        <f t="shared" si="7"/>
        <v>0</v>
      </c>
      <c r="I63" s="577"/>
      <c r="J63" s="577"/>
      <c r="K63" s="573">
        <f t="shared" si="8"/>
        <v>0</v>
      </c>
      <c r="L63" s="574">
        <f t="shared" si="9"/>
        <v>0</v>
      </c>
      <c r="M63" s="572">
        <f t="shared" si="10"/>
        <v>0</v>
      </c>
      <c r="N63" s="572">
        <f t="shared" si="11"/>
        <v>0</v>
      </c>
      <c r="O63" s="572">
        <f t="shared" si="12"/>
        <v>0</v>
      </c>
      <c r="P63" s="573">
        <f t="shared" si="13"/>
        <v>0</v>
      </c>
    </row>
    <row r="64" spans="1:16" ht="22.5" x14ac:dyDescent="0.2">
      <c r="A64" s="179">
        <f>IF(COUNTBLANK(B64)=1," ",COUNTA(B$14:B64))</f>
        <v>45</v>
      </c>
      <c r="B64" s="284" t="s">
        <v>86</v>
      </c>
      <c r="C64" s="285" t="s">
        <v>232</v>
      </c>
      <c r="D64" s="286" t="s">
        <v>56</v>
      </c>
      <c r="E64" s="286">
        <v>29.25</v>
      </c>
      <c r="F64" s="576"/>
      <c r="G64" s="577"/>
      <c r="H64" s="577">
        <f t="shared" si="7"/>
        <v>0</v>
      </c>
      <c r="I64" s="577"/>
      <c r="J64" s="577"/>
      <c r="K64" s="578">
        <f t="shared" si="8"/>
        <v>0</v>
      </c>
      <c r="L64" s="576">
        <f t="shared" si="9"/>
        <v>0</v>
      </c>
      <c r="M64" s="577">
        <f t="shared" si="10"/>
        <v>0</v>
      </c>
      <c r="N64" s="577">
        <f t="shared" si="11"/>
        <v>0</v>
      </c>
      <c r="O64" s="577">
        <f t="shared" si="12"/>
        <v>0</v>
      </c>
      <c r="P64" s="578">
        <f t="shared" si="13"/>
        <v>0</v>
      </c>
    </row>
    <row r="65" spans="1:16" ht="33.75" x14ac:dyDescent="0.2">
      <c r="A65" s="179">
        <f>IF(COUNTBLANK(B65)=1," ",COUNTA(B$14:B65))</f>
        <v>46</v>
      </c>
      <c r="B65" s="284" t="s">
        <v>86</v>
      </c>
      <c r="C65" s="285" t="s">
        <v>629</v>
      </c>
      <c r="D65" s="286" t="s">
        <v>88</v>
      </c>
      <c r="E65" s="286">
        <v>117</v>
      </c>
      <c r="F65" s="576"/>
      <c r="G65" s="577"/>
      <c r="H65" s="572">
        <f t="shared" si="7"/>
        <v>0</v>
      </c>
      <c r="I65" s="577"/>
      <c r="J65" s="577"/>
      <c r="K65" s="573">
        <f t="shared" si="8"/>
        <v>0</v>
      </c>
      <c r="L65" s="574">
        <f t="shared" si="9"/>
        <v>0</v>
      </c>
      <c r="M65" s="572">
        <f t="shared" si="10"/>
        <v>0</v>
      </c>
      <c r="N65" s="572">
        <f t="shared" si="11"/>
        <v>0</v>
      </c>
      <c r="O65" s="572">
        <f t="shared" si="12"/>
        <v>0</v>
      </c>
      <c r="P65" s="573">
        <f t="shared" si="13"/>
        <v>0</v>
      </c>
    </row>
    <row r="66" spans="1:16" ht="33.75" x14ac:dyDescent="0.2">
      <c r="A66" s="179">
        <f>IF(COUNTBLANK(B66)=1," ",COUNTA(B$14:B66))</f>
        <v>47</v>
      </c>
      <c r="B66" s="284" t="s">
        <v>86</v>
      </c>
      <c r="C66" s="291" t="s">
        <v>630</v>
      </c>
      <c r="D66" s="282" t="s">
        <v>176</v>
      </c>
      <c r="E66" s="282">
        <f>E64</f>
        <v>29.25</v>
      </c>
      <c r="F66" s="576"/>
      <c r="G66" s="577"/>
      <c r="H66" s="577">
        <f t="shared" si="7"/>
        <v>0</v>
      </c>
      <c r="I66" s="577"/>
      <c r="J66" s="577"/>
      <c r="K66" s="578">
        <f t="shared" si="8"/>
        <v>0</v>
      </c>
      <c r="L66" s="576">
        <f t="shared" si="9"/>
        <v>0</v>
      </c>
      <c r="M66" s="577">
        <f t="shared" si="10"/>
        <v>0</v>
      </c>
      <c r="N66" s="577">
        <f t="shared" si="11"/>
        <v>0</v>
      </c>
      <c r="O66" s="577">
        <f t="shared" si="12"/>
        <v>0</v>
      </c>
      <c r="P66" s="578">
        <f t="shared" si="13"/>
        <v>0</v>
      </c>
    </row>
    <row r="67" spans="1:16" ht="22.5" x14ac:dyDescent="0.2">
      <c r="A67" s="179">
        <f>IF(COUNTBLANK(B67)=1," ",COUNTA(B$14:B67))</f>
        <v>48</v>
      </c>
      <c r="B67" s="284" t="s">
        <v>86</v>
      </c>
      <c r="C67" s="291" t="s">
        <v>631</v>
      </c>
      <c r="D67" s="282" t="s">
        <v>176</v>
      </c>
      <c r="E67" s="282">
        <f>E64</f>
        <v>29.25</v>
      </c>
      <c r="F67" s="576"/>
      <c r="G67" s="577"/>
      <c r="H67" s="572">
        <f t="shared" si="7"/>
        <v>0</v>
      </c>
      <c r="I67" s="577"/>
      <c r="J67" s="577"/>
      <c r="K67" s="573">
        <f t="shared" si="8"/>
        <v>0</v>
      </c>
      <c r="L67" s="574">
        <f t="shared" si="9"/>
        <v>0</v>
      </c>
      <c r="M67" s="572">
        <f t="shared" si="10"/>
        <v>0</v>
      </c>
      <c r="N67" s="572">
        <f t="shared" si="11"/>
        <v>0</v>
      </c>
      <c r="O67" s="572">
        <f t="shared" si="12"/>
        <v>0</v>
      </c>
      <c r="P67" s="573">
        <f t="shared" si="13"/>
        <v>0</v>
      </c>
    </row>
    <row r="68" spans="1:16" ht="22.5" x14ac:dyDescent="0.2">
      <c r="A68" s="179">
        <f>IF(COUNTBLANK(B68)=1," ",COUNTA(B$14:B68))</f>
        <v>49</v>
      </c>
      <c r="B68" s="284" t="s">
        <v>86</v>
      </c>
      <c r="C68" s="291" t="s">
        <v>632</v>
      </c>
      <c r="D68" s="282" t="s">
        <v>176</v>
      </c>
      <c r="E68" s="282">
        <f>E64</f>
        <v>29.25</v>
      </c>
      <c r="F68" s="576"/>
      <c r="G68" s="577"/>
      <c r="H68" s="577">
        <f t="shared" si="7"/>
        <v>0</v>
      </c>
      <c r="I68" s="577"/>
      <c r="J68" s="577"/>
      <c r="K68" s="578">
        <f t="shared" si="8"/>
        <v>0</v>
      </c>
      <c r="L68" s="576">
        <f t="shared" si="9"/>
        <v>0</v>
      </c>
      <c r="M68" s="577">
        <f t="shared" si="10"/>
        <v>0</v>
      </c>
      <c r="N68" s="577">
        <f t="shared" si="11"/>
        <v>0</v>
      </c>
      <c r="O68" s="577">
        <f t="shared" si="12"/>
        <v>0</v>
      </c>
      <c r="P68" s="578">
        <f t="shared" si="13"/>
        <v>0</v>
      </c>
    </row>
    <row r="69" spans="1:16" ht="12" thickBot="1" x14ac:dyDescent="0.25">
      <c r="A69" s="179" t="str">
        <f>IF(COUNTBLANK(B69)=1," ",COUNTA(B$14:B69))</f>
        <v xml:space="preserve"> </v>
      </c>
      <c r="B69" s="284"/>
      <c r="C69" s="278" t="s">
        <v>510</v>
      </c>
      <c r="D69" s="286"/>
      <c r="E69" s="286"/>
      <c r="F69" s="576"/>
      <c r="G69" s="577"/>
      <c r="H69" s="572">
        <f t="shared" si="7"/>
        <v>0</v>
      </c>
      <c r="I69" s="577"/>
      <c r="J69" s="577"/>
      <c r="K69" s="573">
        <f t="shared" si="8"/>
        <v>0</v>
      </c>
      <c r="L69" s="574">
        <f t="shared" si="9"/>
        <v>0</v>
      </c>
      <c r="M69" s="572">
        <f t="shared" si="10"/>
        <v>0</v>
      </c>
      <c r="N69" s="572">
        <f t="shared" si="11"/>
        <v>0</v>
      </c>
      <c r="O69" s="572">
        <f t="shared" si="12"/>
        <v>0</v>
      </c>
      <c r="P69" s="573">
        <f t="shared" si="13"/>
        <v>0</v>
      </c>
    </row>
    <row r="70" spans="1:16" ht="22.5" x14ac:dyDescent="0.2">
      <c r="A70" s="179">
        <f>IF(COUNTBLANK(B70)=1," ",COUNTA(B$14:B70))</f>
        <v>50</v>
      </c>
      <c r="B70" s="284" t="s">
        <v>86</v>
      </c>
      <c r="C70" s="280" t="s">
        <v>230</v>
      </c>
      <c r="D70" s="286" t="s">
        <v>88</v>
      </c>
      <c r="E70" s="286">
        <v>102.3</v>
      </c>
      <c r="F70" s="576"/>
      <c r="G70" s="577"/>
      <c r="H70" s="577">
        <f t="shared" si="7"/>
        <v>0</v>
      </c>
      <c r="I70" s="577"/>
      <c r="J70" s="577"/>
      <c r="K70" s="578">
        <f t="shared" si="8"/>
        <v>0</v>
      </c>
      <c r="L70" s="576">
        <f t="shared" si="9"/>
        <v>0</v>
      </c>
      <c r="M70" s="577">
        <f t="shared" si="10"/>
        <v>0</v>
      </c>
      <c r="N70" s="577">
        <f t="shared" si="11"/>
        <v>0</v>
      </c>
      <c r="O70" s="577">
        <f t="shared" si="12"/>
        <v>0</v>
      </c>
      <c r="P70" s="578">
        <f t="shared" si="13"/>
        <v>0</v>
      </c>
    </row>
    <row r="71" spans="1:16" ht="33.75" x14ac:dyDescent="0.2">
      <c r="A71" s="179">
        <f>IF(COUNTBLANK(B71)=1," ",COUNTA(B$14:B71))</f>
        <v>51</v>
      </c>
      <c r="B71" s="284" t="s">
        <v>86</v>
      </c>
      <c r="C71" s="285" t="s">
        <v>633</v>
      </c>
      <c r="D71" s="286" t="s">
        <v>56</v>
      </c>
      <c r="E71" s="286">
        <v>88</v>
      </c>
      <c r="F71" s="576"/>
      <c r="G71" s="577"/>
      <c r="H71" s="572">
        <f t="shared" si="7"/>
        <v>0</v>
      </c>
      <c r="I71" s="577"/>
      <c r="J71" s="577"/>
      <c r="K71" s="573">
        <f t="shared" si="8"/>
        <v>0</v>
      </c>
      <c r="L71" s="574">
        <f t="shared" si="9"/>
        <v>0</v>
      </c>
      <c r="M71" s="572">
        <f t="shared" si="10"/>
        <v>0</v>
      </c>
      <c r="N71" s="572">
        <f t="shared" si="11"/>
        <v>0</v>
      </c>
      <c r="O71" s="572">
        <f t="shared" si="12"/>
        <v>0</v>
      </c>
      <c r="P71" s="573">
        <f t="shared" si="13"/>
        <v>0</v>
      </c>
    </row>
    <row r="72" spans="1:16" ht="33.75" x14ac:dyDescent="0.2">
      <c r="A72" s="179">
        <f>IF(COUNTBLANK(B72)=1," ",COUNTA(B$14:B72))</f>
        <v>52</v>
      </c>
      <c r="B72" s="284" t="s">
        <v>86</v>
      </c>
      <c r="C72" s="285" t="s">
        <v>634</v>
      </c>
      <c r="D72" s="286" t="s">
        <v>56</v>
      </c>
      <c r="E72" s="286">
        <v>88</v>
      </c>
      <c r="F72" s="576"/>
      <c r="G72" s="577"/>
      <c r="H72" s="577">
        <f t="shared" si="7"/>
        <v>0</v>
      </c>
      <c r="I72" s="577"/>
      <c r="J72" s="577"/>
      <c r="K72" s="578">
        <f t="shared" si="8"/>
        <v>0</v>
      </c>
      <c r="L72" s="576">
        <f t="shared" si="9"/>
        <v>0</v>
      </c>
      <c r="M72" s="577">
        <f t="shared" si="10"/>
        <v>0</v>
      </c>
      <c r="N72" s="577">
        <f t="shared" si="11"/>
        <v>0</v>
      </c>
      <c r="O72" s="577">
        <f t="shared" si="12"/>
        <v>0</v>
      </c>
      <c r="P72" s="578">
        <f t="shared" si="13"/>
        <v>0</v>
      </c>
    </row>
    <row r="73" spans="1:16" ht="22.5" x14ac:dyDescent="0.2">
      <c r="A73" s="179">
        <f>IF(COUNTBLANK(B73)=1," ",COUNTA(B$14:B73))</f>
        <v>53</v>
      </c>
      <c r="B73" s="284" t="s">
        <v>86</v>
      </c>
      <c r="C73" s="285" t="s">
        <v>635</v>
      </c>
      <c r="D73" s="286" t="s">
        <v>56</v>
      </c>
      <c r="E73" s="286">
        <v>88</v>
      </c>
      <c r="F73" s="576"/>
      <c r="G73" s="577"/>
      <c r="H73" s="572">
        <f t="shared" si="7"/>
        <v>0</v>
      </c>
      <c r="I73" s="577"/>
      <c r="J73" s="577"/>
      <c r="K73" s="573">
        <f t="shared" si="8"/>
        <v>0</v>
      </c>
      <c r="L73" s="574">
        <f t="shared" si="9"/>
        <v>0</v>
      </c>
      <c r="M73" s="572">
        <f t="shared" si="10"/>
        <v>0</v>
      </c>
      <c r="N73" s="572">
        <f t="shared" si="11"/>
        <v>0</v>
      </c>
      <c r="O73" s="572">
        <f t="shared" si="12"/>
        <v>0</v>
      </c>
      <c r="P73" s="573">
        <f t="shared" si="13"/>
        <v>0</v>
      </c>
    </row>
    <row r="74" spans="1:16" ht="56.25" x14ac:dyDescent="0.2">
      <c r="A74" s="179">
        <f>IF(COUNTBLANK(B74)=1," ",COUNTA(B$14:B74))</f>
        <v>54</v>
      </c>
      <c r="B74" s="284" t="s">
        <v>86</v>
      </c>
      <c r="C74" s="285" t="s">
        <v>636</v>
      </c>
      <c r="D74" s="286" t="s">
        <v>56</v>
      </c>
      <c r="E74" s="286">
        <f>7*0.78</f>
        <v>5.46</v>
      </c>
      <c r="F74" s="576"/>
      <c r="G74" s="577"/>
      <c r="H74" s="577">
        <f t="shared" si="7"/>
        <v>0</v>
      </c>
      <c r="I74" s="577"/>
      <c r="J74" s="577"/>
      <c r="K74" s="578">
        <f t="shared" si="8"/>
        <v>0</v>
      </c>
      <c r="L74" s="576">
        <f t="shared" si="9"/>
        <v>0</v>
      </c>
      <c r="M74" s="577">
        <f t="shared" si="10"/>
        <v>0</v>
      </c>
      <c r="N74" s="577">
        <f t="shared" si="11"/>
        <v>0</v>
      </c>
      <c r="O74" s="577">
        <f t="shared" si="12"/>
        <v>0</v>
      </c>
      <c r="P74" s="578">
        <f t="shared" si="13"/>
        <v>0</v>
      </c>
    </row>
    <row r="75" spans="1:16" ht="22.5" x14ac:dyDescent="0.2">
      <c r="A75" s="179">
        <f>IF(COUNTBLANK(B75)=1," ",COUNTA(B$14:B75))</f>
        <v>55</v>
      </c>
      <c r="B75" s="284" t="s">
        <v>86</v>
      </c>
      <c r="C75" s="285" t="s">
        <v>637</v>
      </c>
      <c r="D75" s="286" t="s">
        <v>56</v>
      </c>
      <c r="E75" s="286">
        <f>E74*1.1</f>
        <v>6.0060000000000002</v>
      </c>
      <c r="F75" s="576"/>
      <c r="G75" s="577"/>
      <c r="H75" s="572">
        <f t="shared" si="7"/>
        <v>0</v>
      </c>
      <c r="I75" s="577"/>
      <c r="J75" s="577"/>
      <c r="K75" s="573">
        <f t="shared" si="8"/>
        <v>0</v>
      </c>
      <c r="L75" s="574">
        <f t="shared" si="9"/>
        <v>0</v>
      </c>
      <c r="M75" s="572">
        <f t="shared" si="10"/>
        <v>0</v>
      </c>
      <c r="N75" s="572">
        <f t="shared" si="11"/>
        <v>0</v>
      </c>
      <c r="O75" s="572">
        <f t="shared" si="12"/>
        <v>0</v>
      </c>
      <c r="P75" s="573">
        <f t="shared" si="13"/>
        <v>0</v>
      </c>
    </row>
    <row r="76" spans="1:16" ht="22.5" x14ac:dyDescent="0.2">
      <c r="A76" s="179">
        <f>IF(COUNTBLANK(B76)=1," ",COUNTA(B$14:B76))</f>
        <v>56</v>
      </c>
      <c r="B76" s="284" t="s">
        <v>86</v>
      </c>
      <c r="C76" s="285" t="s">
        <v>638</v>
      </c>
      <c r="D76" s="286" t="s">
        <v>56</v>
      </c>
      <c r="E76" s="286">
        <f>E75</f>
        <v>6.0060000000000002</v>
      </c>
      <c r="F76" s="576"/>
      <c r="G76" s="577"/>
      <c r="H76" s="577">
        <f t="shared" si="7"/>
        <v>0</v>
      </c>
      <c r="I76" s="577"/>
      <c r="J76" s="577"/>
      <c r="K76" s="578">
        <f t="shared" si="8"/>
        <v>0</v>
      </c>
      <c r="L76" s="576">
        <f t="shared" si="9"/>
        <v>0</v>
      </c>
      <c r="M76" s="577">
        <f t="shared" si="10"/>
        <v>0</v>
      </c>
      <c r="N76" s="577">
        <f t="shared" si="11"/>
        <v>0</v>
      </c>
      <c r="O76" s="577">
        <f t="shared" si="12"/>
        <v>0</v>
      </c>
      <c r="P76" s="578">
        <f t="shared" si="13"/>
        <v>0</v>
      </c>
    </row>
    <row r="77" spans="1:16" ht="23.25" thickBot="1" x14ac:dyDescent="0.25">
      <c r="A77" s="179" t="str">
        <f>IF(COUNTBLANK(B77)=1," ",COUNTA(B$14:B77))</f>
        <v xml:space="preserve"> </v>
      </c>
      <c r="B77" s="284"/>
      <c r="C77" s="278" t="s">
        <v>233</v>
      </c>
      <c r="D77" s="286"/>
      <c r="E77" s="286"/>
      <c r="F77" s="576"/>
      <c r="G77" s="577"/>
      <c r="H77" s="572">
        <f t="shared" si="7"/>
        <v>0</v>
      </c>
      <c r="I77" s="577"/>
      <c r="J77" s="577"/>
      <c r="K77" s="573">
        <f t="shared" si="8"/>
        <v>0</v>
      </c>
      <c r="L77" s="574">
        <f t="shared" si="9"/>
        <v>0</v>
      </c>
      <c r="M77" s="572">
        <f t="shared" si="10"/>
        <v>0</v>
      </c>
      <c r="N77" s="572">
        <f t="shared" si="11"/>
        <v>0</v>
      </c>
      <c r="O77" s="572">
        <f t="shared" si="12"/>
        <v>0</v>
      </c>
      <c r="P77" s="573">
        <f t="shared" si="13"/>
        <v>0</v>
      </c>
    </row>
    <row r="78" spans="1:16" ht="22.5" x14ac:dyDescent="0.2">
      <c r="A78" s="179">
        <f>IF(COUNTBLANK(B78)=1," ",COUNTA(B$14:B78))</f>
        <v>57</v>
      </c>
      <c r="B78" s="284" t="s">
        <v>86</v>
      </c>
      <c r="C78" s="280" t="s">
        <v>284</v>
      </c>
      <c r="D78" s="286" t="s">
        <v>88</v>
      </c>
      <c r="E78" s="286">
        <v>50</v>
      </c>
      <c r="F78" s="576"/>
      <c r="G78" s="577"/>
      <c r="H78" s="577">
        <f t="shared" si="7"/>
        <v>0</v>
      </c>
      <c r="I78" s="577"/>
      <c r="J78" s="577"/>
      <c r="K78" s="578">
        <f t="shared" si="8"/>
        <v>0</v>
      </c>
      <c r="L78" s="576">
        <f t="shared" si="9"/>
        <v>0</v>
      </c>
      <c r="M78" s="577">
        <f t="shared" si="10"/>
        <v>0</v>
      </c>
      <c r="N78" s="577">
        <f t="shared" si="11"/>
        <v>0</v>
      </c>
      <c r="O78" s="577">
        <f t="shared" si="12"/>
        <v>0</v>
      </c>
      <c r="P78" s="578">
        <f t="shared" si="13"/>
        <v>0</v>
      </c>
    </row>
    <row r="79" spans="1:16" ht="22.5" x14ac:dyDescent="0.2">
      <c r="A79" s="179">
        <f>IF(COUNTBLANK(B79)=1," ",COUNTA(B$14:B79))</f>
        <v>58</v>
      </c>
      <c r="B79" s="284" t="s">
        <v>86</v>
      </c>
      <c r="C79" s="285" t="s">
        <v>639</v>
      </c>
      <c r="D79" s="286" t="s">
        <v>88</v>
      </c>
      <c r="E79" s="286">
        <v>50</v>
      </c>
      <c r="F79" s="576"/>
      <c r="G79" s="577"/>
      <c r="H79" s="572">
        <f t="shared" si="7"/>
        <v>0</v>
      </c>
      <c r="I79" s="577"/>
      <c r="J79" s="577"/>
      <c r="K79" s="573">
        <f t="shared" si="8"/>
        <v>0</v>
      </c>
      <c r="L79" s="574">
        <f t="shared" si="9"/>
        <v>0</v>
      </c>
      <c r="M79" s="572">
        <f t="shared" si="10"/>
        <v>0</v>
      </c>
      <c r="N79" s="572">
        <f t="shared" si="11"/>
        <v>0</v>
      </c>
      <c r="O79" s="572">
        <f t="shared" si="12"/>
        <v>0</v>
      </c>
      <c r="P79" s="573">
        <f t="shared" si="13"/>
        <v>0</v>
      </c>
    </row>
    <row r="80" spans="1:16" ht="12" thickBot="1" x14ac:dyDescent="0.25">
      <c r="A80" s="179" t="str">
        <f>IF(COUNTBLANK(B80)=1," ",COUNTA(B$14:B80))</f>
        <v xml:space="preserve"> </v>
      </c>
      <c r="B80" s="284"/>
      <c r="C80" s="278" t="s">
        <v>234</v>
      </c>
      <c r="D80" s="286"/>
      <c r="E80" s="286"/>
      <c r="F80" s="576"/>
      <c r="G80" s="577"/>
      <c r="H80" s="577">
        <f t="shared" si="7"/>
        <v>0</v>
      </c>
      <c r="I80" s="577"/>
      <c r="J80" s="577"/>
      <c r="K80" s="578">
        <f t="shared" si="8"/>
        <v>0</v>
      </c>
      <c r="L80" s="576">
        <f t="shared" si="9"/>
        <v>0</v>
      </c>
      <c r="M80" s="577">
        <f t="shared" si="10"/>
        <v>0</v>
      </c>
      <c r="N80" s="577">
        <f t="shared" si="11"/>
        <v>0</v>
      </c>
      <c r="O80" s="577">
        <f t="shared" si="12"/>
        <v>0</v>
      </c>
      <c r="P80" s="578">
        <f t="shared" si="13"/>
        <v>0</v>
      </c>
    </row>
    <row r="81" spans="1:16" ht="22.5" x14ac:dyDescent="0.2">
      <c r="A81" s="179">
        <f>IF(COUNTBLANK(B81)=1," ",COUNTA(B$14:B81))</f>
        <v>59</v>
      </c>
      <c r="B81" s="284" t="s">
        <v>86</v>
      </c>
      <c r="C81" s="280" t="s">
        <v>640</v>
      </c>
      <c r="D81" s="286" t="s">
        <v>88</v>
      </c>
      <c r="E81" s="286">
        <v>50</v>
      </c>
      <c r="F81" s="576"/>
      <c r="G81" s="577"/>
      <c r="H81" s="572">
        <f t="shared" ref="H81:H107" si="14">ROUND(F81*G81,2)</f>
        <v>0</v>
      </c>
      <c r="I81" s="577"/>
      <c r="J81" s="577"/>
      <c r="K81" s="573">
        <f t="shared" ref="K81:K107" si="15">SUM(H81:J81)</f>
        <v>0</v>
      </c>
      <c r="L81" s="574">
        <f t="shared" ref="L81:L107" si="16">ROUND(E81*F81,2)</f>
        <v>0</v>
      </c>
      <c r="M81" s="572">
        <f t="shared" ref="M81:M107" si="17">ROUND(H81*E81,2)</f>
        <v>0</v>
      </c>
      <c r="N81" s="572">
        <f t="shared" ref="N81:N107" si="18">ROUND(I81*E81,2)</f>
        <v>0</v>
      </c>
      <c r="O81" s="572">
        <f t="shared" ref="O81:O107" si="19">ROUND(J81*E81,2)</f>
        <v>0</v>
      </c>
      <c r="P81" s="573">
        <f t="shared" ref="P81:P107" si="20">SUM(M81:O81)</f>
        <v>0</v>
      </c>
    </row>
    <row r="82" spans="1:16" ht="33.75" x14ac:dyDescent="0.2">
      <c r="A82" s="179">
        <f>IF(COUNTBLANK(B82)=1," ",COUNTA(B$14:B82))</f>
        <v>60</v>
      </c>
      <c r="B82" s="284" t="s">
        <v>86</v>
      </c>
      <c r="C82" s="285" t="s">
        <v>641</v>
      </c>
      <c r="D82" s="286" t="s">
        <v>56</v>
      </c>
      <c r="E82" s="286">
        <v>486</v>
      </c>
      <c r="F82" s="576"/>
      <c r="G82" s="577"/>
      <c r="H82" s="577">
        <f t="shared" si="14"/>
        <v>0</v>
      </c>
      <c r="I82" s="577"/>
      <c r="J82" s="577"/>
      <c r="K82" s="578">
        <f t="shared" si="15"/>
        <v>0</v>
      </c>
      <c r="L82" s="576">
        <f t="shared" si="16"/>
        <v>0</v>
      </c>
      <c r="M82" s="577">
        <f t="shared" si="17"/>
        <v>0</v>
      </c>
      <c r="N82" s="577">
        <f t="shared" si="18"/>
        <v>0</v>
      </c>
      <c r="O82" s="577">
        <f t="shared" si="19"/>
        <v>0</v>
      </c>
      <c r="P82" s="578">
        <f t="shared" si="20"/>
        <v>0</v>
      </c>
    </row>
    <row r="83" spans="1:16" ht="33.75" x14ac:dyDescent="0.2">
      <c r="A83" s="179">
        <f>IF(COUNTBLANK(B83)=1," ",COUNTA(B$14:B83))</f>
        <v>61</v>
      </c>
      <c r="B83" s="284" t="s">
        <v>86</v>
      </c>
      <c r="C83" s="285" t="s">
        <v>642</v>
      </c>
      <c r="D83" s="286" t="s">
        <v>56</v>
      </c>
      <c r="E83" s="286">
        <f>E82</f>
        <v>486</v>
      </c>
      <c r="F83" s="576"/>
      <c r="G83" s="577"/>
      <c r="H83" s="572">
        <f t="shared" si="14"/>
        <v>0</v>
      </c>
      <c r="I83" s="577"/>
      <c r="J83" s="577"/>
      <c r="K83" s="573">
        <f t="shared" si="15"/>
        <v>0</v>
      </c>
      <c r="L83" s="574">
        <f t="shared" si="16"/>
        <v>0</v>
      </c>
      <c r="M83" s="572">
        <f t="shared" si="17"/>
        <v>0</v>
      </c>
      <c r="N83" s="572">
        <f t="shared" si="18"/>
        <v>0</v>
      </c>
      <c r="O83" s="572">
        <f t="shared" si="19"/>
        <v>0</v>
      </c>
      <c r="P83" s="573">
        <f t="shared" si="20"/>
        <v>0</v>
      </c>
    </row>
    <row r="84" spans="1:16" ht="22.5" x14ac:dyDescent="0.2">
      <c r="A84" s="179">
        <f>IF(COUNTBLANK(B84)=1," ",COUNTA(B$14:B84))</f>
        <v>62</v>
      </c>
      <c r="B84" s="284" t="s">
        <v>86</v>
      </c>
      <c r="C84" s="285" t="s">
        <v>643</v>
      </c>
      <c r="D84" s="286" t="s">
        <v>56</v>
      </c>
      <c r="E84" s="286">
        <f t="shared" ref="E84:E86" si="21">E83</f>
        <v>486</v>
      </c>
      <c r="F84" s="576"/>
      <c r="G84" s="577"/>
      <c r="H84" s="577">
        <f t="shared" si="14"/>
        <v>0</v>
      </c>
      <c r="I84" s="577"/>
      <c r="J84" s="577"/>
      <c r="K84" s="578">
        <f t="shared" si="15"/>
        <v>0</v>
      </c>
      <c r="L84" s="576">
        <f t="shared" si="16"/>
        <v>0</v>
      </c>
      <c r="M84" s="577">
        <f t="shared" si="17"/>
        <v>0</v>
      </c>
      <c r="N84" s="577">
        <f t="shared" si="18"/>
        <v>0</v>
      </c>
      <c r="O84" s="577">
        <f t="shared" si="19"/>
        <v>0</v>
      </c>
      <c r="P84" s="578">
        <f t="shared" si="20"/>
        <v>0</v>
      </c>
    </row>
    <row r="85" spans="1:16" ht="33.75" x14ac:dyDescent="0.2">
      <c r="A85" s="179">
        <f>IF(COUNTBLANK(B85)=1," ",COUNTA(B$14:B85))</f>
        <v>63</v>
      </c>
      <c r="B85" s="284" t="s">
        <v>86</v>
      </c>
      <c r="C85" s="285" t="s">
        <v>644</v>
      </c>
      <c r="D85" s="286" t="s">
        <v>56</v>
      </c>
      <c r="E85" s="286">
        <f t="shared" si="21"/>
        <v>486</v>
      </c>
      <c r="F85" s="576"/>
      <c r="G85" s="577"/>
      <c r="H85" s="572">
        <f t="shared" si="14"/>
        <v>0</v>
      </c>
      <c r="I85" s="577"/>
      <c r="J85" s="577"/>
      <c r="K85" s="573">
        <f t="shared" si="15"/>
        <v>0</v>
      </c>
      <c r="L85" s="574">
        <f t="shared" si="16"/>
        <v>0</v>
      </c>
      <c r="M85" s="572">
        <f t="shared" si="17"/>
        <v>0</v>
      </c>
      <c r="N85" s="572">
        <f t="shared" si="18"/>
        <v>0</v>
      </c>
      <c r="O85" s="572">
        <f t="shared" si="19"/>
        <v>0</v>
      </c>
      <c r="P85" s="573">
        <f t="shared" si="20"/>
        <v>0</v>
      </c>
    </row>
    <row r="86" spans="1:16" ht="33.75" x14ac:dyDescent="0.2">
      <c r="A86" s="179">
        <f>IF(COUNTBLANK(B86)=1," ",COUNTA(B$14:B86))</f>
        <v>64</v>
      </c>
      <c r="B86" s="284" t="s">
        <v>86</v>
      </c>
      <c r="C86" s="285" t="s">
        <v>645</v>
      </c>
      <c r="D86" s="286" t="s">
        <v>56</v>
      </c>
      <c r="E86" s="286">
        <f t="shared" si="21"/>
        <v>486</v>
      </c>
      <c r="F86" s="576"/>
      <c r="G86" s="577"/>
      <c r="H86" s="577">
        <f t="shared" si="14"/>
        <v>0</v>
      </c>
      <c r="I86" s="577"/>
      <c r="J86" s="577"/>
      <c r="K86" s="578">
        <f t="shared" si="15"/>
        <v>0</v>
      </c>
      <c r="L86" s="576">
        <f t="shared" si="16"/>
        <v>0</v>
      </c>
      <c r="M86" s="577">
        <f t="shared" si="17"/>
        <v>0</v>
      </c>
      <c r="N86" s="577">
        <f t="shared" si="18"/>
        <v>0</v>
      </c>
      <c r="O86" s="577">
        <f t="shared" si="19"/>
        <v>0</v>
      </c>
      <c r="P86" s="578">
        <f t="shared" si="20"/>
        <v>0</v>
      </c>
    </row>
    <row r="87" spans="1:16" ht="33.75" x14ac:dyDescent="0.2">
      <c r="A87" s="179">
        <f>IF(COUNTBLANK(B87)=1," ",COUNTA(B$14:B87))</f>
        <v>65</v>
      </c>
      <c r="B87" s="284" t="s">
        <v>86</v>
      </c>
      <c r="C87" s="285" t="s">
        <v>646</v>
      </c>
      <c r="D87" s="286" t="s">
        <v>111</v>
      </c>
      <c r="E87" s="286">
        <v>2</v>
      </c>
      <c r="F87" s="576"/>
      <c r="G87" s="577"/>
      <c r="H87" s="572">
        <f t="shared" si="14"/>
        <v>0</v>
      </c>
      <c r="I87" s="577"/>
      <c r="J87" s="577"/>
      <c r="K87" s="573">
        <f t="shared" si="15"/>
        <v>0</v>
      </c>
      <c r="L87" s="574">
        <f t="shared" si="16"/>
        <v>0</v>
      </c>
      <c r="M87" s="572">
        <f t="shared" si="17"/>
        <v>0</v>
      </c>
      <c r="N87" s="572">
        <f t="shared" si="18"/>
        <v>0</v>
      </c>
      <c r="O87" s="572">
        <f t="shared" si="19"/>
        <v>0</v>
      </c>
      <c r="P87" s="573">
        <f t="shared" si="20"/>
        <v>0</v>
      </c>
    </row>
    <row r="88" spans="1:16" x14ac:dyDescent="0.2">
      <c r="A88" s="179">
        <f>IF(COUNTBLANK(B88)=1," ",COUNTA(B$14:B88))</f>
        <v>66</v>
      </c>
      <c r="B88" s="284" t="s">
        <v>86</v>
      </c>
      <c r="C88" s="285" t="s">
        <v>243</v>
      </c>
      <c r="D88" s="286" t="s">
        <v>88</v>
      </c>
      <c r="E88" s="286">
        <v>6</v>
      </c>
      <c r="F88" s="576"/>
      <c r="G88" s="577"/>
      <c r="H88" s="577">
        <f t="shared" si="14"/>
        <v>0</v>
      </c>
      <c r="I88" s="577"/>
      <c r="J88" s="577"/>
      <c r="K88" s="578">
        <f t="shared" si="15"/>
        <v>0</v>
      </c>
      <c r="L88" s="576">
        <f t="shared" si="16"/>
        <v>0</v>
      </c>
      <c r="M88" s="577">
        <f t="shared" si="17"/>
        <v>0</v>
      </c>
      <c r="N88" s="577">
        <f t="shared" si="18"/>
        <v>0</v>
      </c>
      <c r="O88" s="577">
        <f t="shared" si="19"/>
        <v>0</v>
      </c>
      <c r="P88" s="578">
        <f t="shared" si="20"/>
        <v>0</v>
      </c>
    </row>
    <row r="89" spans="1:16" ht="23.25" thickBot="1" x14ac:dyDescent="0.25">
      <c r="A89" s="179" t="str">
        <f>IF(COUNTBLANK(B89)=1," ",COUNTA(B$14:B89))</f>
        <v xml:space="preserve"> </v>
      </c>
      <c r="B89" s="281"/>
      <c r="C89" s="278" t="s">
        <v>512</v>
      </c>
      <c r="D89" s="282"/>
      <c r="E89" s="282"/>
      <c r="F89" s="576"/>
      <c r="G89" s="577"/>
      <c r="H89" s="572">
        <f t="shared" si="14"/>
        <v>0</v>
      </c>
      <c r="I89" s="577"/>
      <c r="J89" s="577"/>
      <c r="K89" s="573">
        <f t="shared" si="15"/>
        <v>0</v>
      </c>
      <c r="L89" s="574">
        <f t="shared" si="16"/>
        <v>0</v>
      </c>
      <c r="M89" s="572">
        <f t="shared" si="17"/>
        <v>0</v>
      </c>
      <c r="N89" s="572">
        <f t="shared" si="18"/>
        <v>0</v>
      </c>
      <c r="O89" s="572">
        <f t="shared" si="19"/>
        <v>0</v>
      </c>
      <c r="P89" s="573">
        <f t="shared" si="20"/>
        <v>0</v>
      </c>
    </row>
    <row r="90" spans="1:16" ht="22.5" x14ac:dyDescent="0.2">
      <c r="A90" s="179">
        <f>IF(COUNTBLANK(B90)=1," ",COUNTA(B$14:B90))</f>
        <v>67</v>
      </c>
      <c r="B90" s="284" t="s">
        <v>86</v>
      </c>
      <c r="C90" s="280" t="s">
        <v>235</v>
      </c>
      <c r="D90" s="286" t="s">
        <v>84</v>
      </c>
      <c r="E90" s="286">
        <v>0.4</v>
      </c>
      <c r="F90" s="576"/>
      <c r="G90" s="577"/>
      <c r="H90" s="577">
        <f t="shared" si="14"/>
        <v>0</v>
      </c>
      <c r="I90" s="577"/>
      <c r="J90" s="577"/>
      <c r="K90" s="578">
        <f t="shared" si="15"/>
        <v>0</v>
      </c>
      <c r="L90" s="576">
        <f t="shared" si="16"/>
        <v>0</v>
      </c>
      <c r="M90" s="577">
        <f t="shared" si="17"/>
        <v>0</v>
      </c>
      <c r="N90" s="577">
        <f t="shared" si="18"/>
        <v>0</v>
      </c>
      <c r="O90" s="577">
        <f t="shared" si="19"/>
        <v>0</v>
      </c>
      <c r="P90" s="578">
        <f t="shared" si="20"/>
        <v>0</v>
      </c>
    </row>
    <row r="91" spans="1:16" x14ac:dyDescent="0.2">
      <c r="A91" s="179">
        <f>IF(COUNTBLANK(B91)=1," ",COUNTA(B$14:B91))</f>
        <v>68</v>
      </c>
      <c r="B91" s="284" t="s">
        <v>86</v>
      </c>
      <c r="C91" s="285" t="s">
        <v>198</v>
      </c>
      <c r="D91" s="286" t="s">
        <v>84</v>
      </c>
      <c r="E91" s="286">
        <v>0.4</v>
      </c>
      <c r="F91" s="576"/>
      <c r="G91" s="577"/>
      <c r="H91" s="572">
        <f t="shared" si="14"/>
        <v>0</v>
      </c>
      <c r="I91" s="577"/>
      <c r="J91" s="577"/>
      <c r="K91" s="573">
        <f t="shared" si="15"/>
        <v>0</v>
      </c>
      <c r="L91" s="574">
        <f t="shared" si="16"/>
        <v>0</v>
      </c>
      <c r="M91" s="572">
        <f t="shared" si="17"/>
        <v>0</v>
      </c>
      <c r="N91" s="572">
        <f t="shared" si="18"/>
        <v>0</v>
      </c>
      <c r="O91" s="572">
        <f t="shared" si="19"/>
        <v>0</v>
      </c>
      <c r="P91" s="573">
        <f t="shared" si="20"/>
        <v>0</v>
      </c>
    </row>
    <row r="92" spans="1:16" ht="33.75" x14ac:dyDescent="0.2">
      <c r="A92" s="179">
        <f>IF(COUNTBLANK(B92)=1," ",COUNTA(B$14:B92))</f>
        <v>69</v>
      </c>
      <c r="B92" s="284" t="s">
        <v>86</v>
      </c>
      <c r="C92" s="285" t="s">
        <v>647</v>
      </c>
      <c r="D92" s="286" t="s">
        <v>88</v>
      </c>
      <c r="E92" s="286">
        <v>38.4</v>
      </c>
      <c r="F92" s="576"/>
      <c r="G92" s="577"/>
      <c r="H92" s="577">
        <f t="shared" si="14"/>
        <v>0</v>
      </c>
      <c r="I92" s="577"/>
      <c r="J92" s="577"/>
      <c r="K92" s="578">
        <f t="shared" si="15"/>
        <v>0</v>
      </c>
      <c r="L92" s="576">
        <f t="shared" si="16"/>
        <v>0</v>
      </c>
      <c r="M92" s="577">
        <f t="shared" si="17"/>
        <v>0</v>
      </c>
      <c r="N92" s="577">
        <f t="shared" si="18"/>
        <v>0</v>
      </c>
      <c r="O92" s="577">
        <f t="shared" si="19"/>
        <v>0</v>
      </c>
      <c r="P92" s="578">
        <f t="shared" si="20"/>
        <v>0</v>
      </c>
    </row>
    <row r="93" spans="1:16" ht="22.5" x14ac:dyDescent="0.2">
      <c r="A93" s="179">
        <f>IF(COUNTBLANK(B93)=1," ",COUNTA(B$14:B93))</f>
        <v>70</v>
      </c>
      <c r="B93" s="284" t="s">
        <v>86</v>
      </c>
      <c r="C93" s="285" t="s">
        <v>648</v>
      </c>
      <c r="D93" s="286" t="s">
        <v>88</v>
      </c>
      <c r="E93" s="286">
        <v>38.4</v>
      </c>
      <c r="F93" s="576"/>
      <c r="G93" s="577"/>
      <c r="H93" s="572">
        <f t="shared" si="14"/>
        <v>0</v>
      </c>
      <c r="I93" s="577"/>
      <c r="J93" s="577"/>
      <c r="K93" s="573">
        <f t="shared" si="15"/>
        <v>0</v>
      </c>
      <c r="L93" s="574">
        <f t="shared" si="16"/>
        <v>0</v>
      </c>
      <c r="M93" s="572">
        <f t="shared" si="17"/>
        <v>0</v>
      </c>
      <c r="N93" s="572">
        <f t="shared" si="18"/>
        <v>0</v>
      </c>
      <c r="O93" s="572">
        <f t="shared" si="19"/>
        <v>0</v>
      </c>
      <c r="P93" s="573">
        <f t="shared" si="20"/>
        <v>0</v>
      </c>
    </row>
    <row r="94" spans="1:16" ht="33.75" x14ac:dyDescent="0.2">
      <c r="A94" s="179">
        <f>IF(COUNTBLANK(B94)=1," ",COUNTA(B$14:B94))</f>
        <v>71</v>
      </c>
      <c r="B94" s="284" t="s">
        <v>86</v>
      </c>
      <c r="C94" s="285" t="s">
        <v>285</v>
      </c>
      <c r="D94" s="286" t="s">
        <v>236</v>
      </c>
      <c r="E94" s="286">
        <v>7</v>
      </c>
      <c r="F94" s="576"/>
      <c r="G94" s="577"/>
      <c r="H94" s="577">
        <f t="shared" si="14"/>
        <v>0</v>
      </c>
      <c r="I94" s="577"/>
      <c r="J94" s="577"/>
      <c r="K94" s="578">
        <f t="shared" si="15"/>
        <v>0</v>
      </c>
      <c r="L94" s="576">
        <f t="shared" si="16"/>
        <v>0</v>
      </c>
      <c r="M94" s="577">
        <f t="shared" si="17"/>
        <v>0</v>
      </c>
      <c r="N94" s="577">
        <f t="shared" si="18"/>
        <v>0</v>
      </c>
      <c r="O94" s="577">
        <f t="shared" si="19"/>
        <v>0</v>
      </c>
      <c r="P94" s="578">
        <f t="shared" si="20"/>
        <v>0</v>
      </c>
    </row>
    <row r="95" spans="1:16" x14ac:dyDescent="0.2">
      <c r="A95" s="179" t="str">
        <f>IF(COUNTBLANK(B95)=1," ",COUNTA(B$14:B95))</f>
        <v xml:space="preserve"> </v>
      </c>
      <c r="B95" s="281"/>
      <c r="C95" s="292" t="s">
        <v>515</v>
      </c>
      <c r="D95" s="282"/>
      <c r="E95" s="282"/>
      <c r="F95" s="576"/>
      <c r="G95" s="577"/>
      <c r="H95" s="572">
        <f t="shared" si="14"/>
        <v>0</v>
      </c>
      <c r="I95" s="577"/>
      <c r="J95" s="577"/>
      <c r="K95" s="573">
        <f t="shared" si="15"/>
        <v>0</v>
      </c>
      <c r="L95" s="574">
        <f t="shared" si="16"/>
        <v>0</v>
      </c>
      <c r="M95" s="572">
        <f t="shared" si="17"/>
        <v>0</v>
      </c>
      <c r="N95" s="572">
        <f t="shared" si="18"/>
        <v>0</v>
      </c>
      <c r="O95" s="572">
        <f t="shared" si="19"/>
        <v>0</v>
      </c>
      <c r="P95" s="573">
        <f t="shared" si="20"/>
        <v>0</v>
      </c>
    </row>
    <row r="96" spans="1:16" ht="22.5" x14ac:dyDescent="0.2">
      <c r="A96" s="127">
        <v>72</v>
      </c>
      <c r="B96" s="281" t="s">
        <v>525</v>
      </c>
      <c r="C96" s="291" t="s">
        <v>569</v>
      </c>
      <c r="D96" s="282" t="s">
        <v>236</v>
      </c>
      <c r="E96" s="282">
        <v>63</v>
      </c>
      <c r="F96" s="576"/>
      <c r="G96" s="577"/>
      <c r="H96" s="577">
        <f t="shared" si="14"/>
        <v>0</v>
      </c>
      <c r="I96" s="577"/>
      <c r="J96" s="577"/>
      <c r="K96" s="578">
        <f t="shared" si="15"/>
        <v>0</v>
      </c>
      <c r="L96" s="576">
        <f t="shared" si="16"/>
        <v>0</v>
      </c>
      <c r="M96" s="577">
        <f t="shared" si="17"/>
        <v>0</v>
      </c>
      <c r="N96" s="577">
        <f t="shared" si="18"/>
        <v>0</v>
      </c>
      <c r="O96" s="577">
        <f t="shared" si="19"/>
        <v>0</v>
      </c>
      <c r="P96" s="578">
        <f t="shared" si="20"/>
        <v>0</v>
      </c>
    </row>
    <row r="97" spans="1:16" ht="22.5" x14ac:dyDescent="0.2">
      <c r="A97" s="179">
        <f>IF(COUNTBLANK(B97)=1," ",COUNTA(B$14:B97))</f>
        <v>73</v>
      </c>
      <c r="B97" s="284" t="s">
        <v>86</v>
      </c>
      <c r="C97" s="291" t="s">
        <v>501</v>
      </c>
      <c r="D97" s="286" t="s">
        <v>356</v>
      </c>
      <c r="E97" s="286">
        <v>0.8</v>
      </c>
      <c r="F97" s="576"/>
      <c r="G97" s="577"/>
      <c r="H97" s="572">
        <f t="shared" si="14"/>
        <v>0</v>
      </c>
      <c r="I97" s="577"/>
      <c r="J97" s="577"/>
      <c r="K97" s="573">
        <f t="shared" si="15"/>
        <v>0</v>
      </c>
      <c r="L97" s="574">
        <f t="shared" si="16"/>
        <v>0</v>
      </c>
      <c r="M97" s="572">
        <f t="shared" si="17"/>
        <v>0</v>
      </c>
      <c r="N97" s="572">
        <f t="shared" si="18"/>
        <v>0</v>
      </c>
      <c r="O97" s="572">
        <f t="shared" si="19"/>
        <v>0</v>
      </c>
      <c r="P97" s="573">
        <f t="shared" si="20"/>
        <v>0</v>
      </c>
    </row>
    <row r="98" spans="1:16" x14ac:dyDescent="0.2">
      <c r="A98" s="179">
        <f>IF(COUNTBLANK(B98)=1," ",COUNTA(B$14:B98))</f>
        <v>74</v>
      </c>
      <c r="B98" s="284" t="s">
        <v>503</v>
      </c>
      <c r="C98" s="285" t="s">
        <v>502</v>
      </c>
      <c r="D98" s="286" t="s">
        <v>57</v>
      </c>
      <c r="E98" s="286">
        <v>4</v>
      </c>
      <c r="F98" s="576"/>
      <c r="G98" s="577"/>
      <c r="H98" s="577">
        <f t="shared" si="14"/>
        <v>0</v>
      </c>
      <c r="I98" s="577"/>
      <c r="J98" s="577"/>
      <c r="K98" s="578">
        <f t="shared" si="15"/>
        <v>0</v>
      </c>
      <c r="L98" s="576">
        <f t="shared" si="16"/>
        <v>0</v>
      </c>
      <c r="M98" s="577">
        <f t="shared" si="17"/>
        <v>0</v>
      </c>
      <c r="N98" s="577">
        <f t="shared" si="18"/>
        <v>0</v>
      </c>
      <c r="O98" s="577">
        <f t="shared" si="19"/>
        <v>0</v>
      </c>
      <c r="P98" s="578">
        <f t="shared" si="20"/>
        <v>0</v>
      </c>
    </row>
    <row r="99" spans="1:16" x14ac:dyDescent="0.2">
      <c r="A99" s="179">
        <f>IF(COUNTBLANK(B99)=1," ",COUNTA(B$14:B99))</f>
        <v>75</v>
      </c>
      <c r="B99" s="284" t="s">
        <v>503</v>
      </c>
      <c r="C99" s="293" t="s">
        <v>513</v>
      </c>
      <c r="D99" s="294" t="s">
        <v>82</v>
      </c>
      <c r="E99" s="294">
        <v>4</v>
      </c>
      <c r="F99" s="576"/>
      <c r="G99" s="577"/>
      <c r="H99" s="572">
        <f t="shared" si="14"/>
        <v>0</v>
      </c>
      <c r="I99" s="577"/>
      <c r="J99" s="577"/>
      <c r="K99" s="573">
        <f t="shared" si="15"/>
        <v>0</v>
      </c>
      <c r="L99" s="574">
        <f t="shared" si="16"/>
        <v>0</v>
      </c>
      <c r="M99" s="572">
        <f t="shared" si="17"/>
        <v>0</v>
      </c>
      <c r="N99" s="572">
        <f t="shared" si="18"/>
        <v>0</v>
      </c>
      <c r="O99" s="572">
        <f t="shared" si="19"/>
        <v>0</v>
      </c>
      <c r="P99" s="573">
        <f t="shared" si="20"/>
        <v>0</v>
      </c>
    </row>
    <row r="100" spans="1:16" ht="12" thickBot="1" x14ac:dyDescent="0.25">
      <c r="A100" s="179" t="str">
        <f>IF(COUNTBLANK(B100)=1," ",COUNTA(B$14:B100))</f>
        <v xml:space="preserve"> </v>
      </c>
      <c r="B100" s="295"/>
      <c r="C100" s="278" t="s">
        <v>514</v>
      </c>
      <c r="D100" s="282"/>
      <c r="E100" s="282"/>
      <c r="F100" s="576"/>
      <c r="G100" s="577"/>
      <c r="H100" s="577">
        <f t="shared" si="14"/>
        <v>0</v>
      </c>
      <c r="I100" s="577"/>
      <c r="J100" s="577"/>
      <c r="K100" s="578">
        <f t="shared" si="15"/>
        <v>0</v>
      </c>
      <c r="L100" s="576">
        <f t="shared" si="16"/>
        <v>0</v>
      </c>
      <c r="M100" s="577">
        <f t="shared" si="17"/>
        <v>0</v>
      </c>
      <c r="N100" s="577">
        <f t="shared" si="18"/>
        <v>0</v>
      </c>
      <c r="O100" s="577">
        <f t="shared" si="19"/>
        <v>0</v>
      </c>
      <c r="P100" s="578">
        <f t="shared" si="20"/>
        <v>0</v>
      </c>
    </row>
    <row r="101" spans="1:16" x14ac:dyDescent="0.2">
      <c r="A101" s="179">
        <f>IF(COUNTBLANK(B101)=1," ",COUNTA(B$14:B101))</f>
        <v>76</v>
      </c>
      <c r="B101" s="295" t="s">
        <v>86</v>
      </c>
      <c r="C101" s="280" t="s">
        <v>516</v>
      </c>
      <c r="D101" s="282" t="s">
        <v>88</v>
      </c>
      <c r="E101" s="282">
        <v>54.8</v>
      </c>
      <c r="F101" s="576"/>
      <c r="G101" s="577"/>
      <c r="H101" s="572">
        <f t="shared" si="14"/>
        <v>0</v>
      </c>
      <c r="I101" s="577"/>
      <c r="J101" s="577"/>
      <c r="K101" s="573">
        <f t="shared" si="15"/>
        <v>0</v>
      </c>
      <c r="L101" s="574">
        <f t="shared" si="16"/>
        <v>0</v>
      </c>
      <c r="M101" s="572">
        <f t="shared" si="17"/>
        <v>0</v>
      </c>
      <c r="N101" s="572">
        <f t="shared" si="18"/>
        <v>0</v>
      </c>
      <c r="O101" s="572">
        <f t="shared" si="19"/>
        <v>0</v>
      </c>
      <c r="P101" s="573">
        <f t="shared" si="20"/>
        <v>0</v>
      </c>
    </row>
    <row r="102" spans="1:16" x14ac:dyDescent="0.2">
      <c r="A102" s="179">
        <f>IF(COUNTBLANK(B102)=1," ",COUNTA(B$14:B102))</f>
        <v>77</v>
      </c>
      <c r="B102" s="295" t="s">
        <v>86</v>
      </c>
      <c r="C102" s="291" t="s">
        <v>517</v>
      </c>
      <c r="D102" s="282" t="s">
        <v>88</v>
      </c>
      <c r="E102" s="282">
        <v>45.8</v>
      </c>
      <c r="F102" s="576"/>
      <c r="G102" s="577"/>
      <c r="H102" s="577">
        <f t="shared" si="14"/>
        <v>0</v>
      </c>
      <c r="I102" s="577"/>
      <c r="J102" s="577"/>
      <c r="K102" s="578">
        <f t="shared" si="15"/>
        <v>0</v>
      </c>
      <c r="L102" s="576">
        <f t="shared" si="16"/>
        <v>0</v>
      </c>
      <c r="M102" s="577">
        <f t="shared" si="17"/>
        <v>0</v>
      </c>
      <c r="N102" s="577">
        <f t="shared" si="18"/>
        <v>0</v>
      </c>
      <c r="O102" s="577">
        <f t="shared" si="19"/>
        <v>0</v>
      </c>
      <c r="P102" s="578">
        <f t="shared" si="20"/>
        <v>0</v>
      </c>
    </row>
    <row r="103" spans="1:16" x14ac:dyDescent="0.2">
      <c r="A103" s="179">
        <f>IF(COUNTBLANK(B103)=1," ",COUNTA(B$14:B103))</f>
        <v>78</v>
      </c>
      <c r="B103" s="295" t="s">
        <v>86</v>
      </c>
      <c r="C103" s="291" t="s">
        <v>519</v>
      </c>
      <c r="D103" s="282" t="s">
        <v>90</v>
      </c>
      <c r="E103" s="282">
        <f>0.5*44*1.96</f>
        <v>43.12</v>
      </c>
      <c r="F103" s="576"/>
      <c r="G103" s="577"/>
      <c r="H103" s="572">
        <f t="shared" si="14"/>
        <v>0</v>
      </c>
      <c r="I103" s="577"/>
      <c r="J103" s="577"/>
      <c r="K103" s="573">
        <f t="shared" si="15"/>
        <v>0</v>
      </c>
      <c r="L103" s="574">
        <f t="shared" si="16"/>
        <v>0</v>
      </c>
      <c r="M103" s="572">
        <f t="shared" si="17"/>
        <v>0</v>
      </c>
      <c r="N103" s="572">
        <f t="shared" si="18"/>
        <v>0</v>
      </c>
      <c r="O103" s="572">
        <f t="shared" si="19"/>
        <v>0</v>
      </c>
      <c r="P103" s="573">
        <f t="shared" si="20"/>
        <v>0</v>
      </c>
    </row>
    <row r="104" spans="1:16" x14ac:dyDescent="0.2">
      <c r="A104" s="179">
        <f>IF(COUNTBLANK(B104)=1," ",COUNTA(B$14:B104))</f>
        <v>79</v>
      </c>
      <c r="B104" s="295" t="s">
        <v>86</v>
      </c>
      <c r="C104" s="291" t="s">
        <v>518</v>
      </c>
      <c r="D104" s="282" t="s">
        <v>57</v>
      </c>
      <c r="E104" s="282">
        <v>44</v>
      </c>
      <c r="F104" s="576"/>
      <c r="G104" s="577"/>
      <c r="H104" s="577">
        <f t="shared" si="14"/>
        <v>0</v>
      </c>
      <c r="I104" s="577"/>
      <c r="J104" s="577"/>
      <c r="K104" s="578">
        <f t="shared" si="15"/>
        <v>0</v>
      </c>
      <c r="L104" s="576">
        <f t="shared" si="16"/>
        <v>0</v>
      </c>
      <c r="M104" s="577">
        <f t="shared" si="17"/>
        <v>0</v>
      </c>
      <c r="N104" s="577">
        <f t="shared" si="18"/>
        <v>0</v>
      </c>
      <c r="O104" s="577">
        <f t="shared" si="19"/>
        <v>0</v>
      </c>
      <c r="P104" s="578">
        <f t="shared" si="20"/>
        <v>0</v>
      </c>
    </row>
    <row r="105" spans="1:16" ht="22.5" x14ac:dyDescent="0.2">
      <c r="A105" s="179">
        <f>IF(COUNTBLANK(B105)=1," ",COUNTA(B$14:B105))</f>
        <v>80</v>
      </c>
      <c r="B105" s="295" t="s">
        <v>86</v>
      </c>
      <c r="C105" s="291" t="s">
        <v>520</v>
      </c>
      <c r="D105" s="296" t="s">
        <v>90</v>
      </c>
      <c r="E105" s="296">
        <f>91.6*0.46</f>
        <v>42.135999999999996</v>
      </c>
      <c r="F105" s="576"/>
      <c r="G105" s="577"/>
      <c r="H105" s="572">
        <f t="shared" si="14"/>
        <v>0</v>
      </c>
      <c r="I105" s="577"/>
      <c r="J105" s="577"/>
      <c r="K105" s="573">
        <f t="shared" si="15"/>
        <v>0</v>
      </c>
      <c r="L105" s="574">
        <f t="shared" si="16"/>
        <v>0</v>
      </c>
      <c r="M105" s="572">
        <f t="shared" si="17"/>
        <v>0</v>
      </c>
      <c r="N105" s="572">
        <f t="shared" si="18"/>
        <v>0</v>
      </c>
      <c r="O105" s="572">
        <f t="shared" si="19"/>
        <v>0</v>
      </c>
      <c r="P105" s="573">
        <f t="shared" si="20"/>
        <v>0</v>
      </c>
    </row>
    <row r="106" spans="1:16" x14ac:dyDescent="0.2">
      <c r="A106" s="179">
        <f>IF(COUNTBLANK(B106)=1," ",COUNTA(B$14:B106))</f>
        <v>81</v>
      </c>
      <c r="B106" s="295" t="s">
        <v>86</v>
      </c>
      <c r="C106" s="117" t="s">
        <v>85</v>
      </c>
      <c r="D106" s="118" t="s">
        <v>84</v>
      </c>
      <c r="E106" s="297">
        <v>0.8</v>
      </c>
      <c r="F106" s="576"/>
      <c r="G106" s="577"/>
      <c r="H106" s="577">
        <f t="shared" si="14"/>
        <v>0</v>
      </c>
      <c r="I106" s="577"/>
      <c r="J106" s="577"/>
      <c r="K106" s="578">
        <f t="shared" si="15"/>
        <v>0</v>
      </c>
      <c r="L106" s="576">
        <f t="shared" si="16"/>
        <v>0</v>
      </c>
      <c r="M106" s="577">
        <f t="shared" si="17"/>
        <v>0</v>
      </c>
      <c r="N106" s="577">
        <f t="shared" si="18"/>
        <v>0</v>
      </c>
      <c r="O106" s="577">
        <f t="shared" si="19"/>
        <v>0</v>
      </c>
      <c r="P106" s="578">
        <f t="shared" si="20"/>
        <v>0</v>
      </c>
    </row>
    <row r="107" spans="1:16" ht="12" thickBot="1" x14ac:dyDescent="0.25">
      <c r="A107" s="179">
        <f>IF(COUNTBLANK(B107)=1," ",COUNTA(B$14:B107))</f>
        <v>82</v>
      </c>
      <c r="B107" s="295" t="s">
        <v>86</v>
      </c>
      <c r="C107" s="298" t="s">
        <v>83</v>
      </c>
      <c r="D107" s="299" t="s">
        <v>82</v>
      </c>
      <c r="E107" s="144">
        <f>ROUNDUP(E106*0.14,0)</f>
        <v>1</v>
      </c>
      <c r="F107" s="576"/>
      <c r="G107" s="577"/>
      <c r="H107" s="572">
        <f t="shared" si="14"/>
        <v>0</v>
      </c>
      <c r="I107" s="577"/>
      <c r="J107" s="577"/>
      <c r="K107" s="573">
        <f t="shared" si="15"/>
        <v>0</v>
      </c>
      <c r="L107" s="574">
        <f t="shared" si="16"/>
        <v>0</v>
      </c>
      <c r="M107" s="572">
        <f t="shared" si="17"/>
        <v>0</v>
      </c>
      <c r="N107" s="572">
        <f t="shared" si="18"/>
        <v>0</v>
      </c>
      <c r="O107" s="572">
        <f t="shared" si="19"/>
        <v>0</v>
      </c>
      <c r="P107" s="573">
        <f t="shared" si="20"/>
        <v>0</v>
      </c>
    </row>
    <row r="108" spans="1:16" ht="12" thickBot="1" x14ac:dyDescent="0.25">
      <c r="A108" s="656" t="s">
        <v>612</v>
      </c>
      <c r="B108" s="656"/>
      <c r="C108" s="656"/>
      <c r="D108" s="656"/>
      <c r="E108" s="619"/>
      <c r="F108" s="619"/>
      <c r="G108" s="619"/>
      <c r="H108" s="619"/>
      <c r="I108" s="619"/>
      <c r="J108" s="619"/>
      <c r="K108" s="619"/>
      <c r="L108" s="582">
        <f>SUM(L14:L107)</f>
        <v>0</v>
      </c>
      <c r="M108" s="582">
        <f t="shared" ref="M108:P108" si="22">SUM(M14:M107)</f>
        <v>0</v>
      </c>
      <c r="N108" s="582">
        <f t="shared" si="22"/>
        <v>0</v>
      </c>
      <c r="O108" s="582">
        <f t="shared" si="22"/>
        <v>0</v>
      </c>
      <c r="P108" s="582">
        <f t="shared" si="22"/>
        <v>0</v>
      </c>
    </row>
    <row r="109" spans="1:16" x14ac:dyDescent="0.2">
      <c r="A109" s="202"/>
      <c r="B109" s="202"/>
      <c r="C109" s="202"/>
      <c r="D109" s="202"/>
      <c r="E109" s="202"/>
      <c r="F109" s="202"/>
      <c r="G109" s="276"/>
      <c r="H109" s="202"/>
      <c r="I109" s="202"/>
      <c r="J109" s="202"/>
      <c r="K109" s="202"/>
      <c r="L109" s="202"/>
      <c r="M109" s="202"/>
      <c r="N109" s="202"/>
      <c r="O109" s="202"/>
      <c r="P109" s="202"/>
    </row>
    <row r="110" spans="1:16" x14ac:dyDescent="0.2">
      <c r="A110" s="202"/>
      <c r="B110" s="202"/>
      <c r="C110" s="202"/>
      <c r="D110" s="202"/>
      <c r="E110" s="202"/>
      <c r="F110" s="202"/>
      <c r="G110" s="276"/>
      <c r="H110" s="202"/>
      <c r="I110" s="202"/>
      <c r="J110" s="202"/>
      <c r="K110" s="202"/>
      <c r="L110" s="202"/>
      <c r="M110" s="202"/>
      <c r="N110" s="202"/>
      <c r="O110" s="202"/>
      <c r="P110" s="202"/>
    </row>
    <row r="111" spans="1:16" x14ac:dyDescent="0.2">
      <c r="A111" s="159" t="s">
        <v>14</v>
      </c>
      <c r="B111" s="202"/>
      <c r="C111" s="671">
        <f>'Kops a'!C36:H36</f>
        <v>0</v>
      </c>
      <c r="D111" s="671"/>
      <c r="E111" s="671"/>
      <c r="F111" s="671"/>
      <c r="G111" s="671"/>
      <c r="H111" s="671"/>
      <c r="I111" s="202"/>
      <c r="J111" s="202"/>
      <c r="K111" s="202"/>
      <c r="L111" s="202"/>
      <c r="M111" s="202"/>
      <c r="N111" s="202"/>
      <c r="O111" s="202"/>
      <c r="P111" s="202"/>
    </row>
    <row r="112" spans="1:16" x14ac:dyDescent="0.2">
      <c r="A112" s="202"/>
      <c r="B112" s="202"/>
      <c r="C112" s="590" t="s">
        <v>15</v>
      </c>
      <c r="D112" s="590"/>
      <c r="E112" s="590"/>
      <c r="F112" s="590"/>
      <c r="G112" s="590"/>
      <c r="H112" s="590"/>
      <c r="I112" s="202"/>
      <c r="J112" s="202"/>
      <c r="K112" s="202"/>
      <c r="L112" s="202"/>
      <c r="M112" s="202"/>
      <c r="N112" s="202"/>
      <c r="O112" s="202"/>
      <c r="P112" s="202"/>
    </row>
    <row r="113" spans="1:16" x14ac:dyDescent="0.2">
      <c r="A113" s="202"/>
      <c r="B113" s="202"/>
      <c r="C113" s="202"/>
      <c r="D113" s="202"/>
      <c r="E113" s="202"/>
      <c r="F113" s="202"/>
      <c r="G113" s="276"/>
      <c r="H113" s="202"/>
      <c r="I113" s="202"/>
      <c r="J113" s="202"/>
      <c r="K113" s="202"/>
      <c r="L113" s="202"/>
      <c r="M113" s="202"/>
      <c r="N113" s="202"/>
      <c r="O113" s="202"/>
      <c r="P113" s="202"/>
    </row>
    <row r="114" spans="1:16" x14ac:dyDescent="0.2">
      <c r="A114" s="203" t="str">
        <f>'Kops a'!A39</f>
        <v>Tāme sastādīta 2021. gada</v>
      </c>
      <c r="B114" s="204"/>
      <c r="C114" s="204"/>
      <c r="D114" s="204"/>
      <c r="E114" s="202"/>
      <c r="F114" s="202"/>
      <c r="G114" s="276"/>
      <c r="H114" s="202"/>
      <c r="I114" s="202"/>
      <c r="J114" s="202"/>
      <c r="K114" s="202"/>
      <c r="L114" s="202"/>
      <c r="M114" s="202"/>
      <c r="N114" s="202"/>
      <c r="O114" s="202"/>
      <c r="P114" s="202"/>
    </row>
    <row r="115" spans="1:16" x14ac:dyDescent="0.2">
      <c r="A115" s="202"/>
      <c r="B115" s="202"/>
      <c r="C115" s="202"/>
      <c r="D115" s="202"/>
      <c r="E115" s="202"/>
      <c r="F115" s="202"/>
      <c r="G115" s="276"/>
      <c r="H115" s="202"/>
      <c r="I115" s="202"/>
      <c r="J115" s="202"/>
      <c r="K115" s="202"/>
      <c r="L115" s="202"/>
      <c r="M115" s="202"/>
      <c r="N115" s="202"/>
      <c r="O115" s="202"/>
      <c r="P115" s="202"/>
    </row>
    <row r="116" spans="1:16" x14ac:dyDescent="0.2">
      <c r="A116" s="159" t="s">
        <v>38</v>
      </c>
      <c r="B116" s="202"/>
      <c r="C116" s="672">
        <f>'Kops a'!C41:H41</f>
        <v>0</v>
      </c>
      <c r="D116" s="672"/>
      <c r="E116" s="672"/>
      <c r="F116" s="672"/>
      <c r="G116" s="672"/>
      <c r="H116" s="672"/>
      <c r="I116" s="202"/>
      <c r="J116" s="202"/>
      <c r="K116" s="202"/>
      <c r="L116" s="202"/>
      <c r="M116" s="202"/>
      <c r="N116" s="202"/>
      <c r="O116" s="202"/>
      <c r="P116" s="202"/>
    </row>
    <row r="117" spans="1:16" x14ac:dyDescent="0.2">
      <c r="A117" s="202"/>
      <c r="B117" s="202"/>
      <c r="C117" s="590" t="s">
        <v>15</v>
      </c>
      <c r="D117" s="590"/>
      <c r="E117" s="590"/>
      <c r="F117" s="590"/>
      <c r="G117" s="590"/>
      <c r="H117" s="590"/>
      <c r="I117" s="202"/>
      <c r="J117" s="202"/>
      <c r="K117" s="202"/>
      <c r="L117" s="202"/>
      <c r="M117" s="202"/>
      <c r="N117" s="202"/>
      <c r="O117" s="202"/>
      <c r="P117" s="202"/>
    </row>
    <row r="118" spans="1:16" x14ac:dyDescent="0.2">
      <c r="A118" s="202"/>
      <c r="B118" s="202"/>
      <c r="C118" s="202"/>
      <c r="D118" s="202"/>
      <c r="E118" s="202"/>
      <c r="F118" s="202"/>
      <c r="G118" s="276"/>
      <c r="H118" s="202"/>
      <c r="I118" s="202"/>
      <c r="J118" s="202"/>
      <c r="K118" s="202"/>
      <c r="L118" s="202"/>
      <c r="M118" s="202"/>
      <c r="N118" s="202"/>
      <c r="O118" s="202"/>
      <c r="P118" s="202"/>
    </row>
    <row r="119" spans="1:16" x14ac:dyDescent="0.2">
      <c r="A119" s="203" t="s">
        <v>53</v>
      </c>
      <c r="B119" s="204"/>
      <c r="C119" s="159">
        <f>'Kops a'!C44</f>
        <v>0</v>
      </c>
      <c r="D119" s="205"/>
      <c r="E119" s="202"/>
      <c r="F119" s="202"/>
      <c r="G119" s="276"/>
      <c r="H119" s="202"/>
      <c r="I119" s="202"/>
      <c r="J119" s="202"/>
      <c r="K119" s="202"/>
      <c r="L119" s="202"/>
      <c r="M119" s="202"/>
      <c r="N119" s="202"/>
      <c r="O119" s="202"/>
      <c r="P119" s="202"/>
    </row>
    <row r="121" spans="1:16" x14ac:dyDescent="0.2">
      <c r="A121" s="687" t="s">
        <v>687</v>
      </c>
      <c r="B121" s="688"/>
      <c r="C121" s="689"/>
      <c r="D121" s="689"/>
      <c r="E121" s="690"/>
      <c r="F121" s="691"/>
      <c r="G121" s="690"/>
      <c r="H121" s="692"/>
      <c r="I121" s="692"/>
      <c r="J121" s="693"/>
      <c r="K121" s="694"/>
      <c r="L121" s="694"/>
      <c r="M121" s="694"/>
      <c r="N121" s="694"/>
      <c r="O121" s="694"/>
    </row>
    <row r="122" spans="1:16" x14ac:dyDescent="0.2">
      <c r="A122" s="695" t="s">
        <v>688</v>
      </c>
      <c r="B122" s="695"/>
      <c r="C122" s="695"/>
      <c r="D122" s="695"/>
      <c r="E122" s="695"/>
      <c r="F122" s="695"/>
      <c r="G122" s="695"/>
      <c r="H122" s="695"/>
      <c r="I122" s="695"/>
      <c r="J122" s="695"/>
      <c r="K122" s="695"/>
      <c r="L122" s="695"/>
      <c r="M122" s="695"/>
      <c r="N122" s="695"/>
      <c r="O122" s="695"/>
    </row>
    <row r="123" spans="1:16" x14ac:dyDescent="0.2">
      <c r="A123" s="695" t="s">
        <v>689</v>
      </c>
      <c r="B123" s="695"/>
      <c r="C123" s="695"/>
      <c r="D123" s="695"/>
      <c r="E123" s="695"/>
      <c r="F123" s="695"/>
      <c r="G123" s="695"/>
      <c r="H123" s="695"/>
      <c r="I123" s="695"/>
      <c r="J123" s="695"/>
      <c r="K123" s="695"/>
      <c r="L123" s="695"/>
      <c r="M123" s="695"/>
      <c r="N123" s="695"/>
      <c r="O123" s="695"/>
    </row>
  </sheetData>
  <mergeCells count="24">
    <mergeCell ref="A122:O122"/>
    <mergeCell ref="A123:O123"/>
    <mergeCell ref="D7:L7"/>
    <mergeCell ref="C2:I2"/>
    <mergeCell ref="C3:I3"/>
    <mergeCell ref="C4:I4"/>
    <mergeCell ref="D5:L5"/>
    <mergeCell ref="D6:L6"/>
    <mergeCell ref="C117:H117"/>
    <mergeCell ref="D8:L8"/>
    <mergeCell ref="A9:F9"/>
    <mergeCell ref="J9:M9"/>
    <mergeCell ref="N9:O9"/>
    <mergeCell ref="A12:A13"/>
    <mergeCell ref="B12:B13"/>
    <mergeCell ref="C12:C13"/>
    <mergeCell ref="D12:D13"/>
    <mergeCell ref="E12:E13"/>
    <mergeCell ref="F12:K12"/>
    <mergeCell ref="L12:P12"/>
    <mergeCell ref="A108:K108"/>
    <mergeCell ref="C111:H111"/>
    <mergeCell ref="C112:H112"/>
    <mergeCell ref="C116:H116"/>
  </mergeCells>
  <phoneticPr fontId="22" type="noConversion"/>
  <conditionalFormatting sqref="C4:I4 D5:L8 C116:H116 C111:H111 C42:E52 C55:E61 B65:B68 B62:E64 B69:E101 C102:E105 B102:B107 B29:B61 B14:E28">
    <cfRule type="cellIs" dxfId="72" priority="25" operator="equal">
      <formula>0</formula>
    </cfRule>
  </conditionalFormatting>
  <conditionalFormatting sqref="N9:O9 C2:I2 C116:H116 C111:H111 A14:A107">
    <cfRule type="cellIs" dxfId="71" priority="26" operator="equal">
      <formula>0</formula>
    </cfRule>
  </conditionalFormatting>
  <conditionalFormatting sqref="A9:F9 A108:K108">
    <cfRule type="containsText" dxfId="70" priority="27" operator="containsText" text="Tāme sastādīta  20__. gada tirgus cenās, pamatojoties uz ___ daļas rasējumiem"/>
  </conditionalFormatting>
  <conditionalFormatting sqref="O10">
    <cfRule type="cellIs" dxfId="69" priority="28" operator="equal">
      <formula>"20__. gada __. _________"</formula>
    </cfRule>
  </conditionalFormatting>
  <conditionalFormatting sqref="P10">
    <cfRule type="cellIs" dxfId="68" priority="31" operator="equal">
      <formula>"20__. gada __. _________"</formula>
    </cfRule>
  </conditionalFormatting>
  <conditionalFormatting sqref="C119">
    <cfRule type="cellIs" dxfId="67" priority="32" operator="equal">
      <formula>0</formula>
    </cfRule>
  </conditionalFormatting>
  <conditionalFormatting sqref="D1">
    <cfRule type="cellIs" dxfId="66" priority="33" operator="equal">
      <formula>0</formula>
    </cfRule>
  </conditionalFormatting>
  <conditionalFormatting sqref="C29:E41">
    <cfRule type="cellIs" dxfId="65" priority="8" operator="equal">
      <formula>0</formula>
    </cfRule>
  </conditionalFormatting>
  <conditionalFormatting sqref="C106:E107">
    <cfRule type="cellIs" dxfId="64" priority="6" operator="equal">
      <formula>0</formula>
    </cfRule>
  </conditionalFormatting>
  <conditionalFormatting sqref="C53:E54">
    <cfRule type="cellIs" dxfId="63" priority="5" operator="equal">
      <formula>0</formula>
    </cfRule>
  </conditionalFormatting>
  <conditionalFormatting sqref="C65:E68">
    <cfRule type="cellIs" dxfId="62" priority="4" operator="equal">
      <formula>0</formula>
    </cfRule>
  </conditionalFormatting>
  <conditionalFormatting sqref="I14:J107 F14:G107">
    <cfRule type="cellIs" dxfId="61" priority="3" operator="equal">
      <formula>0</formula>
    </cfRule>
  </conditionalFormatting>
  <conditionalFormatting sqref="H14:H107 K14:P107">
    <cfRule type="cellIs" dxfId="60" priority="2" operator="equal">
      <formula>0</formula>
    </cfRule>
  </conditionalFormatting>
  <conditionalFormatting sqref="L108:P108">
    <cfRule type="cellIs" dxfId="59" priority="1" operator="equal">
      <formula>0</formula>
    </cfRule>
  </conditionalFormatting>
  <pageMargins left="0.19685039370078741" right="0.19685039370078741" top="0.75196850393700787" bottom="0.39370078740157483" header="0.51181102362204722" footer="0.51181102362204722"/>
  <pageSetup paperSize="9" scale="62" firstPageNumber="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P60"/>
  <sheetViews>
    <sheetView view="pageBreakPreview" topLeftCell="A31" zoomScale="115" zoomScaleNormal="115" zoomScaleSheetLayoutView="115" workbookViewId="0">
      <selection activeCell="P45" sqref="P45"/>
    </sheetView>
  </sheetViews>
  <sheetFormatPr defaultColWidth="8.6640625" defaultRowHeight="11.25" x14ac:dyDescent="0.2"/>
  <cols>
    <col min="1" max="1" width="4.5" style="159" customWidth="1"/>
    <col min="2" max="2" width="5.33203125" style="159" customWidth="1"/>
    <col min="3" max="3" width="38.33203125" style="159" customWidth="1"/>
    <col min="4" max="4" width="5.83203125" style="159" customWidth="1"/>
    <col min="5" max="5" width="8.6640625" style="159" customWidth="1"/>
    <col min="6" max="6" width="5.33203125" style="159" customWidth="1"/>
    <col min="7" max="7" width="4.83203125" style="159" customWidth="1"/>
    <col min="8" max="10" width="6.6640625" style="159" customWidth="1"/>
    <col min="11" max="11" width="6.83203125" style="159" customWidth="1"/>
    <col min="12" max="15" width="7.6640625" style="159" customWidth="1"/>
    <col min="16" max="16" width="8.83203125" style="159" customWidth="1"/>
    <col min="17" max="1024" width="9.1640625" style="159" customWidth="1"/>
    <col min="1025" max="16384" width="8.6640625" style="159"/>
  </cols>
  <sheetData>
    <row r="1" spans="1:16" x14ac:dyDescent="0.2">
      <c r="A1" s="156"/>
      <c r="B1" s="156"/>
      <c r="C1" s="157" t="s">
        <v>39</v>
      </c>
      <c r="D1" s="158">
        <f>'Kops a'!A23</f>
        <v>9</v>
      </c>
      <c r="E1" s="156"/>
      <c r="F1" s="156"/>
      <c r="G1" s="156"/>
      <c r="H1" s="156"/>
      <c r="I1" s="156"/>
      <c r="J1" s="156"/>
      <c r="N1" s="160"/>
      <c r="O1" s="157"/>
      <c r="P1" s="161"/>
    </row>
    <row r="2" spans="1:16" x14ac:dyDescent="0.2">
      <c r="A2" s="162"/>
      <c r="B2" s="162"/>
      <c r="C2" s="630" t="s">
        <v>244</v>
      </c>
      <c r="D2" s="630"/>
      <c r="E2" s="630"/>
      <c r="F2" s="630"/>
      <c r="G2" s="630"/>
      <c r="H2" s="630"/>
      <c r="I2" s="630"/>
      <c r="J2" s="162"/>
    </row>
    <row r="3" spans="1:16" x14ac:dyDescent="0.2">
      <c r="A3" s="163"/>
      <c r="B3" s="163"/>
      <c r="C3" s="604" t="s">
        <v>18</v>
      </c>
      <c r="D3" s="604"/>
      <c r="E3" s="604"/>
      <c r="F3" s="604"/>
      <c r="G3" s="604"/>
      <c r="H3" s="604"/>
      <c r="I3" s="604"/>
      <c r="J3" s="163"/>
    </row>
    <row r="4" spans="1:16" x14ac:dyDescent="0.2">
      <c r="A4" s="163"/>
      <c r="B4" s="163"/>
      <c r="C4" s="631" t="s">
        <v>4</v>
      </c>
      <c r="D4" s="631"/>
      <c r="E4" s="631"/>
      <c r="F4" s="631"/>
      <c r="G4" s="631"/>
      <c r="H4" s="631"/>
      <c r="I4" s="631"/>
      <c r="J4" s="163"/>
    </row>
    <row r="5" spans="1:16" x14ac:dyDescent="0.2">
      <c r="A5" s="156"/>
      <c r="B5" s="156"/>
      <c r="C5" s="157" t="s">
        <v>5</v>
      </c>
      <c r="D5" s="626" t="str">
        <f>'Kops a'!D6</f>
        <v>Daudzīvokļu dzīvojamā māja</v>
      </c>
      <c r="E5" s="626"/>
      <c r="F5" s="626"/>
      <c r="G5" s="626"/>
      <c r="H5" s="626"/>
      <c r="I5" s="626"/>
      <c r="J5" s="626"/>
      <c r="K5" s="626"/>
      <c r="L5" s="626"/>
      <c r="M5" s="202"/>
      <c r="N5" s="202"/>
      <c r="O5" s="202"/>
      <c r="P5" s="202"/>
    </row>
    <row r="6" spans="1:16" x14ac:dyDescent="0.2">
      <c r="A6" s="156"/>
      <c r="B6" s="156"/>
      <c r="C6" s="157" t="s">
        <v>6</v>
      </c>
      <c r="D6" s="626" t="str">
        <f>'Kops a'!D7</f>
        <v>fasādes vienkāršotā atjaunošana</v>
      </c>
      <c r="E6" s="626"/>
      <c r="F6" s="626"/>
      <c r="G6" s="626"/>
      <c r="H6" s="626"/>
      <c r="I6" s="626"/>
      <c r="J6" s="626"/>
      <c r="K6" s="626"/>
      <c r="L6" s="626"/>
      <c r="M6" s="202"/>
      <c r="N6" s="202"/>
      <c r="O6" s="202"/>
      <c r="P6" s="202"/>
    </row>
    <row r="7" spans="1:16" x14ac:dyDescent="0.2">
      <c r="A7" s="156"/>
      <c r="B7" s="156"/>
      <c r="C7" s="157" t="s">
        <v>7</v>
      </c>
      <c r="D7" s="626" t="str">
        <f>'Kops a'!D8</f>
        <v>Lēņu iela 2, Liepājā</v>
      </c>
      <c r="E7" s="626"/>
      <c r="F7" s="626"/>
      <c r="G7" s="626"/>
      <c r="H7" s="626"/>
      <c r="I7" s="626"/>
      <c r="J7" s="626"/>
      <c r="K7" s="626"/>
      <c r="L7" s="626"/>
      <c r="M7" s="202"/>
      <c r="N7" s="202"/>
      <c r="O7" s="202"/>
      <c r="P7" s="202"/>
    </row>
    <row r="8" spans="1:16" x14ac:dyDescent="0.2">
      <c r="A8" s="156"/>
      <c r="B8" s="156"/>
      <c r="C8" s="164" t="s">
        <v>21</v>
      </c>
      <c r="D8" s="626" t="str">
        <f>'Kops a'!D9</f>
        <v>WS-90-17 Līg.Nr. 2017/3-62/479</v>
      </c>
      <c r="E8" s="626"/>
      <c r="F8" s="626"/>
      <c r="G8" s="626"/>
      <c r="H8" s="626"/>
      <c r="I8" s="626"/>
      <c r="J8" s="626"/>
      <c r="K8" s="626"/>
      <c r="L8" s="626"/>
      <c r="M8" s="202"/>
      <c r="N8" s="202"/>
      <c r="O8" s="202"/>
      <c r="P8" s="202"/>
    </row>
    <row r="9" spans="1:16" x14ac:dyDescent="0.2">
      <c r="A9" s="627" t="s">
        <v>649</v>
      </c>
      <c r="B9" s="627"/>
      <c r="C9" s="627"/>
      <c r="D9" s="627"/>
      <c r="E9" s="627"/>
      <c r="F9" s="627"/>
      <c r="G9" s="165"/>
      <c r="H9" s="165"/>
      <c r="I9" s="165"/>
      <c r="J9" s="628" t="s">
        <v>40</v>
      </c>
      <c r="K9" s="628"/>
      <c r="L9" s="628"/>
      <c r="M9" s="628"/>
      <c r="N9" s="629">
        <f>P45</f>
        <v>0</v>
      </c>
      <c r="O9" s="629"/>
      <c r="P9" s="165"/>
    </row>
    <row r="10" spans="1:16" x14ac:dyDescent="0.2">
      <c r="A10" s="166"/>
      <c r="B10" s="167"/>
      <c r="C10" s="164"/>
      <c r="D10" s="156"/>
      <c r="E10" s="156"/>
      <c r="F10" s="156"/>
      <c r="G10" s="156"/>
      <c r="H10" s="156"/>
      <c r="I10" s="156"/>
      <c r="J10" s="156"/>
      <c r="K10" s="156"/>
      <c r="L10" s="162"/>
      <c r="M10" s="162"/>
      <c r="O10" s="168"/>
      <c r="P10" s="169" t="str">
        <f>A51</f>
        <v>Tāme sastādīta 2021. gada</v>
      </c>
    </row>
    <row r="11" spans="1:16" ht="12" thickBot="1" x14ac:dyDescent="0.25">
      <c r="A11" s="166"/>
      <c r="B11" s="167"/>
      <c r="C11" s="164"/>
      <c r="D11" s="156"/>
      <c r="E11" s="156"/>
      <c r="F11" s="156"/>
      <c r="G11" s="156"/>
      <c r="H11" s="156"/>
      <c r="I11" s="156"/>
      <c r="J11" s="156"/>
      <c r="K11" s="156"/>
      <c r="L11" s="170"/>
      <c r="M11" s="170"/>
      <c r="N11" s="171"/>
      <c r="O11" s="160"/>
      <c r="P11" s="156"/>
    </row>
    <row r="12" spans="1:16" ht="12" thickBot="1" x14ac:dyDescent="0.25">
      <c r="A12" s="621" t="s">
        <v>24</v>
      </c>
      <c r="B12" s="622" t="s">
        <v>41</v>
      </c>
      <c r="C12" s="623" t="s">
        <v>42</v>
      </c>
      <c r="D12" s="624" t="s">
        <v>43</v>
      </c>
      <c r="E12" s="625" t="s">
        <v>44</v>
      </c>
      <c r="F12" s="618" t="s">
        <v>45</v>
      </c>
      <c r="G12" s="618"/>
      <c r="H12" s="618"/>
      <c r="I12" s="618"/>
      <c r="J12" s="618"/>
      <c r="K12" s="618"/>
      <c r="L12" s="618" t="s">
        <v>46</v>
      </c>
      <c r="M12" s="618"/>
      <c r="N12" s="618"/>
      <c r="O12" s="618"/>
      <c r="P12" s="618"/>
    </row>
    <row r="13" spans="1:16" ht="118.5" thickBot="1" x14ac:dyDescent="0.25">
      <c r="A13" s="621"/>
      <c r="B13" s="622"/>
      <c r="C13" s="623"/>
      <c r="D13" s="624"/>
      <c r="E13" s="625"/>
      <c r="F13" s="206" t="s">
        <v>47</v>
      </c>
      <c r="G13" s="207" t="s">
        <v>48</v>
      </c>
      <c r="H13" s="207" t="s">
        <v>49</v>
      </c>
      <c r="I13" s="207" t="s">
        <v>50</v>
      </c>
      <c r="J13" s="207" t="s">
        <v>51</v>
      </c>
      <c r="K13" s="208" t="s">
        <v>52</v>
      </c>
      <c r="L13" s="206" t="s">
        <v>47</v>
      </c>
      <c r="M13" s="207" t="s">
        <v>49</v>
      </c>
      <c r="N13" s="207" t="s">
        <v>50</v>
      </c>
      <c r="O13" s="207" t="s">
        <v>51</v>
      </c>
      <c r="P13" s="208" t="s">
        <v>52</v>
      </c>
    </row>
    <row r="14" spans="1:16" x14ac:dyDescent="0.2">
      <c r="A14" s="179">
        <f>IF(COUNTBLANK(B14)=1," ",COUNTA(B$14:B14))</f>
        <v>1</v>
      </c>
      <c r="B14" s="265" t="s">
        <v>521</v>
      </c>
      <c r="C14" s="266" t="s">
        <v>245</v>
      </c>
      <c r="D14" s="267" t="s">
        <v>111</v>
      </c>
      <c r="E14" s="268">
        <v>1</v>
      </c>
      <c r="F14" s="576"/>
      <c r="G14" s="577"/>
      <c r="H14" s="577">
        <f>ROUND(F14*G14,2)</f>
        <v>0</v>
      </c>
      <c r="I14" s="577"/>
      <c r="J14" s="577"/>
      <c r="K14" s="578">
        <f>SUM(H14:J14)</f>
        <v>0</v>
      </c>
      <c r="L14" s="576">
        <f>ROUND(E14*F14,2)</f>
        <v>0</v>
      </c>
      <c r="M14" s="577">
        <f>ROUND(H14*E14,2)</f>
        <v>0</v>
      </c>
      <c r="N14" s="577">
        <f>ROUND(I14*E14,2)</f>
        <v>0</v>
      </c>
      <c r="O14" s="577">
        <f>ROUND(J14*E14,2)</f>
        <v>0</v>
      </c>
      <c r="P14" s="578">
        <f>SUM(M14:O14)</f>
        <v>0</v>
      </c>
    </row>
    <row r="15" spans="1:16" x14ac:dyDescent="0.2">
      <c r="A15" s="179">
        <f>IF(COUNTBLANK(B15)=1," ",COUNTA(B$14:B15))</f>
        <v>2</v>
      </c>
      <c r="B15" s="265" t="s">
        <v>521</v>
      </c>
      <c r="C15" s="266" t="s">
        <v>246</v>
      </c>
      <c r="D15" s="267" t="s">
        <v>57</v>
      </c>
      <c r="E15" s="268">
        <f>E14</f>
        <v>1</v>
      </c>
      <c r="F15" s="576"/>
      <c r="G15" s="577"/>
      <c r="H15" s="572">
        <f t="shared" ref="H15:H16" si="0">ROUND(F15*G15,2)</f>
        <v>0</v>
      </c>
      <c r="I15" s="577"/>
      <c r="J15" s="577"/>
      <c r="K15" s="573">
        <f t="shared" ref="K15:K16" si="1">SUM(H15:J15)</f>
        <v>0</v>
      </c>
      <c r="L15" s="574">
        <f t="shared" ref="L15:L16" si="2">ROUND(E15*F15,2)</f>
        <v>0</v>
      </c>
      <c r="M15" s="572">
        <f t="shared" ref="M15:M16" si="3">ROUND(H15*E15,2)</f>
        <v>0</v>
      </c>
      <c r="N15" s="572">
        <f t="shared" ref="N15:N16" si="4">ROUND(I15*E15,2)</f>
        <v>0</v>
      </c>
      <c r="O15" s="572">
        <f t="shared" ref="O15:O16" si="5">ROUND(J15*E15,2)</f>
        <v>0</v>
      </c>
      <c r="P15" s="573">
        <f t="shared" ref="P15:P16" si="6">SUM(M15:O15)</f>
        <v>0</v>
      </c>
    </row>
    <row r="16" spans="1:16" ht="22.5" x14ac:dyDescent="0.2">
      <c r="A16" s="179">
        <f>IF(COUNTBLANK(B16)=1," ",COUNTA(B$14:B16))</f>
        <v>3</v>
      </c>
      <c r="B16" s="265" t="s">
        <v>521</v>
      </c>
      <c r="C16" s="266" t="s">
        <v>247</v>
      </c>
      <c r="D16" s="267" t="s">
        <v>57</v>
      </c>
      <c r="E16" s="268">
        <f>E14</f>
        <v>1</v>
      </c>
      <c r="F16" s="576"/>
      <c r="G16" s="577"/>
      <c r="H16" s="577">
        <f t="shared" si="0"/>
        <v>0</v>
      </c>
      <c r="I16" s="577"/>
      <c r="J16" s="577"/>
      <c r="K16" s="578">
        <f t="shared" si="1"/>
        <v>0</v>
      </c>
      <c r="L16" s="576">
        <f t="shared" si="2"/>
        <v>0</v>
      </c>
      <c r="M16" s="577">
        <f t="shared" si="3"/>
        <v>0</v>
      </c>
      <c r="N16" s="577">
        <f t="shared" si="4"/>
        <v>0</v>
      </c>
      <c r="O16" s="577">
        <f t="shared" si="5"/>
        <v>0</v>
      </c>
      <c r="P16" s="578">
        <f t="shared" si="6"/>
        <v>0</v>
      </c>
    </row>
    <row r="17" spans="1:16" ht="22.5" x14ac:dyDescent="0.2">
      <c r="A17" s="179">
        <f>IF(COUNTBLANK(B17)=1," ",COUNTA(B$14:B17))</f>
        <v>4</v>
      </c>
      <c r="B17" s="265" t="s">
        <v>521</v>
      </c>
      <c r="C17" s="269" t="s">
        <v>250</v>
      </c>
      <c r="D17" s="267" t="s">
        <v>57</v>
      </c>
      <c r="E17" s="270">
        <f>E14</f>
        <v>1</v>
      </c>
      <c r="F17" s="576"/>
      <c r="G17" s="577"/>
      <c r="H17" s="572">
        <f t="shared" ref="H17:H44" si="7">ROUND(F17*G17,2)</f>
        <v>0</v>
      </c>
      <c r="I17" s="577"/>
      <c r="J17" s="577"/>
      <c r="K17" s="573">
        <f t="shared" ref="K17:K44" si="8">SUM(H17:J17)</f>
        <v>0</v>
      </c>
      <c r="L17" s="574">
        <f t="shared" ref="L17:L44" si="9">ROUND(E17*F17,2)</f>
        <v>0</v>
      </c>
      <c r="M17" s="572">
        <f t="shared" ref="M17:M44" si="10">ROUND(H17*E17,2)</f>
        <v>0</v>
      </c>
      <c r="N17" s="572">
        <f t="shared" ref="N17:N44" si="11">ROUND(I17*E17,2)</f>
        <v>0</v>
      </c>
      <c r="O17" s="572">
        <f t="shared" ref="O17:O44" si="12">ROUND(J17*E17,2)</f>
        <v>0</v>
      </c>
      <c r="P17" s="573">
        <f t="shared" ref="P17:P44" si="13">SUM(M17:O17)</f>
        <v>0</v>
      </c>
    </row>
    <row r="18" spans="1:16" ht="22.5" x14ac:dyDescent="0.2">
      <c r="A18" s="179">
        <f>IF(COUNTBLANK(B18)=1," ",COUNTA(B$14:B18))</f>
        <v>5</v>
      </c>
      <c r="B18" s="265" t="s">
        <v>521</v>
      </c>
      <c r="C18" s="271" t="s">
        <v>251</v>
      </c>
      <c r="D18" s="267" t="s">
        <v>57</v>
      </c>
      <c r="E18" s="272">
        <f>E17</f>
        <v>1</v>
      </c>
      <c r="F18" s="576"/>
      <c r="G18" s="577"/>
      <c r="H18" s="577">
        <f t="shared" si="7"/>
        <v>0</v>
      </c>
      <c r="I18" s="577"/>
      <c r="J18" s="577"/>
      <c r="K18" s="578">
        <f t="shared" si="8"/>
        <v>0</v>
      </c>
      <c r="L18" s="576">
        <f t="shared" si="9"/>
        <v>0</v>
      </c>
      <c r="M18" s="577">
        <f t="shared" si="10"/>
        <v>0</v>
      </c>
      <c r="N18" s="577">
        <f t="shared" si="11"/>
        <v>0</v>
      </c>
      <c r="O18" s="577">
        <f t="shared" si="12"/>
        <v>0</v>
      </c>
      <c r="P18" s="578">
        <f t="shared" si="13"/>
        <v>0</v>
      </c>
    </row>
    <row r="19" spans="1:16" ht="22.5" x14ac:dyDescent="0.2">
      <c r="A19" s="179">
        <f>IF(COUNTBLANK(B19)=1," ",COUNTA(B$14:B19))</f>
        <v>6</v>
      </c>
      <c r="B19" s="265" t="s">
        <v>521</v>
      </c>
      <c r="C19" s="271" t="s">
        <v>252</v>
      </c>
      <c r="D19" s="267" t="s">
        <v>57</v>
      </c>
      <c r="E19" s="272">
        <f>E18</f>
        <v>1</v>
      </c>
      <c r="F19" s="576"/>
      <c r="G19" s="577"/>
      <c r="H19" s="572">
        <f t="shared" si="7"/>
        <v>0</v>
      </c>
      <c r="I19" s="577"/>
      <c r="J19" s="577"/>
      <c r="K19" s="573">
        <f t="shared" si="8"/>
        <v>0</v>
      </c>
      <c r="L19" s="574">
        <f t="shared" si="9"/>
        <v>0</v>
      </c>
      <c r="M19" s="572">
        <f t="shared" si="10"/>
        <v>0</v>
      </c>
      <c r="N19" s="572">
        <f t="shared" si="11"/>
        <v>0</v>
      </c>
      <c r="O19" s="572">
        <f t="shared" si="12"/>
        <v>0</v>
      </c>
      <c r="P19" s="573">
        <f t="shared" si="13"/>
        <v>0</v>
      </c>
    </row>
    <row r="20" spans="1:16" x14ac:dyDescent="0.2">
      <c r="A20" s="179">
        <f>IF(COUNTBLANK(B20)=1," ",COUNTA(B$14:B20))</f>
        <v>7</v>
      </c>
      <c r="B20" s="265" t="s">
        <v>521</v>
      </c>
      <c r="C20" s="271" t="s">
        <v>253</v>
      </c>
      <c r="D20" s="273" t="s">
        <v>57</v>
      </c>
      <c r="E20" s="272">
        <f>E17*2</f>
        <v>2</v>
      </c>
      <c r="F20" s="576"/>
      <c r="G20" s="577"/>
      <c r="H20" s="577">
        <f t="shared" si="7"/>
        <v>0</v>
      </c>
      <c r="I20" s="577"/>
      <c r="J20" s="577"/>
      <c r="K20" s="578">
        <f t="shared" si="8"/>
        <v>0</v>
      </c>
      <c r="L20" s="576">
        <f t="shared" si="9"/>
        <v>0</v>
      </c>
      <c r="M20" s="577">
        <f t="shared" si="10"/>
        <v>0</v>
      </c>
      <c r="N20" s="577">
        <f t="shared" si="11"/>
        <v>0</v>
      </c>
      <c r="O20" s="577">
        <f t="shared" si="12"/>
        <v>0</v>
      </c>
      <c r="P20" s="578">
        <f t="shared" si="13"/>
        <v>0</v>
      </c>
    </row>
    <row r="21" spans="1:16" x14ac:dyDescent="0.2">
      <c r="A21" s="179">
        <f>IF(COUNTBLANK(B21)=1," ",COUNTA(B$14:B21))</f>
        <v>8</v>
      </c>
      <c r="B21" s="265" t="s">
        <v>521</v>
      </c>
      <c r="C21" s="269" t="s">
        <v>254</v>
      </c>
      <c r="D21" s="267" t="s">
        <v>57</v>
      </c>
      <c r="E21" s="272">
        <f>E17</f>
        <v>1</v>
      </c>
      <c r="F21" s="576"/>
      <c r="G21" s="577"/>
      <c r="H21" s="572">
        <f t="shared" si="7"/>
        <v>0</v>
      </c>
      <c r="I21" s="577"/>
      <c r="J21" s="577"/>
      <c r="K21" s="573">
        <f t="shared" si="8"/>
        <v>0</v>
      </c>
      <c r="L21" s="574">
        <f t="shared" si="9"/>
        <v>0</v>
      </c>
      <c r="M21" s="572">
        <f t="shared" si="10"/>
        <v>0</v>
      </c>
      <c r="N21" s="572">
        <f t="shared" si="11"/>
        <v>0</v>
      </c>
      <c r="O21" s="572">
        <f t="shared" si="12"/>
        <v>0</v>
      </c>
      <c r="P21" s="573">
        <f t="shared" si="13"/>
        <v>0</v>
      </c>
    </row>
    <row r="22" spans="1:16" ht="22.5" x14ac:dyDescent="0.2">
      <c r="A22" s="179">
        <f>IF(COUNTBLANK(B22)=1," ",COUNTA(B$14:B22))</f>
        <v>9</v>
      </c>
      <c r="B22" s="265" t="s">
        <v>521</v>
      </c>
      <c r="C22" s="271" t="s">
        <v>255</v>
      </c>
      <c r="D22" s="267" t="s">
        <v>325</v>
      </c>
      <c r="E22" s="272">
        <f>E17</f>
        <v>1</v>
      </c>
      <c r="F22" s="576"/>
      <c r="G22" s="577"/>
      <c r="H22" s="577">
        <f t="shared" si="7"/>
        <v>0</v>
      </c>
      <c r="I22" s="577"/>
      <c r="J22" s="577"/>
      <c r="K22" s="578">
        <f t="shared" si="8"/>
        <v>0</v>
      </c>
      <c r="L22" s="576">
        <f t="shared" si="9"/>
        <v>0</v>
      </c>
      <c r="M22" s="577">
        <f t="shared" si="10"/>
        <v>0</v>
      </c>
      <c r="N22" s="577">
        <f t="shared" si="11"/>
        <v>0</v>
      </c>
      <c r="O22" s="577">
        <f t="shared" si="12"/>
        <v>0</v>
      </c>
      <c r="P22" s="578">
        <f t="shared" si="13"/>
        <v>0</v>
      </c>
    </row>
    <row r="23" spans="1:16" ht="22.5" x14ac:dyDescent="0.2">
      <c r="A23" s="179">
        <f>IF(COUNTBLANK(B23)=1," ",COUNTA(B$14:B23))</f>
        <v>10</v>
      </c>
      <c r="B23" s="265" t="s">
        <v>521</v>
      </c>
      <c r="C23" s="269" t="s">
        <v>256</v>
      </c>
      <c r="D23" s="267" t="s">
        <v>88</v>
      </c>
      <c r="E23" s="270">
        <v>3</v>
      </c>
      <c r="F23" s="576"/>
      <c r="G23" s="577"/>
      <c r="H23" s="572">
        <f t="shared" si="7"/>
        <v>0</v>
      </c>
      <c r="I23" s="577"/>
      <c r="J23" s="577"/>
      <c r="K23" s="573">
        <f t="shared" si="8"/>
        <v>0</v>
      </c>
      <c r="L23" s="574">
        <f t="shared" si="9"/>
        <v>0</v>
      </c>
      <c r="M23" s="572">
        <f t="shared" si="10"/>
        <v>0</v>
      </c>
      <c r="N23" s="572">
        <f t="shared" si="11"/>
        <v>0</v>
      </c>
      <c r="O23" s="572">
        <f t="shared" si="12"/>
        <v>0</v>
      </c>
      <c r="P23" s="573">
        <f t="shared" si="13"/>
        <v>0</v>
      </c>
    </row>
    <row r="24" spans="1:16" ht="22.5" x14ac:dyDescent="0.2">
      <c r="A24" s="179">
        <f>IF(COUNTBLANK(B24)=1," ",COUNTA(B$14:B24))</f>
        <v>11</v>
      </c>
      <c r="B24" s="265" t="s">
        <v>521</v>
      </c>
      <c r="C24" s="269" t="s">
        <v>257</v>
      </c>
      <c r="D24" s="273" t="s">
        <v>57</v>
      </c>
      <c r="E24" s="270">
        <f>E17</f>
        <v>1</v>
      </c>
      <c r="F24" s="576"/>
      <c r="G24" s="577"/>
      <c r="H24" s="577">
        <f t="shared" si="7"/>
        <v>0</v>
      </c>
      <c r="I24" s="577"/>
      <c r="J24" s="577"/>
      <c r="K24" s="578">
        <f t="shared" si="8"/>
        <v>0</v>
      </c>
      <c r="L24" s="576">
        <f t="shared" si="9"/>
        <v>0</v>
      </c>
      <c r="M24" s="577">
        <f t="shared" si="10"/>
        <v>0</v>
      </c>
      <c r="N24" s="577">
        <f t="shared" si="11"/>
        <v>0</v>
      </c>
      <c r="O24" s="577">
        <f t="shared" si="12"/>
        <v>0</v>
      </c>
      <c r="P24" s="578">
        <f t="shared" si="13"/>
        <v>0</v>
      </c>
    </row>
    <row r="25" spans="1:16" ht="22.5" x14ac:dyDescent="0.2">
      <c r="A25" s="179">
        <f>IF(COUNTBLANK(B25)=1," ",COUNTA(B$14:B25))</f>
        <v>12</v>
      </c>
      <c r="B25" s="265" t="s">
        <v>521</v>
      </c>
      <c r="C25" s="271" t="s">
        <v>258</v>
      </c>
      <c r="D25" s="273" t="s">
        <v>57</v>
      </c>
      <c r="E25" s="270">
        <f>E17</f>
        <v>1</v>
      </c>
      <c r="F25" s="576"/>
      <c r="G25" s="577"/>
      <c r="H25" s="572">
        <f t="shared" si="7"/>
        <v>0</v>
      </c>
      <c r="I25" s="577"/>
      <c r="J25" s="577"/>
      <c r="K25" s="573">
        <f t="shared" si="8"/>
        <v>0</v>
      </c>
      <c r="L25" s="574">
        <f t="shared" si="9"/>
        <v>0</v>
      </c>
      <c r="M25" s="572">
        <f t="shared" si="10"/>
        <v>0</v>
      </c>
      <c r="N25" s="572">
        <f t="shared" si="11"/>
        <v>0</v>
      </c>
      <c r="O25" s="572">
        <f t="shared" si="12"/>
        <v>0</v>
      </c>
      <c r="P25" s="573">
        <f t="shared" si="13"/>
        <v>0</v>
      </c>
    </row>
    <row r="26" spans="1:16" ht="22.5" x14ac:dyDescent="0.2">
      <c r="A26" s="179">
        <f>IF(COUNTBLANK(B26)=1," ",COUNTA(B$14:B26))</f>
        <v>13</v>
      </c>
      <c r="B26" s="265" t="s">
        <v>521</v>
      </c>
      <c r="C26" s="271" t="s">
        <v>259</v>
      </c>
      <c r="D26" s="273" t="s">
        <v>88</v>
      </c>
      <c r="E26" s="272">
        <v>5.3</v>
      </c>
      <c r="F26" s="576"/>
      <c r="G26" s="577"/>
      <c r="H26" s="577">
        <f t="shared" si="7"/>
        <v>0</v>
      </c>
      <c r="I26" s="577"/>
      <c r="J26" s="577"/>
      <c r="K26" s="578">
        <f t="shared" si="8"/>
        <v>0</v>
      </c>
      <c r="L26" s="576">
        <f t="shared" si="9"/>
        <v>0</v>
      </c>
      <c r="M26" s="577">
        <f t="shared" si="10"/>
        <v>0</v>
      </c>
      <c r="N26" s="577">
        <f t="shared" si="11"/>
        <v>0</v>
      </c>
      <c r="O26" s="577">
        <f t="shared" si="12"/>
        <v>0</v>
      </c>
      <c r="P26" s="578">
        <f t="shared" si="13"/>
        <v>0</v>
      </c>
    </row>
    <row r="27" spans="1:16" x14ac:dyDescent="0.2">
      <c r="A27" s="179">
        <f>IF(COUNTBLANK(B27)=1," ",COUNTA(B$14:B27))</f>
        <v>14</v>
      </c>
      <c r="B27" s="265" t="s">
        <v>521</v>
      </c>
      <c r="C27" s="271" t="s">
        <v>260</v>
      </c>
      <c r="D27" s="273" t="s">
        <v>57</v>
      </c>
      <c r="E27" s="272">
        <v>2</v>
      </c>
      <c r="F27" s="576"/>
      <c r="G27" s="577"/>
      <c r="H27" s="572">
        <f t="shared" si="7"/>
        <v>0</v>
      </c>
      <c r="I27" s="577"/>
      <c r="J27" s="577"/>
      <c r="K27" s="573">
        <f t="shared" si="8"/>
        <v>0</v>
      </c>
      <c r="L27" s="574">
        <f t="shared" si="9"/>
        <v>0</v>
      </c>
      <c r="M27" s="572">
        <f t="shared" si="10"/>
        <v>0</v>
      </c>
      <c r="N27" s="572">
        <f t="shared" si="11"/>
        <v>0</v>
      </c>
      <c r="O27" s="572">
        <f t="shared" si="12"/>
        <v>0</v>
      </c>
      <c r="P27" s="573">
        <f t="shared" si="13"/>
        <v>0</v>
      </c>
    </row>
    <row r="28" spans="1:16" ht="22.5" x14ac:dyDescent="0.2">
      <c r="A28" s="179">
        <f>IF(COUNTBLANK(B28)=1," ",COUNTA(B$14:B28))</f>
        <v>15</v>
      </c>
      <c r="B28" s="265" t="s">
        <v>521</v>
      </c>
      <c r="C28" s="271" t="s">
        <v>135</v>
      </c>
      <c r="D28" s="267" t="s">
        <v>325</v>
      </c>
      <c r="E28" s="272">
        <f>E17</f>
        <v>1</v>
      </c>
      <c r="F28" s="576"/>
      <c r="G28" s="577"/>
      <c r="H28" s="577">
        <f t="shared" si="7"/>
        <v>0</v>
      </c>
      <c r="I28" s="577"/>
      <c r="J28" s="577"/>
      <c r="K28" s="578">
        <f t="shared" si="8"/>
        <v>0</v>
      </c>
      <c r="L28" s="576">
        <f t="shared" si="9"/>
        <v>0</v>
      </c>
      <c r="M28" s="577">
        <f t="shared" si="10"/>
        <v>0</v>
      </c>
      <c r="N28" s="577">
        <f t="shared" si="11"/>
        <v>0</v>
      </c>
      <c r="O28" s="577">
        <f t="shared" si="12"/>
        <v>0</v>
      </c>
      <c r="P28" s="578">
        <f t="shared" si="13"/>
        <v>0</v>
      </c>
    </row>
    <row r="29" spans="1:16" ht="22.5" x14ac:dyDescent="0.2">
      <c r="A29" s="179">
        <f>IF(COUNTBLANK(B29)=1," ",COUNTA(B$14:B29))</f>
        <v>16</v>
      </c>
      <c r="B29" s="265" t="s">
        <v>521</v>
      </c>
      <c r="C29" s="271" t="s">
        <v>136</v>
      </c>
      <c r="D29" s="273" t="s">
        <v>176</v>
      </c>
      <c r="E29" s="272">
        <f>E17*0.5</f>
        <v>0.5</v>
      </c>
      <c r="F29" s="576"/>
      <c r="G29" s="577"/>
      <c r="H29" s="572">
        <f t="shared" si="7"/>
        <v>0</v>
      </c>
      <c r="I29" s="577"/>
      <c r="J29" s="577"/>
      <c r="K29" s="573">
        <f t="shared" si="8"/>
        <v>0</v>
      </c>
      <c r="L29" s="574">
        <f t="shared" si="9"/>
        <v>0</v>
      </c>
      <c r="M29" s="572">
        <f t="shared" si="10"/>
        <v>0</v>
      </c>
      <c r="N29" s="572">
        <f t="shared" si="11"/>
        <v>0</v>
      </c>
      <c r="O29" s="572">
        <f t="shared" si="12"/>
        <v>0</v>
      </c>
      <c r="P29" s="573">
        <f t="shared" si="13"/>
        <v>0</v>
      </c>
    </row>
    <row r="30" spans="1:16" x14ac:dyDescent="0.2">
      <c r="A30" s="179">
        <f>IF(COUNTBLANK(B30)=1," ",COUNTA(B$14:B30))</f>
        <v>17</v>
      </c>
      <c r="B30" s="265" t="s">
        <v>521</v>
      </c>
      <c r="C30" s="269" t="s">
        <v>137</v>
      </c>
      <c r="D30" s="273" t="s">
        <v>57</v>
      </c>
      <c r="E30" s="270">
        <f>E17</f>
        <v>1</v>
      </c>
      <c r="F30" s="576"/>
      <c r="G30" s="577"/>
      <c r="H30" s="577">
        <f t="shared" si="7"/>
        <v>0</v>
      </c>
      <c r="I30" s="577"/>
      <c r="J30" s="577"/>
      <c r="K30" s="578">
        <f t="shared" si="8"/>
        <v>0</v>
      </c>
      <c r="L30" s="576">
        <f t="shared" si="9"/>
        <v>0</v>
      </c>
      <c r="M30" s="577">
        <f t="shared" si="10"/>
        <v>0</v>
      </c>
      <c r="N30" s="577">
        <f t="shared" si="11"/>
        <v>0</v>
      </c>
      <c r="O30" s="577">
        <f t="shared" si="12"/>
        <v>0</v>
      </c>
      <c r="P30" s="578">
        <f t="shared" si="13"/>
        <v>0</v>
      </c>
    </row>
    <row r="31" spans="1:16" ht="33.75" x14ac:dyDescent="0.2">
      <c r="A31" s="179">
        <f>IF(COUNTBLANK(B31)=1," ",COUNTA(B$14:B31))</f>
        <v>18</v>
      </c>
      <c r="B31" s="265" t="s">
        <v>521</v>
      </c>
      <c r="C31" s="271" t="s">
        <v>138</v>
      </c>
      <c r="D31" s="273" t="s">
        <v>88</v>
      </c>
      <c r="E31" s="272">
        <f>E23</f>
        <v>3</v>
      </c>
      <c r="F31" s="576"/>
      <c r="G31" s="577"/>
      <c r="H31" s="572">
        <f t="shared" si="7"/>
        <v>0</v>
      </c>
      <c r="I31" s="577"/>
      <c r="J31" s="577"/>
      <c r="K31" s="573">
        <f t="shared" si="8"/>
        <v>0</v>
      </c>
      <c r="L31" s="574">
        <f t="shared" si="9"/>
        <v>0</v>
      </c>
      <c r="M31" s="572">
        <f t="shared" si="10"/>
        <v>0</v>
      </c>
      <c r="N31" s="572">
        <f t="shared" si="11"/>
        <v>0</v>
      </c>
      <c r="O31" s="572">
        <f t="shared" si="12"/>
        <v>0</v>
      </c>
      <c r="P31" s="573">
        <f t="shared" si="13"/>
        <v>0</v>
      </c>
    </row>
    <row r="32" spans="1:16" ht="22.5" x14ac:dyDescent="0.2">
      <c r="A32" s="179">
        <f>IF(COUNTBLANK(B32)=1," ",COUNTA(B$14:B32))</f>
        <v>19</v>
      </c>
      <c r="B32" s="265" t="s">
        <v>521</v>
      </c>
      <c r="C32" s="271" t="s">
        <v>139</v>
      </c>
      <c r="D32" s="273" t="s">
        <v>88</v>
      </c>
      <c r="E32" s="272">
        <f>E17*4</f>
        <v>4</v>
      </c>
      <c r="F32" s="576"/>
      <c r="G32" s="577"/>
      <c r="H32" s="577">
        <f t="shared" si="7"/>
        <v>0</v>
      </c>
      <c r="I32" s="577"/>
      <c r="J32" s="577"/>
      <c r="K32" s="578">
        <f t="shared" si="8"/>
        <v>0</v>
      </c>
      <c r="L32" s="576">
        <f t="shared" si="9"/>
        <v>0</v>
      </c>
      <c r="M32" s="577">
        <f t="shared" si="10"/>
        <v>0</v>
      </c>
      <c r="N32" s="577">
        <f t="shared" si="11"/>
        <v>0</v>
      </c>
      <c r="O32" s="577">
        <f t="shared" si="12"/>
        <v>0</v>
      </c>
      <c r="P32" s="578">
        <f t="shared" si="13"/>
        <v>0</v>
      </c>
    </row>
    <row r="33" spans="1:16" x14ac:dyDescent="0.2">
      <c r="A33" s="179">
        <f>IF(COUNTBLANK(B33)=1," ",COUNTA(B$14:B33))</f>
        <v>20</v>
      </c>
      <c r="B33" s="265" t="s">
        <v>521</v>
      </c>
      <c r="C33" s="271" t="s">
        <v>140</v>
      </c>
      <c r="D33" s="267" t="s">
        <v>143</v>
      </c>
      <c r="E33" s="272">
        <f>E17*4</f>
        <v>4</v>
      </c>
      <c r="F33" s="576"/>
      <c r="G33" s="577"/>
      <c r="H33" s="572">
        <f t="shared" si="7"/>
        <v>0</v>
      </c>
      <c r="I33" s="577"/>
      <c r="J33" s="577"/>
      <c r="K33" s="573">
        <f t="shared" si="8"/>
        <v>0</v>
      </c>
      <c r="L33" s="574">
        <f t="shared" si="9"/>
        <v>0</v>
      </c>
      <c r="M33" s="572">
        <f t="shared" si="10"/>
        <v>0</v>
      </c>
      <c r="N33" s="572">
        <f t="shared" si="11"/>
        <v>0</v>
      </c>
      <c r="O33" s="572">
        <f t="shared" si="12"/>
        <v>0</v>
      </c>
      <c r="P33" s="573">
        <f t="shared" si="13"/>
        <v>0</v>
      </c>
    </row>
    <row r="34" spans="1:16" ht="22.5" x14ac:dyDescent="0.2">
      <c r="A34" s="179">
        <f>IF(COUNTBLANK(B34)=1," ",COUNTA(B$14:B34))</f>
        <v>21</v>
      </c>
      <c r="B34" s="265" t="s">
        <v>521</v>
      </c>
      <c r="C34" s="271" t="s">
        <v>141</v>
      </c>
      <c r="D34" s="273" t="s">
        <v>356</v>
      </c>
      <c r="E34" s="272">
        <v>0.6</v>
      </c>
      <c r="F34" s="576"/>
      <c r="G34" s="577"/>
      <c r="H34" s="577">
        <f t="shared" si="7"/>
        <v>0</v>
      </c>
      <c r="I34" s="577"/>
      <c r="J34" s="577"/>
      <c r="K34" s="578">
        <f t="shared" si="8"/>
        <v>0</v>
      </c>
      <c r="L34" s="576">
        <f t="shared" si="9"/>
        <v>0</v>
      </c>
      <c r="M34" s="577">
        <f t="shared" si="10"/>
        <v>0</v>
      </c>
      <c r="N34" s="577">
        <f t="shared" si="11"/>
        <v>0</v>
      </c>
      <c r="O34" s="577">
        <f t="shared" si="12"/>
        <v>0</v>
      </c>
      <c r="P34" s="578">
        <f t="shared" si="13"/>
        <v>0</v>
      </c>
    </row>
    <row r="35" spans="1:16" ht="22.5" x14ac:dyDescent="0.2">
      <c r="A35" s="179">
        <f>IF(COUNTBLANK(B35)=1," ",COUNTA(B$14:B35))</f>
        <v>22</v>
      </c>
      <c r="B35" s="265" t="s">
        <v>521</v>
      </c>
      <c r="C35" s="269" t="s">
        <v>142</v>
      </c>
      <c r="D35" s="273" t="s">
        <v>351</v>
      </c>
      <c r="E35" s="270">
        <f>E17</f>
        <v>1</v>
      </c>
      <c r="F35" s="576"/>
      <c r="G35" s="577"/>
      <c r="H35" s="572">
        <f t="shared" si="7"/>
        <v>0</v>
      </c>
      <c r="I35" s="577"/>
      <c r="J35" s="577"/>
      <c r="K35" s="573">
        <f t="shared" si="8"/>
        <v>0</v>
      </c>
      <c r="L35" s="574">
        <f t="shared" si="9"/>
        <v>0</v>
      </c>
      <c r="M35" s="572">
        <f t="shared" si="10"/>
        <v>0</v>
      </c>
      <c r="N35" s="572">
        <f t="shared" si="11"/>
        <v>0</v>
      </c>
      <c r="O35" s="572">
        <f t="shared" si="12"/>
        <v>0</v>
      </c>
      <c r="P35" s="573">
        <f t="shared" si="13"/>
        <v>0</v>
      </c>
    </row>
    <row r="36" spans="1:16" x14ac:dyDescent="0.2">
      <c r="A36" s="179">
        <f>IF(COUNTBLANK(B36)=1," ",COUNTA(B$14:B36))</f>
        <v>23</v>
      </c>
      <c r="B36" s="265" t="s">
        <v>521</v>
      </c>
      <c r="C36" s="271" t="s">
        <v>248</v>
      </c>
      <c r="D36" s="273" t="s">
        <v>111</v>
      </c>
      <c r="E36" s="272">
        <f>E35</f>
        <v>1</v>
      </c>
      <c r="F36" s="576"/>
      <c r="G36" s="577"/>
      <c r="H36" s="577">
        <f t="shared" si="7"/>
        <v>0</v>
      </c>
      <c r="I36" s="577"/>
      <c r="J36" s="577"/>
      <c r="K36" s="578">
        <f t="shared" si="8"/>
        <v>0</v>
      </c>
      <c r="L36" s="576">
        <f t="shared" si="9"/>
        <v>0</v>
      </c>
      <c r="M36" s="577">
        <f t="shared" si="10"/>
        <v>0</v>
      </c>
      <c r="N36" s="577">
        <f t="shared" si="11"/>
        <v>0</v>
      </c>
      <c r="O36" s="577">
        <f t="shared" si="12"/>
        <v>0</v>
      </c>
      <c r="P36" s="578">
        <f t="shared" si="13"/>
        <v>0</v>
      </c>
    </row>
    <row r="37" spans="1:16" x14ac:dyDescent="0.2">
      <c r="A37" s="179">
        <f>IF(COUNTBLANK(B37)=1," ",COUNTA(B$14:B37))</f>
        <v>24</v>
      </c>
      <c r="B37" s="265" t="s">
        <v>521</v>
      </c>
      <c r="C37" s="271" t="s">
        <v>144</v>
      </c>
      <c r="D37" s="273" t="s">
        <v>325</v>
      </c>
      <c r="E37" s="272">
        <f>E36</f>
        <v>1</v>
      </c>
      <c r="F37" s="576"/>
      <c r="G37" s="577"/>
      <c r="H37" s="572">
        <f t="shared" si="7"/>
        <v>0</v>
      </c>
      <c r="I37" s="577"/>
      <c r="J37" s="577"/>
      <c r="K37" s="573">
        <f t="shared" si="8"/>
        <v>0</v>
      </c>
      <c r="L37" s="574">
        <f t="shared" si="9"/>
        <v>0</v>
      </c>
      <c r="M37" s="572">
        <f t="shared" si="10"/>
        <v>0</v>
      </c>
      <c r="N37" s="572">
        <f t="shared" si="11"/>
        <v>0</v>
      </c>
      <c r="O37" s="572">
        <f t="shared" si="12"/>
        <v>0</v>
      </c>
      <c r="P37" s="573">
        <f t="shared" si="13"/>
        <v>0</v>
      </c>
    </row>
    <row r="38" spans="1:16" x14ac:dyDescent="0.2">
      <c r="A38" s="179">
        <f>IF(COUNTBLANK(B38)=1," ",COUNTA(B$14:B38))</f>
        <v>25</v>
      </c>
      <c r="B38" s="265" t="s">
        <v>521</v>
      </c>
      <c r="C38" s="271" t="s">
        <v>145</v>
      </c>
      <c r="D38" s="273" t="s">
        <v>325</v>
      </c>
      <c r="E38" s="272">
        <f>E37</f>
        <v>1</v>
      </c>
      <c r="F38" s="576"/>
      <c r="G38" s="577"/>
      <c r="H38" s="577">
        <f t="shared" si="7"/>
        <v>0</v>
      </c>
      <c r="I38" s="577"/>
      <c r="J38" s="577"/>
      <c r="K38" s="578">
        <f t="shared" si="8"/>
        <v>0</v>
      </c>
      <c r="L38" s="576">
        <f t="shared" si="9"/>
        <v>0</v>
      </c>
      <c r="M38" s="577">
        <f t="shared" si="10"/>
        <v>0</v>
      </c>
      <c r="N38" s="577">
        <f t="shared" si="11"/>
        <v>0</v>
      </c>
      <c r="O38" s="577">
        <f t="shared" si="12"/>
        <v>0</v>
      </c>
      <c r="P38" s="578">
        <f t="shared" si="13"/>
        <v>0</v>
      </c>
    </row>
    <row r="39" spans="1:16" x14ac:dyDescent="0.2">
      <c r="A39" s="179">
        <f>IF(COUNTBLANK(B39)=1," ",COUNTA(B$14:B39))</f>
        <v>26</v>
      </c>
      <c r="B39" s="265" t="s">
        <v>521</v>
      </c>
      <c r="C39" s="271" t="s">
        <v>146</v>
      </c>
      <c r="D39" s="273" t="s">
        <v>176</v>
      </c>
      <c r="E39" s="272">
        <f>E17*3</f>
        <v>3</v>
      </c>
      <c r="F39" s="576"/>
      <c r="G39" s="577"/>
      <c r="H39" s="572">
        <f t="shared" si="7"/>
        <v>0</v>
      </c>
      <c r="I39" s="577"/>
      <c r="J39" s="577"/>
      <c r="K39" s="573">
        <f t="shared" si="8"/>
        <v>0</v>
      </c>
      <c r="L39" s="574">
        <f t="shared" si="9"/>
        <v>0</v>
      </c>
      <c r="M39" s="572">
        <f t="shared" si="10"/>
        <v>0</v>
      </c>
      <c r="N39" s="572">
        <f t="shared" si="11"/>
        <v>0</v>
      </c>
      <c r="O39" s="572">
        <f t="shared" si="12"/>
        <v>0</v>
      </c>
      <c r="P39" s="573">
        <f t="shared" si="13"/>
        <v>0</v>
      </c>
    </row>
    <row r="40" spans="1:16" ht="22.5" x14ac:dyDescent="0.2">
      <c r="A40" s="179">
        <f>IF(COUNTBLANK(B40)=1," ",COUNTA(B$14:B40))</f>
        <v>27</v>
      </c>
      <c r="B40" s="265" t="s">
        <v>521</v>
      </c>
      <c r="C40" s="271" t="s">
        <v>147</v>
      </c>
      <c r="D40" s="273" t="s">
        <v>325</v>
      </c>
      <c r="E40" s="272">
        <v>1</v>
      </c>
      <c r="F40" s="576"/>
      <c r="G40" s="577"/>
      <c r="H40" s="577">
        <f t="shared" si="7"/>
        <v>0</v>
      </c>
      <c r="I40" s="577"/>
      <c r="J40" s="577"/>
      <c r="K40" s="578">
        <f t="shared" si="8"/>
        <v>0</v>
      </c>
      <c r="L40" s="576">
        <f t="shared" si="9"/>
        <v>0</v>
      </c>
      <c r="M40" s="577">
        <f t="shared" si="10"/>
        <v>0</v>
      </c>
      <c r="N40" s="577">
        <f t="shared" si="11"/>
        <v>0</v>
      </c>
      <c r="O40" s="577">
        <f t="shared" si="12"/>
        <v>0</v>
      </c>
      <c r="P40" s="578">
        <f t="shared" si="13"/>
        <v>0</v>
      </c>
    </row>
    <row r="41" spans="1:16" x14ac:dyDescent="0.2">
      <c r="A41" s="179">
        <f>IF(COUNTBLANK(B41)=1," ",COUNTA(B$14:B41))</f>
        <v>28</v>
      </c>
      <c r="B41" s="265" t="s">
        <v>521</v>
      </c>
      <c r="C41" s="271" t="s">
        <v>354</v>
      </c>
      <c r="D41" s="267" t="s">
        <v>236</v>
      </c>
      <c r="E41" s="272">
        <f>E14</f>
        <v>1</v>
      </c>
      <c r="F41" s="576"/>
      <c r="G41" s="577"/>
      <c r="H41" s="572">
        <f t="shared" si="7"/>
        <v>0</v>
      </c>
      <c r="I41" s="577"/>
      <c r="J41" s="577"/>
      <c r="K41" s="573">
        <f t="shared" si="8"/>
        <v>0</v>
      </c>
      <c r="L41" s="574">
        <f t="shared" si="9"/>
        <v>0</v>
      </c>
      <c r="M41" s="572">
        <f t="shared" si="10"/>
        <v>0</v>
      </c>
      <c r="N41" s="572">
        <f t="shared" si="11"/>
        <v>0</v>
      </c>
      <c r="O41" s="572">
        <f t="shared" si="12"/>
        <v>0</v>
      </c>
      <c r="P41" s="573">
        <f t="shared" si="13"/>
        <v>0</v>
      </c>
    </row>
    <row r="42" spans="1:16" ht="33.75" x14ac:dyDescent="0.2">
      <c r="A42" s="179">
        <f>IF(COUNTBLANK(B42)=1," ",COUNTA(B$14:B42))</f>
        <v>29</v>
      </c>
      <c r="B42" s="265" t="s">
        <v>521</v>
      </c>
      <c r="C42" s="271" t="s">
        <v>148</v>
      </c>
      <c r="D42" s="267" t="s">
        <v>57</v>
      </c>
      <c r="E42" s="272">
        <f>E41</f>
        <v>1</v>
      </c>
      <c r="F42" s="576"/>
      <c r="G42" s="577"/>
      <c r="H42" s="577">
        <f t="shared" si="7"/>
        <v>0</v>
      </c>
      <c r="I42" s="577"/>
      <c r="J42" s="577"/>
      <c r="K42" s="578">
        <f t="shared" si="8"/>
        <v>0</v>
      </c>
      <c r="L42" s="576">
        <f t="shared" si="9"/>
        <v>0</v>
      </c>
      <c r="M42" s="577">
        <f t="shared" si="10"/>
        <v>0</v>
      </c>
      <c r="N42" s="577">
        <f t="shared" si="11"/>
        <v>0</v>
      </c>
      <c r="O42" s="577">
        <f t="shared" si="12"/>
        <v>0</v>
      </c>
      <c r="P42" s="578">
        <f t="shared" si="13"/>
        <v>0</v>
      </c>
    </row>
    <row r="43" spans="1:16" x14ac:dyDescent="0.2">
      <c r="A43" s="179">
        <f>IF(COUNTBLANK(B43)=1," ",COUNTA(B$14:B43))</f>
        <v>30</v>
      </c>
      <c r="B43" s="265" t="s">
        <v>521</v>
      </c>
      <c r="C43" s="274" t="s">
        <v>249</v>
      </c>
      <c r="D43" s="267" t="s">
        <v>57</v>
      </c>
      <c r="E43" s="270">
        <f>E16</f>
        <v>1</v>
      </c>
      <c r="F43" s="576"/>
      <c r="G43" s="577"/>
      <c r="H43" s="572">
        <f t="shared" si="7"/>
        <v>0</v>
      </c>
      <c r="I43" s="577"/>
      <c r="J43" s="577"/>
      <c r="K43" s="573">
        <f t="shared" si="8"/>
        <v>0</v>
      </c>
      <c r="L43" s="574">
        <f t="shared" si="9"/>
        <v>0</v>
      </c>
      <c r="M43" s="572">
        <f t="shared" si="10"/>
        <v>0</v>
      </c>
      <c r="N43" s="572">
        <f t="shared" si="11"/>
        <v>0</v>
      </c>
      <c r="O43" s="572">
        <f t="shared" si="12"/>
        <v>0</v>
      </c>
      <c r="P43" s="573">
        <f t="shared" si="13"/>
        <v>0</v>
      </c>
    </row>
    <row r="44" spans="1:16" ht="57" thickBot="1" x14ac:dyDescent="0.25">
      <c r="A44" s="179">
        <f>IF(COUNTBLANK(B44)=1," ",COUNTA(B$14:B44))</f>
        <v>31</v>
      </c>
      <c r="B44" s="265" t="s">
        <v>521</v>
      </c>
      <c r="C44" s="85" t="s">
        <v>355</v>
      </c>
      <c r="D44" s="267" t="s">
        <v>325</v>
      </c>
      <c r="E44" s="270">
        <v>4</v>
      </c>
      <c r="F44" s="576"/>
      <c r="G44" s="577"/>
      <c r="H44" s="577">
        <f t="shared" si="7"/>
        <v>0</v>
      </c>
      <c r="I44" s="577"/>
      <c r="J44" s="577"/>
      <c r="K44" s="578">
        <f t="shared" si="8"/>
        <v>0</v>
      </c>
      <c r="L44" s="576">
        <f t="shared" si="9"/>
        <v>0</v>
      </c>
      <c r="M44" s="577">
        <f t="shared" si="10"/>
        <v>0</v>
      </c>
      <c r="N44" s="577">
        <f t="shared" si="11"/>
        <v>0</v>
      </c>
      <c r="O44" s="577">
        <f t="shared" si="12"/>
        <v>0</v>
      </c>
      <c r="P44" s="578">
        <f t="shared" si="13"/>
        <v>0</v>
      </c>
    </row>
    <row r="45" spans="1:16" ht="12" thickBot="1" x14ac:dyDescent="0.25">
      <c r="A45" s="656" t="s">
        <v>612</v>
      </c>
      <c r="B45" s="619"/>
      <c r="C45" s="656"/>
      <c r="D45" s="656"/>
      <c r="E45" s="656"/>
      <c r="F45" s="656"/>
      <c r="G45" s="656"/>
      <c r="H45" s="656"/>
      <c r="I45" s="656"/>
      <c r="J45" s="656"/>
      <c r="K45" s="656"/>
      <c r="L45" s="582">
        <f>SUM(L14:L44)</f>
        <v>0</v>
      </c>
      <c r="M45" s="582">
        <f t="shared" ref="M45:P45" si="14">SUM(M14:M44)</f>
        <v>0</v>
      </c>
      <c r="N45" s="582">
        <f t="shared" si="14"/>
        <v>0</v>
      </c>
      <c r="O45" s="582">
        <f t="shared" si="14"/>
        <v>0</v>
      </c>
      <c r="P45" s="582">
        <f t="shared" si="14"/>
        <v>0</v>
      </c>
    </row>
    <row r="46" spans="1:16" x14ac:dyDescent="0.2">
      <c r="A46" s="202"/>
      <c r="B46" s="202"/>
      <c r="C46" s="202"/>
      <c r="D46" s="202"/>
      <c r="E46" s="202"/>
      <c r="F46" s="202"/>
      <c r="G46" s="202"/>
      <c r="H46" s="202"/>
      <c r="I46" s="202"/>
      <c r="J46" s="202"/>
      <c r="K46" s="202"/>
      <c r="L46" s="202"/>
      <c r="M46" s="202"/>
      <c r="N46" s="202"/>
      <c r="O46" s="202"/>
      <c r="P46" s="202"/>
    </row>
    <row r="47" spans="1:16" x14ac:dyDescent="0.2">
      <c r="A47" s="202"/>
      <c r="B47" s="202"/>
      <c r="C47" s="202"/>
      <c r="D47" s="202"/>
      <c r="E47" s="202"/>
      <c r="F47" s="202"/>
      <c r="G47" s="202"/>
      <c r="H47" s="202"/>
      <c r="I47" s="202"/>
      <c r="J47" s="202"/>
      <c r="K47" s="202"/>
      <c r="L47" s="202"/>
      <c r="M47" s="202"/>
      <c r="N47" s="202"/>
      <c r="O47" s="202"/>
      <c r="P47" s="202"/>
    </row>
    <row r="48" spans="1:16" x14ac:dyDescent="0.2">
      <c r="A48" s="159" t="s">
        <v>14</v>
      </c>
      <c r="B48" s="202"/>
      <c r="C48" s="671">
        <f>'Kops a'!C36:H36</f>
        <v>0</v>
      </c>
      <c r="D48" s="671"/>
      <c r="E48" s="671"/>
      <c r="F48" s="671"/>
      <c r="G48" s="671"/>
      <c r="H48" s="671"/>
      <c r="I48" s="202"/>
      <c r="J48" s="202"/>
      <c r="K48" s="202"/>
      <c r="L48" s="202"/>
      <c r="M48" s="202"/>
      <c r="N48" s="202"/>
      <c r="O48" s="202"/>
      <c r="P48" s="202"/>
    </row>
    <row r="49" spans="1:16" x14ac:dyDescent="0.2">
      <c r="A49" s="202"/>
      <c r="B49" s="202"/>
      <c r="C49" s="590" t="s">
        <v>15</v>
      </c>
      <c r="D49" s="590"/>
      <c r="E49" s="590"/>
      <c r="F49" s="590"/>
      <c r="G49" s="590"/>
      <c r="H49" s="590"/>
      <c r="I49" s="202"/>
      <c r="J49" s="202"/>
      <c r="K49" s="202"/>
      <c r="L49" s="202"/>
      <c r="M49" s="202"/>
      <c r="N49" s="202"/>
      <c r="O49" s="202"/>
      <c r="P49" s="202"/>
    </row>
    <row r="50" spans="1:16" x14ac:dyDescent="0.2">
      <c r="A50" s="202"/>
      <c r="B50" s="202"/>
      <c r="C50" s="202"/>
      <c r="D50" s="202"/>
      <c r="E50" s="202"/>
      <c r="F50" s="202"/>
      <c r="G50" s="202"/>
      <c r="H50" s="202"/>
      <c r="I50" s="202"/>
      <c r="J50" s="202"/>
      <c r="K50" s="202"/>
      <c r="L50" s="202"/>
      <c r="M50" s="202"/>
      <c r="N50" s="202"/>
      <c r="O50" s="202"/>
      <c r="P50" s="202"/>
    </row>
    <row r="51" spans="1:16" x14ac:dyDescent="0.2">
      <c r="A51" s="203" t="str">
        <f>'Kops a'!A39</f>
        <v>Tāme sastādīta 2021. gada</v>
      </c>
      <c r="B51" s="204"/>
      <c r="C51" s="204"/>
      <c r="D51" s="204"/>
      <c r="E51" s="202"/>
      <c r="F51" s="202"/>
      <c r="G51" s="202"/>
      <c r="H51" s="202"/>
      <c r="I51" s="202"/>
      <c r="J51" s="202"/>
      <c r="K51" s="202"/>
      <c r="L51" s="202"/>
      <c r="M51" s="202"/>
      <c r="N51" s="202"/>
      <c r="O51" s="202"/>
      <c r="P51" s="202"/>
    </row>
    <row r="52" spans="1:16" x14ac:dyDescent="0.2">
      <c r="A52" s="202"/>
      <c r="B52" s="202"/>
      <c r="C52" s="202"/>
      <c r="D52" s="202"/>
      <c r="E52" s="202"/>
      <c r="F52" s="202"/>
      <c r="G52" s="202"/>
      <c r="H52" s="202"/>
      <c r="I52" s="202"/>
      <c r="J52" s="202"/>
      <c r="K52" s="202"/>
      <c r="L52" s="202"/>
      <c r="M52" s="202"/>
      <c r="N52" s="202"/>
      <c r="O52" s="202"/>
      <c r="P52" s="202"/>
    </row>
    <row r="53" spans="1:16" x14ac:dyDescent="0.2">
      <c r="A53" s="159" t="s">
        <v>38</v>
      </c>
      <c r="B53" s="202"/>
      <c r="C53" s="672">
        <f>'Kops a'!C41:H41</f>
        <v>0</v>
      </c>
      <c r="D53" s="672"/>
      <c r="E53" s="672"/>
      <c r="F53" s="672"/>
      <c r="G53" s="672"/>
      <c r="H53" s="672"/>
      <c r="I53" s="202"/>
      <c r="J53" s="202"/>
      <c r="K53" s="202"/>
      <c r="L53" s="202"/>
      <c r="M53" s="202"/>
      <c r="N53" s="202"/>
      <c r="O53" s="202"/>
      <c r="P53" s="202"/>
    </row>
    <row r="54" spans="1:16" x14ac:dyDescent="0.2">
      <c r="A54" s="202"/>
      <c r="B54" s="202"/>
      <c r="C54" s="590" t="s">
        <v>15</v>
      </c>
      <c r="D54" s="590"/>
      <c r="E54" s="590"/>
      <c r="F54" s="590"/>
      <c r="G54" s="590"/>
      <c r="H54" s="590"/>
      <c r="I54" s="202"/>
      <c r="J54" s="202"/>
      <c r="K54" s="202"/>
      <c r="L54" s="202"/>
      <c r="M54" s="202"/>
      <c r="N54" s="202"/>
      <c r="O54" s="202"/>
      <c r="P54" s="202"/>
    </row>
    <row r="55" spans="1:16" x14ac:dyDescent="0.2">
      <c r="A55" s="202"/>
      <c r="B55" s="202"/>
      <c r="C55" s="202"/>
      <c r="D55" s="202"/>
      <c r="E55" s="202"/>
      <c r="F55" s="202"/>
      <c r="G55" s="202"/>
      <c r="H55" s="202"/>
      <c r="I55" s="202"/>
      <c r="J55" s="202"/>
      <c r="K55" s="202"/>
      <c r="L55" s="202"/>
      <c r="M55" s="202"/>
      <c r="N55" s="202"/>
      <c r="O55" s="202"/>
      <c r="P55" s="202"/>
    </row>
    <row r="56" spans="1:16" x14ac:dyDescent="0.2">
      <c r="A56" s="203" t="s">
        <v>53</v>
      </c>
      <c r="B56" s="204"/>
    </row>
    <row r="58" spans="1:16" x14ac:dyDescent="0.2">
      <c r="A58" s="687" t="s">
        <v>687</v>
      </c>
      <c r="B58" s="688"/>
      <c r="C58" s="689"/>
      <c r="D58" s="689"/>
      <c r="E58" s="690"/>
      <c r="F58" s="691"/>
      <c r="G58" s="690"/>
      <c r="H58" s="692"/>
      <c r="I58" s="692"/>
      <c r="J58" s="693"/>
      <c r="K58" s="694"/>
      <c r="L58" s="694"/>
      <c r="M58" s="694"/>
      <c r="N58" s="694"/>
      <c r="O58" s="694"/>
    </row>
    <row r="59" spans="1:16" x14ac:dyDescent="0.2">
      <c r="A59" s="695" t="s">
        <v>688</v>
      </c>
      <c r="B59" s="695"/>
      <c r="C59" s="695"/>
      <c r="D59" s="695"/>
      <c r="E59" s="695"/>
      <c r="F59" s="695"/>
      <c r="G59" s="695"/>
      <c r="H59" s="695"/>
      <c r="I59" s="695"/>
      <c r="J59" s="695"/>
      <c r="K59" s="695"/>
      <c r="L59" s="695"/>
      <c r="M59" s="695"/>
      <c r="N59" s="695"/>
      <c r="O59" s="695"/>
    </row>
    <row r="60" spans="1:16" x14ac:dyDescent="0.2">
      <c r="A60" s="695" t="s">
        <v>689</v>
      </c>
      <c r="B60" s="695"/>
      <c r="C60" s="695"/>
      <c r="D60" s="695"/>
      <c r="E60" s="695"/>
      <c r="F60" s="695"/>
      <c r="G60" s="695"/>
      <c r="H60" s="695"/>
      <c r="I60" s="695"/>
      <c r="J60" s="695"/>
      <c r="K60" s="695"/>
      <c r="L60" s="695"/>
      <c r="M60" s="695"/>
      <c r="N60" s="695"/>
      <c r="O60" s="695"/>
    </row>
  </sheetData>
  <mergeCells count="24">
    <mergeCell ref="A59:O59"/>
    <mergeCell ref="A60:O60"/>
    <mergeCell ref="D7:L7"/>
    <mergeCell ref="C2:I2"/>
    <mergeCell ref="C3:I3"/>
    <mergeCell ref="C4:I4"/>
    <mergeCell ref="D5:L5"/>
    <mergeCell ref="D6:L6"/>
    <mergeCell ref="C54:H54"/>
    <mergeCell ref="D8:L8"/>
    <mergeCell ref="A9:F9"/>
    <mergeCell ref="J9:M9"/>
    <mergeCell ref="N9:O9"/>
    <mergeCell ref="A12:A13"/>
    <mergeCell ref="B12:B13"/>
    <mergeCell ref="C12:C13"/>
    <mergeCell ref="D12:D13"/>
    <mergeCell ref="E12:E13"/>
    <mergeCell ref="F12:K12"/>
    <mergeCell ref="L12:P12"/>
    <mergeCell ref="A45:K45"/>
    <mergeCell ref="C48:H48"/>
    <mergeCell ref="C49:H49"/>
    <mergeCell ref="C53:H53"/>
  </mergeCells>
  <conditionalFormatting sqref="C4:I4 D5:L8 C53:H53 C48:H48 C44:E44 B14:B44 C15:E42">
    <cfRule type="cellIs" dxfId="58" priority="10" operator="equal">
      <formula>0</formula>
    </cfRule>
  </conditionalFormatting>
  <conditionalFormatting sqref="N9:O9 C2:I2 C53:H53 C48:H48 D14:E14">
    <cfRule type="cellIs" dxfId="57" priority="11" operator="equal">
      <formula>0</formula>
    </cfRule>
  </conditionalFormatting>
  <conditionalFormatting sqref="A9:F9 A45:K45">
    <cfRule type="containsText" dxfId="56" priority="12" operator="containsText" text="Tāme sastādīta  20__. gada tirgus cenās, pamatojoties uz ___ daļas rasējumiem"/>
  </conditionalFormatting>
  <conditionalFormatting sqref="O10">
    <cfRule type="cellIs" dxfId="55" priority="13" operator="equal">
      <formula>"20__. gada __. _________"</formula>
    </cfRule>
  </conditionalFormatting>
  <conditionalFormatting sqref="C14">
    <cfRule type="cellIs" dxfId="54" priority="17" operator="equal">
      <formula>0</formula>
    </cfRule>
  </conditionalFormatting>
  <conditionalFormatting sqref="P10">
    <cfRule type="cellIs" dxfId="53" priority="19" operator="equal">
      <formula>"20__. gada __. _________"</formula>
    </cfRule>
  </conditionalFormatting>
  <conditionalFormatting sqref="D1">
    <cfRule type="cellIs" dxfId="52" priority="21" operator="equal">
      <formula>0</formula>
    </cfRule>
  </conditionalFormatting>
  <conditionalFormatting sqref="C43:E43">
    <cfRule type="cellIs" dxfId="51" priority="6" operator="equal">
      <formula>0</formula>
    </cfRule>
  </conditionalFormatting>
  <conditionalFormatting sqref="A14:A44">
    <cfRule type="cellIs" dxfId="50" priority="5" operator="equal">
      <formula>0</formula>
    </cfRule>
  </conditionalFormatting>
  <conditionalFormatting sqref="I14:J44 F14:G44">
    <cfRule type="cellIs" dxfId="49" priority="3" operator="equal">
      <formula>0</formula>
    </cfRule>
  </conditionalFormatting>
  <conditionalFormatting sqref="H14:H44 K14:P44">
    <cfRule type="cellIs" dxfId="48" priority="2" operator="equal">
      <formula>0</formula>
    </cfRule>
  </conditionalFormatting>
  <conditionalFormatting sqref="L45:P45">
    <cfRule type="cellIs" dxfId="47" priority="1" operator="equal">
      <formula>0</formula>
    </cfRule>
  </conditionalFormatting>
  <pageMargins left="0.19685039370078741" right="0.19685039370078741" top="0.75196850393700787" bottom="0.39370078740157483" header="0.51181102362204722" footer="0.51181102362204722"/>
  <pageSetup paperSize="9" scale="99" firstPageNumber="0"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P104"/>
  <sheetViews>
    <sheetView view="pageBreakPreview" topLeftCell="A82" zoomScale="115" zoomScaleNormal="100" zoomScaleSheetLayoutView="115" workbookViewId="0">
      <selection activeCell="P90" sqref="P90"/>
    </sheetView>
  </sheetViews>
  <sheetFormatPr defaultColWidth="8.6640625" defaultRowHeight="11.25" x14ac:dyDescent="0.2"/>
  <cols>
    <col min="1" max="1" width="4.5" style="159" customWidth="1"/>
    <col min="2" max="2" width="5.33203125" style="159" customWidth="1"/>
    <col min="3" max="3" width="43.83203125" style="159" customWidth="1"/>
    <col min="4" max="4" width="10" style="159" customWidth="1"/>
    <col min="5" max="5" width="5.83203125" style="159" customWidth="1"/>
    <col min="6" max="6" width="8.6640625" style="159" customWidth="1"/>
    <col min="7" max="7" width="5.33203125" style="159" customWidth="1"/>
    <col min="8" max="8" width="4.83203125" style="159" customWidth="1"/>
    <col min="9" max="11" width="6.6640625" style="159" customWidth="1"/>
    <col min="12" max="12" width="6.83203125" style="159" customWidth="1"/>
    <col min="13" max="16" width="7.6640625" style="159" customWidth="1"/>
    <col min="17" max="1025" width="9.1640625" style="159" customWidth="1"/>
    <col min="1026" max="16384" width="8.6640625" style="159"/>
  </cols>
  <sheetData>
    <row r="1" spans="1:16" x14ac:dyDescent="0.2">
      <c r="A1" s="156"/>
      <c r="B1" s="156"/>
      <c r="C1" s="157" t="s">
        <v>39</v>
      </c>
      <c r="D1" s="157"/>
      <c r="E1" s="158">
        <f>'Kops a'!A24</f>
        <v>10</v>
      </c>
      <c r="F1" s="156"/>
      <c r="G1" s="156"/>
      <c r="H1" s="156"/>
      <c r="I1" s="156"/>
      <c r="J1" s="156"/>
      <c r="K1" s="156"/>
      <c r="O1" s="160"/>
      <c r="P1" s="157"/>
    </row>
    <row r="2" spans="1:16" x14ac:dyDescent="0.2">
      <c r="A2" s="162"/>
      <c r="B2" s="162"/>
      <c r="C2" s="630" t="s">
        <v>261</v>
      </c>
      <c r="D2" s="630"/>
      <c r="E2" s="630"/>
      <c r="F2" s="630"/>
      <c r="G2" s="630"/>
      <c r="H2" s="630"/>
      <c r="I2" s="630"/>
      <c r="J2" s="630"/>
      <c r="K2" s="162"/>
    </row>
    <row r="3" spans="1:16" x14ac:dyDescent="0.2">
      <c r="A3" s="163"/>
      <c r="B3" s="163"/>
      <c r="C3" s="604" t="s">
        <v>18</v>
      </c>
      <c r="D3" s="604"/>
      <c r="E3" s="604"/>
      <c r="F3" s="604"/>
      <c r="G3" s="604"/>
      <c r="H3" s="604"/>
      <c r="I3" s="604"/>
      <c r="J3" s="604"/>
      <c r="K3" s="163"/>
    </row>
    <row r="4" spans="1:16" x14ac:dyDescent="0.2">
      <c r="A4" s="163"/>
      <c r="B4" s="163"/>
      <c r="C4" s="631" t="s">
        <v>4</v>
      </c>
      <c r="D4" s="631"/>
      <c r="E4" s="631"/>
      <c r="F4" s="631"/>
      <c r="G4" s="631"/>
      <c r="H4" s="631"/>
      <c r="I4" s="631"/>
      <c r="J4" s="631"/>
      <c r="K4" s="163"/>
    </row>
    <row r="5" spans="1:16" x14ac:dyDescent="0.2">
      <c r="A5" s="156"/>
      <c r="B5" s="156"/>
      <c r="C5" s="157" t="s">
        <v>5</v>
      </c>
      <c r="D5" s="626" t="str">
        <f>'Kops a'!D6</f>
        <v>Daudzīvokļu dzīvojamā māja</v>
      </c>
      <c r="E5" s="626"/>
      <c r="F5" s="626"/>
      <c r="G5" s="626"/>
      <c r="H5" s="626"/>
      <c r="I5" s="626"/>
      <c r="J5" s="626"/>
      <c r="K5" s="626"/>
      <c r="L5" s="626"/>
      <c r="M5" s="202"/>
      <c r="N5" s="202"/>
      <c r="O5" s="202"/>
      <c r="P5" s="202"/>
    </row>
    <row r="6" spans="1:16" x14ac:dyDescent="0.2">
      <c r="A6" s="156"/>
      <c r="B6" s="156"/>
      <c r="C6" s="157" t="s">
        <v>6</v>
      </c>
      <c r="D6" s="626" t="str">
        <f>'Kops a'!D7</f>
        <v>fasādes vienkāršotā atjaunošana</v>
      </c>
      <c r="E6" s="626"/>
      <c r="F6" s="626"/>
      <c r="G6" s="626"/>
      <c r="H6" s="626"/>
      <c r="I6" s="626"/>
      <c r="J6" s="626"/>
      <c r="K6" s="626"/>
      <c r="L6" s="626"/>
      <c r="M6" s="202"/>
      <c r="N6" s="202"/>
      <c r="O6" s="202"/>
      <c r="P6" s="202"/>
    </row>
    <row r="7" spans="1:16" x14ac:dyDescent="0.2">
      <c r="A7" s="156"/>
      <c r="B7" s="156"/>
      <c r="C7" s="157" t="s">
        <v>7</v>
      </c>
      <c r="D7" s="626" t="str">
        <f>'Kops a'!D8</f>
        <v>Lēņu iela 2, Liepājā</v>
      </c>
      <c r="E7" s="626"/>
      <c r="F7" s="626"/>
      <c r="G7" s="626"/>
      <c r="H7" s="626"/>
      <c r="I7" s="626"/>
      <c r="J7" s="626"/>
      <c r="K7" s="626"/>
      <c r="L7" s="626"/>
      <c r="M7" s="202"/>
      <c r="N7" s="202"/>
      <c r="O7" s="202"/>
      <c r="P7" s="202"/>
    </row>
    <row r="8" spans="1:16" x14ac:dyDescent="0.2">
      <c r="A8" s="156"/>
      <c r="B8" s="156"/>
      <c r="C8" s="164" t="s">
        <v>21</v>
      </c>
      <c r="D8" s="626" t="str">
        <f>'Kops a'!D9</f>
        <v>WS-90-17 Līg.Nr. 2017/3-62/479</v>
      </c>
      <c r="E8" s="626"/>
      <c r="F8" s="626"/>
      <c r="G8" s="626"/>
      <c r="H8" s="626"/>
      <c r="I8" s="626"/>
      <c r="J8" s="626"/>
      <c r="K8" s="626"/>
      <c r="L8" s="626"/>
      <c r="M8" s="202"/>
      <c r="N8" s="202"/>
      <c r="O8" s="202"/>
      <c r="P8" s="202"/>
    </row>
    <row r="9" spans="1:16" x14ac:dyDescent="0.2">
      <c r="A9" s="627" t="s">
        <v>650</v>
      </c>
      <c r="B9" s="627"/>
      <c r="C9" s="627"/>
      <c r="D9" s="627"/>
      <c r="E9" s="627"/>
      <c r="F9" s="627"/>
      <c r="G9" s="627"/>
      <c r="H9" s="165"/>
      <c r="I9" s="165"/>
      <c r="J9" s="165"/>
      <c r="K9" s="628" t="s">
        <v>40</v>
      </c>
      <c r="L9" s="628"/>
      <c r="M9" s="628"/>
      <c r="N9" s="628"/>
      <c r="O9" s="629">
        <f>P90</f>
        <v>0</v>
      </c>
      <c r="P9" s="629"/>
    </row>
    <row r="10" spans="1:16" x14ac:dyDescent="0.2">
      <c r="A10" s="166"/>
      <c r="B10" s="167"/>
      <c r="C10" s="164"/>
      <c r="D10" s="164"/>
      <c r="E10" s="156"/>
      <c r="F10" s="156"/>
      <c r="G10" s="156"/>
      <c r="H10" s="156"/>
      <c r="I10" s="156"/>
      <c r="J10" s="156"/>
      <c r="K10" s="156"/>
      <c r="L10" s="156"/>
      <c r="M10" s="162"/>
      <c r="N10" s="162"/>
      <c r="P10" s="168"/>
    </row>
    <row r="11" spans="1:16" ht="12" thickBot="1" x14ac:dyDescent="0.25">
      <c r="A11" s="166"/>
      <c r="B11" s="167"/>
      <c r="C11" s="164"/>
      <c r="D11" s="164"/>
      <c r="E11" s="156"/>
      <c r="F11" s="156"/>
      <c r="G11" s="156"/>
      <c r="H11" s="156"/>
      <c r="I11" s="156"/>
      <c r="J11" s="156"/>
      <c r="K11" s="156"/>
      <c r="L11" s="156"/>
      <c r="M11" s="170"/>
      <c r="N11" s="170"/>
      <c r="O11" s="171"/>
      <c r="P11" s="160"/>
    </row>
    <row r="12" spans="1:16" ht="12" customHeight="1" thickBot="1" x14ac:dyDescent="0.25">
      <c r="A12" s="621" t="s">
        <v>24</v>
      </c>
      <c r="B12" s="622" t="s">
        <v>41</v>
      </c>
      <c r="C12" s="674" t="s">
        <v>42</v>
      </c>
      <c r="D12" s="624" t="s">
        <v>43</v>
      </c>
      <c r="E12" s="669" t="s">
        <v>44</v>
      </c>
      <c r="F12" s="618" t="s">
        <v>45</v>
      </c>
      <c r="G12" s="618"/>
      <c r="H12" s="618"/>
      <c r="I12" s="618"/>
      <c r="J12" s="618"/>
      <c r="K12" s="618"/>
      <c r="L12" s="618" t="s">
        <v>46</v>
      </c>
      <c r="M12" s="618"/>
      <c r="N12" s="618"/>
      <c r="O12" s="618"/>
      <c r="P12" s="618"/>
    </row>
    <row r="13" spans="1:16" ht="118.5" thickBot="1" x14ac:dyDescent="0.25">
      <c r="A13" s="621"/>
      <c r="B13" s="622"/>
      <c r="C13" s="675"/>
      <c r="D13" s="624"/>
      <c r="E13" s="673"/>
      <c r="F13" s="206" t="s">
        <v>47</v>
      </c>
      <c r="G13" s="207" t="s">
        <v>48</v>
      </c>
      <c r="H13" s="207" t="s">
        <v>49</v>
      </c>
      <c r="I13" s="207" t="s">
        <v>50</v>
      </c>
      <c r="J13" s="207" t="s">
        <v>51</v>
      </c>
      <c r="K13" s="208" t="s">
        <v>52</v>
      </c>
      <c r="L13" s="206" t="s">
        <v>47</v>
      </c>
      <c r="M13" s="207" t="s">
        <v>49</v>
      </c>
      <c r="N13" s="207" t="s">
        <v>50</v>
      </c>
      <c r="O13" s="207" t="s">
        <v>51</v>
      </c>
      <c r="P13" s="208" t="s">
        <v>52</v>
      </c>
    </row>
    <row r="14" spans="1:16" ht="22.5" customHeight="1" x14ac:dyDescent="0.2">
      <c r="A14" s="179">
        <f>IF(COUNTBLANK(B14)=1," ",COUNTA(B$14:B14))</f>
        <v>1</v>
      </c>
      <c r="B14" s="229" t="s">
        <v>521</v>
      </c>
      <c r="C14" s="230" t="s">
        <v>526</v>
      </c>
      <c r="D14" s="231" t="s">
        <v>88</v>
      </c>
      <c r="E14" s="232">
        <v>646</v>
      </c>
      <c r="F14" s="576"/>
      <c r="G14" s="577"/>
      <c r="H14" s="577">
        <f>ROUND(F14*G14,2)</f>
        <v>0</v>
      </c>
      <c r="I14" s="577"/>
      <c r="J14" s="577"/>
      <c r="K14" s="578">
        <f>SUM(H14:J14)</f>
        <v>0</v>
      </c>
      <c r="L14" s="576">
        <f>ROUND(E14*F14,2)</f>
        <v>0</v>
      </c>
      <c r="M14" s="577">
        <f>ROUND(H14*E14,2)</f>
        <v>0</v>
      </c>
      <c r="N14" s="577">
        <f>ROUND(I14*E14,2)</f>
        <v>0</v>
      </c>
      <c r="O14" s="577">
        <f>ROUND(J14*E14,2)</f>
        <v>0</v>
      </c>
      <c r="P14" s="578">
        <f>SUM(M14:O14)</f>
        <v>0</v>
      </c>
    </row>
    <row r="15" spans="1:16" ht="33.75" customHeight="1" x14ac:dyDescent="0.2">
      <c r="A15" s="179">
        <f>IF(COUNTBLANK(B15)=1," ",COUNTA(B$14:B15))</f>
        <v>2</v>
      </c>
      <c r="B15" s="229" t="s">
        <v>521</v>
      </c>
      <c r="C15" s="233" t="s">
        <v>343</v>
      </c>
      <c r="D15" s="234" t="s">
        <v>111</v>
      </c>
      <c r="E15" s="234">
        <v>2</v>
      </c>
      <c r="F15" s="576"/>
      <c r="G15" s="577"/>
      <c r="H15" s="572">
        <f t="shared" ref="H15:H16" si="0">ROUND(F15*G15,2)</f>
        <v>0</v>
      </c>
      <c r="I15" s="577"/>
      <c r="J15" s="577"/>
      <c r="K15" s="573">
        <f t="shared" ref="K15:K16" si="1">SUM(H15:J15)</f>
        <v>0</v>
      </c>
      <c r="L15" s="574">
        <f t="shared" ref="L15:L16" si="2">ROUND(E15*F15,2)</f>
        <v>0</v>
      </c>
      <c r="M15" s="572">
        <f t="shared" ref="M15:M16" si="3">ROUND(H15*E15,2)</f>
        <v>0</v>
      </c>
      <c r="N15" s="572">
        <f t="shared" ref="N15:N16" si="4">ROUND(I15*E15,2)</f>
        <v>0</v>
      </c>
      <c r="O15" s="572">
        <f t="shared" ref="O15:O16" si="5">ROUND(J15*E15,2)</f>
        <v>0</v>
      </c>
      <c r="P15" s="573">
        <f t="shared" ref="P15:P16" si="6">SUM(M15:O15)</f>
        <v>0</v>
      </c>
    </row>
    <row r="16" spans="1:16" ht="39" customHeight="1" x14ac:dyDescent="0.2">
      <c r="A16" s="179">
        <f>IF(COUNTBLANK(B16)=1," ",COUNTA(B$14:B16))</f>
        <v>3</v>
      </c>
      <c r="B16" s="229" t="s">
        <v>521</v>
      </c>
      <c r="C16" s="235" t="s">
        <v>651</v>
      </c>
      <c r="D16" s="234" t="s">
        <v>88</v>
      </c>
      <c r="E16" s="234">
        <v>29</v>
      </c>
      <c r="F16" s="576"/>
      <c r="G16" s="577"/>
      <c r="H16" s="577">
        <f t="shared" si="0"/>
        <v>0</v>
      </c>
      <c r="I16" s="577"/>
      <c r="J16" s="577"/>
      <c r="K16" s="578">
        <f t="shared" si="1"/>
        <v>0</v>
      </c>
      <c r="L16" s="576">
        <f t="shared" si="2"/>
        <v>0</v>
      </c>
      <c r="M16" s="577">
        <f t="shared" si="3"/>
        <v>0</v>
      </c>
      <c r="N16" s="577">
        <f t="shared" si="4"/>
        <v>0</v>
      </c>
      <c r="O16" s="577">
        <f t="shared" si="5"/>
        <v>0</v>
      </c>
      <c r="P16" s="578">
        <f t="shared" si="6"/>
        <v>0</v>
      </c>
    </row>
    <row r="17" spans="1:16" ht="33.75" x14ac:dyDescent="0.2">
      <c r="A17" s="179">
        <f>IF(COUNTBLANK(B17)=1," ",COUNTA(B$14:B17))</f>
        <v>4</v>
      </c>
      <c r="B17" s="229" t="s">
        <v>521</v>
      </c>
      <c r="C17" s="235" t="s">
        <v>652</v>
      </c>
      <c r="D17" s="234" t="s">
        <v>88</v>
      </c>
      <c r="E17" s="234">
        <v>4</v>
      </c>
      <c r="F17" s="576"/>
      <c r="G17" s="577"/>
      <c r="H17" s="572">
        <f t="shared" ref="H17:H80" si="7">ROUND(F17*G17,2)</f>
        <v>0</v>
      </c>
      <c r="I17" s="577"/>
      <c r="J17" s="577"/>
      <c r="K17" s="573">
        <f t="shared" ref="K17:K80" si="8">SUM(H17:J17)</f>
        <v>0</v>
      </c>
      <c r="L17" s="574">
        <f t="shared" ref="L17:L80" si="9">ROUND(E17*F17,2)</f>
        <v>0</v>
      </c>
      <c r="M17" s="572">
        <f t="shared" ref="M17:M80" si="10">ROUND(H17*E17,2)</f>
        <v>0</v>
      </c>
      <c r="N17" s="572">
        <f t="shared" ref="N17:N80" si="11">ROUND(I17*E17,2)</f>
        <v>0</v>
      </c>
      <c r="O17" s="572">
        <f t="shared" ref="O17:O80" si="12">ROUND(J17*E17,2)</f>
        <v>0</v>
      </c>
      <c r="P17" s="573">
        <f t="shared" ref="P17:P80" si="13">SUM(M17:O17)</f>
        <v>0</v>
      </c>
    </row>
    <row r="18" spans="1:16" ht="33.75" x14ac:dyDescent="0.2">
      <c r="A18" s="179">
        <f>IF(COUNTBLANK(B18)=1," ",COUNTA(B$14:B18))</f>
        <v>5</v>
      </c>
      <c r="B18" s="229" t="s">
        <v>521</v>
      </c>
      <c r="C18" s="235" t="s">
        <v>653</v>
      </c>
      <c r="D18" s="234" t="s">
        <v>88</v>
      </c>
      <c r="E18" s="234">
        <v>52</v>
      </c>
      <c r="F18" s="576"/>
      <c r="G18" s="577"/>
      <c r="H18" s="577">
        <f t="shared" si="7"/>
        <v>0</v>
      </c>
      <c r="I18" s="577"/>
      <c r="J18" s="577"/>
      <c r="K18" s="578">
        <f t="shared" si="8"/>
        <v>0</v>
      </c>
      <c r="L18" s="576">
        <f t="shared" si="9"/>
        <v>0</v>
      </c>
      <c r="M18" s="577">
        <f t="shared" si="10"/>
        <v>0</v>
      </c>
      <c r="N18" s="577">
        <f t="shared" si="11"/>
        <v>0</v>
      </c>
      <c r="O18" s="577">
        <f t="shared" si="12"/>
        <v>0</v>
      </c>
      <c r="P18" s="578">
        <f t="shared" si="13"/>
        <v>0</v>
      </c>
    </row>
    <row r="19" spans="1:16" ht="33.75" x14ac:dyDescent="0.2">
      <c r="A19" s="179">
        <f>IF(COUNTBLANK(B19)=1," ",COUNTA(B$14:B19))</f>
        <v>6</v>
      </c>
      <c r="B19" s="229" t="s">
        <v>521</v>
      </c>
      <c r="C19" s="235" t="s">
        <v>654</v>
      </c>
      <c r="D19" s="234" t="s">
        <v>88</v>
      </c>
      <c r="E19" s="234">
        <v>120</v>
      </c>
      <c r="F19" s="576"/>
      <c r="G19" s="577"/>
      <c r="H19" s="572">
        <f t="shared" si="7"/>
        <v>0</v>
      </c>
      <c r="I19" s="577"/>
      <c r="J19" s="577"/>
      <c r="K19" s="573">
        <f t="shared" si="8"/>
        <v>0</v>
      </c>
      <c r="L19" s="574">
        <f t="shared" si="9"/>
        <v>0</v>
      </c>
      <c r="M19" s="572">
        <f t="shared" si="10"/>
        <v>0</v>
      </c>
      <c r="N19" s="572">
        <f t="shared" si="11"/>
        <v>0</v>
      </c>
      <c r="O19" s="572">
        <f t="shared" si="12"/>
        <v>0</v>
      </c>
      <c r="P19" s="573">
        <f t="shared" si="13"/>
        <v>0</v>
      </c>
    </row>
    <row r="20" spans="1:16" ht="33.75" x14ac:dyDescent="0.2">
      <c r="A20" s="179">
        <f>IF(COUNTBLANK(B20)=1," ",COUNTA(B$14:B20))</f>
        <v>7</v>
      </c>
      <c r="B20" s="229" t="s">
        <v>521</v>
      </c>
      <c r="C20" s="235" t="s">
        <v>655</v>
      </c>
      <c r="D20" s="234" t="s">
        <v>88</v>
      </c>
      <c r="E20" s="234">
        <v>30</v>
      </c>
      <c r="F20" s="576"/>
      <c r="G20" s="577"/>
      <c r="H20" s="577">
        <f t="shared" si="7"/>
        <v>0</v>
      </c>
      <c r="I20" s="577"/>
      <c r="J20" s="577"/>
      <c r="K20" s="578">
        <f t="shared" si="8"/>
        <v>0</v>
      </c>
      <c r="L20" s="576">
        <f t="shared" si="9"/>
        <v>0</v>
      </c>
      <c r="M20" s="577">
        <f t="shared" si="10"/>
        <v>0</v>
      </c>
      <c r="N20" s="577">
        <f t="shared" si="11"/>
        <v>0</v>
      </c>
      <c r="O20" s="577">
        <f t="shared" si="12"/>
        <v>0</v>
      </c>
      <c r="P20" s="578">
        <f t="shared" si="13"/>
        <v>0</v>
      </c>
    </row>
    <row r="21" spans="1:16" ht="67.5" customHeight="1" x14ac:dyDescent="0.2">
      <c r="A21" s="179">
        <f>IF(COUNTBLANK(B21)=1," ",COUNTA(B$14:B21))</f>
        <v>8</v>
      </c>
      <c r="B21" s="229" t="s">
        <v>521</v>
      </c>
      <c r="C21" s="235" t="s">
        <v>656</v>
      </c>
      <c r="D21" s="236" t="s">
        <v>88</v>
      </c>
      <c r="E21" s="236">
        <v>29</v>
      </c>
      <c r="F21" s="576"/>
      <c r="G21" s="577"/>
      <c r="H21" s="572">
        <f t="shared" si="7"/>
        <v>0</v>
      </c>
      <c r="I21" s="577"/>
      <c r="J21" s="577"/>
      <c r="K21" s="573">
        <f t="shared" si="8"/>
        <v>0</v>
      </c>
      <c r="L21" s="574">
        <f t="shared" si="9"/>
        <v>0</v>
      </c>
      <c r="M21" s="572">
        <f t="shared" si="10"/>
        <v>0</v>
      </c>
      <c r="N21" s="572">
        <f t="shared" si="11"/>
        <v>0</v>
      </c>
      <c r="O21" s="572">
        <f t="shared" si="12"/>
        <v>0</v>
      </c>
      <c r="P21" s="573">
        <f t="shared" si="13"/>
        <v>0</v>
      </c>
    </row>
    <row r="22" spans="1:16" ht="56.25" x14ac:dyDescent="0.2">
      <c r="A22" s="179">
        <f>IF(COUNTBLANK(B22)=1," ",COUNTA(B$14:B22))</f>
        <v>9</v>
      </c>
      <c r="B22" s="229" t="s">
        <v>521</v>
      </c>
      <c r="C22" s="235" t="s">
        <v>527</v>
      </c>
      <c r="D22" s="236" t="s">
        <v>88</v>
      </c>
      <c r="E22" s="236">
        <v>4</v>
      </c>
      <c r="F22" s="576"/>
      <c r="G22" s="577"/>
      <c r="H22" s="577">
        <f t="shared" si="7"/>
        <v>0</v>
      </c>
      <c r="I22" s="577"/>
      <c r="J22" s="577"/>
      <c r="K22" s="578">
        <f t="shared" si="8"/>
        <v>0</v>
      </c>
      <c r="L22" s="576">
        <f t="shared" si="9"/>
        <v>0</v>
      </c>
      <c r="M22" s="577">
        <f t="shared" si="10"/>
        <v>0</v>
      </c>
      <c r="N22" s="577">
        <f t="shared" si="11"/>
        <v>0</v>
      </c>
      <c r="O22" s="577">
        <f t="shared" si="12"/>
        <v>0</v>
      </c>
      <c r="P22" s="578">
        <f t="shared" si="13"/>
        <v>0</v>
      </c>
    </row>
    <row r="23" spans="1:16" ht="56.25" x14ac:dyDescent="0.2">
      <c r="A23" s="179">
        <f>IF(COUNTBLANK(B23)=1," ",COUNTA(B$14:B23))</f>
        <v>10</v>
      </c>
      <c r="B23" s="229" t="s">
        <v>521</v>
      </c>
      <c r="C23" s="235" t="s">
        <v>657</v>
      </c>
      <c r="D23" s="236" t="s">
        <v>88</v>
      </c>
      <c r="E23" s="236">
        <v>52</v>
      </c>
      <c r="F23" s="576"/>
      <c r="G23" s="577"/>
      <c r="H23" s="572">
        <f t="shared" si="7"/>
        <v>0</v>
      </c>
      <c r="I23" s="577"/>
      <c r="J23" s="577"/>
      <c r="K23" s="573">
        <f t="shared" si="8"/>
        <v>0</v>
      </c>
      <c r="L23" s="574">
        <f t="shared" si="9"/>
        <v>0</v>
      </c>
      <c r="M23" s="572">
        <f t="shared" si="10"/>
        <v>0</v>
      </c>
      <c r="N23" s="572">
        <f t="shared" si="11"/>
        <v>0</v>
      </c>
      <c r="O23" s="572">
        <f t="shared" si="12"/>
        <v>0</v>
      </c>
      <c r="P23" s="573">
        <f t="shared" si="13"/>
        <v>0</v>
      </c>
    </row>
    <row r="24" spans="1:16" ht="56.25" x14ac:dyDescent="0.2">
      <c r="A24" s="179">
        <f>IF(COUNTBLANK(B24)=1," ",COUNTA(B$14:B24))</f>
        <v>11</v>
      </c>
      <c r="B24" s="229" t="s">
        <v>521</v>
      </c>
      <c r="C24" s="235" t="s">
        <v>658</v>
      </c>
      <c r="D24" s="236" t="s">
        <v>88</v>
      </c>
      <c r="E24" s="236">
        <v>120</v>
      </c>
      <c r="F24" s="576"/>
      <c r="G24" s="577"/>
      <c r="H24" s="577">
        <f t="shared" si="7"/>
        <v>0</v>
      </c>
      <c r="I24" s="577"/>
      <c r="J24" s="577"/>
      <c r="K24" s="578">
        <f t="shared" si="8"/>
        <v>0</v>
      </c>
      <c r="L24" s="576">
        <f t="shared" si="9"/>
        <v>0</v>
      </c>
      <c r="M24" s="577">
        <f t="shared" si="10"/>
        <v>0</v>
      </c>
      <c r="N24" s="577">
        <f t="shared" si="11"/>
        <v>0</v>
      </c>
      <c r="O24" s="577">
        <f t="shared" si="12"/>
        <v>0</v>
      </c>
      <c r="P24" s="578">
        <f t="shared" si="13"/>
        <v>0</v>
      </c>
    </row>
    <row r="25" spans="1:16" ht="56.25" x14ac:dyDescent="0.2">
      <c r="A25" s="179">
        <f>IF(COUNTBLANK(B25)=1," ",COUNTA(B$14:B25))</f>
        <v>12</v>
      </c>
      <c r="B25" s="229" t="s">
        <v>521</v>
      </c>
      <c r="C25" s="235" t="s">
        <v>659</v>
      </c>
      <c r="D25" s="236" t="s">
        <v>88</v>
      </c>
      <c r="E25" s="236">
        <v>30</v>
      </c>
      <c r="F25" s="576"/>
      <c r="G25" s="577"/>
      <c r="H25" s="572">
        <f t="shared" si="7"/>
        <v>0</v>
      </c>
      <c r="I25" s="577"/>
      <c r="J25" s="577"/>
      <c r="K25" s="573">
        <f t="shared" si="8"/>
        <v>0</v>
      </c>
      <c r="L25" s="574">
        <f t="shared" si="9"/>
        <v>0</v>
      </c>
      <c r="M25" s="572">
        <f t="shared" si="10"/>
        <v>0</v>
      </c>
      <c r="N25" s="572">
        <f t="shared" si="11"/>
        <v>0</v>
      </c>
      <c r="O25" s="572">
        <f t="shared" si="12"/>
        <v>0</v>
      </c>
      <c r="P25" s="573">
        <f t="shared" si="13"/>
        <v>0</v>
      </c>
    </row>
    <row r="26" spans="1:16" ht="34.5" customHeight="1" x14ac:dyDescent="0.2">
      <c r="A26" s="179">
        <f>IF(COUNTBLANK(B26)=1," ",COUNTA(B$14:B26))</f>
        <v>13</v>
      </c>
      <c r="B26" s="229" t="s">
        <v>521</v>
      </c>
      <c r="C26" s="235" t="s">
        <v>660</v>
      </c>
      <c r="D26" s="236" t="s">
        <v>88</v>
      </c>
      <c r="E26" s="236">
        <v>4</v>
      </c>
      <c r="F26" s="576"/>
      <c r="G26" s="577"/>
      <c r="H26" s="577">
        <f t="shared" si="7"/>
        <v>0</v>
      </c>
      <c r="I26" s="577"/>
      <c r="J26" s="577"/>
      <c r="K26" s="578">
        <f t="shared" si="8"/>
        <v>0</v>
      </c>
      <c r="L26" s="576">
        <f t="shared" si="9"/>
        <v>0</v>
      </c>
      <c r="M26" s="577">
        <f t="shared" si="10"/>
        <v>0</v>
      </c>
      <c r="N26" s="577">
        <f t="shared" si="11"/>
        <v>0</v>
      </c>
      <c r="O26" s="577">
        <f t="shared" si="12"/>
        <v>0</v>
      </c>
      <c r="P26" s="578">
        <f t="shared" si="13"/>
        <v>0</v>
      </c>
    </row>
    <row r="27" spans="1:16" ht="33.75" x14ac:dyDescent="0.2">
      <c r="A27" s="179">
        <f>IF(COUNTBLANK(B27)=1," ",COUNTA(B$14:B27))</f>
        <v>14</v>
      </c>
      <c r="B27" s="229" t="s">
        <v>521</v>
      </c>
      <c r="C27" s="235" t="s">
        <v>661</v>
      </c>
      <c r="D27" s="236" t="s">
        <v>88</v>
      </c>
      <c r="E27" s="236">
        <v>19</v>
      </c>
      <c r="F27" s="576"/>
      <c r="G27" s="577"/>
      <c r="H27" s="572">
        <f t="shared" si="7"/>
        <v>0</v>
      </c>
      <c r="I27" s="577"/>
      <c r="J27" s="577"/>
      <c r="K27" s="573">
        <f t="shared" si="8"/>
        <v>0</v>
      </c>
      <c r="L27" s="574">
        <f t="shared" si="9"/>
        <v>0</v>
      </c>
      <c r="M27" s="572">
        <f t="shared" si="10"/>
        <v>0</v>
      </c>
      <c r="N27" s="572">
        <f t="shared" si="11"/>
        <v>0</v>
      </c>
      <c r="O27" s="572">
        <f t="shared" si="12"/>
        <v>0</v>
      </c>
      <c r="P27" s="573">
        <f t="shared" si="13"/>
        <v>0</v>
      </c>
    </row>
    <row r="28" spans="1:16" ht="33.75" x14ac:dyDescent="0.2">
      <c r="A28" s="179">
        <f>IF(COUNTBLANK(B28)=1," ",COUNTA(B$14:B28))</f>
        <v>15</v>
      </c>
      <c r="B28" s="229" t="s">
        <v>521</v>
      </c>
      <c r="C28" s="235" t="s">
        <v>662</v>
      </c>
      <c r="D28" s="236" t="s">
        <v>88</v>
      </c>
      <c r="E28" s="236">
        <v>143</v>
      </c>
      <c r="F28" s="576"/>
      <c r="G28" s="577"/>
      <c r="H28" s="577">
        <f t="shared" si="7"/>
        <v>0</v>
      </c>
      <c r="I28" s="577"/>
      <c r="J28" s="577"/>
      <c r="K28" s="578">
        <f t="shared" si="8"/>
        <v>0</v>
      </c>
      <c r="L28" s="576">
        <f t="shared" si="9"/>
        <v>0</v>
      </c>
      <c r="M28" s="577">
        <f t="shared" si="10"/>
        <v>0</v>
      </c>
      <c r="N28" s="577">
        <f t="shared" si="11"/>
        <v>0</v>
      </c>
      <c r="O28" s="577">
        <f t="shared" si="12"/>
        <v>0</v>
      </c>
      <c r="P28" s="578">
        <f t="shared" si="13"/>
        <v>0</v>
      </c>
    </row>
    <row r="29" spans="1:16" ht="33.75" x14ac:dyDescent="0.2">
      <c r="A29" s="179">
        <f>IF(COUNTBLANK(B29)=1," ",COUNTA(B$14:B29))</f>
        <v>16</v>
      </c>
      <c r="B29" s="229" t="s">
        <v>521</v>
      </c>
      <c r="C29" s="235" t="s">
        <v>663</v>
      </c>
      <c r="D29" s="236" t="s">
        <v>88</v>
      </c>
      <c r="E29" s="236">
        <v>200</v>
      </c>
      <c r="F29" s="576"/>
      <c r="G29" s="577"/>
      <c r="H29" s="572">
        <f t="shared" si="7"/>
        <v>0</v>
      </c>
      <c r="I29" s="577"/>
      <c r="J29" s="577"/>
      <c r="K29" s="573">
        <f t="shared" si="8"/>
        <v>0</v>
      </c>
      <c r="L29" s="574">
        <f t="shared" si="9"/>
        <v>0</v>
      </c>
      <c r="M29" s="572">
        <f t="shared" si="10"/>
        <v>0</v>
      </c>
      <c r="N29" s="572">
        <f t="shared" si="11"/>
        <v>0</v>
      </c>
      <c r="O29" s="572">
        <f t="shared" si="12"/>
        <v>0</v>
      </c>
      <c r="P29" s="573">
        <f t="shared" si="13"/>
        <v>0</v>
      </c>
    </row>
    <row r="30" spans="1:16" ht="33.75" x14ac:dyDescent="0.2">
      <c r="A30" s="179">
        <f>IF(COUNTBLANK(B30)=1," ",COUNTA(B$14:B30))</f>
        <v>17</v>
      </c>
      <c r="B30" s="229" t="s">
        <v>521</v>
      </c>
      <c r="C30" s="235" t="s">
        <v>664</v>
      </c>
      <c r="D30" s="236" t="s">
        <v>88</v>
      </c>
      <c r="E30" s="236">
        <v>14</v>
      </c>
      <c r="F30" s="576"/>
      <c r="G30" s="577"/>
      <c r="H30" s="577">
        <f t="shared" si="7"/>
        <v>0</v>
      </c>
      <c r="I30" s="577"/>
      <c r="J30" s="577"/>
      <c r="K30" s="578">
        <f t="shared" si="8"/>
        <v>0</v>
      </c>
      <c r="L30" s="576">
        <f t="shared" si="9"/>
        <v>0</v>
      </c>
      <c r="M30" s="577">
        <f t="shared" si="10"/>
        <v>0</v>
      </c>
      <c r="N30" s="577">
        <f t="shared" si="11"/>
        <v>0</v>
      </c>
      <c r="O30" s="577">
        <f t="shared" si="12"/>
        <v>0</v>
      </c>
      <c r="P30" s="578">
        <f t="shared" si="13"/>
        <v>0</v>
      </c>
    </row>
    <row r="31" spans="1:16" ht="33.75" x14ac:dyDescent="0.2">
      <c r="A31" s="179">
        <f>IF(COUNTBLANK(B31)=1," ",COUNTA(B$14:B31))</f>
        <v>18</v>
      </c>
      <c r="B31" s="229" t="s">
        <v>521</v>
      </c>
      <c r="C31" s="235" t="s">
        <v>665</v>
      </c>
      <c r="D31" s="236" t="s">
        <v>88</v>
      </c>
      <c r="E31" s="236">
        <v>35</v>
      </c>
      <c r="F31" s="576"/>
      <c r="G31" s="577"/>
      <c r="H31" s="572">
        <f t="shared" si="7"/>
        <v>0</v>
      </c>
      <c r="I31" s="577"/>
      <c r="J31" s="577"/>
      <c r="K31" s="573">
        <f t="shared" si="8"/>
        <v>0</v>
      </c>
      <c r="L31" s="574">
        <f t="shared" si="9"/>
        <v>0</v>
      </c>
      <c r="M31" s="572">
        <f t="shared" si="10"/>
        <v>0</v>
      </c>
      <c r="N31" s="572">
        <f t="shared" si="11"/>
        <v>0</v>
      </c>
      <c r="O31" s="572">
        <f t="shared" si="12"/>
        <v>0</v>
      </c>
      <c r="P31" s="573">
        <f t="shared" si="13"/>
        <v>0</v>
      </c>
    </row>
    <row r="32" spans="1:16" ht="78.75" customHeight="1" x14ac:dyDescent="0.2">
      <c r="A32" s="179">
        <f>IF(COUNTBLANK(B32)=1," ",COUNTA(B$14:B32))</f>
        <v>19</v>
      </c>
      <c r="B32" s="229" t="s">
        <v>521</v>
      </c>
      <c r="C32" s="235" t="s">
        <v>666</v>
      </c>
      <c r="D32" s="234" t="s">
        <v>88</v>
      </c>
      <c r="E32" s="234">
        <v>4</v>
      </c>
      <c r="F32" s="576"/>
      <c r="G32" s="577"/>
      <c r="H32" s="577">
        <f t="shared" si="7"/>
        <v>0</v>
      </c>
      <c r="I32" s="577"/>
      <c r="J32" s="577"/>
      <c r="K32" s="578">
        <f t="shared" si="8"/>
        <v>0</v>
      </c>
      <c r="L32" s="576">
        <f t="shared" si="9"/>
        <v>0</v>
      </c>
      <c r="M32" s="577">
        <f t="shared" si="10"/>
        <v>0</v>
      </c>
      <c r="N32" s="577">
        <f t="shared" si="11"/>
        <v>0</v>
      </c>
      <c r="O32" s="577">
        <f t="shared" si="12"/>
        <v>0</v>
      </c>
      <c r="P32" s="578">
        <f t="shared" si="13"/>
        <v>0</v>
      </c>
    </row>
    <row r="33" spans="1:16" ht="82.5" customHeight="1" x14ac:dyDescent="0.2">
      <c r="A33" s="179">
        <f>IF(COUNTBLANK(B33)=1," ",COUNTA(B$14:B33))</f>
        <v>20</v>
      </c>
      <c r="B33" s="229" t="s">
        <v>521</v>
      </c>
      <c r="C33" s="235" t="s">
        <v>667</v>
      </c>
      <c r="D33" s="234" t="s">
        <v>88</v>
      </c>
      <c r="E33" s="234">
        <v>19</v>
      </c>
      <c r="F33" s="576"/>
      <c r="G33" s="577"/>
      <c r="H33" s="572">
        <f t="shared" si="7"/>
        <v>0</v>
      </c>
      <c r="I33" s="577"/>
      <c r="J33" s="577"/>
      <c r="K33" s="573">
        <f t="shared" si="8"/>
        <v>0</v>
      </c>
      <c r="L33" s="574">
        <f t="shared" si="9"/>
        <v>0</v>
      </c>
      <c r="M33" s="572">
        <f t="shared" si="10"/>
        <v>0</v>
      </c>
      <c r="N33" s="572">
        <f t="shared" si="11"/>
        <v>0</v>
      </c>
      <c r="O33" s="572">
        <f t="shared" si="12"/>
        <v>0</v>
      </c>
      <c r="P33" s="573">
        <f t="shared" si="13"/>
        <v>0</v>
      </c>
    </row>
    <row r="34" spans="1:16" ht="82.5" customHeight="1" x14ac:dyDescent="0.2">
      <c r="A34" s="179">
        <f>IF(COUNTBLANK(B34)=1," ",COUNTA(B$14:B34))</f>
        <v>21</v>
      </c>
      <c r="B34" s="229" t="s">
        <v>521</v>
      </c>
      <c r="C34" s="235" t="s">
        <v>668</v>
      </c>
      <c r="D34" s="234" t="s">
        <v>88</v>
      </c>
      <c r="E34" s="234">
        <v>143</v>
      </c>
      <c r="F34" s="576"/>
      <c r="G34" s="577"/>
      <c r="H34" s="577">
        <f t="shared" si="7"/>
        <v>0</v>
      </c>
      <c r="I34" s="577"/>
      <c r="J34" s="577"/>
      <c r="K34" s="578">
        <f t="shared" si="8"/>
        <v>0</v>
      </c>
      <c r="L34" s="576">
        <f t="shared" si="9"/>
        <v>0</v>
      </c>
      <c r="M34" s="577">
        <f t="shared" si="10"/>
        <v>0</v>
      </c>
      <c r="N34" s="577">
        <f t="shared" si="11"/>
        <v>0</v>
      </c>
      <c r="O34" s="577">
        <f t="shared" si="12"/>
        <v>0</v>
      </c>
      <c r="P34" s="578">
        <f t="shared" si="13"/>
        <v>0</v>
      </c>
    </row>
    <row r="35" spans="1:16" ht="87" customHeight="1" x14ac:dyDescent="0.2">
      <c r="A35" s="179">
        <f>IF(COUNTBLANK(B35)=1," ",COUNTA(B$14:B35))</f>
        <v>22</v>
      </c>
      <c r="B35" s="229" t="s">
        <v>521</v>
      </c>
      <c r="C35" s="237" t="s">
        <v>669</v>
      </c>
      <c r="D35" s="236" t="s">
        <v>88</v>
      </c>
      <c r="E35" s="236">
        <v>200</v>
      </c>
      <c r="F35" s="576"/>
      <c r="G35" s="577"/>
      <c r="H35" s="572">
        <f t="shared" si="7"/>
        <v>0</v>
      </c>
      <c r="I35" s="577"/>
      <c r="J35" s="577"/>
      <c r="K35" s="573">
        <f t="shared" si="8"/>
        <v>0</v>
      </c>
      <c r="L35" s="574">
        <f t="shared" si="9"/>
        <v>0</v>
      </c>
      <c r="M35" s="572">
        <f t="shared" si="10"/>
        <v>0</v>
      </c>
      <c r="N35" s="572">
        <f t="shared" si="11"/>
        <v>0</v>
      </c>
      <c r="O35" s="572">
        <f t="shared" si="12"/>
        <v>0</v>
      </c>
      <c r="P35" s="573">
        <f t="shared" si="13"/>
        <v>0</v>
      </c>
    </row>
    <row r="36" spans="1:16" ht="87" customHeight="1" x14ac:dyDescent="0.2">
      <c r="A36" s="179">
        <f>IF(COUNTBLANK(B36)=1," ",COUNTA(B$14:B36))</f>
        <v>23</v>
      </c>
      <c r="B36" s="229" t="s">
        <v>521</v>
      </c>
      <c r="C36" s="237" t="s">
        <v>670</v>
      </c>
      <c r="D36" s="236" t="s">
        <v>88</v>
      </c>
      <c r="E36" s="236">
        <v>14</v>
      </c>
      <c r="F36" s="576"/>
      <c r="G36" s="577"/>
      <c r="H36" s="577">
        <f t="shared" si="7"/>
        <v>0</v>
      </c>
      <c r="I36" s="577"/>
      <c r="J36" s="577"/>
      <c r="K36" s="578">
        <f t="shared" si="8"/>
        <v>0</v>
      </c>
      <c r="L36" s="576">
        <f t="shared" si="9"/>
        <v>0</v>
      </c>
      <c r="M36" s="577">
        <f t="shared" si="10"/>
        <v>0</v>
      </c>
      <c r="N36" s="577">
        <f t="shared" si="11"/>
        <v>0</v>
      </c>
      <c r="O36" s="577">
        <f t="shared" si="12"/>
        <v>0</v>
      </c>
      <c r="P36" s="578">
        <f t="shared" si="13"/>
        <v>0</v>
      </c>
    </row>
    <row r="37" spans="1:16" ht="85.5" customHeight="1" x14ac:dyDescent="0.2">
      <c r="A37" s="179">
        <f>IF(COUNTBLANK(B37)=1," ",COUNTA(B$14:B37))</f>
        <v>24</v>
      </c>
      <c r="B37" s="229" t="s">
        <v>521</v>
      </c>
      <c r="C37" s="237" t="s">
        <v>671</v>
      </c>
      <c r="D37" s="236" t="s">
        <v>88</v>
      </c>
      <c r="E37" s="236">
        <v>35</v>
      </c>
      <c r="F37" s="576"/>
      <c r="G37" s="577"/>
      <c r="H37" s="572">
        <f t="shared" si="7"/>
        <v>0</v>
      </c>
      <c r="I37" s="577"/>
      <c r="J37" s="577"/>
      <c r="K37" s="573">
        <f t="shared" si="8"/>
        <v>0</v>
      </c>
      <c r="L37" s="574">
        <f t="shared" si="9"/>
        <v>0</v>
      </c>
      <c r="M37" s="572">
        <f t="shared" si="10"/>
        <v>0</v>
      </c>
      <c r="N37" s="572">
        <f t="shared" si="11"/>
        <v>0</v>
      </c>
      <c r="O37" s="572">
        <f t="shared" si="12"/>
        <v>0</v>
      </c>
      <c r="P37" s="573">
        <f t="shared" si="13"/>
        <v>0</v>
      </c>
    </row>
    <row r="38" spans="1:16" ht="22.5" customHeight="1" x14ac:dyDescent="0.2">
      <c r="A38" s="179">
        <f>IF(COUNTBLANK(B38)=1," ",COUNTA(B$14:B38))</f>
        <v>25</v>
      </c>
      <c r="B38" s="229" t="s">
        <v>521</v>
      </c>
      <c r="C38" s="235" t="s">
        <v>530</v>
      </c>
      <c r="D38" s="234" t="s">
        <v>91</v>
      </c>
      <c r="E38" s="234">
        <v>17</v>
      </c>
      <c r="F38" s="576"/>
      <c r="G38" s="577"/>
      <c r="H38" s="577">
        <f t="shared" si="7"/>
        <v>0</v>
      </c>
      <c r="I38" s="577"/>
      <c r="J38" s="577"/>
      <c r="K38" s="578">
        <f t="shared" si="8"/>
        <v>0</v>
      </c>
      <c r="L38" s="576">
        <f t="shared" si="9"/>
        <v>0</v>
      </c>
      <c r="M38" s="577">
        <f t="shared" si="10"/>
        <v>0</v>
      </c>
      <c r="N38" s="577">
        <f t="shared" si="11"/>
        <v>0</v>
      </c>
      <c r="O38" s="577">
        <f t="shared" si="12"/>
        <v>0</v>
      </c>
      <c r="P38" s="578">
        <f t="shared" si="13"/>
        <v>0</v>
      </c>
    </row>
    <row r="39" spans="1:16" ht="22.5" x14ac:dyDescent="0.2">
      <c r="A39" s="179">
        <f>IF(COUNTBLANK(B39)=1," ",COUNTA(B$14:B39))</f>
        <v>26</v>
      </c>
      <c r="B39" s="229" t="s">
        <v>521</v>
      </c>
      <c r="C39" s="235" t="s">
        <v>531</v>
      </c>
      <c r="D39" s="234" t="s">
        <v>91</v>
      </c>
      <c r="E39" s="234">
        <v>12</v>
      </c>
      <c r="F39" s="576"/>
      <c r="G39" s="577"/>
      <c r="H39" s="572">
        <f t="shared" si="7"/>
        <v>0</v>
      </c>
      <c r="I39" s="577"/>
      <c r="J39" s="577"/>
      <c r="K39" s="573">
        <f t="shared" si="8"/>
        <v>0</v>
      </c>
      <c r="L39" s="574">
        <f t="shared" si="9"/>
        <v>0</v>
      </c>
      <c r="M39" s="572">
        <f t="shared" si="10"/>
        <v>0</v>
      </c>
      <c r="N39" s="572">
        <f t="shared" si="11"/>
        <v>0</v>
      </c>
      <c r="O39" s="572">
        <f t="shared" si="12"/>
        <v>0</v>
      </c>
      <c r="P39" s="573">
        <f t="shared" si="13"/>
        <v>0</v>
      </c>
    </row>
    <row r="40" spans="1:16" ht="22.5" x14ac:dyDescent="0.2">
      <c r="A40" s="179">
        <f>IF(COUNTBLANK(B40)=1," ",COUNTA(B$14:B40))</f>
        <v>27</v>
      </c>
      <c r="B40" s="229" t="s">
        <v>521</v>
      </c>
      <c r="C40" s="235" t="s">
        <v>532</v>
      </c>
      <c r="D40" s="234" t="s">
        <v>91</v>
      </c>
      <c r="E40" s="234">
        <v>98</v>
      </c>
      <c r="F40" s="576"/>
      <c r="G40" s="577"/>
      <c r="H40" s="577">
        <f t="shared" si="7"/>
        <v>0</v>
      </c>
      <c r="I40" s="577"/>
      <c r="J40" s="577"/>
      <c r="K40" s="578">
        <f t="shared" si="8"/>
        <v>0</v>
      </c>
      <c r="L40" s="576">
        <f t="shared" si="9"/>
        <v>0</v>
      </c>
      <c r="M40" s="577">
        <f t="shared" si="10"/>
        <v>0</v>
      </c>
      <c r="N40" s="577">
        <f t="shared" si="11"/>
        <v>0</v>
      </c>
      <c r="O40" s="577">
        <f t="shared" si="12"/>
        <v>0</v>
      </c>
      <c r="P40" s="578">
        <f t="shared" si="13"/>
        <v>0</v>
      </c>
    </row>
    <row r="41" spans="1:16" ht="22.5" x14ac:dyDescent="0.2">
      <c r="A41" s="179">
        <f>IF(COUNTBLANK(B41)=1," ",COUNTA(B$14:B41))</f>
        <v>28</v>
      </c>
      <c r="B41" s="229" t="s">
        <v>521</v>
      </c>
      <c r="C41" s="235" t="s">
        <v>533</v>
      </c>
      <c r="D41" s="234" t="s">
        <v>91</v>
      </c>
      <c r="E41" s="234">
        <v>160</v>
      </c>
      <c r="F41" s="576"/>
      <c r="G41" s="577"/>
      <c r="H41" s="572">
        <f t="shared" si="7"/>
        <v>0</v>
      </c>
      <c r="I41" s="577"/>
      <c r="J41" s="577"/>
      <c r="K41" s="573">
        <f t="shared" si="8"/>
        <v>0</v>
      </c>
      <c r="L41" s="574">
        <f t="shared" si="9"/>
        <v>0</v>
      </c>
      <c r="M41" s="572">
        <f t="shared" si="10"/>
        <v>0</v>
      </c>
      <c r="N41" s="572">
        <f t="shared" si="11"/>
        <v>0</v>
      </c>
      <c r="O41" s="572">
        <f t="shared" si="12"/>
        <v>0</v>
      </c>
      <c r="P41" s="573">
        <f t="shared" si="13"/>
        <v>0</v>
      </c>
    </row>
    <row r="42" spans="1:16" ht="22.5" x14ac:dyDescent="0.2">
      <c r="A42" s="179">
        <f>IF(COUNTBLANK(B42)=1," ",COUNTA(B$14:B42))</f>
        <v>29</v>
      </c>
      <c r="B42" s="229" t="s">
        <v>521</v>
      </c>
      <c r="C42" s="235" t="s">
        <v>534</v>
      </c>
      <c r="D42" s="236" t="s">
        <v>91</v>
      </c>
      <c r="E42" s="236">
        <v>30</v>
      </c>
      <c r="F42" s="576"/>
      <c r="G42" s="577"/>
      <c r="H42" s="577">
        <f t="shared" si="7"/>
        <v>0</v>
      </c>
      <c r="I42" s="577"/>
      <c r="J42" s="577"/>
      <c r="K42" s="578">
        <f t="shared" si="8"/>
        <v>0</v>
      </c>
      <c r="L42" s="576">
        <f t="shared" si="9"/>
        <v>0</v>
      </c>
      <c r="M42" s="577">
        <f t="shared" si="10"/>
        <v>0</v>
      </c>
      <c r="N42" s="577">
        <f t="shared" si="11"/>
        <v>0</v>
      </c>
      <c r="O42" s="577">
        <f t="shared" si="12"/>
        <v>0</v>
      </c>
      <c r="P42" s="578">
        <f t="shared" si="13"/>
        <v>0</v>
      </c>
    </row>
    <row r="43" spans="1:16" ht="22.5" x14ac:dyDescent="0.2">
      <c r="A43" s="179">
        <f>IF(COUNTBLANK(B43)=1," ",COUNTA(B$14:B43))</f>
        <v>30</v>
      </c>
      <c r="B43" s="229" t="s">
        <v>521</v>
      </c>
      <c r="C43" s="235" t="s">
        <v>535</v>
      </c>
      <c r="D43" s="234" t="s">
        <v>91</v>
      </c>
      <c r="E43" s="234">
        <v>43</v>
      </c>
      <c r="F43" s="576"/>
      <c r="G43" s="577"/>
      <c r="H43" s="572">
        <f t="shared" si="7"/>
        <v>0</v>
      </c>
      <c r="I43" s="577"/>
      <c r="J43" s="577"/>
      <c r="K43" s="573">
        <f t="shared" si="8"/>
        <v>0</v>
      </c>
      <c r="L43" s="574">
        <f t="shared" si="9"/>
        <v>0</v>
      </c>
      <c r="M43" s="572">
        <f t="shared" si="10"/>
        <v>0</v>
      </c>
      <c r="N43" s="572">
        <f t="shared" si="11"/>
        <v>0</v>
      </c>
      <c r="O43" s="572">
        <f t="shared" si="12"/>
        <v>0</v>
      </c>
      <c r="P43" s="573">
        <f t="shared" si="13"/>
        <v>0</v>
      </c>
    </row>
    <row r="44" spans="1:16" x14ac:dyDescent="0.2">
      <c r="A44" s="179">
        <f>IF(COUNTBLANK(B44)=1," ",COUNTA(B$14:B44))</f>
        <v>31</v>
      </c>
      <c r="B44" s="229" t="s">
        <v>521</v>
      </c>
      <c r="C44" s="238" t="s">
        <v>528</v>
      </c>
      <c r="D44" s="234" t="s">
        <v>91</v>
      </c>
      <c r="E44" s="234">
        <v>360</v>
      </c>
      <c r="F44" s="576"/>
      <c r="G44" s="577"/>
      <c r="H44" s="577">
        <f t="shared" si="7"/>
        <v>0</v>
      </c>
      <c r="I44" s="577"/>
      <c r="J44" s="577"/>
      <c r="K44" s="578">
        <f t="shared" si="8"/>
        <v>0</v>
      </c>
      <c r="L44" s="576">
        <f t="shared" si="9"/>
        <v>0</v>
      </c>
      <c r="M44" s="577">
        <f t="shared" si="10"/>
        <v>0</v>
      </c>
      <c r="N44" s="577">
        <f t="shared" si="11"/>
        <v>0</v>
      </c>
      <c r="O44" s="577">
        <f t="shared" si="12"/>
        <v>0</v>
      </c>
      <c r="P44" s="578">
        <f t="shared" si="13"/>
        <v>0</v>
      </c>
    </row>
    <row r="45" spans="1:16" x14ac:dyDescent="0.2">
      <c r="A45" s="179">
        <f>IF(COUNTBLANK(B45)=1," ",COUNTA(B$14:B45))</f>
        <v>32</v>
      </c>
      <c r="B45" s="229" t="s">
        <v>521</v>
      </c>
      <c r="C45" s="238" t="s">
        <v>529</v>
      </c>
      <c r="D45" s="234" t="s">
        <v>88</v>
      </c>
      <c r="E45" s="234">
        <v>90</v>
      </c>
      <c r="F45" s="576"/>
      <c r="G45" s="577"/>
      <c r="H45" s="572">
        <f t="shared" si="7"/>
        <v>0</v>
      </c>
      <c r="I45" s="577"/>
      <c r="J45" s="577"/>
      <c r="K45" s="573">
        <f t="shared" si="8"/>
        <v>0</v>
      </c>
      <c r="L45" s="574">
        <f t="shared" si="9"/>
        <v>0</v>
      </c>
      <c r="M45" s="572">
        <f t="shared" si="10"/>
        <v>0</v>
      </c>
      <c r="N45" s="572">
        <f t="shared" si="11"/>
        <v>0</v>
      </c>
      <c r="O45" s="572">
        <f t="shared" si="12"/>
        <v>0</v>
      </c>
      <c r="P45" s="573">
        <f t="shared" si="13"/>
        <v>0</v>
      </c>
    </row>
    <row r="46" spans="1:16" x14ac:dyDescent="0.2">
      <c r="A46" s="179">
        <f>IF(COUNTBLANK(B46)=1," ",COUNTA(B$14:B46))</f>
        <v>33</v>
      </c>
      <c r="B46" s="229" t="s">
        <v>521</v>
      </c>
      <c r="C46" s="235" t="s">
        <v>536</v>
      </c>
      <c r="D46" s="236" t="s">
        <v>91</v>
      </c>
      <c r="E46" s="236">
        <v>2</v>
      </c>
      <c r="F46" s="576"/>
      <c r="G46" s="577"/>
      <c r="H46" s="577">
        <f t="shared" si="7"/>
        <v>0</v>
      </c>
      <c r="I46" s="577"/>
      <c r="J46" s="577"/>
      <c r="K46" s="578">
        <f t="shared" si="8"/>
        <v>0</v>
      </c>
      <c r="L46" s="576">
        <f t="shared" si="9"/>
        <v>0</v>
      </c>
      <c r="M46" s="577">
        <f t="shared" si="10"/>
        <v>0</v>
      </c>
      <c r="N46" s="577">
        <f t="shared" si="11"/>
        <v>0</v>
      </c>
      <c r="O46" s="577">
        <f t="shared" si="12"/>
        <v>0</v>
      </c>
      <c r="P46" s="578">
        <f t="shared" si="13"/>
        <v>0</v>
      </c>
    </row>
    <row r="47" spans="1:16" x14ac:dyDescent="0.2">
      <c r="A47" s="179">
        <f>IF(COUNTBLANK(B47)=1," ",COUNTA(B$14:B47))</f>
        <v>34</v>
      </c>
      <c r="B47" s="229" t="s">
        <v>521</v>
      </c>
      <c r="C47" s="239" t="s">
        <v>537</v>
      </c>
      <c r="D47" s="236" t="s">
        <v>91</v>
      </c>
      <c r="E47" s="236">
        <v>1</v>
      </c>
      <c r="F47" s="576"/>
      <c r="G47" s="577"/>
      <c r="H47" s="572">
        <f t="shared" si="7"/>
        <v>0</v>
      </c>
      <c r="I47" s="577"/>
      <c r="J47" s="577"/>
      <c r="K47" s="573">
        <f t="shared" si="8"/>
        <v>0</v>
      </c>
      <c r="L47" s="574">
        <f t="shared" si="9"/>
        <v>0</v>
      </c>
      <c r="M47" s="572">
        <f t="shared" si="10"/>
        <v>0</v>
      </c>
      <c r="N47" s="572">
        <f t="shared" si="11"/>
        <v>0</v>
      </c>
      <c r="O47" s="572">
        <f t="shared" si="12"/>
        <v>0</v>
      </c>
      <c r="P47" s="573">
        <f t="shared" si="13"/>
        <v>0</v>
      </c>
    </row>
    <row r="48" spans="1:16" x14ac:dyDescent="0.2">
      <c r="A48" s="179">
        <f>IF(COUNTBLANK(B48)=1," ",COUNTA(B$14:B48))</f>
        <v>35</v>
      </c>
      <c r="B48" s="229" t="s">
        <v>521</v>
      </c>
      <c r="C48" s="240" t="s">
        <v>538</v>
      </c>
      <c r="D48" s="236" t="s">
        <v>91</v>
      </c>
      <c r="E48" s="236">
        <v>7</v>
      </c>
      <c r="F48" s="576"/>
      <c r="G48" s="577"/>
      <c r="H48" s="577">
        <f t="shared" si="7"/>
        <v>0</v>
      </c>
      <c r="I48" s="577"/>
      <c r="J48" s="577"/>
      <c r="K48" s="578">
        <f t="shared" si="8"/>
        <v>0</v>
      </c>
      <c r="L48" s="576">
        <f t="shared" si="9"/>
        <v>0</v>
      </c>
      <c r="M48" s="577">
        <f t="shared" si="10"/>
        <v>0</v>
      </c>
      <c r="N48" s="577">
        <f t="shared" si="11"/>
        <v>0</v>
      </c>
      <c r="O48" s="577">
        <f t="shared" si="12"/>
        <v>0</v>
      </c>
      <c r="P48" s="578">
        <f t="shared" si="13"/>
        <v>0</v>
      </c>
    </row>
    <row r="49" spans="1:16" x14ac:dyDescent="0.2">
      <c r="A49" s="179">
        <f>IF(COUNTBLANK(B49)=1," ",COUNTA(B$14:B49))</f>
        <v>36</v>
      </c>
      <c r="B49" s="229" t="s">
        <v>521</v>
      </c>
      <c r="C49" s="235" t="s">
        <v>539</v>
      </c>
      <c r="D49" s="236" t="s">
        <v>91</v>
      </c>
      <c r="E49" s="236">
        <v>1</v>
      </c>
      <c r="F49" s="576"/>
      <c r="G49" s="577"/>
      <c r="H49" s="572">
        <f t="shared" si="7"/>
        <v>0</v>
      </c>
      <c r="I49" s="577"/>
      <c r="J49" s="577"/>
      <c r="K49" s="573">
        <f t="shared" si="8"/>
        <v>0</v>
      </c>
      <c r="L49" s="574">
        <f t="shared" si="9"/>
        <v>0</v>
      </c>
      <c r="M49" s="572">
        <f t="shared" si="10"/>
        <v>0</v>
      </c>
      <c r="N49" s="572">
        <f t="shared" si="11"/>
        <v>0</v>
      </c>
      <c r="O49" s="572">
        <f t="shared" si="12"/>
        <v>0</v>
      </c>
      <c r="P49" s="573">
        <f t="shared" si="13"/>
        <v>0</v>
      </c>
    </row>
    <row r="50" spans="1:16" x14ac:dyDescent="0.2">
      <c r="A50" s="179">
        <f>IF(COUNTBLANK(B50)=1," ",COUNTA(B$14:B50))</f>
        <v>37</v>
      </c>
      <c r="B50" s="229" t="s">
        <v>521</v>
      </c>
      <c r="C50" s="235" t="s">
        <v>540</v>
      </c>
      <c r="D50" s="234" t="s">
        <v>91</v>
      </c>
      <c r="E50" s="234">
        <v>2</v>
      </c>
      <c r="F50" s="576"/>
      <c r="G50" s="577"/>
      <c r="H50" s="577">
        <f t="shared" si="7"/>
        <v>0</v>
      </c>
      <c r="I50" s="577"/>
      <c r="J50" s="577"/>
      <c r="K50" s="578">
        <f t="shared" si="8"/>
        <v>0</v>
      </c>
      <c r="L50" s="576">
        <f t="shared" si="9"/>
        <v>0</v>
      </c>
      <c r="M50" s="577">
        <f t="shared" si="10"/>
        <v>0</v>
      </c>
      <c r="N50" s="577">
        <f t="shared" si="11"/>
        <v>0</v>
      </c>
      <c r="O50" s="577">
        <f t="shared" si="12"/>
        <v>0</v>
      </c>
      <c r="P50" s="578">
        <f t="shared" si="13"/>
        <v>0</v>
      </c>
    </row>
    <row r="51" spans="1:16" x14ac:dyDescent="0.2">
      <c r="A51" s="179">
        <f>IF(COUNTBLANK(B51)=1," ",COUNTA(B$14:B51))</f>
        <v>38</v>
      </c>
      <c r="B51" s="229" t="s">
        <v>521</v>
      </c>
      <c r="C51" s="235" t="s">
        <v>541</v>
      </c>
      <c r="D51" s="234" t="s">
        <v>91</v>
      </c>
      <c r="E51" s="234">
        <v>5</v>
      </c>
      <c r="F51" s="576"/>
      <c r="G51" s="577"/>
      <c r="H51" s="572">
        <f t="shared" si="7"/>
        <v>0</v>
      </c>
      <c r="I51" s="577"/>
      <c r="J51" s="577"/>
      <c r="K51" s="573">
        <f t="shared" si="8"/>
        <v>0</v>
      </c>
      <c r="L51" s="574">
        <f t="shared" si="9"/>
        <v>0</v>
      </c>
      <c r="M51" s="572">
        <f t="shared" si="10"/>
        <v>0</v>
      </c>
      <c r="N51" s="572">
        <f t="shared" si="11"/>
        <v>0</v>
      </c>
      <c r="O51" s="572">
        <f t="shared" si="12"/>
        <v>0</v>
      </c>
      <c r="P51" s="573">
        <f t="shared" si="13"/>
        <v>0</v>
      </c>
    </row>
    <row r="52" spans="1:16" ht="23.25" customHeight="1" x14ac:dyDescent="0.2">
      <c r="A52" s="179">
        <f>IF(COUNTBLANK(B52)=1," ",COUNTA(B$14:B52))</f>
        <v>39</v>
      </c>
      <c r="B52" s="229" t="s">
        <v>521</v>
      </c>
      <c r="C52" s="235" t="s">
        <v>548</v>
      </c>
      <c r="D52" s="236" t="s">
        <v>91</v>
      </c>
      <c r="E52" s="236">
        <v>14</v>
      </c>
      <c r="F52" s="576"/>
      <c r="G52" s="577"/>
      <c r="H52" s="577">
        <f t="shared" si="7"/>
        <v>0</v>
      </c>
      <c r="I52" s="577"/>
      <c r="J52" s="577"/>
      <c r="K52" s="578">
        <f t="shared" si="8"/>
        <v>0</v>
      </c>
      <c r="L52" s="576">
        <f t="shared" si="9"/>
        <v>0</v>
      </c>
      <c r="M52" s="577">
        <f t="shared" si="10"/>
        <v>0</v>
      </c>
      <c r="N52" s="577">
        <f t="shared" si="11"/>
        <v>0</v>
      </c>
      <c r="O52" s="577">
        <f t="shared" si="12"/>
        <v>0</v>
      </c>
      <c r="P52" s="578">
        <f t="shared" si="13"/>
        <v>0</v>
      </c>
    </row>
    <row r="53" spans="1:16" ht="22.5" x14ac:dyDescent="0.2">
      <c r="A53" s="179">
        <f>IF(COUNTBLANK(B53)=1," ",COUNTA(B$14:B53))</f>
        <v>40</v>
      </c>
      <c r="B53" s="229" t="s">
        <v>521</v>
      </c>
      <c r="C53" s="235" t="s">
        <v>547</v>
      </c>
      <c r="D53" s="236" t="s">
        <v>91</v>
      </c>
      <c r="E53" s="236">
        <v>9</v>
      </c>
      <c r="F53" s="576"/>
      <c r="G53" s="577"/>
      <c r="H53" s="572">
        <f t="shared" si="7"/>
        <v>0</v>
      </c>
      <c r="I53" s="577"/>
      <c r="J53" s="577"/>
      <c r="K53" s="573">
        <f t="shared" si="8"/>
        <v>0</v>
      </c>
      <c r="L53" s="574">
        <f t="shared" si="9"/>
        <v>0</v>
      </c>
      <c r="M53" s="572">
        <f t="shared" si="10"/>
        <v>0</v>
      </c>
      <c r="N53" s="572">
        <f t="shared" si="11"/>
        <v>0</v>
      </c>
      <c r="O53" s="572">
        <f t="shared" si="12"/>
        <v>0</v>
      </c>
      <c r="P53" s="573">
        <f t="shared" si="13"/>
        <v>0</v>
      </c>
    </row>
    <row r="54" spans="1:16" ht="22.5" x14ac:dyDescent="0.2">
      <c r="A54" s="179">
        <f>IF(COUNTBLANK(B54)=1," ",COUNTA(B$14:B54))</f>
        <v>41</v>
      </c>
      <c r="B54" s="229" t="s">
        <v>521</v>
      </c>
      <c r="C54" s="235" t="s">
        <v>546</v>
      </c>
      <c r="D54" s="234" t="s">
        <v>91</v>
      </c>
      <c r="E54" s="241">
        <v>7</v>
      </c>
      <c r="F54" s="576"/>
      <c r="G54" s="577"/>
      <c r="H54" s="577">
        <f t="shared" si="7"/>
        <v>0</v>
      </c>
      <c r="I54" s="577"/>
      <c r="J54" s="577"/>
      <c r="K54" s="578">
        <f t="shared" si="8"/>
        <v>0</v>
      </c>
      <c r="L54" s="576">
        <f t="shared" si="9"/>
        <v>0</v>
      </c>
      <c r="M54" s="577">
        <f t="shared" si="10"/>
        <v>0</v>
      </c>
      <c r="N54" s="577">
        <f t="shared" si="11"/>
        <v>0</v>
      </c>
      <c r="O54" s="577">
        <f t="shared" si="12"/>
        <v>0</v>
      </c>
      <c r="P54" s="578">
        <f t="shared" si="13"/>
        <v>0</v>
      </c>
    </row>
    <row r="55" spans="1:16" x14ac:dyDescent="0.2">
      <c r="A55" s="179">
        <f>IF(COUNTBLANK(B55)=1," ",COUNTA(B$14:B55))</f>
        <v>42</v>
      </c>
      <c r="B55" s="229" t="s">
        <v>521</v>
      </c>
      <c r="C55" s="242" t="s">
        <v>545</v>
      </c>
      <c r="D55" s="234" t="s">
        <v>91</v>
      </c>
      <c r="E55" s="234">
        <v>30</v>
      </c>
      <c r="F55" s="576"/>
      <c r="G55" s="577"/>
      <c r="H55" s="572">
        <f t="shared" si="7"/>
        <v>0</v>
      </c>
      <c r="I55" s="577"/>
      <c r="J55" s="577"/>
      <c r="K55" s="573">
        <f t="shared" si="8"/>
        <v>0</v>
      </c>
      <c r="L55" s="574">
        <f t="shared" si="9"/>
        <v>0</v>
      </c>
      <c r="M55" s="572">
        <f t="shared" si="10"/>
        <v>0</v>
      </c>
      <c r="N55" s="572">
        <f t="shared" si="11"/>
        <v>0</v>
      </c>
      <c r="O55" s="572">
        <f t="shared" si="12"/>
        <v>0</v>
      </c>
      <c r="P55" s="573">
        <f t="shared" si="13"/>
        <v>0</v>
      </c>
    </row>
    <row r="56" spans="1:16" ht="41.25" customHeight="1" x14ac:dyDescent="0.2">
      <c r="A56" s="179">
        <f>IF(COUNTBLANK(B56)=1," ",COUNTA(B$14:B56))</f>
        <v>43</v>
      </c>
      <c r="B56" s="229" t="s">
        <v>521</v>
      </c>
      <c r="C56" s="84" t="s">
        <v>672</v>
      </c>
      <c r="D56" s="236" t="s">
        <v>325</v>
      </c>
      <c r="E56" s="236">
        <v>1</v>
      </c>
      <c r="F56" s="576"/>
      <c r="G56" s="577"/>
      <c r="H56" s="577">
        <f t="shared" si="7"/>
        <v>0</v>
      </c>
      <c r="I56" s="577"/>
      <c r="J56" s="577"/>
      <c r="K56" s="578">
        <f t="shared" si="8"/>
        <v>0</v>
      </c>
      <c r="L56" s="576">
        <f t="shared" si="9"/>
        <v>0</v>
      </c>
      <c r="M56" s="577">
        <f t="shared" si="10"/>
        <v>0</v>
      </c>
      <c r="N56" s="577">
        <f t="shared" si="11"/>
        <v>0</v>
      </c>
      <c r="O56" s="577">
        <f t="shared" si="12"/>
        <v>0</v>
      </c>
      <c r="P56" s="578">
        <f t="shared" si="13"/>
        <v>0</v>
      </c>
    </row>
    <row r="57" spans="1:16" ht="33.75" x14ac:dyDescent="0.2">
      <c r="A57" s="179">
        <f>IF(COUNTBLANK(B57)=1," ",COUNTA(B$14:B57))</f>
        <v>44</v>
      </c>
      <c r="B57" s="229" t="s">
        <v>521</v>
      </c>
      <c r="C57" s="243" t="s">
        <v>673</v>
      </c>
      <c r="D57" s="234" t="s">
        <v>91</v>
      </c>
      <c r="E57" s="234">
        <v>7</v>
      </c>
      <c r="F57" s="576"/>
      <c r="G57" s="577"/>
      <c r="H57" s="572">
        <f t="shared" si="7"/>
        <v>0</v>
      </c>
      <c r="I57" s="577"/>
      <c r="J57" s="577"/>
      <c r="K57" s="573">
        <f t="shared" si="8"/>
        <v>0</v>
      </c>
      <c r="L57" s="574">
        <f t="shared" si="9"/>
        <v>0</v>
      </c>
      <c r="M57" s="572">
        <f t="shared" si="10"/>
        <v>0</v>
      </c>
      <c r="N57" s="572">
        <f t="shared" si="11"/>
        <v>0</v>
      </c>
      <c r="O57" s="572">
        <f t="shared" si="12"/>
        <v>0</v>
      </c>
      <c r="P57" s="573">
        <f t="shared" si="13"/>
        <v>0</v>
      </c>
    </row>
    <row r="58" spans="1:16" ht="24.75" customHeight="1" x14ac:dyDescent="0.2">
      <c r="A58" s="179">
        <f>IF(COUNTBLANK(B58)=1," ",COUNTA(B$14:B58))</f>
        <v>45</v>
      </c>
      <c r="B58" s="229" t="s">
        <v>521</v>
      </c>
      <c r="C58" s="244" t="s">
        <v>542</v>
      </c>
      <c r="D58" s="236" t="s">
        <v>91</v>
      </c>
      <c r="E58" s="236">
        <v>9</v>
      </c>
      <c r="F58" s="576"/>
      <c r="G58" s="577"/>
      <c r="H58" s="577">
        <f t="shared" si="7"/>
        <v>0</v>
      </c>
      <c r="I58" s="577"/>
      <c r="J58" s="577"/>
      <c r="K58" s="578">
        <f t="shared" si="8"/>
        <v>0</v>
      </c>
      <c r="L58" s="576">
        <f t="shared" si="9"/>
        <v>0</v>
      </c>
      <c r="M58" s="577">
        <f t="shared" si="10"/>
        <v>0</v>
      </c>
      <c r="N58" s="577">
        <f t="shared" si="11"/>
        <v>0</v>
      </c>
      <c r="O58" s="577">
        <f t="shared" si="12"/>
        <v>0</v>
      </c>
      <c r="P58" s="578">
        <f t="shared" si="13"/>
        <v>0</v>
      </c>
    </row>
    <row r="59" spans="1:16" ht="22.5" x14ac:dyDescent="0.2">
      <c r="A59" s="179">
        <f>IF(COUNTBLANK(B59)=1," ",COUNTA(B$14:B59))</f>
        <v>46</v>
      </c>
      <c r="B59" s="229" t="s">
        <v>521</v>
      </c>
      <c r="C59" s="244" t="s">
        <v>543</v>
      </c>
      <c r="D59" s="234" t="s">
        <v>91</v>
      </c>
      <c r="E59" s="241">
        <v>7</v>
      </c>
      <c r="F59" s="576"/>
      <c r="G59" s="577"/>
      <c r="H59" s="572">
        <f t="shared" si="7"/>
        <v>0</v>
      </c>
      <c r="I59" s="577"/>
      <c r="J59" s="577"/>
      <c r="K59" s="573">
        <f t="shared" si="8"/>
        <v>0</v>
      </c>
      <c r="L59" s="574">
        <f t="shared" si="9"/>
        <v>0</v>
      </c>
      <c r="M59" s="572">
        <f t="shared" si="10"/>
        <v>0</v>
      </c>
      <c r="N59" s="572">
        <f t="shared" si="11"/>
        <v>0</v>
      </c>
      <c r="O59" s="572">
        <f t="shared" si="12"/>
        <v>0</v>
      </c>
      <c r="P59" s="573">
        <f t="shared" si="13"/>
        <v>0</v>
      </c>
    </row>
    <row r="60" spans="1:16" x14ac:dyDescent="0.2">
      <c r="A60" s="179">
        <f>IF(COUNTBLANK(B60)=1," ",COUNTA(B$14:B60))</f>
        <v>47</v>
      </c>
      <c r="B60" s="229" t="s">
        <v>521</v>
      </c>
      <c r="C60" s="233" t="s">
        <v>544</v>
      </c>
      <c r="D60" s="234" t="s">
        <v>91</v>
      </c>
      <c r="E60" s="241">
        <v>7</v>
      </c>
      <c r="F60" s="576"/>
      <c r="G60" s="577"/>
      <c r="H60" s="577">
        <f t="shared" si="7"/>
        <v>0</v>
      </c>
      <c r="I60" s="577"/>
      <c r="J60" s="577"/>
      <c r="K60" s="578">
        <f t="shared" si="8"/>
        <v>0</v>
      </c>
      <c r="L60" s="576">
        <f t="shared" si="9"/>
        <v>0</v>
      </c>
      <c r="M60" s="577">
        <f t="shared" si="10"/>
        <v>0</v>
      </c>
      <c r="N60" s="577">
        <f t="shared" si="11"/>
        <v>0</v>
      </c>
      <c r="O60" s="577">
        <f t="shared" si="12"/>
        <v>0</v>
      </c>
      <c r="P60" s="578">
        <f t="shared" si="13"/>
        <v>0</v>
      </c>
    </row>
    <row r="61" spans="1:16" x14ac:dyDescent="0.2">
      <c r="A61" s="179">
        <f>IF(COUNTBLANK(B61)=1," ",COUNTA(B$14:B61))</f>
        <v>48</v>
      </c>
      <c r="B61" s="229" t="s">
        <v>521</v>
      </c>
      <c r="C61" s="233" t="s">
        <v>262</v>
      </c>
      <c r="D61" s="234" t="s">
        <v>111</v>
      </c>
      <c r="E61" s="241">
        <v>1</v>
      </c>
      <c r="F61" s="576"/>
      <c r="G61" s="577"/>
      <c r="H61" s="572">
        <f t="shared" si="7"/>
        <v>0</v>
      </c>
      <c r="I61" s="577"/>
      <c r="J61" s="577"/>
      <c r="K61" s="573">
        <f t="shared" si="8"/>
        <v>0</v>
      </c>
      <c r="L61" s="574">
        <f t="shared" si="9"/>
        <v>0</v>
      </c>
      <c r="M61" s="572">
        <f t="shared" si="10"/>
        <v>0</v>
      </c>
      <c r="N61" s="572">
        <f t="shared" si="11"/>
        <v>0</v>
      </c>
      <c r="O61" s="572">
        <f t="shared" si="12"/>
        <v>0</v>
      </c>
      <c r="P61" s="573">
        <f t="shared" si="13"/>
        <v>0</v>
      </c>
    </row>
    <row r="62" spans="1:16" ht="22.5" x14ac:dyDescent="0.2">
      <c r="A62" s="179">
        <f>IF(COUNTBLANK(B62)=1," ",COUNTA(B$14:B62))</f>
        <v>49</v>
      </c>
      <c r="B62" s="229" t="s">
        <v>521</v>
      </c>
      <c r="C62" s="245" t="s">
        <v>263</v>
      </c>
      <c r="D62" s="225" t="s">
        <v>111</v>
      </c>
      <c r="E62" s="246">
        <v>1</v>
      </c>
      <c r="F62" s="576"/>
      <c r="G62" s="577"/>
      <c r="H62" s="577">
        <f t="shared" si="7"/>
        <v>0</v>
      </c>
      <c r="I62" s="577"/>
      <c r="J62" s="577"/>
      <c r="K62" s="578">
        <f t="shared" si="8"/>
        <v>0</v>
      </c>
      <c r="L62" s="576">
        <f t="shared" si="9"/>
        <v>0</v>
      </c>
      <c r="M62" s="577">
        <f t="shared" si="10"/>
        <v>0</v>
      </c>
      <c r="N62" s="577">
        <f t="shared" si="11"/>
        <v>0</v>
      </c>
      <c r="O62" s="577">
        <f t="shared" si="12"/>
        <v>0</v>
      </c>
      <c r="P62" s="578">
        <f t="shared" si="13"/>
        <v>0</v>
      </c>
    </row>
    <row r="63" spans="1:16" x14ac:dyDescent="0.2">
      <c r="A63" s="179" t="str">
        <f>IF(COUNTBLANK(B63)=1," ",COUNTA(B$14:B63))</f>
        <v xml:space="preserve"> </v>
      </c>
      <c r="B63" s="247"/>
      <c r="C63" s="248" t="s">
        <v>345</v>
      </c>
      <c r="D63" s="249"/>
      <c r="E63" s="250"/>
      <c r="F63" s="576"/>
      <c r="G63" s="577"/>
      <c r="H63" s="572">
        <f t="shared" si="7"/>
        <v>0</v>
      </c>
      <c r="I63" s="577"/>
      <c r="J63" s="577"/>
      <c r="K63" s="573">
        <f t="shared" si="8"/>
        <v>0</v>
      </c>
      <c r="L63" s="574">
        <f t="shared" si="9"/>
        <v>0</v>
      </c>
      <c r="M63" s="572">
        <f t="shared" si="10"/>
        <v>0</v>
      </c>
      <c r="N63" s="572">
        <f t="shared" si="11"/>
        <v>0</v>
      </c>
      <c r="O63" s="572">
        <f t="shared" si="12"/>
        <v>0</v>
      </c>
      <c r="P63" s="573">
        <f t="shared" si="13"/>
        <v>0</v>
      </c>
    </row>
    <row r="64" spans="1:16" ht="22.5" x14ac:dyDescent="0.2">
      <c r="A64" s="179">
        <f>IF(COUNTBLANK(B64)=1," ",COUNTA(B$14:B64))</f>
        <v>50</v>
      </c>
      <c r="B64" s="229" t="s">
        <v>521</v>
      </c>
      <c r="C64" s="251" t="s">
        <v>674</v>
      </c>
      <c r="D64" s="249" t="s">
        <v>325</v>
      </c>
      <c r="E64" s="250">
        <v>252</v>
      </c>
      <c r="F64" s="576"/>
      <c r="G64" s="577"/>
      <c r="H64" s="577">
        <f t="shared" si="7"/>
        <v>0</v>
      </c>
      <c r="I64" s="577"/>
      <c r="J64" s="577"/>
      <c r="K64" s="578">
        <f t="shared" si="8"/>
        <v>0</v>
      </c>
      <c r="L64" s="576">
        <f t="shared" si="9"/>
        <v>0</v>
      </c>
      <c r="M64" s="577">
        <f t="shared" si="10"/>
        <v>0</v>
      </c>
      <c r="N64" s="577">
        <f t="shared" si="11"/>
        <v>0</v>
      </c>
      <c r="O64" s="577">
        <f t="shared" si="12"/>
        <v>0</v>
      </c>
      <c r="P64" s="578">
        <f t="shared" si="13"/>
        <v>0</v>
      </c>
    </row>
    <row r="65" spans="1:16" ht="33.75" x14ac:dyDescent="0.2">
      <c r="A65" s="179">
        <f>IF(COUNTBLANK(B65)=1," ",COUNTA(B$14:B65))</f>
        <v>51</v>
      </c>
      <c r="B65" s="229" t="s">
        <v>521</v>
      </c>
      <c r="C65" s="251" t="s">
        <v>675</v>
      </c>
      <c r="D65" s="249" t="s">
        <v>351</v>
      </c>
      <c r="E65" s="250">
        <v>25.2</v>
      </c>
      <c r="F65" s="576"/>
      <c r="G65" s="577"/>
      <c r="H65" s="572">
        <f t="shared" si="7"/>
        <v>0</v>
      </c>
      <c r="I65" s="577"/>
      <c r="J65" s="577"/>
      <c r="K65" s="573">
        <f t="shared" si="8"/>
        <v>0</v>
      </c>
      <c r="L65" s="574">
        <f t="shared" si="9"/>
        <v>0</v>
      </c>
      <c r="M65" s="572">
        <f t="shared" si="10"/>
        <v>0</v>
      </c>
      <c r="N65" s="572">
        <f t="shared" si="11"/>
        <v>0</v>
      </c>
      <c r="O65" s="572">
        <f t="shared" si="12"/>
        <v>0</v>
      </c>
      <c r="P65" s="573">
        <f t="shared" si="13"/>
        <v>0</v>
      </c>
    </row>
    <row r="66" spans="1:16" ht="16.5" customHeight="1" x14ac:dyDescent="0.2">
      <c r="A66" s="179" t="str">
        <f>IF(COUNTBLANK(B66)=1," ",COUNTA(B$14:B66))</f>
        <v xml:space="preserve"> </v>
      </c>
      <c r="B66" s="247"/>
      <c r="C66" s="252" t="s">
        <v>346</v>
      </c>
      <c r="D66" s="249"/>
      <c r="E66" s="250"/>
      <c r="F66" s="576"/>
      <c r="G66" s="577"/>
      <c r="H66" s="577">
        <f t="shared" si="7"/>
        <v>0</v>
      </c>
      <c r="I66" s="577"/>
      <c r="J66" s="577"/>
      <c r="K66" s="578">
        <f t="shared" si="8"/>
        <v>0</v>
      </c>
      <c r="L66" s="576">
        <f t="shared" si="9"/>
        <v>0</v>
      </c>
      <c r="M66" s="577">
        <f t="shared" si="10"/>
        <v>0</v>
      </c>
      <c r="N66" s="577">
        <f t="shared" si="11"/>
        <v>0</v>
      </c>
      <c r="O66" s="577">
        <f t="shared" si="12"/>
        <v>0</v>
      </c>
      <c r="P66" s="578">
        <f t="shared" si="13"/>
        <v>0</v>
      </c>
    </row>
    <row r="67" spans="1:16" ht="45" customHeight="1" x14ac:dyDescent="0.2">
      <c r="A67" s="179">
        <f>IF(COUNTBLANK(B67)=1," ",COUNTA(B$14:B67))</f>
        <v>52</v>
      </c>
      <c r="B67" s="229" t="s">
        <v>521</v>
      </c>
      <c r="C67" s="253" t="s">
        <v>680</v>
      </c>
      <c r="D67" s="221" t="s">
        <v>91</v>
      </c>
      <c r="E67" s="254">
        <v>1</v>
      </c>
      <c r="F67" s="576"/>
      <c r="G67" s="577"/>
      <c r="H67" s="572">
        <f t="shared" si="7"/>
        <v>0</v>
      </c>
      <c r="I67" s="577"/>
      <c r="J67" s="577"/>
      <c r="K67" s="573">
        <f t="shared" si="8"/>
        <v>0</v>
      </c>
      <c r="L67" s="574">
        <f t="shared" si="9"/>
        <v>0</v>
      </c>
      <c r="M67" s="572">
        <f t="shared" si="10"/>
        <v>0</v>
      </c>
      <c r="N67" s="572">
        <f t="shared" si="11"/>
        <v>0</v>
      </c>
      <c r="O67" s="572">
        <f t="shared" si="12"/>
        <v>0</v>
      </c>
      <c r="P67" s="573">
        <f t="shared" si="13"/>
        <v>0</v>
      </c>
    </row>
    <row r="68" spans="1:16" x14ac:dyDescent="0.2">
      <c r="A68" s="179">
        <f>IF(COUNTBLANK(B68)=1," ",COUNTA(B$14:B68))</f>
        <v>53</v>
      </c>
      <c r="B68" s="229" t="s">
        <v>521</v>
      </c>
      <c r="C68" s="255" t="s">
        <v>549</v>
      </c>
      <c r="D68" s="221" t="s">
        <v>91</v>
      </c>
      <c r="E68" s="254">
        <v>3</v>
      </c>
      <c r="F68" s="576"/>
      <c r="G68" s="577"/>
      <c r="H68" s="577">
        <f t="shared" si="7"/>
        <v>0</v>
      </c>
      <c r="I68" s="577"/>
      <c r="J68" s="577"/>
      <c r="K68" s="578">
        <f t="shared" si="8"/>
        <v>0</v>
      </c>
      <c r="L68" s="576">
        <f t="shared" si="9"/>
        <v>0</v>
      </c>
      <c r="M68" s="577">
        <f t="shared" si="10"/>
        <v>0</v>
      </c>
      <c r="N68" s="577">
        <f t="shared" si="11"/>
        <v>0</v>
      </c>
      <c r="O68" s="577">
        <f t="shared" si="12"/>
        <v>0</v>
      </c>
      <c r="P68" s="578">
        <f t="shared" si="13"/>
        <v>0</v>
      </c>
    </row>
    <row r="69" spans="1:16" x14ac:dyDescent="0.2">
      <c r="A69" s="179">
        <f>IF(COUNTBLANK(B69)=1," ",COUNTA(B$14:B69))</f>
        <v>54</v>
      </c>
      <c r="B69" s="229" t="s">
        <v>521</v>
      </c>
      <c r="C69" s="255" t="s">
        <v>550</v>
      </c>
      <c r="D69" s="221" t="s">
        <v>91</v>
      </c>
      <c r="E69" s="254">
        <v>3</v>
      </c>
      <c r="F69" s="576"/>
      <c r="G69" s="577"/>
      <c r="H69" s="572">
        <f t="shared" si="7"/>
        <v>0</v>
      </c>
      <c r="I69" s="577"/>
      <c r="J69" s="577"/>
      <c r="K69" s="573">
        <f t="shared" si="8"/>
        <v>0</v>
      </c>
      <c r="L69" s="574">
        <f t="shared" si="9"/>
        <v>0</v>
      </c>
      <c r="M69" s="572">
        <f t="shared" si="10"/>
        <v>0</v>
      </c>
      <c r="N69" s="572">
        <f t="shared" si="11"/>
        <v>0</v>
      </c>
      <c r="O69" s="572">
        <f t="shared" si="12"/>
        <v>0</v>
      </c>
      <c r="P69" s="573">
        <f t="shared" si="13"/>
        <v>0</v>
      </c>
    </row>
    <row r="70" spans="1:16" x14ac:dyDescent="0.2">
      <c r="A70" s="179">
        <f>IF(COUNTBLANK(B70)=1," ",COUNTA(B$14:B70))</f>
        <v>55</v>
      </c>
      <c r="B70" s="229" t="s">
        <v>521</v>
      </c>
      <c r="C70" s="255" t="s">
        <v>551</v>
      </c>
      <c r="D70" s="221" t="s">
        <v>91</v>
      </c>
      <c r="E70" s="254">
        <v>1</v>
      </c>
      <c r="F70" s="576"/>
      <c r="G70" s="577"/>
      <c r="H70" s="577">
        <f t="shared" si="7"/>
        <v>0</v>
      </c>
      <c r="I70" s="577"/>
      <c r="J70" s="577"/>
      <c r="K70" s="578">
        <f t="shared" si="8"/>
        <v>0</v>
      </c>
      <c r="L70" s="576">
        <f t="shared" si="9"/>
        <v>0</v>
      </c>
      <c r="M70" s="577">
        <f t="shared" si="10"/>
        <v>0</v>
      </c>
      <c r="N70" s="577">
        <f t="shared" si="11"/>
        <v>0</v>
      </c>
      <c r="O70" s="577">
        <f t="shared" si="12"/>
        <v>0</v>
      </c>
      <c r="P70" s="578">
        <f t="shared" si="13"/>
        <v>0</v>
      </c>
    </row>
    <row r="71" spans="1:16" x14ac:dyDescent="0.2">
      <c r="A71" s="179">
        <f>IF(COUNTBLANK(B71)=1," ",COUNTA(B$14:B71))</f>
        <v>56</v>
      </c>
      <c r="B71" s="229" t="s">
        <v>521</v>
      </c>
      <c r="C71" s="255" t="s">
        <v>552</v>
      </c>
      <c r="D71" s="221" t="s">
        <v>91</v>
      </c>
      <c r="E71" s="254">
        <v>1</v>
      </c>
      <c r="F71" s="576"/>
      <c r="G71" s="577"/>
      <c r="H71" s="572">
        <f t="shared" si="7"/>
        <v>0</v>
      </c>
      <c r="I71" s="577"/>
      <c r="J71" s="577"/>
      <c r="K71" s="573">
        <f t="shared" si="8"/>
        <v>0</v>
      </c>
      <c r="L71" s="574">
        <f t="shared" si="9"/>
        <v>0</v>
      </c>
      <c r="M71" s="572">
        <f t="shared" si="10"/>
        <v>0</v>
      </c>
      <c r="N71" s="572">
        <f t="shared" si="11"/>
        <v>0</v>
      </c>
      <c r="O71" s="572">
        <f t="shared" si="12"/>
        <v>0</v>
      </c>
      <c r="P71" s="573">
        <f t="shared" si="13"/>
        <v>0</v>
      </c>
    </row>
    <row r="72" spans="1:16" x14ac:dyDescent="0.2">
      <c r="A72" s="179">
        <f>IF(COUNTBLANK(B72)=1," ",COUNTA(B$14:B72))</f>
        <v>57</v>
      </c>
      <c r="B72" s="229" t="s">
        <v>521</v>
      </c>
      <c r="C72" s="251" t="s">
        <v>553</v>
      </c>
      <c r="D72" s="249" t="s">
        <v>91</v>
      </c>
      <c r="E72" s="250">
        <v>1</v>
      </c>
      <c r="F72" s="576"/>
      <c r="G72" s="577"/>
      <c r="H72" s="577">
        <f t="shared" si="7"/>
        <v>0</v>
      </c>
      <c r="I72" s="577"/>
      <c r="J72" s="577"/>
      <c r="K72" s="578">
        <f t="shared" si="8"/>
        <v>0</v>
      </c>
      <c r="L72" s="576">
        <f t="shared" si="9"/>
        <v>0</v>
      </c>
      <c r="M72" s="577">
        <f t="shared" si="10"/>
        <v>0</v>
      </c>
      <c r="N72" s="577">
        <f t="shared" si="11"/>
        <v>0</v>
      </c>
      <c r="O72" s="577">
        <f t="shared" si="12"/>
        <v>0</v>
      </c>
      <c r="P72" s="578">
        <f t="shared" si="13"/>
        <v>0</v>
      </c>
    </row>
    <row r="73" spans="1:16" ht="22.5" x14ac:dyDescent="0.2">
      <c r="A73" s="179">
        <f>IF(COUNTBLANK(B73)=1," ",COUNTA(B$14:B73))</f>
        <v>58</v>
      </c>
      <c r="B73" s="229" t="s">
        <v>521</v>
      </c>
      <c r="C73" s="256" t="s">
        <v>676</v>
      </c>
      <c r="D73" s="236" t="s">
        <v>325</v>
      </c>
      <c r="E73" s="257">
        <v>1</v>
      </c>
      <c r="F73" s="576"/>
      <c r="G73" s="577"/>
      <c r="H73" s="572">
        <f t="shared" si="7"/>
        <v>0</v>
      </c>
      <c r="I73" s="577"/>
      <c r="J73" s="577"/>
      <c r="K73" s="573">
        <f t="shared" si="8"/>
        <v>0</v>
      </c>
      <c r="L73" s="574">
        <f t="shared" si="9"/>
        <v>0</v>
      </c>
      <c r="M73" s="572">
        <f t="shared" si="10"/>
        <v>0</v>
      </c>
      <c r="N73" s="572">
        <f t="shared" si="11"/>
        <v>0</v>
      </c>
      <c r="O73" s="572">
        <f t="shared" si="12"/>
        <v>0</v>
      </c>
      <c r="P73" s="573">
        <f t="shared" si="13"/>
        <v>0</v>
      </c>
    </row>
    <row r="74" spans="1:16" x14ac:dyDescent="0.2">
      <c r="A74" s="179" t="str">
        <f>IF(COUNTBLANK(B74)=1," ",COUNTA(B$14:B74))</f>
        <v xml:space="preserve"> </v>
      </c>
      <c r="B74" s="247"/>
      <c r="C74" s="258" t="s">
        <v>347</v>
      </c>
      <c r="D74" s="236"/>
      <c r="E74" s="257"/>
      <c r="F74" s="576"/>
      <c r="G74" s="577"/>
      <c r="H74" s="577">
        <f t="shared" si="7"/>
        <v>0</v>
      </c>
      <c r="I74" s="577"/>
      <c r="J74" s="577"/>
      <c r="K74" s="578">
        <f t="shared" si="8"/>
        <v>0</v>
      </c>
      <c r="L74" s="576">
        <f t="shared" si="9"/>
        <v>0</v>
      </c>
      <c r="M74" s="577">
        <f t="shared" si="10"/>
        <v>0</v>
      </c>
      <c r="N74" s="577">
        <f t="shared" si="11"/>
        <v>0</v>
      </c>
      <c r="O74" s="577">
        <f t="shared" si="12"/>
        <v>0</v>
      </c>
      <c r="P74" s="578">
        <f t="shared" si="13"/>
        <v>0</v>
      </c>
    </row>
    <row r="75" spans="1:16" ht="45" x14ac:dyDescent="0.2">
      <c r="A75" s="179">
        <f>IF(COUNTBLANK(B75)=1," ",COUNTA(B$14:B75))</f>
        <v>59</v>
      </c>
      <c r="B75" s="229" t="s">
        <v>521</v>
      </c>
      <c r="C75" s="256" t="s">
        <v>678</v>
      </c>
      <c r="D75" s="236" t="s">
        <v>91</v>
      </c>
      <c r="E75" s="257">
        <v>63</v>
      </c>
      <c r="F75" s="576"/>
      <c r="G75" s="577"/>
      <c r="H75" s="572">
        <f t="shared" si="7"/>
        <v>0</v>
      </c>
      <c r="I75" s="577"/>
      <c r="J75" s="577"/>
      <c r="K75" s="573">
        <f t="shared" si="8"/>
        <v>0</v>
      </c>
      <c r="L75" s="574">
        <f t="shared" si="9"/>
        <v>0</v>
      </c>
      <c r="M75" s="572">
        <f t="shared" si="10"/>
        <v>0</v>
      </c>
      <c r="N75" s="572">
        <f t="shared" si="11"/>
        <v>0</v>
      </c>
      <c r="O75" s="572">
        <f t="shared" si="12"/>
        <v>0</v>
      </c>
      <c r="P75" s="573">
        <f t="shared" si="13"/>
        <v>0</v>
      </c>
    </row>
    <row r="76" spans="1:16" x14ac:dyDescent="0.2">
      <c r="A76" s="179">
        <f>IF(COUNTBLANK(B76)=1," ",COUNTA(B$14:B76))</f>
        <v>60</v>
      </c>
      <c r="B76" s="229" t="s">
        <v>521</v>
      </c>
      <c r="C76" s="256" t="s">
        <v>554</v>
      </c>
      <c r="D76" s="236" t="s">
        <v>91</v>
      </c>
      <c r="E76" s="257">
        <v>63</v>
      </c>
      <c r="F76" s="576"/>
      <c r="G76" s="577"/>
      <c r="H76" s="577">
        <f t="shared" si="7"/>
        <v>0</v>
      </c>
      <c r="I76" s="577"/>
      <c r="J76" s="577"/>
      <c r="K76" s="578">
        <f t="shared" si="8"/>
        <v>0</v>
      </c>
      <c r="L76" s="576">
        <f t="shared" si="9"/>
        <v>0</v>
      </c>
      <c r="M76" s="577">
        <f t="shared" si="10"/>
        <v>0</v>
      </c>
      <c r="N76" s="577">
        <f t="shared" si="11"/>
        <v>0</v>
      </c>
      <c r="O76" s="577">
        <f t="shared" si="12"/>
        <v>0</v>
      </c>
      <c r="P76" s="578">
        <f t="shared" si="13"/>
        <v>0</v>
      </c>
    </row>
    <row r="77" spans="1:16" x14ac:dyDescent="0.2">
      <c r="A77" s="179">
        <f>IF(COUNTBLANK(B77)=1," ",COUNTA(B$14:B77))</f>
        <v>61</v>
      </c>
      <c r="B77" s="229" t="s">
        <v>521</v>
      </c>
      <c r="C77" s="256" t="s">
        <v>555</v>
      </c>
      <c r="D77" s="236" t="s">
        <v>91</v>
      </c>
      <c r="E77" s="257">
        <v>126</v>
      </c>
      <c r="F77" s="576"/>
      <c r="G77" s="577"/>
      <c r="H77" s="572">
        <f t="shared" si="7"/>
        <v>0</v>
      </c>
      <c r="I77" s="577"/>
      <c r="J77" s="577"/>
      <c r="K77" s="573">
        <f t="shared" si="8"/>
        <v>0</v>
      </c>
      <c r="L77" s="574">
        <f t="shared" si="9"/>
        <v>0</v>
      </c>
      <c r="M77" s="572">
        <f t="shared" si="10"/>
        <v>0</v>
      </c>
      <c r="N77" s="572">
        <f t="shared" si="11"/>
        <v>0</v>
      </c>
      <c r="O77" s="572">
        <f t="shared" si="12"/>
        <v>0</v>
      </c>
      <c r="P77" s="573">
        <f t="shared" si="13"/>
        <v>0</v>
      </c>
    </row>
    <row r="78" spans="1:16" x14ac:dyDescent="0.2">
      <c r="A78" s="179">
        <f>IF(COUNTBLANK(B78)=1," ",COUNTA(B$14:B78))</f>
        <v>62</v>
      </c>
      <c r="B78" s="229" t="s">
        <v>521</v>
      </c>
      <c r="C78" s="256" t="s">
        <v>556</v>
      </c>
      <c r="D78" s="236" t="s">
        <v>91</v>
      </c>
      <c r="E78" s="257">
        <v>63</v>
      </c>
      <c r="F78" s="576"/>
      <c r="G78" s="577"/>
      <c r="H78" s="577">
        <f t="shared" si="7"/>
        <v>0</v>
      </c>
      <c r="I78" s="577"/>
      <c r="J78" s="577"/>
      <c r="K78" s="578">
        <f t="shared" si="8"/>
        <v>0</v>
      </c>
      <c r="L78" s="576">
        <f t="shared" si="9"/>
        <v>0</v>
      </c>
      <c r="M78" s="577">
        <f t="shared" si="10"/>
        <v>0</v>
      </c>
      <c r="N78" s="577">
        <f t="shared" si="11"/>
        <v>0</v>
      </c>
      <c r="O78" s="577">
        <f t="shared" si="12"/>
        <v>0</v>
      </c>
      <c r="P78" s="578">
        <f t="shared" si="13"/>
        <v>0</v>
      </c>
    </row>
    <row r="79" spans="1:16" x14ac:dyDescent="0.2">
      <c r="A79" s="179">
        <f>IF(COUNTBLANK(B79)=1," ",COUNTA(B$14:B79))</f>
        <v>63</v>
      </c>
      <c r="B79" s="229" t="s">
        <v>521</v>
      </c>
      <c r="C79" s="256" t="s">
        <v>557</v>
      </c>
      <c r="D79" s="236" t="s">
        <v>91</v>
      </c>
      <c r="E79" s="257">
        <v>63</v>
      </c>
      <c r="F79" s="576"/>
      <c r="G79" s="577"/>
      <c r="H79" s="572">
        <f t="shared" si="7"/>
        <v>0</v>
      </c>
      <c r="I79" s="577"/>
      <c r="J79" s="577"/>
      <c r="K79" s="573">
        <f t="shared" si="8"/>
        <v>0</v>
      </c>
      <c r="L79" s="574">
        <f t="shared" si="9"/>
        <v>0</v>
      </c>
      <c r="M79" s="572">
        <f t="shared" si="10"/>
        <v>0</v>
      </c>
      <c r="N79" s="572">
        <f t="shared" si="11"/>
        <v>0</v>
      </c>
      <c r="O79" s="572">
        <f t="shared" si="12"/>
        <v>0</v>
      </c>
      <c r="P79" s="573">
        <f t="shared" si="13"/>
        <v>0</v>
      </c>
    </row>
    <row r="80" spans="1:16" x14ac:dyDescent="0.2">
      <c r="A80" s="179" t="str">
        <f>IF(COUNTBLANK(B80)=1," ",COUNTA(B$14:B80))</f>
        <v xml:space="preserve"> </v>
      </c>
      <c r="B80" s="247"/>
      <c r="C80" s="258" t="s">
        <v>348</v>
      </c>
      <c r="D80" s="236"/>
      <c r="E80" s="257"/>
      <c r="F80" s="576"/>
      <c r="G80" s="577"/>
      <c r="H80" s="577">
        <f t="shared" si="7"/>
        <v>0</v>
      </c>
      <c r="I80" s="577"/>
      <c r="J80" s="577"/>
      <c r="K80" s="578">
        <f t="shared" si="8"/>
        <v>0</v>
      </c>
      <c r="L80" s="576">
        <f t="shared" si="9"/>
        <v>0</v>
      </c>
      <c r="M80" s="577">
        <f t="shared" si="10"/>
        <v>0</v>
      </c>
      <c r="N80" s="577">
        <f t="shared" si="11"/>
        <v>0</v>
      </c>
      <c r="O80" s="577">
        <f t="shared" si="12"/>
        <v>0</v>
      </c>
      <c r="P80" s="578">
        <f t="shared" si="13"/>
        <v>0</v>
      </c>
    </row>
    <row r="81" spans="1:16" ht="45" x14ac:dyDescent="0.2">
      <c r="A81" s="179">
        <f>IF(COUNTBLANK(B81)=1," ",COUNTA(B$14:B81))</f>
        <v>64</v>
      </c>
      <c r="B81" s="229" t="s">
        <v>521</v>
      </c>
      <c r="C81" s="256" t="s">
        <v>679</v>
      </c>
      <c r="D81" s="236" t="s">
        <v>91</v>
      </c>
      <c r="E81" s="257">
        <v>63</v>
      </c>
      <c r="F81" s="576"/>
      <c r="G81" s="577"/>
      <c r="H81" s="572">
        <f t="shared" ref="H81:H89" si="14">ROUND(F81*G81,2)</f>
        <v>0</v>
      </c>
      <c r="I81" s="577"/>
      <c r="J81" s="577"/>
      <c r="K81" s="573">
        <f t="shared" ref="K81:K89" si="15">SUM(H81:J81)</f>
        <v>0</v>
      </c>
      <c r="L81" s="574">
        <f t="shared" ref="L81:L89" si="16">ROUND(E81*F81,2)</f>
        <v>0</v>
      </c>
      <c r="M81" s="572">
        <f t="shared" ref="M81:M89" si="17">ROUND(H81*E81,2)</f>
        <v>0</v>
      </c>
      <c r="N81" s="572">
        <f t="shared" ref="N81:N89" si="18">ROUND(I81*E81,2)</f>
        <v>0</v>
      </c>
      <c r="O81" s="572">
        <f t="shared" ref="O81:O89" si="19">ROUND(J81*E81,2)</f>
        <v>0</v>
      </c>
      <c r="P81" s="573">
        <f t="shared" ref="P81:P89" si="20">SUM(M81:O81)</f>
        <v>0</v>
      </c>
    </row>
    <row r="82" spans="1:16" x14ac:dyDescent="0.2">
      <c r="A82" s="179">
        <f>IF(COUNTBLANK(B82)=1," ",COUNTA(B$14:B82))</f>
        <v>65</v>
      </c>
      <c r="B82" s="229" t="s">
        <v>521</v>
      </c>
      <c r="C82" s="259" t="s">
        <v>558</v>
      </c>
      <c r="D82" s="236" t="s">
        <v>91</v>
      </c>
      <c r="E82" s="257">
        <v>63</v>
      </c>
      <c r="F82" s="576"/>
      <c r="G82" s="577"/>
      <c r="H82" s="577">
        <f t="shared" si="14"/>
        <v>0</v>
      </c>
      <c r="I82" s="577"/>
      <c r="J82" s="577"/>
      <c r="K82" s="578">
        <f t="shared" si="15"/>
        <v>0</v>
      </c>
      <c r="L82" s="576">
        <f t="shared" si="16"/>
        <v>0</v>
      </c>
      <c r="M82" s="577">
        <f t="shared" si="17"/>
        <v>0</v>
      </c>
      <c r="N82" s="577">
        <f t="shared" si="18"/>
        <v>0</v>
      </c>
      <c r="O82" s="577">
        <f t="shared" si="19"/>
        <v>0</v>
      </c>
      <c r="P82" s="578">
        <f t="shared" si="20"/>
        <v>0</v>
      </c>
    </row>
    <row r="83" spans="1:16" x14ac:dyDescent="0.2">
      <c r="A83" s="179">
        <f>IF(COUNTBLANK(B83)=1," ",COUNTA(B$14:B83))</f>
        <v>66</v>
      </c>
      <c r="B83" s="229" t="s">
        <v>521</v>
      </c>
      <c r="C83" s="256" t="s">
        <v>555</v>
      </c>
      <c r="D83" s="236" t="s">
        <v>91</v>
      </c>
      <c r="E83" s="257">
        <v>126</v>
      </c>
      <c r="F83" s="576"/>
      <c r="G83" s="577"/>
      <c r="H83" s="572">
        <f t="shared" si="14"/>
        <v>0</v>
      </c>
      <c r="I83" s="577"/>
      <c r="J83" s="577"/>
      <c r="K83" s="573">
        <f t="shared" si="15"/>
        <v>0</v>
      </c>
      <c r="L83" s="574">
        <f t="shared" si="16"/>
        <v>0</v>
      </c>
      <c r="M83" s="572">
        <f t="shared" si="17"/>
        <v>0</v>
      </c>
      <c r="N83" s="572">
        <f t="shared" si="18"/>
        <v>0</v>
      </c>
      <c r="O83" s="572">
        <f t="shared" si="19"/>
        <v>0</v>
      </c>
      <c r="P83" s="573">
        <f t="shared" si="20"/>
        <v>0</v>
      </c>
    </row>
    <row r="84" spans="1:16" x14ac:dyDescent="0.2">
      <c r="A84" s="179">
        <f>IF(COUNTBLANK(B84)=1," ",COUNTA(B$14:B84))</f>
        <v>67</v>
      </c>
      <c r="B84" s="229" t="s">
        <v>521</v>
      </c>
      <c r="C84" s="256" t="s">
        <v>559</v>
      </c>
      <c r="D84" s="236" t="s">
        <v>91</v>
      </c>
      <c r="E84" s="257">
        <v>63</v>
      </c>
      <c r="F84" s="576"/>
      <c r="G84" s="577"/>
      <c r="H84" s="577">
        <f t="shared" si="14"/>
        <v>0</v>
      </c>
      <c r="I84" s="577"/>
      <c r="J84" s="577"/>
      <c r="K84" s="578">
        <f t="shared" si="15"/>
        <v>0</v>
      </c>
      <c r="L84" s="576">
        <f t="shared" si="16"/>
        <v>0</v>
      </c>
      <c r="M84" s="577">
        <f t="shared" si="17"/>
        <v>0</v>
      </c>
      <c r="N84" s="577">
        <f t="shared" si="18"/>
        <v>0</v>
      </c>
      <c r="O84" s="577">
        <f t="shared" si="19"/>
        <v>0</v>
      </c>
      <c r="P84" s="578">
        <f t="shared" si="20"/>
        <v>0</v>
      </c>
    </row>
    <row r="85" spans="1:16" x14ac:dyDescent="0.2">
      <c r="A85" s="179">
        <f>IF(COUNTBLANK(B85)=1," ",COUNTA(B$14:B85))</f>
        <v>68</v>
      </c>
      <c r="B85" s="229" t="s">
        <v>521</v>
      </c>
      <c r="C85" s="256" t="s">
        <v>557</v>
      </c>
      <c r="D85" s="236" t="s">
        <v>91</v>
      </c>
      <c r="E85" s="257">
        <v>63</v>
      </c>
      <c r="F85" s="576"/>
      <c r="G85" s="577"/>
      <c r="H85" s="572">
        <f t="shared" si="14"/>
        <v>0</v>
      </c>
      <c r="I85" s="577"/>
      <c r="J85" s="577"/>
      <c r="K85" s="573">
        <f t="shared" si="15"/>
        <v>0</v>
      </c>
      <c r="L85" s="574">
        <f t="shared" si="16"/>
        <v>0</v>
      </c>
      <c r="M85" s="572">
        <f t="shared" si="17"/>
        <v>0</v>
      </c>
      <c r="N85" s="572">
        <f t="shared" si="18"/>
        <v>0</v>
      </c>
      <c r="O85" s="572">
        <f t="shared" si="19"/>
        <v>0</v>
      </c>
      <c r="P85" s="573">
        <f t="shared" si="20"/>
        <v>0</v>
      </c>
    </row>
    <row r="86" spans="1:16" x14ac:dyDescent="0.2">
      <c r="A86" s="179" t="str">
        <f>IF(COUNTBLANK(B86)=1," ",COUNTA(B$14:B86))</f>
        <v xml:space="preserve"> </v>
      </c>
      <c r="B86" s="260"/>
      <c r="C86" s="261" t="s">
        <v>349</v>
      </c>
      <c r="D86" s="262"/>
      <c r="E86" s="262"/>
      <c r="F86" s="576"/>
      <c r="G86" s="577"/>
      <c r="H86" s="577">
        <f t="shared" si="14"/>
        <v>0</v>
      </c>
      <c r="I86" s="577"/>
      <c r="J86" s="577"/>
      <c r="K86" s="578">
        <f t="shared" si="15"/>
        <v>0</v>
      </c>
      <c r="L86" s="576">
        <f t="shared" si="16"/>
        <v>0</v>
      </c>
      <c r="M86" s="577">
        <f t="shared" si="17"/>
        <v>0</v>
      </c>
      <c r="N86" s="577">
        <f t="shared" si="18"/>
        <v>0</v>
      </c>
      <c r="O86" s="577">
        <f t="shared" si="19"/>
        <v>0</v>
      </c>
      <c r="P86" s="578">
        <f t="shared" si="20"/>
        <v>0</v>
      </c>
    </row>
    <row r="87" spans="1:16" x14ac:dyDescent="0.2">
      <c r="A87" s="179">
        <f>IF(COUNTBLANK(B87)=1," ",COUNTA(B$14:B87))</f>
        <v>69</v>
      </c>
      <c r="B87" s="229" t="s">
        <v>521</v>
      </c>
      <c r="C87" s="263" t="s">
        <v>560</v>
      </c>
      <c r="D87" s="234" t="s">
        <v>57</v>
      </c>
      <c r="E87" s="234">
        <v>126</v>
      </c>
      <c r="F87" s="576"/>
      <c r="G87" s="577"/>
      <c r="H87" s="572">
        <f t="shared" si="14"/>
        <v>0</v>
      </c>
      <c r="I87" s="577"/>
      <c r="J87" s="577"/>
      <c r="K87" s="573">
        <f t="shared" si="15"/>
        <v>0</v>
      </c>
      <c r="L87" s="574">
        <f t="shared" si="16"/>
        <v>0</v>
      </c>
      <c r="M87" s="572">
        <f t="shared" si="17"/>
        <v>0</v>
      </c>
      <c r="N87" s="572">
        <f t="shared" si="18"/>
        <v>0</v>
      </c>
      <c r="O87" s="572">
        <f t="shared" si="19"/>
        <v>0</v>
      </c>
      <c r="P87" s="573">
        <f t="shared" si="20"/>
        <v>0</v>
      </c>
    </row>
    <row r="88" spans="1:16" ht="33.75" x14ac:dyDescent="0.2">
      <c r="A88" s="179">
        <f>IF(COUNTBLANK(B88)=1," ",COUNTA(B$14:B88))</f>
        <v>70</v>
      </c>
      <c r="B88" s="229" t="s">
        <v>521</v>
      </c>
      <c r="C88" s="264" t="s">
        <v>677</v>
      </c>
      <c r="D88" s="234" t="s">
        <v>91</v>
      </c>
      <c r="E88" s="241">
        <v>63</v>
      </c>
      <c r="F88" s="576"/>
      <c r="G88" s="577"/>
      <c r="H88" s="577">
        <f t="shared" si="14"/>
        <v>0</v>
      </c>
      <c r="I88" s="577"/>
      <c r="J88" s="577"/>
      <c r="K88" s="578">
        <f t="shared" si="15"/>
        <v>0</v>
      </c>
      <c r="L88" s="576">
        <f t="shared" si="16"/>
        <v>0</v>
      </c>
      <c r="M88" s="577">
        <f t="shared" si="17"/>
        <v>0</v>
      </c>
      <c r="N88" s="577">
        <f t="shared" si="18"/>
        <v>0</v>
      </c>
      <c r="O88" s="577">
        <f t="shared" si="19"/>
        <v>0</v>
      </c>
      <c r="P88" s="578">
        <f t="shared" si="20"/>
        <v>0</v>
      </c>
    </row>
    <row r="89" spans="1:16" ht="12" thickBot="1" x14ac:dyDescent="0.25">
      <c r="A89" s="179">
        <f>IF(COUNTBLANK(B89)=1," ",COUNTA(B$14:B89))</f>
        <v>71</v>
      </c>
      <c r="B89" s="229" t="s">
        <v>521</v>
      </c>
      <c r="C89" s="238" t="s">
        <v>350</v>
      </c>
      <c r="D89" s="234" t="s">
        <v>91</v>
      </c>
      <c r="E89" s="241">
        <v>126</v>
      </c>
      <c r="F89" s="576"/>
      <c r="G89" s="577"/>
      <c r="H89" s="572">
        <f t="shared" si="14"/>
        <v>0</v>
      </c>
      <c r="I89" s="577"/>
      <c r="J89" s="577"/>
      <c r="K89" s="573">
        <f t="shared" si="15"/>
        <v>0</v>
      </c>
      <c r="L89" s="574">
        <f t="shared" si="16"/>
        <v>0</v>
      </c>
      <c r="M89" s="572">
        <f t="shared" si="17"/>
        <v>0</v>
      </c>
      <c r="N89" s="572">
        <f t="shared" si="18"/>
        <v>0</v>
      </c>
      <c r="O89" s="572">
        <f t="shared" si="19"/>
        <v>0</v>
      </c>
      <c r="P89" s="573">
        <f t="shared" si="20"/>
        <v>0</v>
      </c>
    </row>
    <row r="90" spans="1:16" ht="12" customHeight="1" thickBot="1" x14ac:dyDescent="0.25">
      <c r="A90" s="656" t="s">
        <v>612</v>
      </c>
      <c r="B90" s="656"/>
      <c r="C90" s="656"/>
      <c r="D90" s="656"/>
      <c r="E90" s="619"/>
      <c r="F90" s="619"/>
      <c r="G90" s="619"/>
      <c r="H90" s="619"/>
      <c r="I90" s="619"/>
      <c r="J90" s="619"/>
      <c r="K90" s="619"/>
      <c r="L90" s="582">
        <f>SUM(L14:L89)</f>
        <v>0</v>
      </c>
      <c r="M90" s="582">
        <f t="shared" ref="M90:P90" si="21">SUM(M14:M89)</f>
        <v>0</v>
      </c>
      <c r="N90" s="582">
        <f t="shared" si="21"/>
        <v>0</v>
      </c>
      <c r="O90" s="582">
        <f t="shared" si="21"/>
        <v>0</v>
      </c>
      <c r="P90" s="582">
        <f t="shared" si="21"/>
        <v>0</v>
      </c>
    </row>
    <row r="91" spans="1:16" x14ac:dyDescent="0.2">
      <c r="A91" s="202"/>
      <c r="B91" s="202"/>
      <c r="C91" s="202"/>
      <c r="D91" s="202"/>
      <c r="E91" s="202"/>
      <c r="F91" s="202"/>
      <c r="G91" s="202"/>
      <c r="H91" s="202"/>
      <c r="I91" s="202"/>
      <c r="J91" s="202"/>
      <c r="K91" s="202"/>
      <c r="L91" s="202"/>
      <c r="M91" s="202"/>
      <c r="N91" s="202"/>
      <c r="O91" s="202"/>
      <c r="P91" s="202"/>
    </row>
    <row r="92" spans="1:16" x14ac:dyDescent="0.2">
      <c r="A92" s="159" t="s">
        <v>14</v>
      </c>
      <c r="B92" s="202"/>
      <c r="C92" s="671">
        <f>'Kops a'!C36:H36</f>
        <v>0</v>
      </c>
      <c r="D92" s="671"/>
      <c r="E92" s="671"/>
      <c r="F92" s="671"/>
      <c r="G92" s="671"/>
      <c r="H92" s="671"/>
      <c r="I92" s="671"/>
      <c r="J92" s="202"/>
      <c r="K92" s="202"/>
      <c r="L92" s="202"/>
      <c r="M92" s="202"/>
      <c r="N92" s="202"/>
      <c r="O92" s="202"/>
      <c r="P92" s="202"/>
    </row>
    <row r="93" spans="1:16" x14ac:dyDescent="0.2">
      <c r="A93" s="202"/>
      <c r="B93" s="202"/>
      <c r="C93" s="590" t="s">
        <v>15</v>
      </c>
      <c r="D93" s="590"/>
      <c r="E93" s="590"/>
      <c r="F93" s="590"/>
      <c r="G93" s="590"/>
      <c r="H93" s="590"/>
      <c r="I93" s="590"/>
      <c r="J93" s="202"/>
      <c r="K93" s="202"/>
      <c r="L93" s="202"/>
      <c r="M93" s="202"/>
      <c r="N93" s="202"/>
      <c r="O93" s="202"/>
      <c r="P93" s="202"/>
    </row>
    <row r="94" spans="1:16" x14ac:dyDescent="0.2">
      <c r="A94" s="202"/>
      <c r="B94" s="202"/>
      <c r="C94" s="202"/>
      <c r="D94" s="202"/>
      <c r="E94" s="202"/>
      <c r="F94" s="202"/>
      <c r="G94" s="202"/>
      <c r="H94" s="202"/>
      <c r="I94" s="202"/>
      <c r="J94" s="202"/>
      <c r="K94" s="202"/>
      <c r="L94" s="202"/>
      <c r="M94" s="202"/>
      <c r="N94" s="202"/>
      <c r="O94" s="202"/>
      <c r="P94" s="202"/>
    </row>
    <row r="95" spans="1:16" x14ac:dyDescent="0.2">
      <c r="A95" s="203" t="str">
        <f>'Kops a'!A39</f>
        <v>Tāme sastādīta 2021. gada</v>
      </c>
      <c r="B95" s="204"/>
      <c r="C95" s="204"/>
      <c r="D95" s="204"/>
      <c r="E95" s="204"/>
      <c r="F95" s="202"/>
      <c r="G95" s="202"/>
      <c r="H95" s="202"/>
      <c r="I95" s="202"/>
      <c r="J95" s="202"/>
      <c r="K95" s="202"/>
      <c r="L95" s="202"/>
      <c r="M95" s="202"/>
      <c r="N95" s="202"/>
      <c r="O95" s="202"/>
      <c r="P95" s="202"/>
    </row>
    <row r="96" spans="1:16" x14ac:dyDescent="0.2">
      <c r="A96" s="202"/>
      <c r="B96" s="202"/>
      <c r="C96" s="202"/>
      <c r="D96" s="202"/>
      <c r="E96" s="202"/>
      <c r="F96" s="202"/>
      <c r="G96" s="202"/>
      <c r="H96" s="202"/>
      <c r="I96" s="202"/>
      <c r="J96" s="202"/>
      <c r="K96" s="202"/>
      <c r="L96" s="202"/>
      <c r="M96" s="202"/>
      <c r="N96" s="202"/>
      <c r="O96" s="202"/>
      <c r="P96" s="202"/>
    </row>
    <row r="97" spans="1:16" x14ac:dyDescent="0.2">
      <c r="A97" s="159" t="s">
        <v>38</v>
      </c>
      <c r="B97" s="202"/>
      <c r="C97" s="672">
        <f>'Kops a'!C41:H41</f>
        <v>0</v>
      </c>
      <c r="D97" s="672"/>
      <c r="E97" s="672"/>
      <c r="F97" s="672"/>
      <c r="G97" s="672"/>
      <c r="H97" s="672"/>
      <c r="I97" s="672"/>
      <c r="J97" s="202"/>
      <c r="K97" s="202"/>
      <c r="L97" s="202"/>
      <c r="M97" s="202"/>
      <c r="N97" s="202"/>
      <c r="O97" s="202"/>
      <c r="P97" s="202"/>
    </row>
    <row r="98" spans="1:16" x14ac:dyDescent="0.2">
      <c r="A98" s="202"/>
      <c r="B98" s="202"/>
      <c r="C98" s="590" t="s">
        <v>15</v>
      </c>
      <c r="D98" s="590"/>
      <c r="E98" s="590"/>
      <c r="F98" s="590"/>
      <c r="G98" s="590"/>
      <c r="H98" s="590"/>
      <c r="I98" s="590"/>
      <c r="J98" s="202"/>
      <c r="K98" s="202"/>
      <c r="L98" s="202"/>
      <c r="M98" s="202"/>
      <c r="N98" s="202"/>
      <c r="O98" s="202"/>
      <c r="P98" s="202"/>
    </row>
    <row r="99" spans="1:16" x14ac:dyDescent="0.2">
      <c r="A99" s="202"/>
      <c r="B99" s="202"/>
      <c r="C99" s="202"/>
      <c r="D99" s="202"/>
      <c r="E99" s="202"/>
      <c r="F99" s="202"/>
      <c r="G99" s="202"/>
      <c r="H99" s="202"/>
      <c r="I99" s="202"/>
      <c r="J99" s="202"/>
      <c r="K99" s="202"/>
      <c r="L99" s="202"/>
      <c r="M99" s="202"/>
      <c r="N99" s="202"/>
      <c r="O99" s="202"/>
      <c r="P99" s="202"/>
    </row>
    <row r="100" spans="1:16" x14ac:dyDescent="0.2">
      <c r="A100" s="203" t="s">
        <v>53</v>
      </c>
      <c r="B100" s="204"/>
      <c r="C100" s="159">
        <f>'Kops a'!C44</f>
        <v>0</v>
      </c>
      <c r="D100" s="228"/>
      <c r="E100" s="205"/>
      <c r="F100" s="202"/>
      <c r="G100" s="202"/>
      <c r="H100" s="202"/>
      <c r="I100" s="202"/>
      <c r="J100" s="202"/>
      <c r="K100" s="202"/>
      <c r="L100" s="202"/>
      <c r="M100" s="202"/>
      <c r="N100" s="202"/>
      <c r="O100" s="202"/>
      <c r="P100" s="202"/>
    </row>
    <row r="102" spans="1:16" x14ac:dyDescent="0.2">
      <c r="A102" s="687" t="s">
        <v>687</v>
      </c>
      <c r="B102" s="688"/>
      <c r="C102" s="689"/>
      <c r="D102" s="689"/>
      <c r="E102" s="690"/>
      <c r="F102" s="691"/>
      <c r="G102" s="690"/>
      <c r="H102" s="692"/>
      <c r="I102" s="692"/>
      <c r="J102" s="693"/>
      <c r="K102" s="694"/>
      <c r="L102" s="694"/>
      <c r="M102" s="694"/>
      <c r="N102" s="694"/>
      <c r="O102" s="694"/>
    </row>
    <row r="103" spans="1:16" x14ac:dyDescent="0.2">
      <c r="A103" s="695" t="s">
        <v>688</v>
      </c>
      <c r="B103" s="695"/>
      <c r="C103" s="695"/>
      <c r="D103" s="695"/>
      <c r="E103" s="695"/>
      <c r="F103" s="695"/>
      <c r="G103" s="695"/>
      <c r="H103" s="695"/>
      <c r="I103" s="695"/>
      <c r="J103" s="695"/>
      <c r="K103" s="695"/>
      <c r="L103" s="695"/>
      <c r="M103" s="695"/>
      <c r="N103" s="695"/>
      <c r="O103" s="695"/>
    </row>
    <row r="104" spans="1:16" x14ac:dyDescent="0.2">
      <c r="A104" s="695" t="s">
        <v>689</v>
      </c>
      <c r="B104" s="695"/>
      <c r="C104" s="695"/>
      <c r="D104" s="695"/>
      <c r="E104" s="695"/>
      <c r="F104" s="695"/>
      <c r="G104" s="695"/>
      <c r="H104" s="695"/>
      <c r="I104" s="695"/>
      <c r="J104" s="695"/>
      <c r="K104" s="695"/>
      <c r="L104" s="695"/>
      <c r="M104" s="695"/>
      <c r="N104" s="695"/>
      <c r="O104" s="695"/>
    </row>
  </sheetData>
  <mergeCells count="24">
    <mergeCell ref="A103:O103"/>
    <mergeCell ref="A104:O104"/>
    <mergeCell ref="D8:L8"/>
    <mergeCell ref="A9:G9"/>
    <mergeCell ref="K9:N9"/>
    <mergeCell ref="D7:L7"/>
    <mergeCell ref="C2:J2"/>
    <mergeCell ref="C3:J3"/>
    <mergeCell ref="C4:J4"/>
    <mergeCell ref="D5:L5"/>
    <mergeCell ref="D6:L6"/>
    <mergeCell ref="C92:I92"/>
    <mergeCell ref="C93:I93"/>
    <mergeCell ref="C97:I97"/>
    <mergeCell ref="C98:I98"/>
    <mergeCell ref="O9:P9"/>
    <mergeCell ref="A90:K90"/>
    <mergeCell ref="A12:A13"/>
    <mergeCell ref="B12:B13"/>
    <mergeCell ref="E12:E13"/>
    <mergeCell ref="F12:K12"/>
    <mergeCell ref="L12:P12"/>
    <mergeCell ref="C12:C13"/>
    <mergeCell ref="D12:D13"/>
  </mergeCells>
  <conditionalFormatting sqref="C4:J4 D5:L8 C97:I97 C92:I92 C49 C21 C60:C62 C55:C58 C35 C32 C44:C45 C38 B21:B62 B63:C81 C83:C85 B82:B85 B86:C89 B14:C20 E14:E89">
    <cfRule type="cellIs" dxfId="46" priority="32" operator="equal">
      <formula>0</formula>
    </cfRule>
  </conditionalFormatting>
  <conditionalFormatting sqref="C2:J2 C97:I97 C92:I92">
    <cfRule type="cellIs" dxfId="45" priority="33" operator="equal">
      <formula>0</formula>
    </cfRule>
  </conditionalFormatting>
  <conditionalFormatting sqref="A9:G9">
    <cfRule type="containsText" dxfId="44" priority="34" operator="containsText" text="Tāme sastādīta  20__. gada tirgus cenās, pamatojoties uz ___ daļas rasējumiem"/>
  </conditionalFormatting>
  <conditionalFormatting sqref="P10">
    <cfRule type="cellIs" dxfId="43" priority="35" operator="equal">
      <formula>"20__. gada __. _________"</formula>
    </cfRule>
  </conditionalFormatting>
  <conditionalFormatting sqref="C100:D100">
    <cfRule type="cellIs" dxfId="42" priority="42" operator="equal">
      <formula>0</formula>
    </cfRule>
  </conditionalFormatting>
  <conditionalFormatting sqref="E1">
    <cfRule type="cellIs" dxfId="41" priority="43" operator="equal">
      <formula>0</formula>
    </cfRule>
  </conditionalFormatting>
  <conditionalFormatting sqref="A14:A89">
    <cfRule type="cellIs" dxfId="40" priority="27" operator="equal">
      <formula>0</formula>
    </cfRule>
  </conditionalFormatting>
  <conditionalFormatting sqref="D14:D89">
    <cfRule type="cellIs" dxfId="39" priority="11" operator="equal">
      <formula>0</formula>
    </cfRule>
  </conditionalFormatting>
  <conditionalFormatting sqref="C22">
    <cfRule type="cellIs" dxfId="38" priority="26" operator="equal">
      <formula>0</formula>
    </cfRule>
  </conditionalFormatting>
  <conditionalFormatting sqref="C23">
    <cfRule type="cellIs" dxfId="37" priority="25" operator="equal">
      <formula>0</formula>
    </cfRule>
  </conditionalFormatting>
  <conditionalFormatting sqref="C24">
    <cfRule type="cellIs" dxfId="36" priority="24" operator="equal">
      <formula>0</formula>
    </cfRule>
  </conditionalFormatting>
  <conditionalFormatting sqref="C25">
    <cfRule type="cellIs" dxfId="35" priority="23" operator="equal">
      <formula>0</formula>
    </cfRule>
  </conditionalFormatting>
  <conditionalFormatting sqref="C33">
    <cfRule type="cellIs" dxfId="34" priority="22" operator="equal">
      <formula>0</formula>
    </cfRule>
  </conditionalFormatting>
  <conditionalFormatting sqref="C34">
    <cfRule type="cellIs" dxfId="33" priority="21" operator="equal">
      <formula>0</formula>
    </cfRule>
  </conditionalFormatting>
  <conditionalFormatting sqref="C39">
    <cfRule type="cellIs" dxfId="32" priority="20" operator="equal">
      <formula>0</formula>
    </cfRule>
  </conditionalFormatting>
  <conditionalFormatting sqref="C40">
    <cfRule type="cellIs" dxfId="31" priority="19" operator="equal">
      <formula>0</formula>
    </cfRule>
  </conditionalFormatting>
  <conditionalFormatting sqref="C41">
    <cfRule type="cellIs" dxfId="30" priority="18" operator="equal">
      <formula>0</formula>
    </cfRule>
  </conditionalFormatting>
  <conditionalFormatting sqref="C42">
    <cfRule type="cellIs" dxfId="29" priority="17" operator="equal">
      <formula>0</formula>
    </cfRule>
  </conditionalFormatting>
  <conditionalFormatting sqref="C43">
    <cfRule type="cellIs" dxfId="28" priority="16" operator="equal">
      <formula>0</formula>
    </cfRule>
  </conditionalFormatting>
  <conditionalFormatting sqref="C50">
    <cfRule type="cellIs" dxfId="27" priority="15" operator="equal">
      <formula>0</formula>
    </cfRule>
  </conditionalFormatting>
  <conditionalFormatting sqref="C51">
    <cfRule type="cellIs" dxfId="26" priority="14" operator="equal">
      <formula>0</formula>
    </cfRule>
  </conditionalFormatting>
  <conditionalFormatting sqref="C59">
    <cfRule type="cellIs" dxfId="25" priority="13" operator="equal">
      <formula>0</formula>
    </cfRule>
  </conditionalFormatting>
  <conditionalFormatting sqref="A90:K90">
    <cfRule type="containsText" dxfId="24" priority="6" operator="containsText" text="Tāme sastādīta  20__. gada tirgus cenās, pamatojoties uz ___ daļas rasējumiem"/>
  </conditionalFormatting>
  <conditionalFormatting sqref="O9:P9">
    <cfRule type="cellIs" dxfId="23" priority="4" operator="equal">
      <formula>0</formula>
    </cfRule>
  </conditionalFormatting>
  <conditionalFormatting sqref="I14:J89 F14:G89">
    <cfRule type="cellIs" dxfId="22" priority="3" operator="equal">
      <formula>0</formula>
    </cfRule>
  </conditionalFormatting>
  <conditionalFormatting sqref="H14:H89 K14:P89">
    <cfRule type="cellIs" dxfId="21" priority="2" operator="equal">
      <formula>0</formula>
    </cfRule>
  </conditionalFormatting>
  <conditionalFormatting sqref="L90:P90">
    <cfRule type="cellIs" dxfId="20" priority="1" operator="equal">
      <formula>0</formula>
    </cfRule>
  </conditionalFormatting>
  <pageMargins left="0.19685039370078741" right="0.19685039370078741" top="0.75196850393700787" bottom="0.39370078740157483" header="0.51181102362204722" footer="0.51181102362204722"/>
  <pageSetup paperSize="9" scale="80" firstPageNumber="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A1:P39"/>
  <sheetViews>
    <sheetView view="pageBreakPreview" topLeftCell="A22" zoomScale="115" zoomScaleNormal="100" zoomScaleSheetLayoutView="115" workbookViewId="0">
      <selection activeCell="P25" sqref="P25"/>
    </sheetView>
  </sheetViews>
  <sheetFormatPr defaultColWidth="8.6640625" defaultRowHeight="11.25" x14ac:dyDescent="0.2"/>
  <cols>
    <col min="1" max="1" width="4.5" style="159" customWidth="1"/>
    <col min="2" max="2" width="5.33203125" style="159" customWidth="1"/>
    <col min="3" max="3" width="38.33203125" style="159" customWidth="1"/>
    <col min="4" max="4" width="16.33203125" style="159" customWidth="1"/>
    <col min="5" max="5" width="5.83203125" style="159" customWidth="1"/>
    <col min="6" max="6" width="8.6640625" style="159" customWidth="1"/>
    <col min="7" max="7" width="5.33203125" style="159" customWidth="1"/>
    <col min="8" max="8" width="4.83203125" style="159" customWidth="1"/>
    <col min="9" max="11" width="6.6640625" style="159" customWidth="1"/>
    <col min="12" max="12" width="6.83203125" style="159" customWidth="1"/>
    <col min="13" max="16" width="7.6640625" style="159" customWidth="1"/>
    <col min="17" max="1025" width="9.1640625" style="159" customWidth="1"/>
    <col min="1026" max="16384" width="8.6640625" style="159"/>
  </cols>
  <sheetData>
    <row r="1" spans="1:16" x14ac:dyDescent="0.2">
      <c r="A1" s="156"/>
      <c r="B1" s="156"/>
      <c r="C1" s="157" t="s">
        <v>39</v>
      </c>
      <c r="D1" s="157"/>
      <c r="E1" s="158">
        <v>11</v>
      </c>
      <c r="F1" s="156"/>
      <c r="G1" s="156"/>
      <c r="H1" s="156"/>
      <c r="I1" s="156"/>
      <c r="J1" s="156"/>
      <c r="K1" s="156"/>
      <c r="O1" s="160"/>
      <c r="P1" s="157"/>
    </row>
    <row r="2" spans="1:16" x14ac:dyDescent="0.2">
      <c r="A2" s="162"/>
      <c r="B2" s="162"/>
      <c r="C2" s="630" t="s">
        <v>352</v>
      </c>
      <c r="D2" s="630"/>
      <c r="E2" s="630"/>
      <c r="F2" s="630"/>
      <c r="G2" s="630"/>
      <c r="H2" s="630"/>
      <c r="I2" s="630"/>
      <c r="J2" s="630"/>
      <c r="K2" s="162"/>
    </row>
    <row r="3" spans="1:16" x14ac:dyDescent="0.2">
      <c r="A3" s="163"/>
      <c r="B3" s="163"/>
      <c r="C3" s="604" t="s">
        <v>18</v>
      </c>
      <c r="D3" s="604"/>
      <c r="E3" s="604"/>
      <c r="F3" s="604"/>
      <c r="G3" s="604"/>
      <c r="H3" s="604"/>
      <c r="I3" s="604"/>
      <c r="J3" s="604"/>
      <c r="K3" s="163"/>
    </row>
    <row r="4" spans="1:16" x14ac:dyDescent="0.2">
      <c r="A4" s="163"/>
      <c r="B4" s="163"/>
      <c r="C4" s="631" t="s">
        <v>4</v>
      </c>
      <c r="D4" s="631"/>
      <c r="E4" s="631"/>
      <c r="F4" s="631"/>
      <c r="G4" s="631"/>
      <c r="H4" s="631"/>
      <c r="I4" s="631"/>
      <c r="J4" s="631"/>
      <c r="K4" s="163"/>
    </row>
    <row r="5" spans="1:16" x14ac:dyDescent="0.2">
      <c r="A5" s="156"/>
      <c r="B5" s="156"/>
      <c r="C5" s="157" t="s">
        <v>5</v>
      </c>
      <c r="D5" s="626" t="str">
        <f>'Kops a'!D6</f>
        <v>Daudzīvokļu dzīvojamā māja</v>
      </c>
      <c r="E5" s="626"/>
      <c r="F5" s="626"/>
      <c r="G5" s="626"/>
      <c r="H5" s="626"/>
      <c r="I5" s="626"/>
      <c r="J5" s="626"/>
      <c r="K5" s="626"/>
      <c r="L5" s="626"/>
      <c r="M5" s="202"/>
      <c r="N5" s="202"/>
      <c r="O5" s="202"/>
      <c r="P5" s="202"/>
    </row>
    <row r="6" spans="1:16" x14ac:dyDescent="0.2">
      <c r="A6" s="156"/>
      <c r="B6" s="156"/>
      <c r="C6" s="157" t="s">
        <v>6</v>
      </c>
      <c r="D6" s="626" t="str">
        <f>'Kops a'!D7</f>
        <v>fasādes vienkāršotā atjaunošana</v>
      </c>
      <c r="E6" s="626"/>
      <c r="F6" s="626"/>
      <c r="G6" s="626"/>
      <c r="H6" s="626"/>
      <c r="I6" s="626"/>
      <c r="J6" s="626"/>
      <c r="K6" s="626"/>
      <c r="L6" s="626"/>
      <c r="M6" s="202"/>
      <c r="N6" s="202"/>
      <c r="O6" s="202"/>
      <c r="P6" s="202"/>
    </row>
    <row r="7" spans="1:16" x14ac:dyDescent="0.2">
      <c r="A7" s="156"/>
      <c r="B7" s="156"/>
      <c r="C7" s="157" t="s">
        <v>7</v>
      </c>
      <c r="D7" s="626" t="str">
        <f>'Kops a'!D8</f>
        <v>Lēņu iela 2, Liepājā</v>
      </c>
      <c r="E7" s="626"/>
      <c r="F7" s="626"/>
      <c r="G7" s="626"/>
      <c r="H7" s="626"/>
      <c r="I7" s="626"/>
      <c r="J7" s="626"/>
      <c r="K7" s="626"/>
      <c r="L7" s="626"/>
      <c r="M7" s="202"/>
      <c r="N7" s="202"/>
      <c r="O7" s="202"/>
      <c r="P7" s="202"/>
    </row>
    <row r="8" spans="1:16" x14ac:dyDescent="0.2">
      <c r="A8" s="156"/>
      <c r="B8" s="156"/>
      <c r="C8" s="164" t="s">
        <v>21</v>
      </c>
      <c r="D8" s="626" t="str">
        <f>'Kops a'!D9</f>
        <v>WS-90-17 Līg.Nr. 2017/3-62/479</v>
      </c>
      <c r="E8" s="626"/>
      <c r="F8" s="626"/>
      <c r="G8" s="626"/>
      <c r="H8" s="626"/>
      <c r="I8" s="626"/>
      <c r="J8" s="626"/>
      <c r="K8" s="626"/>
      <c r="L8" s="626"/>
      <c r="M8" s="202"/>
      <c r="N8" s="202"/>
      <c r="O8" s="202"/>
      <c r="P8" s="202"/>
    </row>
    <row r="9" spans="1:16" x14ac:dyDescent="0.2">
      <c r="A9" s="627" t="s">
        <v>650</v>
      </c>
      <c r="B9" s="627"/>
      <c r="C9" s="627"/>
      <c r="D9" s="627"/>
      <c r="E9" s="627"/>
      <c r="F9" s="627"/>
      <c r="G9" s="627"/>
      <c r="H9" s="165"/>
      <c r="I9" s="165"/>
      <c r="J9" s="165"/>
      <c r="K9" s="628" t="s">
        <v>40</v>
      </c>
      <c r="L9" s="628"/>
      <c r="M9" s="628"/>
      <c r="N9" s="628"/>
      <c r="O9" s="629">
        <f>P25</f>
        <v>0</v>
      </c>
      <c r="P9" s="629"/>
    </row>
    <row r="10" spans="1:16" x14ac:dyDescent="0.2">
      <c r="A10" s="166"/>
      <c r="B10" s="167"/>
      <c r="C10" s="164"/>
      <c r="D10" s="164"/>
      <c r="E10" s="156"/>
      <c r="F10" s="156"/>
      <c r="G10" s="156"/>
      <c r="H10" s="156"/>
      <c r="I10" s="156"/>
      <c r="J10" s="156"/>
      <c r="K10" s="156"/>
      <c r="L10" s="156"/>
      <c r="M10" s="162"/>
      <c r="N10" s="162"/>
      <c r="P10" s="168"/>
    </row>
    <row r="11" spans="1:16" ht="12" thickBot="1" x14ac:dyDescent="0.25">
      <c r="A11" s="166"/>
      <c r="B11" s="167"/>
      <c r="C11" s="164"/>
      <c r="D11" s="164"/>
      <c r="E11" s="156"/>
      <c r="F11" s="156"/>
      <c r="G11" s="156"/>
      <c r="H11" s="156"/>
      <c r="I11" s="156"/>
      <c r="J11" s="156"/>
      <c r="K11" s="156"/>
      <c r="L11" s="156"/>
      <c r="M11" s="170"/>
      <c r="N11" s="170"/>
      <c r="O11" s="171"/>
      <c r="P11" s="160"/>
    </row>
    <row r="12" spans="1:16" ht="12" thickBot="1" x14ac:dyDescent="0.25">
      <c r="A12" s="621" t="s">
        <v>24</v>
      </c>
      <c r="B12" s="622" t="s">
        <v>41</v>
      </c>
      <c r="C12" s="674" t="s">
        <v>42</v>
      </c>
      <c r="D12" s="677" t="s">
        <v>43</v>
      </c>
      <c r="E12" s="676" t="s">
        <v>44</v>
      </c>
      <c r="F12" s="618" t="s">
        <v>45</v>
      </c>
      <c r="G12" s="618"/>
      <c r="H12" s="618"/>
      <c r="I12" s="618"/>
      <c r="J12" s="618"/>
      <c r="K12" s="618"/>
      <c r="L12" s="618" t="s">
        <v>46</v>
      </c>
      <c r="M12" s="618"/>
      <c r="N12" s="618"/>
      <c r="O12" s="618"/>
      <c r="P12" s="618"/>
    </row>
    <row r="13" spans="1:16" ht="118.5" thickBot="1" x14ac:dyDescent="0.25">
      <c r="A13" s="621"/>
      <c r="B13" s="622"/>
      <c r="C13" s="675"/>
      <c r="D13" s="678"/>
      <c r="E13" s="676"/>
      <c r="F13" s="206" t="s">
        <v>47</v>
      </c>
      <c r="G13" s="207" t="s">
        <v>48</v>
      </c>
      <c r="H13" s="207" t="s">
        <v>49</v>
      </c>
      <c r="I13" s="207" t="s">
        <v>50</v>
      </c>
      <c r="J13" s="207" t="s">
        <v>51</v>
      </c>
      <c r="K13" s="208" t="s">
        <v>52</v>
      </c>
      <c r="L13" s="206" t="s">
        <v>47</v>
      </c>
      <c r="M13" s="207" t="s">
        <v>49</v>
      </c>
      <c r="N13" s="207" t="s">
        <v>50</v>
      </c>
      <c r="O13" s="207" t="s">
        <v>51</v>
      </c>
      <c r="P13" s="208" t="s">
        <v>52</v>
      </c>
    </row>
    <row r="14" spans="1:16" ht="33.75" x14ac:dyDescent="0.2">
      <c r="A14" s="209">
        <f>IF(COUNTBLANK(B14)=1," ",COUNTA(B$14:B14))</f>
        <v>1</v>
      </c>
      <c r="B14" s="210" t="s">
        <v>86</v>
      </c>
      <c r="C14" s="211" t="s">
        <v>562</v>
      </c>
      <c r="D14" s="212" t="s">
        <v>88</v>
      </c>
      <c r="E14" s="212">
        <v>250</v>
      </c>
      <c r="F14" s="576"/>
      <c r="G14" s="577"/>
      <c r="H14" s="577">
        <f>ROUND(F14*G14,2)</f>
        <v>0</v>
      </c>
      <c r="I14" s="577"/>
      <c r="J14" s="577"/>
      <c r="K14" s="578">
        <f>SUM(H14:J14)</f>
        <v>0</v>
      </c>
      <c r="L14" s="576">
        <f>ROUND(E14*F14,2)</f>
        <v>0</v>
      </c>
      <c r="M14" s="577">
        <f>ROUND(H14*E14,2)</f>
        <v>0</v>
      </c>
      <c r="N14" s="577">
        <f>ROUND(I14*E14,2)</f>
        <v>0</v>
      </c>
      <c r="O14" s="577">
        <f>ROUND(J14*E14,2)</f>
        <v>0</v>
      </c>
      <c r="P14" s="578">
        <f>SUM(M14:O14)</f>
        <v>0</v>
      </c>
    </row>
    <row r="15" spans="1:16" ht="67.5" x14ac:dyDescent="0.2">
      <c r="A15" s="209">
        <f>IF(COUNTBLANK(B15)=1," ",COUNTA(B$14:B15))</f>
        <v>2</v>
      </c>
      <c r="B15" s="180" t="s">
        <v>86</v>
      </c>
      <c r="C15" s="213" t="s">
        <v>681</v>
      </c>
      <c r="D15" s="214" t="s">
        <v>88</v>
      </c>
      <c r="E15" s="214">
        <v>35</v>
      </c>
      <c r="F15" s="576"/>
      <c r="G15" s="577"/>
      <c r="H15" s="572">
        <f t="shared" ref="H15:H16" si="0">ROUND(F15*G15,2)</f>
        <v>0</v>
      </c>
      <c r="I15" s="577"/>
      <c r="J15" s="577"/>
      <c r="K15" s="573">
        <f t="shared" ref="K15:K16" si="1">SUM(H15:J15)</f>
        <v>0</v>
      </c>
      <c r="L15" s="574">
        <f t="shared" ref="L15:L16" si="2">ROUND(E15*F15,2)</f>
        <v>0</v>
      </c>
      <c r="M15" s="572">
        <f t="shared" ref="M15:M16" si="3">ROUND(H15*E15,2)</f>
        <v>0</v>
      </c>
      <c r="N15" s="572">
        <f t="shared" ref="N15:N16" si="4">ROUND(I15*E15,2)</f>
        <v>0</v>
      </c>
      <c r="O15" s="572">
        <f t="shared" ref="O15:O16" si="5">ROUND(J15*E15,2)</f>
        <v>0</v>
      </c>
      <c r="P15" s="573">
        <f t="shared" ref="P15:P16" si="6">SUM(M15:O15)</f>
        <v>0</v>
      </c>
    </row>
    <row r="16" spans="1:16" ht="22.5" x14ac:dyDescent="0.2">
      <c r="A16" s="209">
        <f>IF(COUNTBLANK(B16)=1," ",COUNTA(B$14:B16))</f>
        <v>3</v>
      </c>
      <c r="B16" s="180" t="s">
        <v>86</v>
      </c>
      <c r="C16" s="215" t="s">
        <v>563</v>
      </c>
      <c r="D16" s="216" t="s">
        <v>57</v>
      </c>
      <c r="E16" s="216">
        <v>63</v>
      </c>
      <c r="F16" s="576"/>
      <c r="G16" s="577"/>
      <c r="H16" s="577">
        <f t="shared" si="0"/>
        <v>0</v>
      </c>
      <c r="I16" s="577"/>
      <c r="J16" s="577"/>
      <c r="K16" s="578">
        <f t="shared" si="1"/>
        <v>0</v>
      </c>
      <c r="L16" s="576">
        <f t="shared" si="2"/>
        <v>0</v>
      </c>
      <c r="M16" s="577">
        <f t="shared" si="3"/>
        <v>0</v>
      </c>
      <c r="N16" s="577">
        <f t="shared" si="4"/>
        <v>0</v>
      </c>
      <c r="O16" s="577">
        <f t="shared" si="5"/>
        <v>0</v>
      </c>
      <c r="P16" s="578">
        <f t="shared" si="6"/>
        <v>0</v>
      </c>
    </row>
    <row r="17" spans="1:16" ht="22.5" x14ac:dyDescent="0.2">
      <c r="A17" s="209">
        <f>IF(COUNTBLANK(B17)=1," ",COUNTA(B$14:B17))</f>
        <v>4</v>
      </c>
      <c r="B17" s="180" t="s">
        <v>86</v>
      </c>
      <c r="C17" s="213" t="s">
        <v>564</v>
      </c>
      <c r="D17" s="214" t="s">
        <v>57</v>
      </c>
      <c r="E17" s="214">
        <v>164</v>
      </c>
      <c r="F17" s="576"/>
      <c r="G17" s="577"/>
      <c r="H17" s="572">
        <f t="shared" ref="H17:H24" si="7">ROUND(F17*G17,2)</f>
        <v>0</v>
      </c>
      <c r="I17" s="577"/>
      <c r="J17" s="577"/>
      <c r="K17" s="573">
        <f t="shared" ref="K17:K24" si="8">SUM(H17:J17)</f>
        <v>0</v>
      </c>
      <c r="L17" s="574">
        <f t="shared" ref="L17:L24" si="9">ROUND(E17*F17,2)</f>
        <v>0</v>
      </c>
      <c r="M17" s="572">
        <f t="shared" ref="M17:M24" si="10">ROUND(H17*E17,2)</f>
        <v>0</v>
      </c>
      <c r="N17" s="572">
        <f t="shared" ref="N17:N24" si="11">ROUND(I17*E17,2)</f>
        <v>0</v>
      </c>
      <c r="O17" s="572">
        <f t="shared" ref="O17:O24" si="12">ROUND(J17*E17,2)</f>
        <v>0</v>
      </c>
      <c r="P17" s="573">
        <f t="shared" ref="P17:P24" si="13">SUM(M17:O17)</f>
        <v>0</v>
      </c>
    </row>
    <row r="18" spans="1:16" x14ac:dyDescent="0.2">
      <c r="A18" s="209">
        <f>IF(COUNTBLANK(B18)=1," ",COUNTA(B$14:B18))</f>
        <v>5</v>
      </c>
      <c r="B18" s="180" t="s">
        <v>86</v>
      </c>
      <c r="C18" s="213" t="s">
        <v>561</v>
      </c>
      <c r="D18" s="214" t="s">
        <v>57</v>
      </c>
      <c r="E18" s="214">
        <v>125</v>
      </c>
      <c r="F18" s="576"/>
      <c r="G18" s="577"/>
      <c r="H18" s="577">
        <f t="shared" si="7"/>
        <v>0</v>
      </c>
      <c r="I18" s="577"/>
      <c r="J18" s="577"/>
      <c r="K18" s="578">
        <f t="shared" si="8"/>
        <v>0</v>
      </c>
      <c r="L18" s="576">
        <f t="shared" si="9"/>
        <v>0</v>
      </c>
      <c r="M18" s="577">
        <f t="shared" si="10"/>
        <v>0</v>
      </c>
      <c r="N18" s="577">
        <f t="shared" si="11"/>
        <v>0</v>
      </c>
      <c r="O18" s="577">
        <f t="shared" si="12"/>
        <v>0</v>
      </c>
      <c r="P18" s="578">
        <f t="shared" si="13"/>
        <v>0</v>
      </c>
    </row>
    <row r="19" spans="1:16" x14ac:dyDescent="0.2">
      <c r="A19" s="209">
        <f>IF(COUNTBLANK(B19)=1," ",COUNTA(B$14:B19))</f>
        <v>6</v>
      </c>
      <c r="B19" s="217" t="s">
        <v>86</v>
      </c>
      <c r="C19" s="218" t="s">
        <v>529</v>
      </c>
      <c r="D19" s="219" t="s">
        <v>88</v>
      </c>
      <c r="E19" s="219">
        <v>32</v>
      </c>
      <c r="F19" s="576"/>
      <c r="G19" s="577"/>
      <c r="H19" s="572">
        <f t="shared" si="7"/>
        <v>0</v>
      </c>
      <c r="I19" s="577"/>
      <c r="J19" s="577"/>
      <c r="K19" s="573">
        <f t="shared" si="8"/>
        <v>0</v>
      </c>
      <c r="L19" s="574">
        <f t="shared" si="9"/>
        <v>0</v>
      </c>
      <c r="M19" s="572">
        <f t="shared" si="10"/>
        <v>0</v>
      </c>
      <c r="N19" s="572">
        <f t="shared" si="11"/>
        <v>0</v>
      </c>
      <c r="O19" s="572">
        <f t="shared" si="12"/>
        <v>0</v>
      </c>
      <c r="P19" s="573">
        <f t="shared" si="13"/>
        <v>0</v>
      </c>
    </row>
    <row r="20" spans="1:16" ht="22.5" x14ac:dyDescent="0.2">
      <c r="A20" s="209">
        <f>IF(COUNTBLANK(B20)=1," ",COUNTA(B$14:B20))</f>
        <v>7</v>
      </c>
      <c r="B20" s="217" t="s">
        <v>86</v>
      </c>
      <c r="C20" s="220" t="s">
        <v>682</v>
      </c>
      <c r="D20" s="221" t="s">
        <v>91</v>
      </c>
      <c r="E20" s="221">
        <v>7</v>
      </c>
      <c r="F20" s="576"/>
      <c r="G20" s="577"/>
      <c r="H20" s="577">
        <f t="shared" si="7"/>
        <v>0</v>
      </c>
      <c r="I20" s="577"/>
      <c r="J20" s="577"/>
      <c r="K20" s="578">
        <f t="shared" si="8"/>
        <v>0</v>
      </c>
      <c r="L20" s="576">
        <f t="shared" si="9"/>
        <v>0</v>
      </c>
      <c r="M20" s="577">
        <f t="shared" si="10"/>
        <v>0</v>
      </c>
      <c r="N20" s="577">
        <f t="shared" si="11"/>
        <v>0</v>
      </c>
      <c r="O20" s="577">
        <f t="shared" si="12"/>
        <v>0</v>
      </c>
      <c r="P20" s="578">
        <f t="shared" si="13"/>
        <v>0</v>
      </c>
    </row>
    <row r="21" spans="1:16" x14ac:dyDescent="0.2">
      <c r="A21" s="209" t="str">
        <f>IF(COUNTBLANK(B21)=1," ",COUNTA(B$14:B21))</f>
        <v xml:space="preserve"> </v>
      </c>
      <c r="B21" s="210"/>
      <c r="C21" s="222" t="s">
        <v>353</v>
      </c>
      <c r="D21" s="223"/>
      <c r="E21" s="223"/>
      <c r="F21" s="576"/>
      <c r="G21" s="577"/>
      <c r="H21" s="572">
        <f t="shared" si="7"/>
        <v>0</v>
      </c>
      <c r="I21" s="577"/>
      <c r="J21" s="577"/>
      <c r="K21" s="573">
        <f t="shared" si="8"/>
        <v>0</v>
      </c>
      <c r="L21" s="574">
        <f t="shared" si="9"/>
        <v>0</v>
      </c>
      <c r="M21" s="572">
        <f t="shared" si="10"/>
        <v>0</v>
      </c>
      <c r="N21" s="572">
        <f t="shared" si="11"/>
        <v>0</v>
      </c>
      <c r="O21" s="572">
        <f t="shared" si="12"/>
        <v>0</v>
      </c>
      <c r="P21" s="573">
        <f t="shared" si="13"/>
        <v>0</v>
      </c>
    </row>
    <row r="22" spans="1:16" ht="49.5" customHeight="1" x14ac:dyDescent="0.2">
      <c r="A22" s="209">
        <f>IF(COUNTBLANK(B22)=1," ",COUNTA(B$14:B22))</f>
        <v>8</v>
      </c>
      <c r="B22" s="180" t="s">
        <v>86</v>
      </c>
      <c r="C22" s="224" t="s">
        <v>683</v>
      </c>
      <c r="D22" s="225" t="s">
        <v>111</v>
      </c>
      <c r="E22" s="225">
        <v>70</v>
      </c>
      <c r="F22" s="576"/>
      <c r="G22" s="577"/>
      <c r="H22" s="577">
        <f t="shared" si="7"/>
        <v>0</v>
      </c>
      <c r="I22" s="577"/>
      <c r="J22" s="577"/>
      <c r="K22" s="578">
        <f t="shared" si="8"/>
        <v>0</v>
      </c>
      <c r="L22" s="576">
        <f t="shared" si="9"/>
        <v>0</v>
      </c>
      <c r="M22" s="577">
        <f t="shared" si="10"/>
        <v>0</v>
      </c>
      <c r="N22" s="577">
        <f t="shared" si="11"/>
        <v>0</v>
      </c>
      <c r="O22" s="577">
        <f t="shared" si="12"/>
        <v>0</v>
      </c>
      <c r="P22" s="578">
        <f t="shared" si="13"/>
        <v>0</v>
      </c>
    </row>
    <row r="23" spans="1:16" ht="22.5" x14ac:dyDescent="0.2">
      <c r="A23" s="209">
        <f>IF(COUNTBLANK(B23)=1," ",COUNTA(B$14:B23))</f>
        <v>9</v>
      </c>
      <c r="B23" s="180" t="s">
        <v>86</v>
      </c>
      <c r="C23" s="220" t="s">
        <v>565</v>
      </c>
      <c r="D23" s="226" t="s">
        <v>325</v>
      </c>
      <c r="E23" s="226">
        <v>63</v>
      </c>
      <c r="F23" s="576"/>
      <c r="G23" s="577"/>
      <c r="H23" s="572">
        <f t="shared" si="7"/>
        <v>0</v>
      </c>
      <c r="I23" s="577"/>
      <c r="J23" s="577"/>
      <c r="K23" s="573">
        <f t="shared" si="8"/>
        <v>0</v>
      </c>
      <c r="L23" s="574">
        <f t="shared" si="9"/>
        <v>0</v>
      </c>
      <c r="M23" s="572">
        <f t="shared" si="10"/>
        <v>0</v>
      </c>
      <c r="N23" s="572">
        <f t="shared" si="11"/>
        <v>0</v>
      </c>
      <c r="O23" s="572">
        <f t="shared" si="12"/>
        <v>0</v>
      </c>
      <c r="P23" s="573">
        <f t="shared" si="13"/>
        <v>0</v>
      </c>
    </row>
    <row r="24" spans="1:16" ht="23.25" thickBot="1" x14ac:dyDescent="0.25">
      <c r="A24" s="209">
        <f>IF(COUNTBLANK(B24)=1," ",COUNTA(B$14:B24))</f>
        <v>10</v>
      </c>
      <c r="B24" s="180" t="s">
        <v>86</v>
      </c>
      <c r="C24" s="215" t="s">
        <v>566</v>
      </c>
      <c r="D24" s="216" t="s">
        <v>88</v>
      </c>
      <c r="E24" s="227">
        <v>250</v>
      </c>
      <c r="F24" s="576"/>
      <c r="G24" s="577"/>
      <c r="H24" s="577">
        <f t="shared" si="7"/>
        <v>0</v>
      </c>
      <c r="I24" s="577"/>
      <c r="J24" s="577"/>
      <c r="K24" s="578">
        <f t="shared" si="8"/>
        <v>0</v>
      </c>
      <c r="L24" s="576">
        <f t="shared" si="9"/>
        <v>0</v>
      </c>
      <c r="M24" s="577">
        <f t="shared" si="10"/>
        <v>0</v>
      </c>
      <c r="N24" s="577">
        <f t="shared" si="11"/>
        <v>0</v>
      </c>
      <c r="O24" s="577">
        <f t="shared" si="12"/>
        <v>0</v>
      </c>
      <c r="P24" s="578">
        <f t="shared" si="13"/>
        <v>0</v>
      </c>
    </row>
    <row r="25" spans="1:16" ht="12" customHeight="1" thickBot="1" x14ac:dyDescent="0.25">
      <c r="A25" s="656" t="s">
        <v>612</v>
      </c>
      <c r="B25" s="656"/>
      <c r="C25" s="656"/>
      <c r="D25" s="656"/>
      <c r="E25" s="619"/>
      <c r="F25" s="619"/>
      <c r="G25" s="619"/>
      <c r="H25" s="619"/>
      <c r="I25" s="619"/>
      <c r="J25" s="619"/>
      <c r="K25" s="619"/>
      <c r="L25" s="582">
        <f>SUM(L14:L24)</f>
        <v>0</v>
      </c>
      <c r="M25" s="582">
        <f t="shared" ref="M25:P25" si="14">SUM(M14:M24)</f>
        <v>0</v>
      </c>
      <c r="N25" s="582">
        <f t="shared" si="14"/>
        <v>0</v>
      </c>
      <c r="O25" s="582">
        <f t="shared" si="14"/>
        <v>0</v>
      </c>
      <c r="P25" s="582">
        <f t="shared" si="14"/>
        <v>0</v>
      </c>
    </row>
    <row r="26" spans="1:16" x14ac:dyDescent="0.2">
      <c r="A26" s="202"/>
      <c r="B26" s="202"/>
      <c r="C26" s="202"/>
      <c r="D26" s="202"/>
      <c r="E26" s="202"/>
      <c r="F26" s="202"/>
      <c r="G26" s="202"/>
      <c r="H26" s="202"/>
      <c r="I26" s="202"/>
      <c r="J26" s="202"/>
      <c r="K26" s="202"/>
      <c r="L26" s="202"/>
      <c r="M26" s="202"/>
      <c r="N26" s="202"/>
      <c r="O26" s="202"/>
      <c r="P26" s="202"/>
    </row>
    <row r="27" spans="1:16" x14ac:dyDescent="0.2">
      <c r="A27" s="159" t="s">
        <v>14</v>
      </c>
      <c r="B27" s="202"/>
      <c r="C27" s="671">
        <f>'Kops a'!C36:H36</f>
        <v>0</v>
      </c>
      <c r="D27" s="671"/>
      <c r="E27" s="671"/>
      <c r="F27" s="671"/>
      <c r="G27" s="671"/>
      <c r="H27" s="671"/>
      <c r="I27" s="671"/>
      <c r="J27" s="202"/>
      <c r="K27" s="202"/>
      <c r="L27" s="202"/>
      <c r="M27" s="202"/>
      <c r="N27" s="202"/>
      <c r="O27" s="202"/>
      <c r="P27" s="202"/>
    </row>
    <row r="28" spans="1:16" x14ac:dyDescent="0.2">
      <c r="A28" s="202"/>
      <c r="B28" s="202"/>
      <c r="C28" s="590" t="s">
        <v>15</v>
      </c>
      <c r="D28" s="590"/>
      <c r="E28" s="590"/>
      <c r="F28" s="590"/>
      <c r="G28" s="590"/>
      <c r="H28" s="590"/>
      <c r="I28" s="590"/>
      <c r="J28" s="202"/>
      <c r="K28" s="202"/>
      <c r="L28" s="202"/>
      <c r="M28" s="202"/>
      <c r="N28" s="202"/>
      <c r="O28" s="202"/>
      <c r="P28" s="202"/>
    </row>
    <row r="29" spans="1:16" x14ac:dyDescent="0.2">
      <c r="A29" s="202"/>
      <c r="B29" s="202"/>
      <c r="C29" s="202"/>
      <c r="D29" s="202"/>
      <c r="E29" s="202"/>
      <c r="F29" s="202"/>
      <c r="G29" s="202"/>
      <c r="H29" s="202"/>
      <c r="I29" s="202"/>
      <c r="J29" s="202"/>
      <c r="K29" s="202"/>
      <c r="L29" s="202"/>
      <c r="M29" s="202"/>
      <c r="N29" s="202"/>
      <c r="O29" s="202"/>
      <c r="P29" s="202"/>
    </row>
    <row r="30" spans="1:16" x14ac:dyDescent="0.2">
      <c r="A30" s="203" t="str">
        <f>'Kops a'!A39</f>
        <v>Tāme sastādīta 2021. gada</v>
      </c>
      <c r="B30" s="204"/>
      <c r="C30" s="204"/>
      <c r="D30" s="204"/>
      <c r="E30" s="204"/>
      <c r="F30" s="202"/>
      <c r="G30" s="202"/>
      <c r="H30" s="202"/>
      <c r="I30" s="202"/>
      <c r="J30" s="202"/>
      <c r="K30" s="202"/>
      <c r="L30" s="202"/>
      <c r="M30" s="202"/>
      <c r="N30" s="202"/>
      <c r="O30" s="202"/>
      <c r="P30" s="202"/>
    </row>
    <row r="31" spans="1:16" x14ac:dyDescent="0.2">
      <c r="A31" s="202"/>
      <c r="B31" s="202"/>
      <c r="C31" s="202"/>
      <c r="D31" s="202"/>
      <c r="E31" s="202"/>
      <c r="F31" s="202"/>
      <c r="G31" s="202"/>
      <c r="H31" s="202"/>
      <c r="I31" s="202"/>
      <c r="J31" s="202"/>
      <c r="K31" s="202"/>
      <c r="L31" s="202"/>
      <c r="M31" s="202"/>
      <c r="N31" s="202"/>
      <c r="O31" s="202"/>
      <c r="P31" s="202"/>
    </row>
    <row r="32" spans="1:16" x14ac:dyDescent="0.2">
      <c r="A32" s="159" t="s">
        <v>38</v>
      </c>
      <c r="B32" s="202"/>
      <c r="C32" s="672">
        <f>'Kops a'!C41:H41</f>
        <v>0</v>
      </c>
      <c r="D32" s="672"/>
      <c r="E32" s="672"/>
      <c r="F32" s="672"/>
      <c r="G32" s="672"/>
      <c r="H32" s="672"/>
      <c r="I32" s="672"/>
      <c r="J32" s="202"/>
      <c r="K32" s="202"/>
      <c r="L32" s="202"/>
      <c r="M32" s="202"/>
      <c r="N32" s="202"/>
      <c r="O32" s="202"/>
      <c r="P32" s="202"/>
    </row>
    <row r="33" spans="1:16" x14ac:dyDescent="0.2">
      <c r="A33" s="202"/>
      <c r="B33" s="202"/>
      <c r="C33" s="590" t="s">
        <v>15</v>
      </c>
      <c r="D33" s="590"/>
      <c r="E33" s="590"/>
      <c r="F33" s="590"/>
      <c r="G33" s="590"/>
      <c r="H33" s="590"/>
      <c r="I33" s="590"/>
      <c r="J33" s="202"/>
      <c r="K33" s="202"/>
      <c r="L33" s="202"/>
      <c r="M33" s="202"/>
      <c r="N33" s="202"/>
      <c r="O33" s="202"/>
      <c r="P33" s="202"/>
    </row>
    <row r="34" spans="1:16" x14ac:dyDescent="0.2">
      <c r="A34" s="202"/>
      <c r="B34" s="202"/>
      <c r="C34" s="202"/>
      <c r="D34" s="202"/>
      <c r="E34" s="202"/>
      <c r="F34" s="202"/>
      <c r="G34" s="202"/>
      <c r="H34" s="202"/>
      <c r="I34" s="202"/>
      <c r="J34" s="202"/>
      <c r="K34" s="202"/>
      <c r="L34" s="202"/>
      <c r="M34" s="202"/>
      <c r="N34" s="202"/>
      <c r="O34" s="202"/>
      <c r="P34" s="202"/>
    </row>
    <row r="35" spans="1:16" x14ac:dyDescent="0.2">
      <c r="A35" s="203" t="s">
        <v>53</v>
      </c>
      <c r="B35" s="204"/>
      <c r="C35" s="159">
        <f>'Kops a'!C44</f>
        <v>0</v>
      </c>
      <c r="D35" s="228"/>
      <c r="E35" s="205"/>
      <c r="F35" s="202"/>
      <c r="G35" s="202"/>
      <c r="H35" s="202"/>
      <c r="I35" s="202"/>
      <c r="J35" s="202"/>
      <c r="K35" s="202"/>
      <c r="L35" s="202"/>
      <c r="M35" s="202"/>
      <c r="N35" s="202"/>
      <c r="O35" s="202"/>
      <c r="P35" s="202"/>
    </row>
    <row r="37" spans="1:16" x14ac:dyDescent="0.2">
      <c r="A37" s="687" t="s">
        <v>687</v>
      </c>
      <c r="B37" s="688"/>
      <c r="C37" s="689"/>
      <c r="D37" s="689"/>
      <c r="E37" s="690"/>
      <c r="F37" s="691"/>
      <c r="G37" s="690"/>
      <c r="H37" s="692"/>
      <c r="I37" s="692"/>
      <c r="J37" s="693"/>
      <c r="K37" s="694"/>
      <c r="L37" s="694"/>
      <c r="M37" s="694"/>
      <c r="N37" s="694"/>
      <c r="O37" s="694"/>
    </row>
    <row r="38" spans="1:16" x14ac:dyDescent="0.2">
      <c r="A38" s="695" t="s">
        <v>688</v>
      </c>
      <c r="B38" s="695"/>
      <c r="C38" s="695"/>
      <c r="D38" s="695"/>
      <c r="E38" s="695"/>
      <c r="F38" s="695"/>
      <c r="G38" s="695"/>
      <c r="H38" s="695"/>
      <c r="I38" s="695"/>
      <c r="J38" s="695"/>
      <c r="K38" s="695"/>
      <c r="L38" s="695"/>
      <c r="M38" s="695"/>
      <c r="N38" s="695"/>
      <c r="O38" s="695"/>
    </row>
    <row r="39" spans="1:16" x14ac:dyDescent="0.2">
      <c r="A39" s="695" t="s">
        <v>689</v>
      </c>
      <c r="B39" s="695"/>
      <c r="C39" s="695"/>
      <c r="D39" s="695"/>
      <c r="E39" s="695"/>
      <c r="F39" s="695"/>
      <c r="G39" s="695"/>
      <c r="H39" s="695"/>
      <c r="I39" s="695"/>
      <c r="J39" s="695"/>
      <c r="K39" s="695"/>
      <c r="L39" s="695"/>
      <c r="M39" s="695"/>
      <c r="N39" s="695"/>
      <c r="O39" s="695"/>
    </row>
  </sheetData>
  <mergeCells count="24">
    <mergeCell ref="A38:O38"/>
    <mergeCell ref="A39:O39"/>
    <mergeCell ref="C33:I33"/>
    <mergeCell ref="D8:L8"/>
    <mergeCell ref="A9:G9"/>
    <mergeCell ref="K9:N9"/>
    <mergeCell ref="O9:P9"/>
    <mergeCell ref="A12:A13"/>
    <mergeCell ref="B12:B13"/>
    <mergeCell ref="E12:E13"/>
    <mergeCell ref="C27:I27"/>
    <mergeCell ref="C28:I28"/>
    <mergeCell ref="C32:I32"/>
    <mergeCell ref="C12:C13"/>
    <mergeCell ref="D12:D13"/>
    <mergeCell ref="F12:K12"/>
    <mergeCell ref="L12:P12"/>
    <mergeCell ref="A25:K25"/>
    <mergeCell ref="D7:L7"/>
    <mergeCell ref="C2:J2"/>
    <mergeCell ref="C3:J3"/>
    <mergeCell ref="C4:J4"/>
    <mergeCell ref="D5:L5"/>
    <mergeCell ref="D6:L6"/>
  </mergeCells>
  <conditionalFormatting sqref="C4:J4 D5:L8 C32:I32 C27:I27 A14:E24">
    <cfRule type="cellIs" dxfId="19" priority="13" operator="equal">
      <formula>0</formula>
    </cfRule>
  </conditionalFormatting>
  <conditionalFormatting sqref="O9:P9 C2:J2 C32:I32 C27:I27">
    <cfRule type="cellIs" dxfId="18" priority="14" operator="equal">
      <formula>0</formula>
    </cfRule>
  </conditionalFormatting>
  <conditionalFormatting sqref="A9:G9">
    <cfRule type="containsText" dxfId="17" priority="15" operator="containsText" text="Tāme sastādīta  20__. gada tirgus cenās, pamatojoties uz ___ daļas rasējumiem"/>
  </conditionalFormatting>
  <conditionalFormatting sqref="P10">
    <cfRule type="cellIs" dxfId="16" priority="16" operator="equal">
      <formula>"20__. gada __. _________"</formula>
    </cfRule>
  </conditionalFormatting>
  <conditionalFormatting sqref="C35:D35">
    <cfRule type="cellIs" dxfId="15" priority="19" operator="equal">
      <formula>0</formula>
    </cfRule>
  </conditionalFormatting>
  <conditionalFormatting sqref="E1">
    <cfRule type="cellIs" dxfId="14" priority="20" operator="equal">
      <formula>0</formula>
    </cfRule>
  </conditionalFormatting>
  <conditionalFormatting sqref="A25:K25">
    <cfRule type="containsText" dxfId="13" priority="5" operator="containsText" text="Tāme sastādīta  20__. gada tirgus cenās, pamatojoties uz ___ daļas rasējumiem"/>
  </conditionalFormatting>
  <conditionalFormatting sqref="I14:J24 F14:G24">
    <cfRule type="cellIs" dxfId="12" priority="3" operator="equal">
      <formula>0</formula>
    </cfRule>
  </conditionalFormatting>
  <conditionalFormatting sqref="H14:H24 K14:P24">
    <cfRule type="cellIs" dxfId="11" priority="2" operator="equal">
      <formula>0</formula>
    </cfRule>
  </conditionalFormatting>
  <conditionalFormatting sqref="L25:P25">
    <cfRule type="cellIs" dxfId="10" priority="1" operator="equal">
      <formula>0</formula>
    </cfRule>
  </conditionalFormatting>
  <pageMargins left="0.19685039370078741" right="0.19685039370078741" top="0.75196850393700787" bottom="0.39370078740157483" header="0.51181102362204722" footer="0.51181102362204722"/>
  <pageSetup paperSize="9" scale="71" firstPageNumber="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sheetPr>
  <dimension ref="A1:P69"/>
  <sheetViews>
    <sheetView view="pageBreakPreview" topLeftCell="A34" zoomScale="115" zoomScaleNormal="100" zoomScaleSheetLayoutView="115" workbookViewId="0">
      <selection activeCell="P54" sqref="P54"/>
    </sheetView>
  </sheetViews>
  <sheetFormatPr defaultColWidth="8.6640625" defaultRowHeight="11.25" x14ac:dyDescent="0.2"/>
  <cols>
    <col min="1" max="1" width="4.5" style="159" customWidth="1"/>
    <col min="2" max="2" width="5.33203125" style="159" customWidth="1"/>
    <col min="3" max="3" width="38.33203125" style="159" customWidth="1"/>
    <col min="4" max="4" width="5.83203125" style="159" customWidth="1"/>
    <col min="5" max="5" width="8.6640625" style="159" customWidth="1"/>
    <col min="6" max="6" width="5.33203125" style="159" customWidth="1"/>
    <col min="7" max="7" width="4.83203125" style="159" customWidth="1"/>
    <col min="8" max="10" width="6.6640625" style="159" customWidth="1"/>
    <col min="11" max="11" width="6.83203125" style="159" customWidth="1"/>
    <col min="12" max="15" width="7.6640625" style="159" customWidth="1"/>
    <col min="16" max="16" width="8.83203125" style="159" customWidth="1"/>
    <col min="17" max="1024" width="9.1640625" style="159" customWidth="1"/>
    <col min="1025" max="16384" width="8.6640625" style="159"/>
  </cols>
  <sheetData>
    <row r="1" spans="1:16" x14ac:dyDescent="0.2">
      <c r="A1" s="156"/>
      <c r="B1" s="156"/>
      <c r="C1" s="157" t="s">
        <v>39</v>
      </c>
      <c r="D1" s="158">
        <f>'Kops a'!A26</f>
        <v>12</v>
      </c>
      <c r="E1" s="156"/>
      <c r="F1" s="156"/>
      <c r="G1" s="156"/>
      <c r="H1" s="156"/>
      <c r="I1" s="156"/>
      <c r="J1" s="156"/>
      <c r="N1" s="160"/>
      <c r="O1" s="157"/>
      <c r="P1" s="161"/>
    </row>
    <row r="2" spans="1:16" x14ac:dyDescent="0.2">
      <c r="A2" s="162"/>
      <c r="B2" s="162"/>
      <c r="C2" s="630" t="s">
        <v>300</v>
      </c>
      <c r="D2" s="630"/>
      <c r="E2" s="630"/>
      <c r="F2" s="630"/>
      <c r="G2" s="630"/>
      <c r="H2" s="630"/>
      <c r="I2" s="630"/>
      <c r="J2" s="162"/>
    </row>
    <row r="3" spans="1:16" x14ac:dyDescent="0.2">
      <c r="A3" s="163"/>
      <c r="B3" s="163"/>
      <c r="C3" s="604" t="s">
        <v>18</v>
      </c>
      <c r="D3" s="604"/>
      <c r="E3" s="604"/>
      <c r="F3" s="604"/>
      <c r="G3" s="604"/>
      <c r="H3" s="604"/>
      <c r="I3" s="604"/>
      <c r="J3" s="163"/>
    </row>
    <row r="4" spans="1:16" x14ac:dyDescent="0.2">
      <c r="A4" s="163"/>
      <c r="B4" s="163"/>
      <c r="C4" s="631" t="s">
        <v>4</v>
      </c>
      <c r="D4" s="631"/>
      <c r="E4" s="631"/>
      <c r="F4" s="631"/>
      <c r="G4" s="631"/>
      <c r="H4" s="631"/>
      <c r="I4" s="631"/>
      <c r="J4" s="163"/>
    </row>
    <row r="5" spans="1:16" x14ac:dyDescent="0.2">
      <c r="A5" s="156"/>
      <c r="B5" s="156"/>
      <c r="C5" s="157" t="s">
        <v>5</v>
      </c>
      <c r="D5" s="626" t="str">
        <f>'Kops a'!D6</f>
        <v>Daudzīvokļu dzīvojamā māja</v>
      </c>
      <c r="E5" s="626"/>
      <c r="F5" s="626"/>
      <c r="G5" s="626"/>
      <c r="H5" s="626"/>
      <c r="I5" s="626"/>
      <c r="J5" s="626"/>
      <c r="K5" s="626"/>
      <c r="L5" s="626"/>
    </row>
    <row r="6" spans="1:16" x14ac:dyDescent="0.2">
      <c r="A6" s="156"/>
      <c r="B6" s="156"/>
      <c r="C6" s="157" t="s">
        <v>6</v>
      </c>
      <c r="D6" s="626" t="str">
        <f>'Kops a'!D7</f>
        <v>fasādes vienkāršotā atjaunošana</v>
      </c>
      <c r="E6" s="626"/>
      <c r="F6" s="626"/>
      <c r="G6" s="626"/>
      <c r="H6" s="626"/>
      <c r="I6" s="626"/>
      <c r="J6" s="626"/>
      <c r="K6" s="626"/>
      <c r="L6" s="626"/>
    </row>
    <row r="7" spans="1:16" x14ac:dyDescent="0.2">
      <c r="A7" s="156"/>
      <c r="B7" s="156"/>
      <c r="C7" s="157" t="s">
        <v>7</v>
      </c>
      <c r="D7" s="626" t="str">
        <f>'Kops a'!D8</f>
        <v>Lēņu iela 2, Liepājā</v>
      </c>
      <c r="E7" s="626"/>
      <c r="F7" s="626"/>
      <c r="G7" s="626"/>
      <c r="H7" s="626"/>
      <c r="I7" s="626"/>
      <c r="J7" s="626"/>
      <c r="K7" s="626"/>
      <c r="L7" s="626"/>
    </row>
    <row r="8" spans="1:16" x14ac:dyDescent="0.2">
      <c r="A8" s="156"/>
      <c r="B8" s="156"/>
      <c r="C8" s="164" t="s">
        <v>21</v>
      </c>
      <c r="D8" s="626" t="str">
        <f>'Kops a'!D9</f>
        <v>WS-90-17 Līg.Nr. 2017/3-62/479</v>
      </c>
      <c r="E8" s="626"/>
      <c r="F8" s="626"/>
      <c r="G8" s="626"/>
      <c r="H8" s="626"/>
      <c r="I8" s="626"/>
      <c r="J8" s="626"/>
      <c r="K8" s="626"/>
      <c r="L8" s="626"/>
    </row>
    <row r="9" spans="1:16" x14ac:dyDescent="0.2">
      <c r="A9" s="627" t="s">
        <v>684</v>
      </c>
      <c r="B9" s="627"/>
      <c r="C9" s="627"/>
      <c r="D9" s="627"/>
      <c r="E9" s="627"/>
      <c r="F9" s="627"/>
      <c r="G9" s="165"/>
      <c r="H9" s="165"/>
      <c r="I9" s="165"/>
      <c r="J9" s="628" t="s">
        <v>40</v>
      </c>
      <c r="K9" s="628"/>
      <c r="L9" s="628"/>
      <c r="M9" s="628"/>
      <c r="N9" s="629">
        <f>P54</f>
        <v>0</v>
      </c>
      <c r="O9" s="629"/>
      <c r="P9" s="165"/>
    </row>
    <row r="10" spans="1:16" x14ac:dyDescent="0.2">
      <c r="A10" s="166"/>
      <c r="B10" s="167"/>
      <c r="C10" s="164"/>
      <c r="D10" s="156"/>
      <c r="E10" s="156"/>
      <c r="F10" s="156"/>
      <c r="G10" s="156"/>
      <c r="H10" s="156"/>
      <c r="I10" s="156"/>
      <c r="J10" s="156"/>
      <c r="K10" s="156"/>
      <c r="L10" s="162"/>
      <c r="M10" s="162"/>
      <c r="O10" s="168"/>
      <c r="P10" s="169" t="str">
        <f>A60</f>
        <v>Tāme sastādīta 2021. gada</v>
      </c>
    </row>
    <row r="11" spans="1:16" ht="12" thickBot="1" x14ac:dyDescent="0.25">
      <c r="A11" s="166"/>
      <c r="B11" s="167"/>
      <c r="C11" s="164"/>
      <c r="D11" s="156"/>
      <c r="E11" s="156"/>
      <c r="F11" s="156"/>
      <c r="G11" s="156"/>
      <c r="H11" s="156"/>
      <c r="I11" s="156"/>
      <c r="J11" s="156"/>
      <c r="K11" s="156"/>
      <c r="L11" s="170"/>
      <c r="M11" s="170"/>
      <c r="N11" s="171"/>
      <c r="O11" s="160"/>
      <c r="P11" s="156"/>
    </row>
    <row r="12" spans="1:16" ht="12" thickBot="1" x14ac:dyDescent="0.25">
      <c r="A12" s="621" t="s">
        <v>24</v>
      </c>
      <c r="B12" s="622" t="s">
        <v>41</v>
      </c>
      <c r="C12" s="674" t="s">
        <v>42</v>
      </c>
      <c r="D12" s="624" t="s">
        <v>43</v>
      </c>
      <c r="E12" s="625" t="s">
        <v>44</v>
      </c>
      <c r="F12" s="618" t="s">
        <v>45</v>
      </c>
      <c r="G12" s="618"/>
      <c r="H12" s="618"/>
      <c r="I12" s="618"/>
      <c r="J12" s="618"/>
      <c r="K12" s="618"/>
      <c r="L12" s="618" t="s">
        <v>46</v>
      </c>
      <c r="M12" s="618"/>
      <c r="N12" s="618"/>
      <c r="O12" s="618"/>
      <c r="P12" s="618"/>
    </row>
    <row r="13" spans="1:16" ht="118.5" thickBot="1" x14ac:dyDescent="0.25">
      <c r="A13" s="621"/>
      <c r="B13" s="622"/>
      <c r="C13" s="679"/>
      <c r="D13" s="624"/>
      <c r="E13" s="625"/>
      <c r="F13" s="172" t="s">
        <v>47</v>
      </c>
      <c r="G13" s="173" t="s">
        <v>48</v>
      </c>
      <c r="H13" s="173" t="s">
        <v>49</v>
      </c>
      <c r="I13" s="173" t="s">
        <v>50</v>
      </c>
      <c r="J13" s="173" t="s">
        <v>51</v>
      </c>
      <c r="K13" s="174" t="s">
        <v>52</v>
      </c>
      <c r="L13" s="172" t="s">
        <v>47</v>
      </c>
      <c r="M13" s="173" t="s">
        <v>49</v>
      </c>
      <c r="N13" s="173" t="s">
        <v>50</v>
      </c>
      <c r="O13" s="173" t="s">
        <v>51</v>
      </c>
      <c r="P13" s="174" t="s">
        <v>52</v>
      </c>
    </row>
    <row r="14" spans="1:16" x14ac:dyDescent="0.2">
      <c r="A14" s="175"/>
      <c r="B14" s="175"/>
      <c r="C14" s="176" t="s">
        <v>342</v>
      </c>
      <c r="D14" s="177"/>
      <c r="E14" s="178"/>
      <c r="F14" s="576"/>
      <c r="G14" s="577"/>
      <c r="H14" s="577">
        <f>ROUND(F14*G14,2)</f>
        <v>0</v>
      </c>
      <c r="I14" s="577"/>
      <c r="J14" s="577"/>
      <c r="K14" s="578">
        <f>SUM(H14:J14)</f>
        <v>0</v>
      </c>
      <c r="L14" s="576">
        <f>ROUND(E14*F14,2)</f>
        <v>0</v>
      </c>
      <c r="M14" s="577">
        <f>ROUND(H14*E14,2)</f>
        <v>0</v>
      </c>
      <c r="N14" s="577">
        <f>ROUND(I14*E14,2)</f>
        <v>0</v>
      </c>
      <c r="O14" s="577">
        <f>ROUND(J14*E14,2)</f>
        <v>0</v>
      </c>
      <c r="P14" s="578">
        <f>SUM(M14:O14)</f>
        <v>0</v>
      </c>
    </row>
    <row r="15" spans="1:16" x14ac:dyDescent="0.2">
      <c r="A15" s="179">
        <f>IF(COUNTBLANK(B15)=1," ",COUNTA(B$15:B15))</f>
        <v>1</v>
      </c>
      <c r="B15" s="180" t="s">
        <v>86</v>
      </c>
      <c r="C15" s="181" t="s">
        <v>301</v>
      </c>
      <c r="D15" s="75" t="s">
        <v>91</v>
      </c>
      <c r="E15" s="75">
        <v>4</v>
      </c>
      <c r="F15" s="576"/>
      <c r="G15" s="577"/>
      <c r="H15" s="572">
        <f t="shared" ref="H15:H16" si="0">ROUND(F15*G15,2)</f>
        <v>0</v>
      </c>
      <c r="I15" s="577"/>
      <c r="J15" s="577"/>
      <c r="K15" s="573">
        <f t="shared" ref="K15:K16" si="1">SUM(H15:J15)</f>
        <v>0</v>
      </c>
      <c r="L15" s="574">
        <f t="shared" ref="L15:L16" si="2">ROUND(E15*F15,2)</f>
        <v>0</v>
      </c>
      <c r="M15" s="572">
        <f t="shared" ref="M15:M16" si="3">ROUND(H15*E15,2)</f>
        <v>0</v>
      </c>
      <c r="N15" s="572">
        <f t="shared" ref="N15:N16" si="4">ROUND(I15*E15,2)</f>
        <v>0</v>
      </c>
      <c r="O15" s="572">
        <f t="shared" ref="O15:O16" si="5">ROUND(J15*E15,2)</f>
        <v>0</v>
      </c>
      <c r="P15" s="573">
        <f t="shared" ref="P15:P16" si="6">SUM(M15:O15)</f>
        <v>0</v>
      </c>
    </row>
    <row r="16" spans="1:16" ht="22.5" x14ac:dyDescent="0.2">
      <c r="A16" s="179">
        <f>IF(COUNTBLANK(B16)=1," ",COUNTA(B$15:B16))</f>
        <v>2</v>
      </c>
      <c r="B16" s="180" t="s">
        <v>86</v>
      </c>
      <c r="C16" s="182" t="s">
        <v>302</v>
      </c>
      <c r="D16" s="75" t="s">
        <v>88</v>
      </c>
      <c r="E16" s="75">
        <v>200</v>
      </c>
      <c r="F16" s="576"/>
      <c r="G16" s="577"/>
      <c r="H16" s="577">
        <f t="shared" si="0"/>
        <v>0</v>
      </c>
      <c r="I16" s="577"/>
      <c r="J16" s="577"/>
      <c r="K16" s="578">
        <f t="shared" si="1"/>
        <v>0</v>
      </c>
      <c r="L16" s="576">
        <f t="shared" si="2"/>
        <v>0</v>
      </c>
      <c r="M16" s="577">
        <f t="shared" si="3"/>
        <v>0</v>
      </c>
      <c r="N16" s="577">
        <f t="shared" si="4"/>
        <v>0</v>
      </c>
      <c r="O16" s="577">
        <f t="shared" si="5"/>
        <v>0</v>
      </c>
      <c r="P16" s="578">
        <f t="shared" si="6"/>
        <v>0</v>
      </c>
    </row>
    <row r="17" spans="1:16" x14ac:dyDescent="0.2">
      <c r="A17" s="179">
        <f>IF(COUNTBLANK(B17)=1," ",COUNTA(B$15:B17))</f>
        <v>3</v>
      </c>
      <c r="B17" s="180" t="s">
        <v>86</v>
      </c>
      <c r="C17" s="183" t="s">
        <v>303</v>
      </c>
      <c r="D17" s="75" t="s">
        <v>88</v>
      </c>
      <c r="E17" s="75">
        <v>210</v>
      </c>
      <c r="F17" s="576"/>
      <c r="G17" s="577"/>
      <c r="H17" s="572">
        <f t="shared" ref="H17:H53" si="7">ROUND(F17*G17,2)</f>
        <v>0</v>
      </c>
      <c r="I17" s="577"/>
      <c r="J17" s="577"/>
      <c r="K17" s="573">
        <f t="shared" ref="K17:K53" si="8">SUM(H17:J17)</f>
        <v>0</v>
      </c>
      <c r="L17" s="574">
        <f t="shared" ref="L17:L53" si="9">ROUND(E17*F17,2)</f>
        <v>0</v>
      </c>
      <c r="M17" s="572">
        <f t="shared" ref="M17:M53" si="10">ROUND(H17*E17,2)</f>
        <v>0</v>
      </c>
      <c r="N17" s="572">
        <f t="shared" ref="N17:N53" si="11">ROUND(I17*E17,2)</f>
        <v>0</v>
      </c>
      <c r="O17" s="572">
        <f t="shared" ref="O17:O53" si="12">ROUND(J17*E17,2)</f>
        <v>0</v>
      </c>
      <c r="P17" s="573">
        <f t="shared" ref="P17:P53" si="13">SUM(M17:O17)</f>
        <v>0</v>
      </c>
    </row>
    <row r="18" spans="1:16" ht="22.5" x14ac:dyDescent="0.2">
      <c r="A18" s="179">
        <f>IF(COUNTBLANK(B18)=1," ",COUNTA(B$15:B18))</f>
        <v>4</v>
      </c>
      <c r="B18" s="180" t="s">
        <v>86</v>
      </c>
      <c r="C18" s="182" t="s">
        <v>304</v>
      </c>
      <c r="D18" s="75" t="s">
        <v>91</v>
      </c>
      <c r="E18" s="75">
        <v>200</v>
      </c>
      <c r="F18" s="576"/>
      <c r="G18" s="577"/>
      <c r="H18" s="577">
        <f t="shared" si="7"/>
        <v>0</v>
      </c>
      <c r="I18" s="577"/>
      <c r="J18" s="577"/>
      <c r="K18" s="578">
        <f t="shared" si="8"/>
        <v>0</v>
      </c>
      <c r="L18" s="576">
        <f t="shared" si="9"/>
        <v>0</v>
      </c>
      <c r="M18" s="577">
        <f t="shared" si="10"/>
        <v>0</v>
      </c>
      <c r="N18" s="577">
        <f t="shared" si="11"/>
        <v>0</v>
      </c>
      <c r="O18" s="577">
        <f t="shared" si="12"/>
        <v>0</v>
      </c>
      <c r="P18" s="578">
        <f t="shared" si="13"/>
        <v>0</v>
      </c>
    </row>
    <row r="19" spans="1:16" x14ac:dyDescent="0.2">
      <c r="A19" s="179">
        <f>IF(COUNTBLANK(B19)=1," ",COUNTA(B$15:B19))</f>
        <v>5</v>
      </c>
      <c r="B19" s="180" t="s">
        <v>86</v>
      </c>
      <c r="C19" s="182" t="s">
        <v>305</v>
      </c>
      <c r="D19" s="75" t="s">
        <v>91</v>
      </c>
      <c r="E19" s="75">
        <v>4</v>
      </c>
      <c r="F19" s="576"/>
      <c r="G19" s="577"/>
      <c r="H19" s="572">
        <f t="shared" si="7"/>
        <v>0</v>
      </c>
      <c r="I19" s="577"/>
      <c r="J19" s="577"/>
      <c r="K19" s="573">
        <f t="shared" si="8"/>
        <v>0</v>
      </c>
      <c r="L19" s="574">
        <f t="shared" si="9"/>
        <v>0</v>
      </c>
      <c r="M19" s="572">
        <f t="shared" si="10"/>
        <v>0</v>
      </c>
      <c r="N19" s="572">
        <f t="shared" si="11"/>
        <v>0</v>
      </c>
      <c r="O19" s="572">
        <f t="shared" si="12"/>
        <v>0</v>
      </c>
      <c r="P19" s="573">
        <f t="shared" si="13"/>
        <v>0</v>
      </c>
    </row>
    <row r="20" spans="1:16" ht="22.5" x14ac:dyDescent="0.2">
      <c r="A20" s="179">
        <f>IF(COUNTBLANK(B20)=1," ",COUNTA(B$15:B20))</f>
        <v>6</v>
      </c>
      <c r="B20" s="180" t="s">
        <v>86</v>
      </c>
      <c r="C20" s="182" t="s">
        <v>306</v>
      </c>
      <c r="D20" s="75" t="s">
        <v>91</v>
      </c>
      <c r="E20" s="75">
        <v>280</v>
      </c>
      <c r="F20" s="576"/>
      <c r="G20" s="577"/>
      <c r="H20" s="577">
        <f t="shared" si="7"/>
        <v>0</v>
      </c>
      <c r="I20" s="577"/>
      <c r="J20" s="577"/>
      <c r="K20" s="578">
        <f t="shared" si="8"/>
        <v>0</v>
      </c>
      <c r="L20" s="576">
        <f t="shared" si="9"/>
        <v>0</v>
      </c>
      <c r="M20" s="577">
        <f t="shared" si="10"/>
        <v>0</v>
      </c>
      <c r="N20" s="577">
        <f t="shared" si="11"/>
        <v>0</v>
      </c>
      <c r="O20" s="577">
        <f t="shared" si="12"/>
        <v>0</v>
      </c>
      <c r="P20" s="578">
        <f t="shared" si="13"/>
        <v>0</v>
      </c>
    </row>
    <row r="21" spans="1:16" ht="27" customHeight="1" x14ac:dyDescent="0.2">
      <c r="A21" s="179">
        <f>IF(COUNTBLANK(B21)=1," ",COUNTA(B$15:B21))</f>
        <v>7</v>
      </c>
      <c r="B21" s="180" t="s">
        <v>86</v>
      </c>
      <c r="C21" s="182" t="s">
        <v>307</v>
      </c>
      <c r="D21" s="75" t="s">
        <v>91</v>
      </c>
      <c r="E21" s="75">
        <v>210</v>
      </c>
      <c r="F21" s="576"/>
      <c r="G21" s="577"/>
      <c r="H21" s="572">
        <f t="shared" si="7"/>
        <v>0</v>
      </c>
      <c r="I21" s="577"/>
      <c r="J21" s="577"/>
      <c r="K21" s="573">
        <f t="shared" si="8"/>
        <v>0</v>
      </c>
      <c r="L21" s="574">
        <f t="shared" si="9"/>
        <v>0</v>
      </c>
      <c r="M21" s="572">
        <f t="shared" si="10"/>
        <v>0</v>
      </c>
      <c r="N21" s="572">
        <f t="shared" si="11"/>
        <v>0</v>
      </c>
      <c r="O21" s="572">
        <f t="shared" si="12"/>
        <v>0</v>
      </c>
      <c r="P21" s="573">
        <f t="shared" si="13"/>
        <v>0</v>
      </c>
    </row>
    <row r="22" spans="1:16" x14ac:dyDescent="0.2">
      <c r="A22" s="179">
        <f>IF(COUNTBLANK(B22)=1," ",COUNTA(B$15:B22))</f>
        <v>8</v>
      </c>
      <c r="B22" s="180" t="s">
        <v>86</v>
      </c>
      <c r="C22" s="183" t="s">
        <v>308</v>
      </c>
      <c r="D22" s="75" t="s">
        <v>91</v>
      </c>
      <c r="E22" s="75">
        <v>6</v>
      </c>
      <c r="F22" s="576"/>
      <c r="G22" s="577"/>
      <c r="H22" s="577">
        <f t="shared" si="7"/>
        <v>0</v>
      </c>
      <c r="I22" s="577"/>
      <c r="J22" s="577"/>
      <c r="K22" s="578">
        <f t="shared" si="8"/>
        <v>0</v>
      </c>
      <c r="L22" s="576">
        <f t="shared" si="9"/>
        <v>0</v>
      </c>
      <c r="M22" s="577">
        <f t="shared" si="10"/>
        <v>0</v>
      </c>
      <c r="N22" s="577">
        <f t="shared" si="11"/>
        <v>0</v>
      </c>
      <c r="O22" s="577">
        <f t="shared" si="12"/>
        <v>0</v>
      </c>
      <c r="P22" s="578">
        <f t="shared" si="13"/>
        <v>0</v>
      </c>
    </row>
    <row r="23" spans="1:16" x14ac:dyDescent="0.2">
      <c r="A23" s="179">
        <f>IF(COUNTBLANK(B23)=1," ",COUNTA(B$15:B23))</f>
        <v>9</v>
      </c>
      <c r="B23" s="180" t="s">
        <v>86</v>
      </c>
      <c r="C23" s="183" t="s">
        <v>309</v>
      </c>
      <c r="D23" s="75" t="s">
        <v>91</v>
      </c>
      <c r="E23" s="75">
        <v>40</v>
      </c>
      <c r="F23" s="576"/>
      <c r="G23" s="577"/>
      <c r="H23" s="572">
        <f t="shared" si="7"/>
        <v>0</v>
      </c>
      <c r="I23" s="577"/>
      <c r="J23" s="577"/>
      <c r="K23" s="573">
        <f t="shared" si="8"/>
        <v>0</v>
      </c>
      <c r="L23" s="574">
        <f t="shared" si="9"/>
        <v>0</v>
      </c>
      <c r="M23" s="572">
        <f t="shared" si="10"/>
        <v>0</v>
      </c>
      <c r="N23" s="572">
        <f t="shared" si="11"/>
        <v>0</v>
      </c>
      <c r="O23" s="572">
        <f t="shared" si="12"/>
        <v>0</v>
      </c>
      <c r="P23" s="573">
        <f t="shared" si="13"/>
        <v>0</v>
      </c>
    </row>
    <row r="24" spans="1:16" x14ac:dyDescent="0.2">
      <c r="A24" s="179">
        <f>IF(COUNTBLANK(B24)=1," ",COUNTA(B$15:B24))</f>
        <v>10</v>
      </c>
      <c r="B24" s="180" t="s">
        <v>86</v>
      </c>
      <c r="C24" s="183" t="s">
        <v>310</v>
      </c>
      <c r="D24" s="75" t="s">
        <v>91</v>
      </c>
      <c r="E24" s="75">
        <v>10</v>
      </c>
      <c r="F24" s="576"/>
      <c r="G24" s="577"/>
      <c r="H24" s="577">
        <f t="shared" si="7"/>
        <v>0</v>
      </c>
      <c r="I24" s="577"/>
      <c r="J24" s="577"/>
      <c r="K24" s="578">
        <f t="shared" si="8"/>
        <v>0</v>
      </c>
      <c r="L24" s="576">
        <f t="shared" si="9"/>
        <v>0</v>
      </c>
      <c r="M24" s="577">
        <f t="shared" si="10"/>
        <v>0</v>
      </c>
      <c r="N24" s="577">
        <f t="shared" si="11"/>
        <v>0</v>
      </c>
      <c r="O24" s="577">
        <f t="shared" si="12"/>
        <v>0</v>
      </c>
      <c r="P24" s="578">
        <f t="shared" si="13"/>
        <v>0</v>
      </c>
    </row>
    <row r="25" spans="1:16" x14ac:dyDescent="0.2">
      <c r="A25" s="179">
        <f>IF(COUNTBLANK(B25)=1," ",COUNTA(B$15:B25))</f>
        <v>11</v>
      </c>
      <c r="B25" s="180" t="s">
        <v>86</v>
      </c>
      <c r="C25" s="184" t="s">
        <v>311</v>
      </c>
      <c r="D25" s="75" t="s">
        <v>91</v>
      </c>
      <c r="E25" s="75">
        <v>25</v>
      </c>
      <c r="F25" s="576"/>
      <c r="G25" s="577"/>
      <c r="H25" s="572">
        <f t="shared" si="7"/>
        <v>0</v>
      </c>
      <c r="I25" s="577"/>
      <c r="J25" s="577"/>
      <c r="K25" s="573">
        <f t="shared" si="8"/>
        <v>0</v>
      </c>
      <c r="L25" s="574">
        <f t="shared" si="9"/>
        <v>0</v>
      </c>
      <c r="M25" s="572">
        <f t="shared" si="10"/>
        <v>0</v>
      </c>
      <c r="N25" s="572">
        <f t="shared" si="11"/>
        <v>0</v>
      </c>
      <c r="O25" s="572">
        <f t="shared" si="12"/>
        <v>0</v>
      </c>
      <c r="P25" s="573">
        <f t="shared" si="13"/>
        <v>0</v>
      </c>
    </row>
    <row r="26" spans="1:16" ht="22.5" x14ac:dyDescent="0.2">
      <c r="A26" s="179">
        <f>IF(COUNTBLANK(B26)=1," ",COUNTA(B$15:B26))</f>
        <v>12</v>
      </c>
      <c r="B26" s="180" t="s">
        <v>86</v>
      </c>
      <c r="C26" s="182" t="s">
        <v>312</v>
      </c>
      <c r="D26" s="75" t="s">
        <v>91</v>
      </c>
      <c r="E26" s="75">
        <v>7</v>
      </c>
      <c r="F26" s="576"/>
      <c r="G26" s="577"/>
      <c r="H26" s="577">
        <f t="shared" si="7"/>
        <v>0</v>
      </c>
      <c r="I26" s="577"/>
      <c r="J26" s="577"/>
      <c r="K26" s="578">
        <f t="shared" si="8"/>
        <v>0</v>
      </c>
      <c r="L26" s="576">
        <f t="shared" si="9"/>
        <v>0</v>
      </c>
      <c r="M26" s="577">
        <f t="shared" si="10"/>
        <v>0</v>
      </c>
      <c r="N26" s="577">
        <f t="shared" si="11"/>
        <v>0</v>
      </c>
      <c r="O26" s="577">
        <f t="shared" si="12"/>
        <v>0</v>
      </c>
      <c r="P26" s="578">
        <f t="shared" si="13"/>
        <v>0</v>
      </c>
    </row>
    <row r="27" spans="1:16" x14ac:dyDescent="0.2">
      <c r="A27" s="185">
        <v>13</v>
      </c>
      <c r="B27" s="180" t="s">
        <v>86</v>
      </c>
      <c r="C27" s="182" t="s">
        <v>313</v>
      </c>
      <c r="D27" s="75" t="s">
        <v>91</v>
      </c>
      <c r="E27" s="75">
        <v>7</v>
      </c>
      <c r="F27" s="576"/>
      <c r="G27" s="577"/>
      <c r="H27" s="572">
        <f t="shared" si="7"/>
        <v>0</v>
      </c>
      <c r="I27" s="577"/>
      <c r="J27" s="577"/>
      <c r="K27" s="573">
        <f t="shared" si="8"/>
        <v>0</v>
      </c>
      <c r="L27" s="574">
        <f t="shared" si="9"/>
        <v>0</v>
      </c>
      <c r="M27" s="572">
        <f t="shared" si="10"/>
        <v>0</v>
      </c>
      <c r="N27" s="572">
        <f t="shared" si="11"/>
        <v>0</v>
      </c>
      <c r="O27" s="572">
        <f t="shared" si="12"/>
        <v>0</v>
      </c>
      <c r="P27" s="573">
        <f t="shared" si="13"/>
        <v>0</v>
      </c>
    </row>
    <row r="28" spans="1:16" x14ac:dyDescent="0.2">
      <c r="A28" s="185">
        <v>14</v>
      </c>
      <c r="B28" s="180" t="s">
        <v>86</v>
      </c>
      <c r="C28" s="182" t="s">
        <v>314</v>
      </c>
      <c r="D28" s="75" t="s">
        <v>91</v>
      </c>
      <c r="E28" s="75">
        <v>7</v>
      </c>
      <c r="F28" s="576"/>
      <c r="G28" s="577"/>
      <c r="H28" s="577">
        <f t="shared" si="7"/>
        <v>0</v>
      </c>
      <c r="I28" s="577"/>
      <c r="J28" s="577"/>
      <c r="K28" s="578">
        <f t="shared" si="8"/>
        <v>0</v>
      </c>
      <c r="L28" s="576">
        <f t="shared" si="9"/>
        <v>0</v>
      </c>
      <c r="M28" s="577">
        <f t="shared" si="10"/>
        <v>0</v>
      </c>
      <c r="N28" s="577">
        <f t="shared" si="11"/>
        <v>0</v>
      </c>
      <c r="O28" s="577">
        <f t="shared" si="12"/>
        <v>0</v>
      </c>
      <c r="P28" s="578">
        <f t="shared" si="13"/>
        <v>0</v>
      </c>
    </row>
    <row r="29" spans="1:16" ht="22.5" x14ac:dyDescent="0.2">
      <c r="A29" s="185">
        <v>15</v>
      </c>
      <c r="B29" s="180" t="s">
        <v>86</v>
      </c>
      <c r="C29" s="182" t="s">
        <v>315</v>
      </c>
      <c r="D29" s="75" t="s">
        <v>91</v>
      </c>
      <c r="E29" s="75">
        <v>7</v>
      </c>
      <c r="F29" s="576"/>
      <c r="G29" s="577"/>
      <c r="H29" s="572">
        <f t="shared" si="7"/>
        <v>0</v>
      </c>
      <c r="I29" s="577"/>
      <c r="J29" s="577"/>
      <c r="K29" s="573">
        <f t="shared" si="8"/>
        <v>0</v>
      </c>
      <c r="L29" s="574">
        <f t="shared" si="9"/>
        <v>0</v>
      </c>
      <c r="M29" s="572">
        <f t="shared" si="10"/>
        <v>0</v>
      </c>
      <c r="N29" s="572">
        <f t="shared" si="11"/>
        <v>0</v>
      </c>
      <c r="O29" s="572">
        <f t="shared" si="12"/>
        <v>0</v>
      </c>
      <c r="P29" s="573">
        <f t="shared" si="13"/>
        <v>0</v>
      </c>
    </row>
    <row r="30" spans="1:16" x14ac:dyDescent="0.2">
      <c r="A30" s="185">
        <v>16</v>
      </c>
      <c r="B30" s="180" t="s">
        <v>86</v>
      </c>
      <c r="C30" s="182" t="s">
        <v>316</v>
      </c>
      <c r="D30" s="75" t="s">
        <v>88</v>
      </c>
      <c r="E30" s="75">
        <v>100</v>
      </c>
      <c r="F30" s="576"/>
      <c r="G30" s="577"/>
      <c r="H30" s="577">
        <f t="shared" si="7"/>
        <v>0</v>
      </c>
      <c r="I30" s="577"/>
      <c r="J30" s="577"/>
      <c r="K30" s="578">
        <f t="shared" si="8"/>
        <v>0</v>
      </c>
      <c r="L30" s="576">
        <f t="shared" si="9"/>
        <v>0</v>
      </c>
      <c r="M30" s="577">
        <f t="shared" si="10"/>
        <v>0</v>
      </c>
      <c r="N30" s="577">
        <f t="shared" si="11"/>
        <v>0</v>
      </c>
      <c r="O30" s="577">
        <f t="shared" si="12"/>
        <v>0</v>
      </c>
      <c r="P30" s="578">
        <f t="shared" si="13"/>
        <v>0</v>
      </c>
    </row>
    <row r="31" spans="1:16" ht="22.5" x14ac:dyDescent="0.2">
      <c r="A31" s="185">
        <v>17</v>
      </c>
      <c r="B31" s="180" t="s">
        <v>86</v>
      </c>
      <c r="C31" s="182" t="s">
        <v>317</v>
      </c>
      <c r="D31" s="75" t="s">
        <v>91</v>
      </c>
      <c r="E31" s="75">
        <v>21</v>
      </c>
      <c r="F31" s="576"/>
      <c r="G31" s="577"/>
      <c r="H31" s="572">
        <f t="shared" si="7"/>
        <v>0</v>
      </c>
      <c r="I31" s="577"/>
      <c r="J31" s="577"/>
      <c r="K31" s="573">
        <f t="shared" si="8"/>
        <v>0</v>
      </c>
      <c r="L31" s="574">
        <f t="shared" si="9"/>
        <v>0</v>
      </c>
      <c r="M31" s="572">
        <f t="shared" si="10"/>
        <v>0</v>
      </c>
      <c r="N31" s="572">
        <f t="shared" si="11"/>
        <v>0</v>
      </c>
      <c r="O31" s="572">
        <f t="shared" si="12"/>
        <v>0</v>
      </c>
      <c r="P31" s="573">
        <f t="shared" si="13"/>
        <v>0</v>
      </c>
    </row>
    <row r="32" spans="1:16" x14ac:dyDescent="0.2">
      <c r="A32" s="185">
        <v>18</v>
      </c>
      <c r="B32" s="180" t="s">
        <v>86</v>
      </c>
      <c r="C32" s="182" t="s">
        <v>318</v>
      </c>
      <c r="D32" s="75" t="s">
        <v>91</v>
      </c>
      <c r="E32" s="75">
        <v>7</v>
      </c>
      <c r="F32" s="576"/>
      <c r="G32" s="577"/>
      <c r="H32" s="577">
        <f t="shared" si="7"/>
        <v>0</v>
      </c>
      <c r="I32" s="577"/>
      <c r="J32" s="577"/>
      <c r="K32" s="578">
        <f t="shared" si="8"/>
        <v>0</v>
      </c>
      <c r="L32" s="576">
        <f t="shared" si="9"/>
        <v>0</v>
      </c>
      <c r="M32" s="577">
        <f t="shared" si="10"/>
        <v>0</v>
      </c>
      <c r="N32" s="577">
        <f t="shared" si="11"/>
        <v>0</v>
      </c>
      <c r="O32" s="577">
        <f t="shared" si="12"/>
        <v>0</v>
      </c>
      <c r="P32" s="578">
        <f t="shared" si="13"/>
        <v>0</v>
      </c>
    </row>
    <row r="33" spans="1:16" x14ac:dyDescent="0.2">
      <c r="A33" s="185">
        <v>19</v>
      </c>
      <c r="B33" s="180" t="s">
        <v>86</v>
      </c>
      <c r="C33" s="182" t="s">
        <v>319</v>
      </c>
      <c r="D33" s="75" t="s">
        <v>91</v>
      </c>
      <c r="E33" s="75">
        <v>14</v>
      </c>
      <c r="F33" s="576"/>
      <c r="G33" s="577"/>
      <c r="H33" s="572">
        <f t="shared" si="7"/>
        <v>0</v>
      </c>
      <c r="I33" s="577"/>
      <c r="J33" s="577"/>
      <c r="K33" s="573">
        <f t="shared" si="8"/>
        <v>0</v>
      </c>
      <c r="L33" s="574">
        <f t="shared" si="9"/>
        <v>0</v>
      </c>
      <c r="M33" s="572">
        <f t="shared" si="10"/>
        <v>0</v>
      </c>
      <c r="N33" s="572">
        <f t="shared" si="11"/>
        <v>0</v>
      </c>
      <c r="O33" s="572">
        <f t="shared" si="12"/>
        <v>0</v>
      </c>
      <c r="P33" s="573">
        <f t="shared" si="13"/>
        <v>0</v>
      </c>
    </row>
    <row r="34" spans="1:16" x14ac:dyDescent="0.2">
      <c r="A34" s="185">
        <v>20</v>
      </c>
      <c r="B34" s="180" t="s">
        <v>86</v>
      </c>
      <c r="C34" s="182" t="s">
        <v>320</v>
      </c>
      <c r="D34" s="75" t="s">
        <v>91</v>
      </c>
      <c r="E34" s="75">
        <v>7</v>
      </c>
      <c r="F34" s="576"/>
      <c r="G34" s="577"/>
      <c r="H34" s="577">
        <f t="shared" si="7"/>
        <v>0</v>
      </c>
      <c r="I34" s="577"/>
      <c r="J34" s="577"/>
      <c r="K34" s="578">
        <f t="shared" si="8"/>
        <v>0</v>
      </c>
      <c r="L34" s="576">
        <f t="shared" si="9"/>
        <v>0</v>
      </c>
      <c r="M34" s="577">
        <f t="shared" si="10"/>
        <v>0</v>
      </c>
      <c r="N34" s="577">
        <f t="shared" si="11"/>
        <v>0</v>
      </c>
      <c r="O34" s="577">
        <f t="shared" si="12"/>
        <v>0</v>
      </c>
      <c r="P34" s="578">
        <f t="shared" si="13"/>
        <v>0</v>
      </c>
    </row>
    <row r="35" spans="1:16" x14ac:dyDescent="0.2">
      <c r="A35" s="185">
        <v>21</v>
      </c>
      <c r="B35" s="180" t="s">
        <v>86</v>
      </c>
      <c r="C35" s="182" t="s">
        <v>321</v>
      </c>
      <c r="D35" s="75" t="s">
        <v>91</v>
      </c>
      <c r="E35" s="75">
        <v>40</v>
      </c>
      <c r="F35" s="576"/>
      <c r="G35" s="577"/>
      <c r="H35" s="572">
        <f t="shared" si="7"/>
        <v>0</v>
      </c>
      <c r="I35" s="577"/>
      <c r="J35" s="577"/>
      <c r="K35" s="573">
        <f t="shared" si="8"/>
        <v>0</v>
      </c>
      <c r="L35" s="574">
        <f t="shared" si="9"/>
        <v>0</v>
      </c>
      <c r="M35" s="572">
        <f t="shared" si="10"/>
        <v>0</v>
      </c>
      <c r="N35" s="572">
        <f t="shared" si="11"/>
        <v>0</v>
      </c>
      <c r="O35" s="572">
        <f t="shared" si="12"/>
        <v>0</v>
      </c>
      <c r="P35" s="573">
        <f t="shared" si="13"/>
        <v>0</v>
      </c>
    </row>
    <row r="36" spans="1:16" x14ac:dyDescent="0.2">
      <c r="A36" s="185">
        <v>22</v>
      </c>
      <c r="B36" s="180" t="s">
        <v>86</v>
      </c>
      <c r="C36" s="182" t="s">
        <v>322</v>
      </c>
      <c r="D36" s="75" t="s">
        <v>341</v>
      </c>
      <c r="E36" s="75">
        <v>1</v>
      </c>
      <c r="F36" s="576"/>
      <c r="G36" s="577"/>
      <c r="H36" s="577">
        <f t="shared" si="7"/>
        <v>0</v>
      </c>
      <c r="I36" s="577"/>
      <c r="J36" s="577"/>
      <c r="K36" s="578">
        <f t="shared" si="8"/>
        <v>0</v>
      </c>
      <c r="L36" s="576">
        <f t="shared" si="9"/>
        <v>0</v>
      </c>
      <c r="M36" s="577">
        <f t="shared" si="10"/>
        <v>0</v>
      </c>
      <c r="N36" s="577">
        <f t="shared" si="11"/>
        <v>0</v>
      </c>
      <c r="O36" s="577">
        <f t="shared" si="12"/>
        <v>0</v>
      </c>
      <c r="P36" s="578">
        <f t="shared" si="13"/>
        <v>0</v>
      </c>
    </row>
    <row r="37" spans="1:16" ht="22.5" x14ac:dyDescent="0.2">
      <c r="A37" s="185">
        <v>23</v>
      </c>
      <c r="B37" s="180" t="s">
        <v>86</v>
      </c>
      <c r="C37" s="182" t="s">
        <v>323</v>
      </c>
      <c r="D37" s="75" t="s">
        <v>91</v>
      </c>
      <c r="E37" s="75">
        <v>3</v>
      </c>
      <c r="F37" s="576"/>
      <c r="G37" s="577"/>
      <c r="H37" s="572">
        <f t="shared" si="7"/>
        <v>0</v>
      </c>
      <c r="I37" s="577"/>
      <c r="J37" s="577"/>
      <c r="K37" s="573">
        <f t="shared" si="8"/>
        <v>0</v>
      </c>
      <c r="L37" s="574">
        <f t="shared" si="9"/>
        <v>0</v>
      </c>
      <c r="M37" s="572">
        <f t="shared" si="10"/>
        <v>0</v>
      </c>
      <c r="N37" s="572">
        <f t="shared" si="11"/>
        <v>0</v>
      </c>
      <c r="O37" s="572">
        <f t="shared" si="12"/>
        <v>0</v>
      </c>
      <c r="P37" s="573">
        <f t="shared" si="13"/>
        <v>0</v>
      </c>
    </row>
    <row r="38" spans="1:16" x14ac:dyDescent="0.2">
      <c r="A38" s="185">
        <v>24</v>
      </c>
      <c r="B38" s="180" t="s">
        <v>86</v>
      </c>
      <c r="C38" s="182" t="s">
        <v>324</v>
      </c>
      <c r="D38" s="75" t="s">
        <v>325</v>
      </c>
      <c r="E38" s="75">
        <v>1</v>
      </c>
      <c r="F38" s="576"/>
      <c r="G38" s="577"/>
      <c r="H38" s="577">
        <f t="shared" si="7"/>
        <v>0</v>
      </c>
      <c r="I38" s="577"/>
      <c r="J38" s="577"/>
      <c r="K38" s="578">
        <f t="shared" si="8"/>
        <v>0</v>
      </c>
      <c r="L38" s="576">
        <f t="shared" si="9"/>
        <v>0</v>
      </c>
      <c r="M38" s="577">
        <f t="shared" si="10"/>
        <v>0</v>
      </c>
      <c r="N38" s="577">
        <f t="shared" si="11"/>
        <v>0</v>
      </c>
      <c r="O38" s="577">
        <f t="shared" si="12"/>
        <v>0</v>
      </c>
      <c r="P38" s="578">
        <f t="shared" si="13"/>
        <v>0</v>
      </c>
    </row>
    <row r="39" spans="1:16" x14ac:dyDescent="0.2">
      <c r="A39" s="185" t="s">
        <v>344</v>
      </c>
      <c r="B39" s="186" t="s">
        <v>344</v>
      </c>
      <c r="C39" s="187" t="s">
        <v>326</v>
      </c>
      <c r="D39" s="188"/>
      <c r="E39" s="189"/>
      <c r="F39" s="576"/>
      <c r="G39" s="577"/>
      <c r="H39" s="572">
        <f t="shared" si="7"/>
        <v>0</v>
      </c>
      <c r="I39" s="577"/>
      <c r="J39" s="577"/>
      <c r="K39" s="573">
        <f t="shared" si="8"/>
        <v>0</v>
      </c>
      <c r="L39" s="574">
        <f t="shared" si="9"/>
        <v>0</v>
      </c>
      <c r="M39" s="572">
        <f t="shared" si="10"/>
        <v>0</v>
      </c>
      <c r="N39" s="572">
        <f t="shared" si="11"/>
        <v>0</v>
      </c>
      <c r="O39" s="572">
        <f t="shared" si="12"/>
        <v>0</v>
      </c>
      <c r="P39" s="573">
        <f t="shared" si="13"/>
        <v>0</v>
      </c>
    </row>
    <row r="40" spans="1:16" x14ac:dyDescent="0.2">
      <c r="A40" s="185">
        <v>1</v>
      </c>
      <c r="B40" s="186" t="s">
        <v>86</v>
      </c>
      <c r="C40" s="182" t="s">
        <v>327</v>
      </c>
      <c r="D40" s="75" t="s">
        <v>325</v>
      </c>
      <c r="E40" s="75">
        <v>1</v>
      </c>
      <c r="F40" s="576"/>
      <c r="G40" s="577"/>
      <c r="H40" s="577">
        <f t="shared" si="7"/>
        <v>0</v>
      </c>
      <c r="I40" s="577"/>
      <c r="J40" s="577"/>
      <c r="K40" s="578">
        <f t="shared" si="8"/>
        <v>0</v>
      </c>
      <c r="L40" s="576">
        <f t="shared" si="9"/>
        <v>0</v>
      </c>
      <c r="M40" s="577">
        <f t="shared" si="10"/>
        <v>0</v>
      </c>
      <c r="N40" s="577">
        <f t="shared" si="11"/>
        <v>0</v>
      </c>
      <c r="O40" s="577">
        <f t="shared" si="12"/>
        <v>0</v>
      </c>
      <c r="P40" s="578">
        <f t="shared" si="13"/>
        <v>0</v>
      </c>
    </row>
    <row r="41" spans="1:16" ht="22.5" x14ac:dyDescent="0.2">
      <c r="A41" s="185">
        <v>2</v>
      </c>
      <c r="B41" s="186" t="s">
        <v>86</v>
      </c>
      <c r="C41" s="182" t="s">
        <v>328</v>
      </c>
      <c r="D41" s="75" t="s">
        <v>91</v>
      </c>
      <c r="E41" s="75">
        <v>7</v>
      </c>
      <c r="F41" s="576"/>
      <c r="G41" s="577"/>
      <c r="H41" s="572">
        <f t="shared" si="7"/>
        <v>0</v>
      </c>
      <c r="I41" s="577"/>
      <c r="J41" s="577"/>
      <c r="K41" s="573">
        <f t="shared" si="8"/>
        <v>0</v>
      </c>
      <c r="L41" s="574">
        <f t="shared" si="9"/>
        <v>0</v>
      </c>
      <c r="M41" s="572">
        <f t="shared" si="10"/>
        <v>0</v>
      </c>
      <c r="N41" s="572">
        <f t="shared" si="11"/>
        <v>0</v>
      </c>
      <c r="O41" s="572">
        <f t="shared" si="12"/>
        <v>0</v>
      </c>
      <c r="P41" s="573">
        <f t="shared" si="13"/>
        <v>0</v>
      </c>
    </row>
    <row r="42" spans="1:16" ht="22.5" x14ac:dyDescent="0.2">
      <c r="A42" s="185">
        <v>3</v>
      </c>
      <c r="B42" s="186" t="s">
        <v>86</v>
      </c>
      <c r="C42" s="182" t="s">
        <v>329</v>
      </c>
      <c r="D42" s="75" t="s">
        <v>91</v>
      </c>
      <c r="E42" s="75">
        <v>7</v>
      </c>
      <c r="F42" s="576"/>
      <c r="G42" s="577"/>
      <c r="H42" s="577">
        <f t="shared" si="7"/>
        <v>0</v>
      </c>
      <c r="I42" s="577"/>
      <c r="J42" s="577"/>
      <c r="K42" s="578">
        <f t="shared" si="8"/>
        <v>0</v>
      </c>
      <c r="L42" s="576">
        <f t="shared" si="9"/>
        <v>0</v>
      </c>
      <c r="M42" s="577">
        <f t="shared" si="10"/>
        <v>0</v>
      </c>
      <c r="N42" s="577">
        <f t="shared" si="11"/>
        <v>0</v>
      </c>
      <c r="O42" s="577">
        <f t="shared" si="12"/>
        <v>0</v>
      </c>
      <c r="P42" s="578">
        <f t="shared" si="13"/>
        <v>0</v>
      </c>
    </row>
    <row r="43" spans="1:16" x14ac:dyDescent="0.2">
      <c r="A43" s="185">
        <v>4</v>
      </c>
      <c r="B43" s="186" t="s">
        <v>86</v>
      </c>
      <c r="C43" s="182" t="s">
        <v>330</v>
      </c>
      <c r="D43" s="75" t="s">
        <v>91</v>
      </c>
      <c r="E43" s="75">
        <v>7</v>
      </c>
      <c r="F43" s="576"/>
      <c r="G43" s="577"/>
      <c r="H43" s="572">
        <f t="shared" si="7"/>
        <v>0</v>
      </c>
      <c r="I43" s="577"/>
      <c r="J43" s="577"/>
      <c r="K43" s="573">
        <f t="shared" si="8"/>
        <v>0</v>
      </c>
      <c r="L43" s="574">
        <f t="shared" si="9"/>
        <v>0</v>
      </c>
      <c r="M43" s="572">
        <f t="shared" si="10"/>
        <v>0</v>
      </c>
      <c r="N43" s="572">
        <f t="shared" si="11"/>
        <v>0</v>
      </c>
      <c r="O43" s="572">
        <f t="shared" si="12"/>
        <v>0</v>
      </c>
      <c r="P43" s="573">
        <f t="shared" si="13"/>
        <v>0</v>
      </c>
    </row>
    <row r="44" spans="1:16" x14ac:dyDescent="0.2">
      <c r="A44" s="185">
        <v>5</v>
      </c>
      <c r="B44" s="186" t="s">
        <v>86</v>
      </c>
      <c r="C44" s="182" t="s">
        <v>331</v>
      </c>
      <c r="D44" s="75" t="s">
        <v>91</v>
      </c>
      <c r="E44" s="75">
        <v>7</v>
      </c>
      <c r="F44" s="576"/>
      <c r="G44" s="577"/>
      <c r="H44" s="577">
        <f t="shared" si="7"/>
        <v>0</v>
      </c>
      <c r="I44" s="577"/>
      <c r="J44" s="577"/>
      <c r="K44" s="578">
        <f t="shared" si="8"/>
        <v>0</v>
      </c>
      <c r="L44" s="576">
        <f t="shared" si="9"/>
        <v>0</v>
      </c>
      <c r="M44" s="577">
        <f t="shared" si="10"/>
        <v>0</v>
      </c>
      <c r="N44" s="577">
        <f t="shared" si="11"/>
        <v>0</v>
      </c>
      <c r="O44" s="577">
        <f t="shared" si="12"/>
        <v>0</v>
      </c>
      <c r="P44" s="578">
        <f t="shared" si="13"/>
        <v>0</v>
      </c>
    </row>
    <row r="45" spans="1:16" x14ac:dyDescent="0.2">
      <c r="A45" s="185">
        <v>6</v>
      </c>
      <c r="B45" s="186" t="s">
        <v>86</v>
      </c>
      <c r="C45" s="182" t="s">
        <v>332</v>
      </c>
      <c r="D45" s="75" t="s">
        <v>88</v>
      </c>
      <c r="E45" s="75">
        <v>100</v>
      </c>
      <c r="F45" s="576"/>
      <c r="G45" s="577"/>
      <c r="H45" s="572">
        <f t="shared" si="7"/>
        <v>0</v>
      </c>
      <c r="I45" s="577"/>
      <c r="J45" s="577"/>
      <c r="K45" s="573">
        <f t="shared" si="8"/>
        <v>0</v>
      </c>
      <c r="L45" s="574">
        <f t="shared" si="9"/>
        <v>0</v>
      </c>
      <c r="M45" s="572">
        <f t="shared" si="10"/>
        <v>0</v>
      </c>
      <c r="N45" s="572">
        <f t="shared" si="11"/>
        <v>0</v>
      </c>
      <c r="O45" s="572">
        <f t="shared" si="12"/>
        <v>0</v>
      </c>
      <c r="P45" s="573">
        <f t="shared" si="13"/>
        <v>0</v>
      </c>
    </row>
    <row r="46" spans="1:16" ht="22.5" x14ac:dyDescent="0.2">
      <c r="A46" s="185">
        <v>7</v>
      </c>
      <c r="B46" s="186" t="s">
        <v>86</v>
      </c>
      <c r="C46" s="182" t="s">
        <v>333</v>
      </c>
      <c r="D46" s="75" t="s">
        <v>91</v>
      </c>
      <c r="E46" s="75">
        <v>21</v>
      </c>
      <c r="F46" s="576"/>
      <c r="G46" s="577"/>
      <c r="H46" s="577">
        <f t="shared" si="7"/>
        <v>0</v>
      </c>
      <c r="I46" s="577"/>
      <c r="J46" s="577"/>
      <c r="K46" s="578">
        <f t="shared" si="8"/>
        <v>0</v>
      </c>
      <c r="L46" s="576">
        <f t="shared" si="9"/>
        <v>0</v>
      </c>
      <c r="M46" s="577">
        <f t="shared" si="10"/>
        <v>0</v>
      </c>
      <c r="N46" s="577">
        <f t="shared" si="11"/>
        <v>0</v>
      </c>
      <c r="O46" s="577">
        <f t="shared" si="12"/>
        <v>0</v>
      </c>
      <c r="P46" s="578">
        <f t="shared" si="13"/>
        <v>0</v>
      </c>
    </row>
    <row r="47" spans="1:16" x14ac:dyDescent="0.2">
      <c r="A47" s="185">
        <v>8</v>
      </c>
      <c r="B47" s="186" t="s">
        <v>86</v>
      </c>
      <c r="C47" s="182" t="s">
        <v>334</v>
      </c>
      <c r="D47" s="75" t="s">
        <v>325</v>
      </c>
      <c r="E47" s="75">
        <v>1</v>
      </c>
      <c r="F47" s="576"/>
      <c r="G47" s="577"/>
      <c r="H47" s="572">
        <f t="shared" si="7"/>
        <v>0</v>
      </c>
      <c r="I47" s="577"/>
      <c r="J47" s="577"/>
      <c r="K47" s="573">
        <f t="shared" si="8"/>
        <v>0</v>
      </c>
      <c r="L47" s="574">
        <f t="shared" si="9"/>
        <v>0</v>
      </c>
      <c r="M47" s="572">
        <f t="shared" si="10"/>
        <v>0</v>
      </c>
      <c r="N47" s="572">
        <f t="shared" si="11"/>
        <v>0</v>
      </c>
      <c r="O47" s="572">
        <f t="shared" si="12"/>
        <v>0</v>
      </c>
      <c r="P47" s="573">
        <f t="shared" si="13"/>
        <v>0</v>
      </c>
    </row>
    <row r="48" spans="1:16" ht="22.5" x14ac:dyDescent="0.2">
      <c r="A48" s="185">
        <v>9</v>
      </c>
      <c r="B48" s="186" t="s">
        <v>86</v>
      </c>
      <c r="C48" s="182" t="s">
        <v>335</v>
      </c>
      <c r="D48" s="75" t="s">
        <v>88</v>
      </c>
      <c r="E48" s="75">
        <v>100</v>
      </c>
      <c r="F48" s="576"/>
      <c r="G48" s="577"/>
      <c r="H48" s="577">
        <f t="shared" si="7"/>
        <v>0</v>
      </c>
      <c r="I48" s="577"/>
      <c r="J48" s="577"/>
      <c r="K48" s="578">
        <f t="shared" si="8"/>
        <v>0</v>
      </c>
      <c r="L48" s="576">
        <f t="shared" si="9"/>
        <v>0</v>
      </c>
      <c r="M48" s="577">
        <f t="shared" si="10"/>
        <v>0</v>
      </c>
      <c r="N48" s="577">
        <f t="shared" si="11"/>
        <v>0</v>
      </c>
      <c r="O48" s="577">
        <f t="shared" si="12"/>
        <v>0</v>
      </c>
      <c r="P48" s="578">
        <f t="shared" si="13"/>
        <v>0</v>
      </c>
    </row>
    <row r="49" spans="1:16" x14ac:dyDescent="0.2">
      <c r="A49" s="185">
        <v>10</v>
      </c>
      <c r="B49" s="186" t="s">
        <v>86</v>
      </c>
      <c r="C49" s="182" t="s">
        <v>336</v>
      </c>
      <c r="D49" s="75" t="s">
        <v>325</v>
      </c>
      <c r="E49" s="75">
        <v>1</v>
      </c>
      <c r="F49" s="576"/>
      <c r="G49" s="577"/>
      <c r="H49" s="572">
        <f t="shared" si="7"/>
        <v>0</v>
      </c>
      <c r="I49" s="577"/>
      <c r="J49" s="577"/>
      <c r="K49" s="573">
        <f t="shared" si="8"/>
        <v>0</v>
      </c>
      <c r="L49" s="574">
        <f t="shared" si="9"/>
        <v>0</v>
      </c>
      <c r="M49" s="572">
        <f t="shared" si="10"/>
        <v>0</v>
      </c>
      <c r="N49" s="572">
        <f t="shared" si="11"/>
        <v>0</v>
      </c>
      <c r="O49" s="572">
        <f t="shared" si="12"/>
        <v>0</v>
      </c>
      <c r="P49" s="573">
        <f t="shared" si="13"/>
        <v>0</v>
      </c>
    </row>
    <row r="50" spans="1:16" ht="22.5" x14ac:dyDescent="0.2">
      <c r="A50" s="185">
        <v>11</v>
      </c>
      <c r="B50" s="186" t="s">
        <v>86</v>
      </c>
      <c r="C50" s="182" t="s">
        <v>337</v>
      </c>
      <c r="D50" s="75" t="s">
        <v>325</v>
      </c>
      <c r="E50" s="75">
        <v>13</v>
      </c>
      <c r="F50" s="576"/>
      <c r="G50" s="577"/>
      <c r="H50" s="577">
        <f t="shared" si="7"/>
        <v>0</v>
      </c>
      <c r="I50" s="577"/>
      <c r="J50" s="577"/>
      <c r="K50" s="578">
        <f t="shared" si="8"/>
        <v>0</v>
      </c>
      <c r="L50" s="576">
        <f t="shared" si="9"/>
        <v>0</v>
      </c>
      <c r="M50" s="577">
        <f t="shared" si="10"/>
        <v>0</v>
      </c>
      <c r="N50" s="577">
        <f t="shared" si="11"/>
        <v>0</v>
      </c>
      <c r="O50" s="577">
        <f t="shared" si="12"/>
        <v>0</v>
      </c>
      <c r="P50" s="578">
        <f t="shared" si="13"/>
        <v>0</v>
      </c>
    </row>
    <row r="51" spans="1:16" x14ac:dyDescent="0.2">
      <c r="A51" s="185">
        <v>12</v>
      </c>
      <c r="B51" s="186" t="s">
        <v>86</v>
      </c>
      <c r="C51" s="182" t="s">
        <v>338</v>
      </c>
      <c r="D51" s="75" t="s">
        <v>176</v>
      </c>
      <c r="E51" s="75">
        <v>50</v>
      </c>
      <c r="F51" s="576"/>
      <c r="G51" s="577"/>
      <c r="H51" s="572">
        <f t="shared" si="7"/>
        <v>0</v>
      </c>
      <c r="I51" s="577"/>
      <c r="J51" s="577"/>
      <c r="K51" s="573">
        <f t="shared" si="8"/>
        <v>0</v>
      </c>
      <c r="L51" s="574">
        <f t="shared" si="9"/>
        <v>0</v>
      </c>
      <c r="M51" s="572">
        <f t="shared" si="10"/>
        <v>0</v>
      </c>
      <c r="N51" s="572">
        <f t="shared" si="11"/>
        <v>0</v>
      </c>
      <c r="O51" s="572">
        <f t="shared" si="12"/>
        <v>0</v>
      </c>
      <c r="P51" s="573">
        <f t="shared" si="13"/>
        <v>0</v>
      </c>
    </row>
    <row r="52" spans="1:16" x14ac:dyDescent="0.2">
      <c r="A52" s="185">
        <v>13</v>
      </c>
      <c r="B52" s="186" t="s">
        <v>86</v>
      </c>
      <c r="C52" s="182" t="s">
        <v>339</v>
      </c>
      <c r="D52" s="75" t="s">
        <v>325</v>
      </c>
      <c r="E52" s="75">
        <v>1</v>
      </c>
      <c r="F52" s="576"/>
      <c r="G52" s="577"/>
      <c r="H52" s="577">
        <f t="shared" si="7"/>
        <v>0</v>
      </c>
      <c r="I52" s="577"/>
      <c r="J52" s="577"/>
      <c r="K52" s="578">
        <f t="shared" si="8"/>
        <v>0</v>
      </c>
      <c r="L52" s="576">
        <f t="shared" si="9"/>
        <v>0</v>
      </c>
      <c r="M52" s="577">
        <f t="shared" si="10"/>
        <v>0</v>
      </c>
      <c r="N52" s="577">
        <f t="shared" si="11"/>
        <v>0</v>
      </c>
      <c r="O52" s="577">
        <f t="shared" si="12"/>
        <v>0</v>
      </c>
      <c r="P52" s="578">
        <f t="shared" si="13"/>
        <v>0</v>
      </c>
    </row>
    <row r="53" spans="1:16" ht="12" thickBot="1" x14ac:dyDescent="0.25">
      <c r="A53" s="179">
        <v>14</v>
      </c>
      <c r="B53" s="190" t="s">
        <v>86</v>
      </c>
      <c r="C53" s="191" t="s">
        <v>340</v>
      </c>
      <c r="D53" s="192" t="s">
        <v>325</v>
      </c>
      <c r="E53" s="192">
        <v>1</v>
      </c>
      <c r="F53" s="576"/>
      <c r="G53" s="577"/>
      <c r="H53" s="572">
        <f t="shared" si="7"/>
        <v>0</v>
      </c>
      <c r="I53" s="577"/>
      <c r="J53" s="577"/>
      <c r="K53" s="573">
        <f t="shared" si="8"/>
        <v>0</v>
      </c>
      <c r="L53" s="574">
        <f t="shared" si="9"/>
        <v>0</v>
      </c>
      <c r="M53" s="572">
        <f t="shared" si="10"/>
        <v>0</v>
      </c>
      <c r="N53" s="572">
        <f t="shared" si="11"/>
        <v>0</v>
      </c>
      <c r="O53" s="572">
        <f t="shared" si="12"/>
        <v>0</v>
      </c>
      <c r="P53" s="573">
        <f t="shared" si="13"/>
        <v>0</v>
      </c>
    </row>
    <row r="54" spans="1:16" ht="12" thickBot="1" x14ac:dyDescent="0.25">
      <c r="A54" s="193"/>
      <c r="B54" s="656" t="s">
        <v>612</v>
      </c>
      <c r="C54" s="656"/>
      <c r="D54" s="656"/>
      <c r="E54" s="656"/>
      <c r="F54" s="656"/>
      <c r="G54" s="656"/>
      <c r="H54" s="656"/>
      <c r="I54" s="656"/>
      <c r="J54" s="656"/>
      <c r="K54" s="656"/>
      <c r="L54" s="582">
        <f>SUM(L14:L53)</f>
        <v>0</v>
      </c>
      <c r="M54" s="582">
        <f t="shared" ref="M54:P54" si="14">SUM(M14:M53)</f>
        <v>0</v>
      </c>
      <c r="N54" s="582">
        <f t="shared" si="14"/>
        <v>0</v>
      </c>
      <c r="O54" s="582">
        <f t="shared" si="14"/>
        <v>0</v>
      </c>
      <c r="P54" s="582">
        <f t="shared" si="14"/>
        <v>0</v>
      </c>
    </row>
    <row r="55" spans="1:16" x14ac:dyDescent="0.2">
      <c r="A55" s="193"/>
      <c r="B55" s="194"/>
      <c r="C55" s="195"/>
      <c r="D55" s="196"/>
      <c r="E55" s="197"/>
      <c r="F55" s="198"/>
      <c r="G55" s="199"/>
      <c r="H55" s="198"/>
      <c r="I55" s="200"/>
      <c r="J55" s="199"/>
      <c r="K55" s="201"/>
      <c r="L55" s="201"/>
      <c r="M55" s="201"/>
      <c r="N55" s="201"/>
      <c r="O55" s="201"/>
      <c r="P55" s="201"/>
    </row>
    <row r="56" spans="1:16" x14ac:dyDescent="0.2">
      <c r="A56" s="202"/>
      <c r="B56" s="202"/>
      <c r="C56" s="202"/>
      <c r="D56" s="202"/>
      <c r="E56" s="202"/>
      <c r="F56" s="202"/>
      <c r="G56" s="202"/>
      <c r="H56" s="202"/>
      <c r="I56" s="202"/>
      <c r="J56" s="202"/>
      <c r="K56" s="202"/>
      <c r="L56" s="202"/>
      <c r="M56" s="202"/>
      <c r="N56" s="202"/>
      <c r="O56" s="202"/>
      <c r="P56" s="202"/>
    </row>
    <row r="57" spans="1:16" x14ac:dyDescent="0.2">
      <c r="A57" s="159" t="s">
        <v>14</v>
      </c>
      <c r="B57" s="202"/>
      <c r="C57" s="671">
        <f>'Kops a'!C36:H36</f>
        <v>0</v>
      </c>
      <c r="D57" s="671"/>
      <c r="E57" s="671"/>
      <c r="F57" s="671"/>
      <c r="G57" s="671"/>
      <c r="H57" s="671"/>
      <c r="I57" s="202"/>
      <c r="J57" s="202"/>
      <c r="K57" s="202"/>
      <c r="L57" s="202"/>
      <c r="M57" s="202"/>
      <c r="N57" s="202"/>
      <c r="O57" s="202"/>
      <c r="P57" s="202"/>
    </row>
    <row r="58" spans="1:16" x14ac:dyDescent="0.2">
      <c r="A58" s="202"/>
      <c r="B58" s="202"/>
      <c r="C58" s="590" t="s">
        <v>15</v>
      </c>
      <c r="D58" s="590"/>
      <c r="E58" s="590"/>
      <c r="F58" s="590"/>
      <c r="G58" s="590"/>
      <c r="H58" s="590"/>
      <c r="I58" s="202"/>
      <c r="J58" s="202"/>
      <c r="K58" s="202"/>
      <c r="L58" s="202"/>
      <c r="M58" s="202"/>
      <c r="N58" s="202"/>
      <c r="O58" s="202"/>
      <c r="P58" s="202"/>
    </row>
    <row r="59" spans="1:16" x14ac:dyDescent="0.2">
      <c r="A59" s="202"/>
      <c r="B59" s="202"/>
      <c r="C59" s="202"/>
      <c r="D59" s="202"/>
      <c r="E59" s="202"/>
      <c r="F59" s="202"/>
      <c r="G59" s="202"/>
      <c r="H59" s="202"/>
      <c r="I59" s="202"/>
      <c r="J59" s="202"/>
      <c r="K59" s="202"/>
      <c r="L59" s="202"/>
      <c r="M59" s="202"/>
      <c r="N59" s="202"/>
      <c r="O59" s="202"/>
      <c r="P59" s="202"/>
    </row>
    <row r="60" spans="1:16" x14ac:dyDescent="0.2">
      <c r="A60" s="203" t="str">
        <f>'Kops a'!A39</f>
        <v>Tāme sastādīta 2021. gada</v>
      </c>
      <c r="B60" s="204"/>
      <c r="C60" s="204"/>
      <c r="D60" s="204"/>
      <c r="E60" s="202"/>
      <c r="F60" s="202"/>
      <c r="G60" s="202"/>
      <c r="H60" s="202"/>
      <c r="I60" s="202"/>
      <c r="J60" s="202"/>
      <c r="K60" s="202"/>
      <c r="L60" s="202"/>
      <c r="M60" s="202"/>
      <c r="N60" s="202"/>
      <c r="O60" s="202"/>
      <c r="P60" s="202"/>
    </row>
    <row r="61" spans="1:16" x14ac:dyDescent="0.2">
      <c r="A61" s="202"/>
      <c r="B61" s="202"/>
      <c r="C61" s="202"/>
      <c r="D61" s="202"/>
      <c r="E61" s="202"/>
      <c r="F61" s="202"/>
      <c r="G61" s="202"/>
      <c r="H61" s="202"/>
      <c r="I61" s="202"/>
      <c r="J61" s="202"/>
      <c r="K61" s="202"/>
      <c r="L61" s="202"/>
      <c r="M61" s="202"/>
      <c r="N61" s="202"/>
      <c r="O61" s="202"/>
      <c r="P61" s="202"/>
    </row>
    <row r="62" spans="1:16" x14ac:dyDescent="0.2">
      <c r="A62" s="159" t="s">
        <v>38</v>
      </c>
      <c r="B62" s="202"/>
      <c r="C62" s="672">
        <f>'Kops a'!C41:H41</f>
        <v>0</v>
      </c>
      <c r="D62" s="672"/>
      <c r="E62" s="672"/>
      <c r="F62" s="672"/>
      <c r="G62" s="672"/>
      <c r="H62" s="672"/>
      <c r="I62" s="202"/>
      <c r="J62" s="202"/>
      <c r="K62" s="202"/>
      <c r="L62" s="202"/>
      <c r="M62" s="202"/>
      <c r="N62" s="202"/>
      <c r="O62" s="202"/>
      <c r="P62" s="202"/>
    </row>
    <row r="63" spans="1:16" x14ac:dyDescent="0.2">
      <c r="A63" s="202"/>
      <c r="B63" s="202"/>
      <c r="C63" s="590" t="s">
        <v>15</v>
      </c>
      <c r="D63" s="590"/>
      <c r="E63" s="590"/>
      <c r="F63" s="590"/>
      <c r="G63" s="590"/>
      <c r="H63" s="590"/>
      <c r="I63" s="202"/>
      <c r="J63" s="202"/>
      <c r="K63" s="202"/>
      <c r="L63" s="202"/>
      <c r="M63" s="202"/>
      <c r="N63" s="202"/>
      <c r="O63" s="202"/>
      <c r="P63" s="202"/>
    </row>
    <row r="64" spans="1:16" x14ac:dyDescent="0.2">
      <c r="A64" s="202"/>
      <c r="B64" s="202"/>
      <c r="C64" s="202"/>
      <c r="D64" s="202"/>
      <c r="E64" s="202"/>
      <c r="F64" s="202"/>
      <c r="G64" s="202"/>
      <c r="H64" s="202"/>
      <c r="I64" s="202"/>
      <c r="J64" s="202"/>
      <c r="K64" s="202"/>
      <c r="L64" s="202"/>
      <c r="M64" s="202"/>
      <c r="N64" s="202"/>
      <c r="O64" s="202"/>
      <c r="P64" s="202"/>
    </row>
    <row r="65" spans="1:16" x14ac:dyDescent="0.2">
      <c r="A65" s="203" t="s">
        <v>53</v>
      </c>
      <c r="B65" s="204"/>
      <c r="C65" s="159">
        <f>'Kops a'!C44</f>
        <v>0</v>
      </c>
      <c r="D65" s="205"/>
      <c r="E65" s="202"/>
      <c r="F65" s="202"/>
      <c r="G65" s="202"/>
      <c r="H65" s="202"/>
      <c r="I65" s="202"/>
      <c r="J65" s="202"/>
      <c r="K65" s="202"/>
      <c r="L65" s="202"/>
      <c r="M65" s="202"/>
      <c r="N65" s="202"/>
      <c r="O65" s="202"/>
      <c r="P65" s="202"/>
    </row>
    <row r="67" spans="1:16" x14ac:dyDescent="0.2">
      <c r="A67" s="687" t="s">
        <v>687</v>
      </c>
      <c r="B67" s="688"/>
      <c r="C67" s="689"/>
      <c r="D67" s="689"/>
      <c r="E67" s="690"/>
      <c r="F67" s="691"/>
      <c r="G67" s="690"/>
      <c r="H67" s="692"/>
      <c r="I67" s="692"/>
      <c r="J67" s="693"/>
      <c r="K67" s="694"/>
      <c r="L67" s="694"/>
      <c r="M67" s="694"/>
      <c r="N67" s="694"/>
      <c r="O67" s="694"/>
    </row>
    <row r="68" spans="1:16" x14ac:dyDescent="0.2">
      <c r="A68" s="695" t="s">
        <v>688</v>
      </c>
      <c r="B68" s="695"/>
      <c r="C68" s="695"/>
      <c r="D68" s="695"/>
      <c r="E68" s="695"/>
      <c r="F68" s="695"/>
      <c r="G68" s="695"/>
      <c r="H68" s="695"/>
      <c r="I68" s="695"/>
      <c r="J68" s="695"/>
      <c r="K68" s="695"/>
      <c r="L68" s="695"/>
      <c r="M68" s="695"/>
      <c r="N68" s="695"/>
      <c r="O68" s="695"/>
    </row>
    <row r="69" spans="1:16" x14ac:dyDescent="0.2">
      <c r="A69" s="695" t="s">
        <v>689</v>
      </c>
      <c r="B69" s="695"/>
      <c r="C69" s="695"/>
      <c r="D69" s="695"/>
      <c r="E69" s="695"/>
      <c r="F69" s="695"/>
      <c r="G69" s="695"/>
      <c r="H69" s="695"/>
      <c r="I69" s="695"/>
      <c r="J69" s="695"/>
      <c r="K69" s="695"/>
      <c r="L69" s="695"/>
      <c r="M69" s="695"/>
      <c r="N69" s="695"/>
      <c r="O69" s="695"/>
    </row>
  </sheetData>
  <mergeCells count="24">
    <mergeCell ref="A68:O68"/>
    <mergeCell ref="A69:O69"/>
    <mergeCell ref="D7:L7"/>
    <mergeCell ref="C2:I2"/>
    <mergeCell ref="C3:I3"/>
    <mergeCell ref="C4:I4"/>
    <mergeCell ref="D5:L5"/>
    <mergeCell ref="D6:L6"/>
    <mergeCell ref="L12:P12"/>
    <mergeCell ref="D8:L8"/>
    <mergeCell ref="A9:F9"/>
    <mergeCell ref="J9:M9"/>
    <mergeCell ref="N9:O9"/>
    <mergeCell ref="A12:A13"/>
    <mergeCell ref="B12:B13"/>
    <mergeCell ref="C12:C13"/>
    <mergeCell ref="D12:D13"/>
    <mergeCell ref="E12:E13"/>
    <mergeCell ref="F12:K12"/>
    <mergeCell ref="C58:H58"/>
    <mergeCell ref="C62:H62"/>
    <mergeCell ref="C63:H63"/>
    <mergeCell ref="B54:K54"/>
    <mergeCell ref="C57:H57"/>
  </mergeCells>
  <conditionalFormatting sqref="D5:L8 C4:I4 C62:H62 C57:H57 A15:E53">
    <cfRule type="cellIs" dxfId="9" priority="7" operator="equal">
      <formula>0</formula>
    </cfRule>
  </conditionalFormatting>
  <conditionalFormatting sqref="N9:O9 C2:I2 C62:H62 C57:H57">
    <cfRule type="cellIs" dxfId="8" priority="8" operator="equal">
      <formula>0</formula>
    </cfRule>
  </conditionalFormatting>
  <conditionalFormatting sqref="A9:F9 B54:K54">
    <cfRule type="containsText" dxfId="7" priority="9" operator="containsText" text="Tāme sastādīta  20__. gada tirgus cenās, pamatojoties uz ___ daļas rasējumiem"/>
  </conditionalFormatting>
  <conditionalFormatting sqref="O10">
    <cfRule type="cellIs" dxfId="6" priority="10" operator="equal">
      <formula>"20__. gada __. _________"</formula>
    </cfRule>
  </conditionalFormatting>
  <conditionalFormatting sqref="P10">
    <cfRule type="cellIs" dxfId="5" priority="16" operator="equal">
      <formula>"20__. gada __. _________"</formula>
    </cfRule>
  </conditionalFormatting>
  <conditionalFormatting sqref="C65">
    <cfRule type="cellIs" dxfId="4" priority="17" operator="equal">
      <formula>0</formula>
    </cfRule>
  </conditionalFormatting>
  <conditionalFormatting sqref="D1">
    <cfRule type="cellIs" dxfId="3" priority="18" operator="equal">
      <formula>0</formula>
    </cfRule>
  </conditionalFormatting>
  <conditionalFormatting sqref="I14:J53 F14:G53">
    <cfRule type="cellIs" dxfId="2" priority="3" operator="equal">
      <formula>0</formula>
    </cfRule>
  </conditionalFormatting>
  <conditionalFormatting sqref="H14:H53 K14:P53">
    <cfRule type="cellIs" dxfId="1" priority="2" operator="equal">
      <formula>0</formula>
    </cfRule>
  </conditionalFormatting>
  <conditionalFormatting sqref="L54:P54">
    <cfRule type="cellIs" dxfId="0" priority="1" operator="equal">
      <formula>0</formula>
    </cfRule>
  </conditionalFormatting>
  <pageMargins left="0.19685039370078741" right="0.19685039370078741" top="0.75196850393700787" bottom="0.39370078740157483" header="0.51181102362204722" footer="0.51181102362204722"/>
  <pageSetup paperSize="9" scale="75" firstPageNumber="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I44"/>
  <sheetViews>
    <sheetView view="pageBreakPreview" zoomScaleNormal="100" zoomScaleSheetLayoutView="100" workbookViewId="0">
      <selection activeCell="F34" sqref="F34"/>
    </sheetView>
  </sheetViews>
  <sheetFormatPr defaultColWidth="8.6640625" defaultRowHeight="11.25" x14ac:dyDescent="0.2"/>
  <cols>
    <col min="1" max="1" width="3.83203125" style="159" customWidth="1"/>
    <col min="2" max="2" width="5.33203125" style="159" customWidth="1"/>
    <col min="3" max="3" width="28.33203125" style="159" customWidth="1"/>
    <col min="4" max="4" width="6.83203125" style="159" customWidth="1"/>
    <col min="5" max="5" width="11.83203125" style="159" customWidth="1"/>
    <col min="6" max="7" width="9.83203125" style="159" customWidth="1"/>
    <col min="8" max="8" width="8.6640625" style="159" customWidth="1"/>
    <col min="9" max="188" width="9.1640625" style="159" customWidth="1"/>
    <col min="189" max="189" width="3.6640625" style="159" customWidth="1"/>
    <col min="190" max="190" width="4.5" style="159" customWidth="1"/>
    <col min="191" max="191" width="5.83203125" style="159" customWidth="1"/>
    <col min="192" max="192" width="35.83203125" style="159" customWidth="1"/>
    <col min="193" max="193" width="9.6640625" style="159" customWidth="1"/>
    <col min="194" max="194" width="11.83203125" style="159" customWidth="1"/>
    <col min="195" max="195" width="8.83203125" style="159" customWidth="1"/>
    <col min="196" max="196" width="9.6640625" style="159" customWidth="1"/>
    <col min="197" max="197" width="9.33203125" style="159" customWidth="1"/>
    <col min="198" max="198" width="8.6640625" style="159" customWidth="1"/>
    <col min="199" max="199" width="6.83203125" style="159" customWidth="1"/>
    <col min="200" max="444" width="9.1640625" style="159" customWidth="1"/>
    <col min="445" max="445" width="3.6640625" style="159" customWidth="1"/>
    <col min="446" max="446" width="4.5" style="159" customWidth="1"/>
    <col min="447" max="447" width="5.83203125" style="159" customWidth="1"/>
    <col min="448" max="448" width="35.83203125" style="159" customWidth="1"/>
    <col min="449" max="449" width="9.6640625" style="159" customWidth="1"/>
    <col min="450" max="450" width="11.83203125" style="159" customWidth="1"/>
    <col min="451" max="451" width="8.83203125" style="159" customWidth="1"/>
    <col min="452" max="452" width="9.6640625" style="159" customWidth="1"/>
    <col min="453" max="453" width="9.33203125" style="159" customWidth="1"/>
    <col min="454" max="454" width="8.6640625" style="159" customWidth="1"/>
    <col min="455" max="455" width="6.83203125" style="159" customWidth="1"/>
    <col min="456" max="700" width="9.1640625" style="159" customWidth="1"/>
    <col min="701" max="701" width="3.6640625" style="159" customWidth="1"/>
    <col min="702" max="702" width="4.5" style="159" customWidth="1"/>
    <col min="703" max="703" width="5.83203125" style="159" customWidth="1"/>
    <col min="704" max="704" width="35.83203125" style="159" customWidth="1"/>
    <col min="705" max="705" width="9.6640625" style="159" customWidth="1"/>
    <col min="706" max="706" width="11.83203125" style="159" customWidth="1"/>
    <col min="707" max="707" width="8.83203125" style="159" customWidth="1"/>
    <col min="708" max="708" width="9.6640625" style="159" customWidth="1"/>
    <col min="709" max="709" width="9.33203125" style="159" customWidth="1"/>
    <col min="710" max="710" width="8.6640625" style="159" customWidth="1"/>
    <col min="711" max="711" width="6.83203125" style="159" customWidth="1"/>
    <col min="712" max="956" width="9.1640625" style="159" customWidth="1"/>
    <col min="957" max="957" width="3.6640625" style="159" customWidth="1"/>
    <col min="958" max="958" width="4.5" style="159" customWidth="1"/>
    <col min="959" max="959" width="5.83203125" style="159" customWidth="1"/>
    <col min="960" max="960" width="35.83203125" style="159" customWidth="1"/>
    <col min="961" max="961" width="9.6640625" style="159" customWidth="1"/>
    <col min="962" max="962" width="11.83203125" style="159" customWidth="1"/>
    <col min="963" max="963" width="8.83203125" style="159" customWidth="1"/>
    <col min="964" max="964" width="9.6640625" style="159" customWidth="1"/>
    <col min="965" max="965" width="9.33203125" style="159" customWidth="1"/>
    <col min="966" max="966" width="8.6640625" style="159" customWidth="1"/>
    <col min="967" max="967" width="6.83203125" style="159" customWidth="1"/>
    <col min="968" max="1025" width="9.1640625" style="159" customWidth="1"/>
    <col min="1026" max="16384" width="8.6640625" style="159"/>
  </cols>
  <sheetData>
    <row r="1" spans="1:9" x14ac:dyDescent="0.2">
      <c r="C1" s="164"/>
      <c r="G1" s="587"/>
      <c r="H1" s="587"/>
      <c r="I1" s="587"/>
    </row>
    <row r="2" spans="1:9" x14ac:dyDescent="0.2">
      <c r="A2" s="603" t="s">
        <v>17</v>
      </c>
      <c r="B2" s="603"/>
      <c r="C2" s="603"/>
      <c r="D2" s="603"/>
      <c r="E2" s="603"/>
      <c r="F2" s="603"/>
      <c r="G2" s="603"/>
      <c r="H2" s="603"/>
      <c r="I2" s="603"/>
    </row>
    <row r="3" spans="1:9" x14ac:dyDescent="0.2">
      <c r="A3" s="521"/>
      <c r="B3" s="521"/>
      <c r="C3" s="521"/>
      <c r="D3" s="521"/>
      <c r="E3" s="521"/>
      <c r="F3" s="521"/>
      <c r="G3" s="521"/>
      <c r="H3" s="521"/>
      <c r="I3" s="521"/>
    </row>
    <row r="4" spans="1:9" x14ac:dyDescent="0.2">
      <c r="A4" s="521"/>
      <c r="B4" s="521"/>
      <c r="C4" s="604" t="s">
        <v>18</v>
      </c>
      <c r="D4" s="604"/>
      <c r="E4" s="604"/>
      <c r="F4" s="604"/>
      <c r="G4" s="604"/>
      <c r="H4" s="604"/>
      <c r="I4" s="604"/>
    </row>
    <row r="5" spans="1:9" x14ac:dyDescent="0.2">
      <c r="A5" s="202"/>
      <c r="B5" s="202"/>
      <c r="C5" s="605" t="s">
        <v>4</v>
      </c>
      <c r="D5" s="605"/>
      <c r="E5" s="605"/>
      <c r="F5" s="605"/>
      <c r="G5" s="605"/>
      <c r="H5" s="605"/>
      <c r="I5" s="605"/>
    </row>
    <row r="6" spans="1:9" x14ac:dyDescent="0.2">
      <c r="A6" s="606" t="s">
        <v>19</v>
      </c>
      <c r="B6" s="606"/>
      <c r="C6" s="606"/>
      <c r="D6" s="607" t="str">
        <f>'Kopt a'!B13</f>
        <v>Daudzīvokļu dzīvojamā māja</v>
      </c>
      <c r="E6" s="607"/>
      <c r="F6" s="607"/>
      <c r="G6" s="607"/>
      <c r="H6" s="607"/>
      <c r="I6" s="607"/>
    </row>
    <row r="7" spans="1:9" x14ac:dyDescent="0.2">
      <c r="A7" s="606" t="s">
        <v>6</v>
      </c>
      <c r="B7" s="606"/>
      <c r="C7" s="606"/>
      <c r="D7" s="610" t="str">
        <f>'Kopt a'!B14</f>
        <v>fasādes vienkāršotā atjaunošana</v>
      </c>
      <c r="E7" s="610"/>
      <c r="F7" s="610"/>
      <c r="G7" s="610"/>
      <c r="H7" s="610"/>
      <c r="I7" s="610"/>
    </row>
    <row r="8" spans="1:9" x14ac:dyDescent="0.2">
      <c r="A8" s="611" t="s">
        <v>20</v>
      </c>
      <c r="B8" s="611"/>
      <c r="C8" s="611"/>
      <c r="D8" s="610" t="str">
        <f>'Kopt a'!B15</f>
        <v>Lēņu iela 2, Liepājā</v>
      </c>
      <c r="E8" s="610"/>
      <c r="F8" s="610"/>
      <c r="G8" s="610"/>
      <c r="H8" s="610"/>
      <c r="I8" s="610"/>
    </row>
    <row r="9" spans="1:9" x14ac:dyDescent="0.2">
      <c r="A9" s="611" t="s">
        <v>21</v>
      </c>
      <c r="B9" s="611"/>
      <c r="C9" s="611"/>
      <c r="D9" s="610" t="str">
        <f>'Kopt a'!B16</f>
        <v>WS-90-17 Līg.Nr. 2017/3-62/479</v>
      </c>
      <c r="E9" s="610"/>
      <c r="F9" s="610"/>
      <c r="G9" s="610"/>
      <c r="H9" s="610"/>
      <c r="I9" s="610"/>
    </row>
    <row r="10" spans="1:9" x14ac:dyDescent="0.2">
      <c r="C10" s="164" t="s">
        <v>22</v>
      </c>
      <c r="D10" s="608">
        <f>E31</f>
        <v>0</v>
      </c>
      <c r="E10" s="608"/>
      <c r="F10" s="522"/>
      <c r="G10" s="522"/>
      <c r="H10" s="522"/>
      <c r="I10" s="522"/>
    </row>
    <row r="11" spans="1:9" x14ac:dyDescent="0.2">
      <c r="C11" s="164" t="s">
        <v>23</v>
      </c>
      <c r="D11" s="608">
        <f>I27</f>
        <v>0</v>
      </c>
      <c r="E11" s="608"/>
      <c r="F11" s="522"/>
      <c r="G11" s="522"/>
      <c r="H11" s="522"/>
      <c r="I11" s="522"/>
    </row>
    <row r="12" spans="1:9" x14ac:dyDescent="0.2">
      <c r="F12" s="523"/>
      <c r="G12" s="523"/>
      <c r="H12" s="523"/>
      <c r="I12" s="523"/>
    </row>
    <row r="13" spans="1:9" x14ac:dyDescent="0.2">
      <c r="A13" s="609" t="s">
        <v>24</v>
      </c>
      <c r="B13" s="612" t="s">
        <v>25</v>
      </c>
      <c r="C13" s="613" t="s">
        <v>26</v>
      </c>
      <c r="D13" s="613"/>
      <c r="E13" s="614" t="s">
        <v>27</v>
      </c>
      <c r="F13" s="615" t="s">
        <v>28</v>
      </c>
      <c r="G13" s="616"/>
      <c r="H13" s="616"/>
      <c r="I13" s="613" t="s">
        <v>29</v>
      </c>
    </row>
    <row r="14" spans="1:9" ht="23.25" thickBot="1" x14ac:dyDescent="0.25">
      <c r="A14" s="609"/>
      <c r="B14" s="612"/>
      <c r="C14" s="613"/>
      <c r="D14" s="613"/>
      <c r="E14" s="614"/>
      <c r="F14" s="524" t="s">
        <v>30</v>
      </c>
      <c r="G14" s="525" t="s">
        <v>31</v>
      </c>
      <c r="H14" s="525" t="s">
        <v>32</v>
      </c>
      <c r="I14" s="613"/>
    </row>
    <row r="15" spans="1:9" x14ac:dyDescent="0.2">
      <c r="A15" s="526">
        <v>1</v>
      </c>
      <c r="B15" s="527">
        <f>A15</f>
        <v>1</v>
      </c>
      <c r="C15" s="594" t="str">
        <f>'1a'!C2:I2</f>
        <v>Fasādes atjaunošanas darbi</v>
      </c>
      <c r="D15" s="594"/>
      <c r="E15" s="528">
        <f>'1a'!P84</f>
        <v>0</v>
      </c>
      <c r="F15" s="529">
        <f>'1a'!M84</f>
        <v>0</v>
      </c>
      <c r="G15" s="529">
        <f>'1a'!N84</f>
        <v>0</v>
      </c>
      <c r="H15" s="529">
        <f>'1a'!O84</f>
        <v>0</v>
      </c>
      <c r="I15" s="530">
        <f>'1a'!L84</f>
        <v>0</v>
      </c>
    </row>
    <row r="16" spans="1:9" x14ac:dyDescent="0.2">
      <c r="A16" s="531">
        <f>A15+1</f>
        <v>2</v>
      </c>
      <c r="B16" s="532">
        <f t="shared" ref="B16:B17" si="0">A16</f>
        <v>2</v>
      </c>
      <c r="C16" s="595" t="str">
        <f>'2a'!C2:I2</f>
        <v>Cokola siltināšana</v>
      </c>
      <c r="D16" s="595"/>
      <c r="E16" s="533">
        <f>'2a'!P67</f>
        <v>0</v>
      </c>
      <c r="F16" s="534">
        <f>'2a'!M67</f>
        <v>0</v>
      </c>
      <c r="G16" s="534">
        <f>'2a'!N67</f>
        <v>0</v>
      </c>
      <c r="H16" s="534">
        <f>'2a'!O67</f>
        <v>0</v>
      </c>
      <c r="I16" s="535">
        <f>'2a'!L67</f>
        <v>0</v>
      </c>
    </row>
    <row r="17" spans="1:9" x14ac:dyDescent="0.2">
      <c r="A17" s="531">
        <v>3</v>
      </c>
      <c r="B17" s="532">
        <f t="shared" si="0"/>
        <v>3</v>
      </c>
      <c r="C17" s="595" t="str">
        <f>'3a'!C2:I2</f>
        <v>Logu un durvju nomaiņa</v>
      </c>
      <c r="D17" s="595"/>
      <c r="E17" s="533">
        <f>'3a'!P77</f>
        <v>0</v>
      </c>
      <c r="F17" s="534">
        <f>'3a'!M77</f>
        <v>0</v>
      </c>
      <c r="G17" s="534">
        <f>'3a'!N77</f>
        <v>0</v>
      </c>
      <c r="H17" s="534">
        <f>'3a'!O77</f>
        <v>0</v>
      </c>
      <c r="I17" s="535">
        <f>'3a'!L77</f>
        <v>0</v>
      </c>
    </row>
    <row r="18" spans="1:9" x14ac:dyDescent="0.2">
      <c r="A18" s="531">
        <f t="shared" ref="A18:A24" si="1">A17+1</f>
        <v>4</v>
      </c>
      <c r="B18" s="532">
        <f t="shared" ref="B18:B20" si="2">A18</f>
        <v>4</v>
      </c>
      <c r="C18" s="595" t="str">
        <f>'4a'!C2:I2</f>
        <v>Pagraba siltināšana</v>
      </c>
      <c r="D18" s="595"/>
      <c r="E18" s="533">
        <f>'4a'!P21</f>
        <v>0</v>
      </c>
      <c r="F18" s="534">
        <f>'4a'!M21</f>
        <v>0</v>
      </c>
      <c r="G18" s="534">
        <f>'4a'!N21</f>
        <v>0</v>
      </c>
      <c r="H18" s="534">
        <f>'4a'!O21</f>
        <v>0</v>
      </c>
      <c r="I18" s="535">
        <f>'4a'!L21</f>
        <v>0</v>
      </c>
    </row>
    <row r="19" spans="1:9" x14ac:dyDescent="0.2">
      <c r="A19" s="531">
        <f t="shared" si="1"/>
        <v>5</v>
      </c>
      <c r="B19" s="532">
        <f t="shared" si="2"/>
        <v>5</v>
      </c>
      <c r="C19" s="599" t="str">
        <f>'5a'!C2</f>
        <v>Bēniņu siltināšana</v>
      </c>
      <c r="D19" s="600"/>
      <c r="E19" s="533">
        <f>'5a'!P41</f>
        <v>0</v>
      </c>
      <c r="F19" s="534">
        <f>'5a'!M41</f>
        <v>0</v>
      </c>
      <c r="G19" s="534">
        <f>'5a'!N41</f>
        <v>0</v>
      </c>
      <c r="H19" s="534">
        <f>'5a'!O41</f>
        <v>0</v>
      </c>
      <c r="I19" s="535">
        <f>'5a'!L41</f>
        <v>0</v>
      </c>
    </row>
    <row r="20" spans="1:9" x14ac:dyDescent="0.2">
      <c r="A20" s="531">
        <f t="shared" si="1"/>
        <v>6</v>
      </c>
      <c r="B20" s="532">
        <f t="shared" si="2"/>
        <v>6</v>
      </c>
      <c r="C20" s="595" t="str">
        <f>'6a'!C2</f>
        <v>Ieejas atjaunošana</v>
      </c>
      <c r="D20" s="595"/>
      <c r="E20" s="533">
        <f>'6a'!P94</f>
        <v>0</v>
      </c>
      <c r="F20" s="534">
        <f>'6a'!M94</f>
        <v>0</v>
      </c>
      <c r="G20" s="534">
        <f>'6a'!N94</f>
        <v>0</v>
      </c>
      <c r="H20" s="534">
        <f>'6a'!O94</f>
        <v>0</v>
      </c>
      <c r="I20" s="536">
        <f>'6a'!L94</f>
        <v>0</v>
      </c>
    </row>
    <row r="21" spans="1:9" x14ac:dyDescent="0.2">
      <c r="A21" s="531">
        <f t="shared" si="1"/>
        <v>7</v>
      </c>
      <c r="B21" s="532">
        <f t="shared" ref="B21:B22" si="3">A21</f>
        <v>7</v>
      </c>
      <c r="C21" s="595" t="str">
        <f>'7a'!C2:I2</f>
        <v>Lodžiju margas atjaunošana</v>
      </c>
      <c r="D21" s="595"/>
      <c r="E21" s="533">
        <f>'7a'!P34</f>
        <v>0</v>
      </c>
      <c r="F21" s="534">
        <f>'7a'!M34</f>
        <v>0</v>
      </c>
      <c r="G21" s="534">
        <f>'7a'!N34</f>
        <v>0</v>
      </c>
      <c r="H21" s="534">
        <f>'7a'!O34</f>
        <v>0</v>
      </c>
      <c r="I21" s="536">
        <f>'7a'!L34</f>
        <v>0</v>
      </c>
    </row>
    <row r="22" spans="1:9" x14ac:dyDescent="0.2">
      <c r="A22" s="531">
        <f t="shared" si="1"/>
        <v>8</v>
      </c>
      <c r="B22" s="532">
        <f t="shared" si="3"/>
        <v>8</v>
      </c>
      <c r="C22" s="595" t="str">
        <f>'8a'!C2:I2</f>
        <v>Jumta atjaunošana</v>
      </c>
      <c r="D22" s="595"/>
      <c r="E22" s="533">
        <f>'8a'!P108</f>
        <v>0</v>
      </c>
      <c r="F22" s="534">
        <f>'8a'!M108</f>
        <v>0</v>
      </c>
      <c r="G22" s="534">
        <f>'8a'!N108</f>
        <v>0</v>
      </c>
      <c r="H22" s="534">
        <f>'8a'!O108</f>
        <v>0</v>
      </c>
      <c r="I22" s="536">
        <f>'8a'!L108</f>
        <v>0</v>
      </c>
    </row>
    <row r="23" spans="1:9" x14ac:dyDescent="0.2">
      <c r="A23" s="531">
        <v>9</v>
      </c>
      <c r="B23" s="532">
        <f t="shared" ref="B23:B24" si="4">A23</f>
        <v>9</v>
      </c>
      <c r="C23" s="595" t="str">
        <f>'9a'!C2:I2</f>
        <v>Gāzesvada atvirzīšana</v>
      </c>
      <c r="D23" s="595"/>
      <c r="E23" s="533">
        <f>'9a'!P45</f>
        <v>0</v>
      </c>
      <c r="F23" s="534">
        <f>'9a'!M45</f>
        <v>0</v>
      </c>
      <c r="G23" s="534">
        <f>'9a'!N45</f>
        <v>0</v>
      </c>
      <c r="H23" s="534">
        <f>'9a'!O45</f>
        <v>0</v>
      </c>
      <c r="I23" s="535">
        <f>'9a'!L45</f>
        <v>0</v>
      </c>
    </row>
    <row r="24" spans="1:9" x14ac:dyDescent="0.2">
      <c r="A24" s="531">
        <f t="shared" si="1"/>
        <v>10</v>
      </c>
      <c r="B24" s="532">
        <f t="shared" si="4"/>
        <v>10</v>
      </c>
      <c r="C24" s="595" t="str">
        <f>'10a'!C2:J2</f>
        <v>Ūdensapgādes sistēmas atjaunošana</v>
      </c>
      <c r="D24" s="595"/>
      <c r="E24" s="533">
        <f>'10a'!P90</f>
        <v>0</v>
      </c>
      <c r="F24" s="534">
        <f>'10a'!M90</f>
        <v>0</v>
      </c>
      <c r="G24" s="534">
        <f>'10a'!N90</f>
        <v>0</v>
      </c>
      <c r="H24" s="534">
        <f>'10a'!O90</f>
        <v>0</v>
      </c>
      <c r="I24" s="535">
        <f>'10a'!L90</f>
        <v>0</v>
      </c>
    </row>
    <row r="25" spans="1:9" ht="16.5" customHeight="1" x14ac:dyDescent="0.2">
      <c r="A25" s="537">
        <v>11</v>
      </c>
      <c r="B25" s="538">
        <v>11</v>
      </c>
      <c r="C25" s="601" t="s">
        <v>352</v>
      </c>
      <c r="D25" s="602"/>
      <c r="E25" s="539">
        <f>'11a'!P25</f>
        <v>0</v>
      </c>
      <c r="F25" s="534">
        <f>'11a'!M25</f>
        <v>0</v>
      </c>
      <c r="G25" s="534">
        <f>'11a'!N25</f>
        <v>0</v>
      </c>
      <c r="H25" s="534">
        <f>'11a'!O25</f>
        <v>0</v>
      </c>
      <c r="I25" s="535">
        <f>'11a'!L25</f>
        <v>0</v>
      </c>
    </row>
    <row r="26" spans="1:9" ht="12" thickBot="1" x14ac:dyDescent="0.25">
      <c r="A26" s="531">
        <v>12</v>
      </c>
      <c r="B26" s="532">
        <f t="shared" ref="B26" si="5">A26</f>
        <v>12</v>
      </c>
      <c r="C26" s="595" t="str">
        <f>'12a'!C2:I2</f>
        <v>Zībens aizsardzības sistēmas zibuve</v>
      </c>
      <c r="D26" s="595"/>
      <c r="E26" s="533">
        <f>'12a'!P54</f>
        <v>0</v>
      </c>
      <c r="F26" s="540">
        <f>'12a'!M54</f>
        <v>0</v>
      </c>
      <c r="G26" s="540">
        <f>'12a'!N54</f>
        <v>0</v>
      </c>
      <c r="H26" s="540">
        <f>'12a'!O54</f>
        <v>0</v>
      </c>
      <c r="I26" s="535">
        <f>'12a'!L54</f>
        <v>0</v>
      </c>
    </row>
    <row r="27" spans="1:9" ht="12" thickBot="1" x14ac:dyDescent="0.25">
      <c r="A27" s="596" t="s">
        <v>33</v>
      </c>
      <c r="B27" s="596"/>
      <c r="C27" s="596"/>
      <c r="D27" s="596"/>
      <c r="E27" s="541">
        <f>SUM(E15:E26)</f>
        <v>0</v>
      </c>
      <c r="F27" s="541">
        <f>SUM(F15:F26)</f>
        <v>0</v>
      </c>
      <c r="G27" s="541">
        <f>SUM(G15:G26)</f>
        <v>0</v>
      </c>
      <c r="H27" s="541">
        <f>SUM(H15:H26)</f>
        <v>0</v>
      </c>
      <c r="I27" s="541">
        <f>SUM(I15:I26)</f>
        <v>0</v>
      </c>
    </row>
    <row r="28" spans="1:9" x14ac:dyDescent="0.2">
      <c r="A28" s="597" t="s">
        <v>34</v>
      </c>
      <c r="B28" s="597"/>
      <c r="C28" s="597"/>
      <c r="D28" s="542"/>
      <c r="E28" s="543">
        <f>ROUND(E27*$D28,2)</f>
        <v>0</v>
      </c>
      <c r="F28" s="544"/>
      <c r="G28" s="544"/>
      <c r="H28" s="544"/>
      <c r="I28" s="544"/>
    </row>
    <row r="29" spans="1:9" x14ac:dyDescent="0.2">
      <c r="A29" s="598" t="s">
        <v>35</v>
      </c>
      <c r="B29" s="598"/>
      <c r="C29" s="598"/>
      <c r="D29" s="545"/>
      <c r="E29" s="546">
        <f>ROUND(E28*$D29,2)</f>
        <v>0</v>
      </c>
      <c r="F29" s="544"/>
      <c r="G29" s="544"/>
      <c r="H29" s="544"/>
      <c r="I29" s="544"/>
    </row>
    <row r="30" spans="1:9" x14ac:dyDescent="0.2">
      <c r="A30" s="591" t="s">
        <v>36</v>
      </c>
      <c r="B30" s="591"/>
      <c r="C30" s="591"/>
      <c r="D30" s="547"/>
      <c r="E30" s="546">
        <f>ROUND(E27*$D30,2)</f>
        <v>0</v>
      </c>
      <c r="F30" s="544"/>
      <c r="H30" s="544"/>
      <c r="I30" s="544"/>
    </row>
    <row r="31" spans="1:9" ht="12" thickBot="1" x14ac:dyDescent="0.25">
      <c r="A31" s="592" t="s">
        <v>37</v>
      </c>
      <c r="B31" s="592"/>
      <c r="C31" s="680"/>
      <c r="D31" s="681"/>
      <c r="E31" s="682">
        <f>SUM(E27:E30)-E29</f>
        <v>0</v>
      </c>
      <c r="F31" s="544"/>
      <c r="G31" s="544"/>
      <c r="H31" s="544"/>
      <c r="I31" s="544"/>
    </row>
    <row r="32" spans="1:9" x14ac:dyDescent="0.2">
      <c r="C32" s="683" t="s">
        <v>605</v>
      </c>
      <c r="D32" s="684">
        <v>0.02</v>
      </c>
      <c r="E32" s="683">
        <f>ROUND(E31*D32,2)</f>
        <v>0</v>
      </c>
    </row>
    <row r="33" spans="1:9" x14ac:dyDescent="0.2">
      <c r="C33" s="685" t="s">
        <v>606</v>
      </c>
      <c r="D33" s="685"/>
      <c r="E33" s="686">
        <f>E32+E31</f>
        <v>0</v>
      </c>
      <c r="F33" s="156"/>
      <c r="G33" s="156"/>
      <c r="H33" s="156"/>
      <c r="I33" s="156"/>
    </row>
    <row r="36" spans="1:9" x14ac:dyDescent="0.2">
      <c r="A36" s="159" t="s">
        <v>14</v>
      </c>
      <c r="B36" s="202"/>
      <c r="C36" s="593">
        <f>sas</f>
        <v>0</v>
      </c>
      <c r="D36" s="593"/>
      <c r="E36" s="593"/>
      <c r="F36" s="593"/>
      <c r="G36" s="593"/>
      <c r="H36" s="593"/>
    </row>
    <row r="37" spans="1:9" x14ac:dyDescent="0.2">
      <c r="A37" s="202"/>
      <c r="B37" s="202"/>
      <c r="C37" s="590" t="s">
        <v>15</v>
      </c>
      <c r="D37" s="590"/>
      <c r="E37" s="590"/>
      <c r="F37" s="590"/>
      <c r="G37" s="590"/>
      <c r="H37" s="590"/>
    </row>
    <row r="38" spans="1:9" x14ac:dyDescent="0.2">
      <c r="A38" s="202"/>
      <c r="B38" s="202"/>
      <c r="C38" s="202"/>
      <c r="D38" s="202"/>
      <c r="E38" s="202"/>
      <c r="F38" s="202"/>
      <c r="G38" s="202"/>
      <c r="H38" s="202"/>
    </row>
    <row r="39" spans="1:9" x14ac:dyDescent="0.2">
      <c r="A39" s="203" t="str">
        <f>'Kopt a'!A30</f>
        <v>Tāme sastādīta 2021. gada</v>
      </c>
      <c r="B39" s="204"/>
      <c r="C39" s="204"/>
      <c r="D39" s="204"/>
      <c r="F39" s="202"/>
      <c r="G39" s="202"/>
      <c r="H39" s="202"/>
    </row>
    <row r="40" spans="1:9" x14ac:dyDescent="0.2">
      <c r="A40" s="202"/>
      <c r="B40" s="202"/>
      <c r="C40" s="202"/>
      <c r="D40" s="202"/>
      <c r="E40" s="202"/>
      <c r="F40" s="202"/>
      <c r="G40" s="202"/>
      <c r="H40" s="202"/>
    </row>
    <row r="41" spans="1:9" x14ac:dyDescent="0.2">
      <c r="A41" s="159" t="s">
        <v>38</v>
      </c>
      <c r="B41" s="202"/>
      <c r="C41" s="593">
        <f>C36</f>
        <v>0</v>
      </c>
      <c r="D41" s="593"/>
      <c r="E41" s="593"/>
      <c r="F41" s="593"/>
      <c r="G41" s="593"/>
      <c r="H41" s="593"/>
    </row>
    <row r="42" spans="1:9" x14ac:dyDescent="0.2">
      <c r="A42" s="202"/>
      <c r="B42" s="202"/>
      <c r="C42" s="590" t="s">
        <v>15</v>
      </c>
      <c r="D42" s="590"/>
      <c r="E42" s="590"/>
      <c r="F42" s="590"/>
      <c r="G42" s="590"/>
      <c r="H42" s="590"/>
    </row>
    <row r="43" spans="1:9" x14ac:dyDescent="0.2">
      <c r="A43" s="202"/>
      <c r="B43" s="202"/>
      <c r="C43" s="202"/>
      <c r="D43" s="202"/>
      <c r="E43" s="202"/>
      <c r="F43" s="202"/>
      <c r="G43" s="202"/>
      <c r="H43" s="202"/>
    </row>
    <row r="44" spans="1:9" x14ac:dyDescent="0.2">
      <c r="A44" s="203" t="s">
        <v>16</v>
      </c>
      <c r="B44" s="204"/>
      <c r="C44" s="585">
        <f>sert.nr</f>
        <v>0</v>
      </c>
      <c r="D44" s="204"/>
      <c r="F44" s="202"/>
      <c r="G44" s="202"/>
      <c r="H44" s="202"/>
    </row>
  </sheetData>
  <mergeCells count="41">
    <mergeCell ref="D10:E10"/>
    <mergeCell ref="D11:E11"/>
    <mergeCell ref="A13:A14"/>
    <mergeCell ref="A7:C7"/>
    <mergeCell ref="D7:I7"/>
    <mergeCell ref="A8:C8"/>
    <mergeCell ref="D8:I8"/>
    <mergeCell ref="A9:C9"/>
    <mergeCell ref="D9:I9"/>
    <mergeCell ref="B13:B14"/>
    <mergeCell ref="C13:D14"/>
    <mergeCell ref="E13:E14"/>
    <mergeCell ref="F13:H13"/>
    <mergeCell ref="I13:I14"/>
    <mergeCell ref="G1:I1"/>
    <mergeCell ref="A2:I2"/>
    <mergeCell ref="C4:I4"/>
    <mergeCell ref="C5:I5"/>
    <mergeCell ref="A6:C6"/>
    <mergeCell ref="D6:I6"/>
    <mergeCell ref="C15:D15"/>
    <mergeCell ref="C16:D16"/>
    <mergeCell ref="A27:D27"/>
    <mergeCell ref="A28:C28"/>
    <mergeCell ref="A29:C29"/>
    <mergeCell ref="C17:D17"/>
    <mergeCell ref="C18:D18"/>
    <mergeCell ref="C23:D23"/>
    <mergeCell ref="C26:D26"/>
    <mergeCell ref="C20:D20"/>
    <mergeCell ref="C19:D19"/>
    <mergeCell ref="C21:D21"/>
    <mergeCell ref="C22:D22"/>
    <mergeCell ref="C24:D24"/>
    <mergeCell ref="C25:D25"/>
    <mergeCell ref="C42:H42"/>
    <mergeCell ref="A30:C30"/>
    <mergeCell ref="A31:C31"/>
    <mergeCell ref="C36:H36"/>
    <mergeCell ref="C37:H37"/>
    <mergeCell ref="C41:H41"/>
  </mergeCells>
  <conditionalFormatting sqref="E27:I27 F15:I27">
    <cfRule type="cellIs" dxfId="180" priority="2" operator="equal">
      <formula>0</formula>
    </cfRule>
  </conditionalFormatting>
  <conditionalFormatting sqref="D10:E11 C20:D24 E15:E26 I15:I26 A15:B26 C15:D18 C26:D26 C25">
    <cfRule type="cellIs" dxfId="179" priority="3" operator="equal">
      <formula>0</formula>
    </cfRule>
  </conditionalFormatting>
  <conditionalFormatting sqref="E15 E28:E31 C19">
    <cfRule type="cellIs" dxfId="178" priority="4" operator="equal">
      <formula>0</formula>
    </cfRule>
  </conditionalFormatting>
  <conditionalFormatting sqref="D28:D30">
    <cfRule type="cellIs" dxfId="177" priority="5" operator="equal">
      <formula>0</formula>
    </cfRule>
  </conditionalFormatting>
  <conditionalFormatting sqref="C41:H41">
    <cfRule type="cellIs" dxfId="176" priority="6" operator="equal">
      <formula>0</formula>
    </cfRule>
  </conditionalFormatting>
  <conditionalFormatting sqref="C36:H36">
    <cfRule type="cellIs" dxfId="175" priority="7" operator="equal">
      <formula>0</formula>
    </cfRule>
  </conditionalFormatting>
  <conditionalFormatting sqref="D6:I9">
    <cfRule type="cellIs" dxfId="174" priority="10" operator="equal">
      <formula>0</formula>
    </cfRule>
  </conditionalFormatting>
  <conditionalFormatting sqref="C44">
    <cfRule type="cellIs" dxfId="173" priority="11" operator="equal">
      <formula>0</formula>
    </cfRule>
  </conditionalFormatting>
  <pageMargins left="0.19685039370078741" right="0.19685039370078741" top="0.75196850393700787" bottom="0.39370078740157483" header="0.51181102362204722" footer="0.51181102362204722"/>
  <pageSetup paperSize="9" scale="73" firstPageNumber="0" orientation="landscape" r:id="rId1"/>
  <ignoredErrors>
    <ignoredError sqref="F20:I20" formula="1"/>
  </ignoredError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P99"/>
  <sheetViews>
    <sheetView tabSelected="1" view="pageBreakPreview" topLeftCell="A80" zoomScale="115" zoomScaleNormal="82" zoomScaleSheetLayoutView="115" workbookViewId="0">
      <selection activeCell="M88" sqref="M88"/>
    </sheetView>
  </sheetViews>
  <sheetFormatPr defaultColWidth="8.6640625" defaultRowHeight="11.25" x14ac:dyDescent="0.2"/>
  <cols>
    <col min="1" max="1" width="4.5" style="159" customWidth="1"/>
    <col min="2" max="2" width="7.83203125" style="159" customWidth="1"/>
    <col min="3" max="3" width="41.83203125" style="159" customWidth="1"/>
    <col min="4" max="4" width="5.83203125" style="159" customWidth="1"/>
    <col min="5" max="5" width="8.6640625" style="159" customWidth="1"/>
    <col min="6" max="6" width="5.33203125" style="159" customWidth="1"/>
    <col min="7" max="7" width="4.83203125" style="159" customWidth="1"/>
    <col min="8" max="9" width="6.6640625" style="159" customWidth="1"/>
    <col min="10" max="10" width="8.33203125" style="159" customWidth="1"/>
    <col min="11" max="11" width="6.83203125" style="159" customWidth="1"/>
    <col min="12" max="12" width="7.6640625" style="159" customWidth="1"/>
    <col min="13" max="13" width="11.1640625" style="159" customWidth="1"/>
    <col min="14" max="15" width="7.6640625" style="159" customWidth="1"/>
    <col min="16" max="16" width="8.83203125" style="159" customWidth="1"/>
    <col min="17" max="908" width="9.1640625" style="159" customWidth="1"/>
    <col min="909" max="16384" width="8.6640625" style="159"/>
  </cols>
  <sheetData>
    <row r="1" spans="1:16" x14ac:dyDescent="0.2">
      <c r="A1" s="156"/>
      <c r="B1" s="156"/>
      <c r="C1" s="157" t="s">
        <v>39</v>
      </c>
      <c r="D1" s="158">
        <f>'Kops a'!A15</f>
        <v>1</v>
      </c>
      <c r="E1" s="156"/>
      <c r="F1" s="156"/>
      <c r="G1" s="156"/>
      <c r="H1" s="156"/>
      <c r="I1" s="156"/>
      <c r="J1" s="156"/>
      <c r="N1" s="160"/>
      <c r="O1" s="157"/>
      <c r="P1" s="161"/>
    </row>
    <row r="2" spans="1:16" x14ac:dyDescent="0.2">
      <c r="A2" s="162"/>
      <c r="B2" s="162"/>
      <c r="C2" s="630" t="s">
        <v>127</v>
      </c>
      <c r="D2" s="630"/>
      <c r="E2" s="630"/>
      <c r="F2" s="630"/>
      <c r="G2" s="630"/>
      <c r="H2" s="630"/>
      <c r="I2" s="630"/>
      <c r="J2" s="162"/>
    </row>
    <row r="3" spans="1:16" x14ac:dyDescent="0.2">
      <c r="A3" s="163"/>
      <c r="B3" s="163"/>
      <c r="C3" s="604" t="s">
        <v>18</v>
      </c>
      <c r="D3" s="604"/>
      <c r="E3" s="604"/>
      <c r="F3" s="604"/>
      <c r="G3" s="604"/>
      <c r="H3" s="604"/>
      <c r="I3" s="604"/>
      <c r="J3" s="163"/>
    </row>
    <row r="4" spans="1:16" x14ac:dyDescent="0.2">
      <c r="A4" s="163"/>
      <c r="B4" s="163"/>
      <c r="C4" s="631" t="s">
        <v>4</v>
      </c>
      <c r="D4" s="631"/>
      <c r="E4" s="631"/>
      <c r="F4" s="631"/>
      <c r="G4" s="631"/>
      <c r="H4" s="631"/>
      <c r="I4" s="631"/>
      <c r="J4" s="163"/>
    </row>
    <row r="5" spans="1:16" x14ac:dyDescent="0.2">
      <c r="A5" s="156"/>
      <c r="B5" s="156"/>
      <c r="C5" s="157" t="s">
        <v>5</v>
      </c>
      <c r="D5" s="626" t="str">
        <f>'Kops a'!D6</f>
        <v>Daudzīvokļu dzīvojamā māja</v>
      </c>
      <c r="E5" s="626"/>
      <c r="F5" s="626"/>
      <c r="G5" s="626"/>
      <c r="H5" s="626"/>
      <c r="I5" s="626"/>
      <c r="J5" s="626"/>
      <c r="K5" s="626"/>
      <c r="L5" s="626"/>
      <c r="M5" s="202"/>
      <c r="N5" s="202"/>
      <c r="O5" s="202"/>
      <c r="P5" s="202"/>
    </row>
    <row r="6" spans="1:16" x14ac:dyDescent="0.2">
      <c r="A6" s="156"/>
      <c r="B6" s="156"/>
      <c r="C6" s="157" t="s">
        <v>6</v>
      </c>
      <c r="D6" s="626" t="str">
        <f>'Kops a'!D7</f>
        <v>fasādes vienkāršotā atjaunošana</v>
      </c>
      <c r="E6" s="626"/>
      <c r="F6" s="626"/>
      <c r="G6" s="626"/>
      <c r="H6" s="626"/>
      <c r="I6" s="626"/>
      <c r="J6" s="626"/>
      <c r="K6" s="626"/>
      <c r="L6" s="626"/>
      <c r="M6" s="202"/>
      <c r="N6" s="202"/>
      <c r="O6" s="202"/>
      <c r="P6" s="202"/>
    </row>
    <row r="7" spans="1:16" x14ac:dyDescent="0.2">
      <c r="A7" s="156"/>
      <c r="B7" s="156"/>
      <c r="C7" s="157" t="s">
        <v>7</v>
      </c>
      <c r="D7" s="626" t="str">
        <f>'Kops a'!D8</f>
        <v>Lēņu iela 2, Liepājā</v>
      </c>
      <c r="E7" s="626"/>
      <c r="F7" s="626"/>
      <c r="G7" s="626"/>
      <c r="H7" s="626"/>
      <c r="I7" s="626"/>
      <c r="J7" s="626"/>
      <c r="K7" s="626"/>
      <c r="L7" s="626"/>
      <c r="M7" s="202"/>
      <c r="N7" s="202"/>
      <c r="O7" s="202"/>
      <c r="P7" s="202"/>
    </row>
    <row r="8" spans="1:16" x14ac:dyDescent="0.2">
      <c r="A8" s="156"/>
      <c r="B8" s="156"/>
      <c r="C8" s="164" t="s">
        <v>21</v>
      </c>
      <c r="D8" s="626" t="str">
        <f>'Kops a'!D9</f>
        <v>WS-90-17 Līg.Nr. 2017/3-62/479</v>
      </c>
      <c r="E8" s="626"/>
      <c r="F8" s="626"/>
      <c r="G8" s="626"/>
      <c r="H8" s="626"/>
      <c r="I8" s="626"/>
      <c r="J8" s="626"/>
      <c r="K8" s="626"/>
      <c r="L8" s="626"/>
      <c r="M8" s="202"/>
      <c r="N8" s="202"/>
      <c r="O8" s="202"/>
      <c r="P8" s="202"/>
    </row>
    <row r="9" spans="1:16" x14ac:dyDescent="0.2">
      <c r="A9" s="627" t="s">
        <v>607</v>
      </c>
      <c r="B9" s="627"/>
      <c r="C9" s="627"/>
      <c r="D9" s="627"/>
      <c r="E9" s="627"/>
      <c r="F9" s="627"/>
      <c r="G9" s="165"/>
      <c r="H9" s="165"/>
      <c r="I9" s="165"/>
      <c r="J9" s="628" t="s">
        <v>40</v>
      </c>
      <c r="K9" s="628"/>
      <c r="L9" s="628"/>
      <c r="M9" s="628"/>
      <c r="N9" s="629">
        <f>P84</f>
        <v>0</v>
      </c>
      <c r="O9" s="629"/>
      <c r="P9" s="165"/>
    </row>
    <row r="10" spans="1:16" x14ac:dyDescent="0.2">
      <c r="A10" s="166"/>
      <c r="B10" s="167"/>
      <c r="C10" s="164"/>
      <c r="D10" s="156"/>
      <c r="E10" s="156"/>
      <c r="F10" s="156"/>
      <c r="G10" s="156"/>
      <c r="H10" s="156"/>
      <c r="I10" s="156"/>
      <c r="J10" s="156"/>
      <c r="K10" s="156"/>
      <c r="L10" s="162"/>
      <c r="M10" s="162"/>
      <c r="O10" s="440"/>
      <c r="P10" s="169" t="str">
        <f>A90</f>
        <v>Tāme sastādīta 2021. gada</v>
      </c>
    </row>
    <row r="11" spans="1:16" ht="12" thickBot="1" x14ac:dyDescent="0.25">
      <c r="A11" s="166"/>
      <c r="B11" s="167"/>
      <c r="C11" s="164"/>
      <c r="D11" s="156"/>
      <c r="E11" s="156"/>
      <c r="F11" s="156"/>
      <c r="G11" s="156"/>
      <c r="H11" s="156"/>
      <c r="I11" s="156"/>
      <c r="J11" s="156"/>
      <c r="K11" s="156"/>
      <c r="L11" s="170"/>
      <c r="M11" s="170"/>
      <c r="N11" s="171"/>
      <c r="O11" s="160"/>
      <c r="P11" s="156"/>
    </row>
    <row r="12" spans="1:16" ht="12" thickBot="1" x14ac:dyDescent="0.25">
      <c r="A12" s="621" t="s">
        <v>24</v>
      </c>
      <c r="B12" s="622" t="s">
        <v>41</v>
      </c>
      <c r="C12" s="623" t="s">
        <v>42</v>
      </c>
      <c r="D12" s="624" t="s">
        <v>43</v>
      </c>
      <c r="E12" s="625" t="s">
        <v>44</v>
      </c>
      <c r="F12" s="618" t="s">
        <v>45</v>
      </c>
      <c r="G12" s="618"/>
      <c r="H12" s="618"/>
      <c r="I12" s="618"/>
      <c r="J12" s="618"/>
      <c r="K12" s="618"/>
      <c r="L12" s="618" t="s">
        <v>46</v>
      </c>
      <c r="M12" s="618"/>
      <c r="N12" s="618"/>
      <c r="O12" s="618"/>
      <c r="P12" s="618"/>
    </row>
    <row r="13" spans="1:16" ht="118.5" thickBot="1" x14ac:dyDescent="0.25">
      <c r="A13" s="621"/>
      <c r="B13" s="622"/>
      <c r="C13" s="623"/>
      <c r="D13" s="624"/>
      <c r="E13" s="625"/>
      <c r="F13" s="206" t="s">
        <v>47</v>
      </c>
      <c r="G13" s="207" t="s">
        <v>48</v>
      </c>
      <c r="H13" s="207" t="s">
        <v>49</v>
      </c>
      <c r="I13" s="207" t="s">
        <v>50</v>
      </c>
      <c r="J13" s="207" t="s">
        <v>51</v>
      </c>
      <c r="K13" s="208" t="s">
        <v>52</v>
      </c>
      <c r="L13" s="206" t="s">
        <v>47</v>
      </c>
      <c r="M13" s="207" t="s">
        <v>49</v>
      </c>
      <c r="N13" s="207" t="s">
        <v>50</v>
      </c>
      <c r="O13" s="207" t="s">
        <v>51</v>
      </c>
      <c r="P13" s="208" t="s">
        <v>52</v>
      </c>
    </row>
    <row r="14" spans="1:16" x14ac:dyDescent="0.2">
      <c r="A14" s="469">
        <f>IF(COUNTBLANK(B14)=1," ",COUNTA(B$13:B14))</f>
        <v>1</v>
      </c>
      <c r="B14" s="392" t="s">
        <v>86</v>
      </c>
      <c r="C14" s="470" t="s">
        <v>102</v>
      </c>
      <c r="D14" s="471" t="s">
        <v>88</v>
      </c>
      <c r="E14" s="472">
        <v>113</v>
      </c>
      <c r="F14" s="566"/>
      <c r="G14" s="567"/>
      <c r="H14" s="567">
        <f>ROUND(F14*G14,2)</f>
        <v>0</v>
      </c>
      <c r="I14" s="567"/>
      <c r="J14" s="567"/>
      <c r="K14" s="568">
        <f>SUM(H14:J14)</f>
        <v>0</v>
      </c>
      <c r="L14" s="566">
        <f>ROUND(E14*F14,2)</f>
        <v>0</v>
      </c>
      <c r="M14" s="567">
        <f>ROUND(H14*E14,2)</f>
        <v>0</v>
      </c>
      <c r="N14" s="567">
        <f>ROUND(I14*E14,2)</f>
        <v>0</v>
      </c>
      <c r="O14" s="567">
        <f>ROUND(J14*E14,2)</f>
        <v>0</v>
      </c>
      <c r="P14" s="568">
        <f>SUM(M14:O14)</f>
        <v>0</v>
      </c>
    </row>
    <row r="15" spans="1:16" x14ac:dyDescent="0.2">
      <c r="A15" s="469">
        <f>IF(COUNTBLANK(B15)=1," ",COUNTA(B$13:B15))</f>
        <v>2</v>
      </c>
      <c r="B15" s="392" t="s">
        <v>86</v>
      </c>
      <c r="C15" s="473" t="s">
        <v>101</v>
      </c>
      <c r="D15" s="469" t="s">
        <v>57</v>
      </c>
      <c r="E15" s="474">
        <f>E14/3.5</f>
        <v>32.285714285714285</v>
      </c>
      <c r="F15" s="566"/>
      <c r="G15" s="567"/>
      <c r="H15" s="569">
        <f t="shared" ref="H15:H16" si="0">ROUND(F15*G15,2)</f>
        <v>0</v>
      </c>
      <c r="I15" s="567"/>
      <c r="J15" s="567"/>
      <c r="K15" s="570">
        <f t="shared" ref="K15:K16" si="1">SUM(H15:J15)</f>
        <v>0</v>
      </c>
      <c r="L15" s="571">
        <f t="shared" ref="L15:L16" si="2">ROUND(E15*F15,2)</f>
        <v>0</v>
      </c>
      <c r="M15" s="569">
        <f t="shared" ref="M15:M16" si="3">ROUND(H15*E15,2)</f>
        <v>0</v>
      </c>
      <c r="N15" s="569">
        <f t="shared" ref="N15:N16" si="4">ROUND(I15*E15,2)</f>
        <v>0</v>
      </c>
      <c r="O15" s="569">
        <f t="shared" ref="O15:O16" si="5">ROUND(J15*E15,2)</f>
        <v>0</v>
      </c>
      <c r="P15" s="570">
        <f t="shared" ref="P15:P16" si="6">SUM(M15:O15)</f>
        <v>0</v>
      </c>
    </row>
    <row r="16" spans="1:16" x14ac:dyDescent="0.2">
      <c r="A16" s="469">
        <f>IF(COUNTBLANK(B16)=1," ",COUNTA(B$13:B16))</f>
        <v>3</v>
      </c>
      <c r="B16" s="392" t="s">
        <v>86</v>
      </c>
      <c r="C16" s="473" t="s">
        <v>100</v>
      </c>
      <c r="D16" s="469" t="s">
        <v>57</v>
      </c>
      <c r="E16" s="474">
        <f>E15+1</f>
        <v>33.285714285714285</v>
      </c>
      <c r="F16" s="566"/>
      <c r="G16" s="567"/>
      <c r="H16" s="567">
        <f t="shared" si="0"/>
        <v>0</v>
      </c>
      <c r="I16" s="567"/>
      <c r="J16" s="567"/>
      <c r="K16" s="568">
        <f t="shared" si="1"/>
        <v>0</v>
      </c>
      <c r="L16" s="566">
        <f t="shared" si="2"/>
        <v>0</v>
      </c>
      <c r="M16" s="567">
        <f t="shared" si="3"/>
        <v>0</v>
      </c>
      <c r="N16" s="567">
        <f t="shared" si="4"/>
        <v>0</v>
      </c>
      <c r="O16" s="567">
        <f t="shared" si="5"/>
        <v>0</v>
      </c>
      <c r="P16" s="568">
        <f t="shared" si="6"/>
        <v>0</v>
      </c>
    </row>
    <row r="17" spans="1:16" x14ac:dyDescent="0.2">
      <c r="A17" s="469">
        <f>IF(COUNTBLANK(B17)=1," ",COUNTA(B$13:B17))</f>
        <v>4</v>
      </c>
      <c r="B17" s="332" t="s">
        <v>86</v>
      </c>
      <c r="C17" s="473" t="s">
        <v>99</v>
      </c>
      <c r="D17" s="475" t="s">
        <v>88</v>
      </c>
      <c r="E17" s="476">
        <f>E14</f>
        <v>113</v>
      </c>
      <c r="F17" s="566"/>
      <c r="G17" s="567"/>
      <c r="H17" s="569">
        <f t="shared" ref="H17:H80" si="7">ROUND(F17*G17,2)</f>
        <v>0</v>
      </c>
      <c r="I17" s="567"/>
      <c r="J17" s="567"/>
      <c r="K17" s="570">
        <f t="shared" ref="K17:K80" si="8">SUM(H17:J17)</f>
        <v>0</v>
      </c>
      <c r="L17" s="571">
        <f t="shared" ref="L17:L80" si="9">ROUND(E17*F17,2)</f>
        <v>0</v>
      </c>
      <c r="M17" s="569">
        <f t="shared" ref="M17:M80" si="10">ROUND(H17*E17,2)</f>
        <v>0</v>
      </c>
      <c r="N17" s="569">
        <f t="shared" ref="N17:N80" si="11">ROUND(I17*E17,2)</f>
        <v>0</v>
      </c>
      <c r="O17" s="569">
        <f t="shared" ref="O17:O80" si="12">ROUND(J17*E17,2)</f>
        <v>0</v>
      </c>
      <c r="P17" s="570">
        <f t="shared" ref="P17:P80" si="13">SUM(M17:O17)</f>
        <v>0</v>
      </c>
    </row>
    <row r="18" spans="1:16" x14ac:dyDescent="0.2">
      <c r="A18" s="469">
        <f>IF(COUNTBLANK(B18)=1," ",COUNTA(B$13:B18))</f>
        <v>5</v>
      </c>
      <c r="B18" s="332" t="s">
        <v>86</v>
      </c>
      <c r="C18" s="473" t="s">
        <v>98</v>
      </c>
      <c r="D18" s="469" t="s">
        <v>56</v>
      </c>
      <c r="E18" s="476">
        <v>2670</v>
      </c>
      <c r="F18" s="566"/>
      <c r="G18" s="567"/>
      <c r="H18" s="567">
        <f t="shared" si="7"/>
        <v>0</v>
      </c>
      <c r="I18" s="567"/>
      <c r="J18" s="567"/>
      <c r="K18" s="568">
        <f t="shared" si="8"/>
        <v>0</v>
      </c>
      <c r="L18" s="566">
        <f t="shared" si="9"/>
        <v>0</v>
      </c>
      <c r="M18" s="567">
        <f t="shared" si="10"/>
        <v>0</v>
      </c>
      <c r="N18" s="567">
        <f t="shared" si="11"/>
        <v>0</v>
      </c>
      <c r="O18" s="567">
        <f t="shared" si="12"/>
        <v>0</v>
      </c>
      <c r="P18" s="568">
        <f t="shared" si="13"/>
        <v>0</v>
      </c>
    </row>
    <row r="19" spans="1:16" x14ac:dyDescent="0.2">
      <c r="A19" s="469">
        <f>IF(COUNTBLANK(B19)=1," ",COUNTA(B$13:B19))</f>
        <v>6</v>
      </c>
      <c r="B19" s="332" t="s">
        <v>86</v>
      </c>
      <c r="C19" s="473" t="s">
        <v>97</v>
      </c>
      <c r="D19" s="469" t="s">
        <v>56</v>
      </c>
      <c r="E19" s="476">
        <f>E18</f>
        <v>2670</v>
      </c>
      <c r="F19" s="566"/>
      <c r="G19" s="567"/>
      <c r="H19" s="569">
        <f t="shared" si="7"/>
        <v>0</v>
      </c>
      <c r="I19" s="567"/>
      <c r="J19" s="567"/>
      <c r="K19" s="570">
        <f t="shared" si="8"/>
        <v>0</v>
      </c>
      <c r="L19" s="571">
        <f t="shared" si="9"/>
        <v>0</v>
      </c>
      <c r="M19" s="569">
        <f t="shared" si="10"/>
        <v>0</v>
      </c>
      <c r="N19" s="569">
        <f t="shared" si="11"/>
        <v>0</v>
      </c>
      <c r="O19" s="569">
        <f t="shared" si="12"/>
        <v>0</v>
      </c>
      <c r="P19" s="570">
        <f t="shared" si="13"/>
        <v>0</v>
      </c>
    </row>
    <row r="20" spans="1:16" x14ac:dyDescent="0.2">
      <c r="A20" s="469">
        <f>IF(COUNTBLANK(B20)=1," ",COUNTA(B$13:B20))</f>
        <v>7</v>
      </c>
      <c r="B20" s="332" t="s">
        <v>86</v>
      </c>
      <c r="C20" s="473" t="s">
        <v>171</v>
      </c>
      <c r="D20" s="469" t="s">
        <v>57</v>
      </c>
      <c r="E20" s="476">
        <v>1</v>
      </c>
      <c r="F20" s="566"/>
      <c r="G20" s="567"/>
      <c r="H20" s="567">
        <f t="shared" si="7"/>
        <v>0</v>
      </c>
      <c r="I20" s="567"/>
      <c r="J20" s="567"/>
      <c r="K20" s="568">
        <f t="shared" si="8"/>
        <v>0</v>
      </c>
      <c r="L20" s="566">
        <f t="shared" si="9"/>
        <v>0</v>
      </c>
      <c r="M20" s="567">
        <f t="shared" si="10"/>
        <v>0</v>
      </c>
      <c r="N20" s="567">
        <f t="shared" si="11"/>
        <v>0</v>
      </c>
      <c r="O20" s="567">
        <f t="shared" si="12"/>
        <v>0</v>
      </c>
      <c r="P20" s="568">
        <f t="shared" si="13"/>
        <v>0</v>
      </c>
    </row>
    <row r="21" spans="1:16" ht="22.5" x14ac:dyDescent="0.2">
      <c r="A21" s="469">
        <f>IF(COUNTBLANK(B21)=1," ",COUNTA(B$13:B21))</f>
        <v>8</v>
      </c>
      <c r="B21" s="332" t="s">
        <v>86</v>
      </c>
      <c r="C21" s="473" t="s">
        <v>96</v>
      </c>
      <c r="D21" s="469" t="s">
        <v>57</v>
      </c>
      <c r="E21" s="476">
        <v>1</v>
      </c>
      <c r="F21" s="566"/>
      <c r="G21" s="567"/>
      <c r="H21" s="569">
        <f t="shared" si="7"/>
        <v>0</v>
      </c>
      <c r="I21" s="567"/>
      <c r="J21" s="567"/>
      <c r="K21" s="570">
        <f t="shared" si="8"/>
        <v>0</v>
      </c>
      <c r="L21" s="571">
        <f t="shared" si="9"/>
        <v>0</v>
      </c>
      <c r="M21" s="569">
        <f t="shared" si="10"/>
        <v>0</v>
      </c>
      <c r="N21" s="569">
        <f t="shared" si="11"/>
        <v>0</v>
      </c>
      <c r="O21" s="569">
        <f t="shared" si="12"/>
        <v>0</v>
      </c>
      <c r="P21" s="570">
        <f t="shared" si="13"/>
        <v>0</v>
      </c>
    </row>
    <row r="22" spans="1:16" x14ac:dyDescent="0.2">
      <c r="A22" s="469">
        <f>IF(COUNTBLANK(B22)=1," ",COUNTA(B$13:B22))</f>
        <v>9</v>
      </c>
      <c r="B22" s="332" t="s">
        <v>86</v>
      </c>
      <c r="C22" s="477" t="s">
        <v>95</v>
      </c>
      <c r="D22" s="475" t="s">
        <v>57</v>
      </c>
      <c r="E22" s="476">
        <v>1</v>
      </c>
      <c r="F22" s="566"/>
      <c r="G22" s="567"/>
      <c r="H22" s="567">
        <f t="shared" si="7"/>
        <v>0</v>
      </c>
      <c r="I22" s="567"/>
      <c r="J22" s="567"/>
      <c r="K22" s="568">
        <f t="shared" si="8"/>
        <v>0</v>
      </c>
      <c r="L22" s="566">
        <f t="shared" si="9"/>
        <v>0</v>
      </c>
      <c r="M22" s="567">
        <f t="shared" si="10"/>
        <v>0</v>
      </c>
      <c r="N22" s="567">
        <f t="shared" si="11"/>
        <v>0</v>
      </c>
      <c r="O22" s="567">
        <f t="shared" si="12"/>
        <v>0</v>
      </c>
      <c r="P22" s="568">
        <f t="shared" si="13"/>
        <v>0</v>
      </c>
    </row>
    <row r="23" spans="1:16" x14ac:dyDescent="0.2">
      <c r="A23" s="469">
        <f>IF(COUNTBLANK(B23)=1," ",COUNTA(B$13:B23))</f>
        <v>10</v>
      </c>
      <c r="B23" s="448" t="s">
        <v>86</v>
      </c>
      <c r="C23" s="478" t="s">
        <v>172</v>
      </c>
      <c r="D23" s="479" t="s">
        <v>57</v>
      </c>
      <c r="E23" s="432">
        <v>1</v>
      </c>
      <c r="F23" s="566"/>
      <c r="G23" s="567"/>
      <c r="H23" s="569">
        <f t="shared" si="7"/>
        <v>0</v>
      </c>
      <c r="I23" s="567"/>
      <c r="J23" s="567"/>
      <c r="K23" s="570">
        <f t="shared" si="8"/>
        <v>0</v>
      </c>
      <c r="L23" s="571">
        <f t="shared" si="9"/>
        <v>0</v>
      </c>
      <c r="M23" s="569">
        <f t="shared" si="10"/>
        <v>0</v>
      </c>
      <c r="N23" s="569">
        <f t="shared" si="11"/>
        <v>0</v>
      </c>
      <c r="O23" s="569">
        <f t="shared" si="12"/>
        <v>0</v>
      </c>
      <c r="P23" s="570">
        <f t="shared" si="13"/>
        <v>0</v>
      </c>
    </row>
    <row r="24" spans="1:16" x14ac:dyDescent="0.2">
      <c r="A24" s="469">
        <f>IF(COUNTBLANK(B24)=1," ",COUNTA(B$13:B24))</f>
        <v>11</v>
      </c>
      <c r="B24" s="480" t="s">
        <v>86</v>
      </c>
      <c r="C24" s="481" t="s">
        <v>596</v>
      </c>
      <c r="D24" s="414" t="s">
        <v>88</v>
      </c>
      <c r="E24" s="482">
        <v>39.5</v>
      </c>
      <c r="F24" s="566"/>
      <c r="G24" s="567"/>
      <c r="H24" s="567">
        <f t="shared" si="7"/>
        <v>0</v>
      </c>
      <c r="I24" s="567"/>
      <c r="J24" s="567"/>
      <c r="K24" s="568">
        <f t="shared" si="8"/>
        <v>0</v>
      </c>
      <c r="L24" s="566">
        <f t="shared" si="9"/>
        <v>0</v>
      </c>
      <c r="M24" s="567">
        <f t="shared" si="10"/>
        <v>0</v>
      </c>
      <c r="N24" s="567">
        <f t="shared" si="11"/>
        <v>0</v>
      </c>
      <c r="O24" s="567">
        <f t="shared" si="12"/>
        <v>0</v>
      </c>
      <c r="P24" s="568">
        <f t="shared" si="13"/>
        <v>0</v>
      </c>
    </row>
    <row r="25" spans="1:16" ht="33.75" x14ac:dyDescent="0.2">
      <c r="A25" s="483">
        <f>IF(COUNTBLANK(B25)=1," ",COUNTA(B$13:B25))</f>
        <v>12</v>
      </c>
      <c r="B25" s="314" t="s">
        <v>358</v>
      </c>
      <c r="C25" s="137" t="s">
        <v>357</v>
      </c>
      <c r="D25" s="484" t="s">
        <v>56</v>
      </c>
      <c r="E25" s="80">
        <f>E28+E29+E30+E31+E32</f>
        <v>1804.2</v>
      </c>
      <c r="F25" s="566"/>
      <c r="G25" s="567"/>
      <c r="H25" s="569">
        <f t="shared" si="7"/>
        <v>0</v>
      </c>
      <c r="I25" s="567"/>
      <c r="J25" s="567"/>
      <c r="K25" s="570">
        <f t="shared" si="8"/>
        <v>0</v>
      </c>
      <c r="L25" s="571">
        <f t="shared" si="9"/>
        <v>0</v>
      </c>
      <c r="M25" s="569">
        <f t="shared" si="10"/>
        <v>0</v>
      </c>
      <c r="N25" s="569">
        <f t="shared" si="11"/>
        <v>0</v>
      </c>
      <c r="O25" s="569">
        <f t="shared" si="12"/>
        <v>0</v>
      </c>
      <c r="P25" s="570">
        <f t="shared" si="13"/>
        <v>0</v>
      </c>
    </row>
    <row r="26" spans="1:16" x14ac:dyDescent="0.2">
      <c r="A26" s="469">
        <f>IF(COUNTBLANK(B26)=1," ",COUNTA(B$13:B26))</f>
        <v>13</v>
      </c>
      <c r="B26" s="396" t="s">
        <v>86</v>
      </c>
      <c r="C26" s="125" t="s">
        <v>359</v>
      </c>
      <c r="D26" s="485" t="s">
        <v>90</v>
      </c>
      <c r="E26" s="60">
        <f>ROUNDUP(E25*0.2,2)</f>
        <v>360.84</v>
      </c>
      <c r="F26" s="566"/>
      <c r="G26" s="567"/>
      <c r="H26" s="567">
        <f t="shared" si="7"/>
        <v>0</v>
      </c>
      <c r="I26" s="567"/>
      <c r="J26" s="567"/>
      <c r="K26" s="568">
        <f t="shared" si="8"/>
        <v>0</v>
      </c>
      <c r="L26" s="566">
        <f t="shared" si="9"/>
        <v>0</v>
      </c>
      <c r="M26" s="567">
        <f t="shared" si="10"/>
        <v>0</v>
      </c>
      <c r="N26" s="567">
        <f t="shared" si="11"/>
        <v>0</v>
      </c>
      <c r="O26" s="567">
        <f t="shared" si="12"/>
        <v>0</v>
      </c>
      <c r="P26" s="568">
        <f t="shared" si="13"/>
        <v>0</v>
      </c>
    </row>
    <row r="27" spans="1:16" x14ac:dyDescent="0.2">
      <c r="A27" s="469">
        <f>IF(COUNTBLANK(B27)=1," ",COUNTA(B$13:B27))</f>
        <v>14</v>
      </c>
      <c r="B27" s="480" t="s">
        <v>86</v>
      </c>
      <c r="C27" s="57" t="s">
        <v>175</v>
      </c>
      <c r="D27" s="486" t="s">
        <v>90</v>
      </c>
      <c r="E27" s="81">
        <f>ROUNDUP(E25*5,2)</f>
        <v>9021</v>
      </c>
      <c r="F27" s="566"/>
      <c r="G27" s="567"/>
      <c r="H27" s="569">
        <f t="shared" si="7"/>
        <v>0</v>
      </c>
      <c r="I27" s="567"/>
      <c r="J27" s="567"/>
      <c r="K27" s="570">
        <f t="shared" si="8"/>
        <v>0</v>
      </c>
      <c r="L27" s="571">
        <f t="shared" si="9"/>
        <v>0</v>
      </c>
      <c r="M27" s="569">
        <f t="shared" si="10"/>
        <v>0</v>
      </c>
      <c r="N27" s="569">
        <f t="shared" si="11"/>
        <v>0</v>
      </c>
      <c r="O27" s="569">
        <f t="shared" si="12"/>
        <v>0</v>
      </c>
      <c r="P27" s="570">
        <f t="shared" si="13"/>
        <v>0</v>
      </c>
    </row>
    <row r="28" spans="1:16" ht="45" x14ac:dyDescent="0.2">
      <c r="A28" s="469">
        <f>IF(COUNTBLANK(B28)=1," ",COUNTA(B$13:B28))</f>
        <v>15</v>
      </c>
      <c r="B28" s="332" t="s">
        <v>86</v>
      </c>
      <c r="C28" s="57" t="s">
        <v>360</v>
      </c>
      <c r="D28" s="454" t="s">
        <v>56</v>
      </c>
      <c r="E28" s="82">
        <v>148.80000000000001</v>
      </c>
      <c r="F28" s="566"/>
      <c r="G28" s="567"/>
      <c r="H28" s="567">
        <f t="shared" si="7"/>
        <v>0</v>
      </c>
      <c r="I28" s="567"/>
      <c r="J28" s="567"/>
      <c r="K28" s="568">
        <f t="shared" si="8"/>
        <v>0</v>
      </c>
      <c r="L28" s="566">
        <f t="shared" si="9"/>
        <v>0</v>
      </c>
      <c r="M28" s="567">
        <f t="shared" si="10"/>
        <v>0</v>
      </c>
      <c r="N28" s="567">
        <f t="shared" si="11"/>
        <v>0</v>
      </c>
      <c r="O28" s="567">
        <f t="shared" si="12"/>
        <v>0</v>
      </c>
      <c r="P28" s="568">
        <f t="shared" si="13"/>
        <v>0</v>
      </c>
    </row>
    <row r="29" spans="1:16" ht="45" x14ac:dyDescent="0.2">
      <c r="A29" s="469">
        <f>IF(COUNTBLANK(B29)=1," ",COUNTA(B$13:B29))</f>
        <v>16</v>
      </c>
      <c r="B29" s="332" t="s">
        <v>86</v>
      </c>
      <c r="C29" s="57" t="s">
        <v>361</v>
      </c>
      <c r="D29" s="454" t="s">
        <v>56</v>
      </c>
      <c r="E29" s="82">
        <v>1056.4000000000001</v>
      </c>
      <c r="F29" s="566"/>
      <c r="G29" s="567"/>
      <c r="H29" s="569">
        <f t="shared" si="7"/>
        <v>0</v>
      </c>
      <c r="I29" s="567"/>
      <c r="J29" s="567"/>
      <c r="K29" s="570">
        <f t="shared" si="8"/>
        <v>0</v>
      </c>
      <c r="L29" s="571">
        <f t="shared" si="9"/>
        <v>0</v>
      </c>
      <c r="M29" s="569">
        <f t="shared" si="10"/>
        <v>0</v>
      </c>
      <c r="N29" s="569">
        <f t="shared" si="11"/>
        <v>0</v>
      </c>
      <c r="O29" s="569">
        <f t="shared" si="12"/>
        <v>0</v>
      </c>
      <c r="P29" s="570">
        <f t="shared" si="13"/>
        <v>0</v>
      </c>
    </row>
    <row r="30" spans="1:16" ht="45" x14ac:dyDescent="0.2">
      <c r="A30" s="469">
        <f>IF(COUNTBLANK(B30)=1," ",COUNTA(B$13:B30))</f>
        <v>17</v>
      </c>
      <c r="B30" s="332" t="s">
        <v>86</v>
      </c>
      <c r="C30" s="57" t="s">
        <v>362</v>
      </c>
      <c r="D30" s="454" t="s">
        <v>56</v>
      </c>
      <c r="E30" s="82">
        <v>119.1</v>
      </c>
      <c r="F30" s="566"/>
      <c r="G30" s="567"/>
      <c r="H30" s="567">
        <f t="shared" si="7"/>
        <v>0</v>
      </c>
      <c r="I30" s="567"/>
      <c r="J30" s="567"/>
      <c r="K30" s="568">
        <f t="shared" si="8"/>
        <v>0</v>
      </c>
      <c r="L30" s="566">
        <f t="shared" si="9"/>
        <v>0</v>
      </c>
      <c r="M30" s="567">
        <f t="shared" si="10"/>
        <v>0</v>
      </c>
      <c r="N30" s="567">
        <f t="shared" si="11"/>
        <v>0</v>
      </c>
      <c r="O30" s="567">
        <f t="shared" si="12"/>
        <v>0</v>
      </c>
      <c r="P30" s="568">
        <f t="shared" si="13"/>
        <v>0</v>
      </c>
    </row>
    <row r="31" spans="1:16" ht="45" x14ac:dyDescent="0.2">
      <c r="A31" s="469">
        <f>IF(COUNTBLANK(B31)=1," ",COUNTA(B$13:B31))</f>
        <v>18</v>
      </c>
      <c r="B31" s="332" t="s">
        <v>86</v>
      </c>
      <c r="C31" s="57" t="s">
        <v>363</v>
      </c>
      <c r="D31" s="486" t="s">
        <v>176</v>
      </c>
      <c r="E31" s="83">
        <v>420.7</v>
      </c>
      <c r="F31" s="566"/>
      <c r="G31" s="567"/>
      <c r="H31" s="569">
        <f t="shared" si="7"/>
        <v>0</v>
      </c>
      <c r="I31" s="567"/>
      <c r="J31" s="567"/>
      <c r="K31" s="570">
        <f t="shared" si="8"/>
        <v>0</v>
      </c>
      <c r="L31" s="571">
        <f t="shared" si="9"/>
        <v>0</v>
      </c>
      <c r="M31" s="569">
        <f t="shared" si="10"/>
        <v>0</v>
      </c>
      <c r="N31" s="569">
        <f t="shared" si="11"/>
        <v>0</v>
      </c>
      <c r="O31" s="569">
        <f t="shared" si="12"/>
        <v>0</v>
      </c>
      <c r="P31" s="570">
        <f t="shared" si="13"/>
        <v>0</v>
      </c>
    </row>
    <row r="32" spans="1:16" ht="45" x14ac:dyDescent="0.2">
      <c r="A32" s="469">
        <f>IF(COUNTBLANK(B32)=1," ",COUNTA(B$13:B32))</f>
        <v>19</v>
      </c>
      <c r="B32" s="332" t="s">
        <v>86</v>
      </c>
      <c r="C32" s="57" t="s">
        <v>364</v>
      </c>
      <c r="D32" s="486" t="s">
        <v>176</v>
      </c>
      <c r="E32" s="83">
        <v>59.2</v>
      </c>
      <c r="F32" s="566"/>
      <c r="G32" s="567"/>
      <c r="H32" s="567">
        <f t="shared" si="7"/>
        <v>0</v>
      </c>
      <c r="I32" s="567"/>
      <c r="J32" s="567"/>
      <c r="K32" s="568">
        <f t="shared" si="8"/>
        <v>0</v>
      </c>
      <c r="L32" s="566">
        <f t="shared" si="9"/>
        <v>0</v>
      </c>
      <c r="M32" s="567">
        <f t="shared" si="10"/>
        <v>0</v>
      </c>
      <c r="N32" s="567">
        <f t="shared" si="11"/>
        <v>0</v>
      </c>
      <c r="O32" s="567">
        <f t="shared" si="12"/>
        <v>0</v>
      </c>
      <c r="P32" s="568">
        <f t="shared" si="13"/>
        <v>0</v>
      </c>
    </row>
    <row r="33" spans="1:16" ht="45" x14ac:dyDescent="0.2">
      <c r="A33" s="469">
        <f>IF(COUNTBLANK(B33)=1," ",COUNTA(B$13:B33))</f>
        <v>20</v>
      </c>
      <c r="B33" s="332" t="s">
        <v>86</v>
      </c>
      <c r="C33" s="456" t="s">
        <v>399</v>
      </c>
      <c r="D33" s="361" t="s">
        <v>57</v>
      </c>
      <c r="E33" s="487">
        <f>SUM(E28+E29+E32)*7</f>
        <v>8850.8000000000011</v>
      </c>
      <c r="F33" s="566"/>
      <c r="G33" s="567"/>
      <c r="H33" s="569">
        <f t="shared" si="7"/>
        <v>0</v>
      </c>
      <c r="I33" s="567"/>
      <c r="J33" s="567"/>
      <c r="K33" s="570">
        <f t="shared" si="8"/>
        <v>0</v>
      </c>
      <c r="L33" s="571">
        <f t="shared" si="9"/>
        <v>0</v>
      </c>
      <c r="M33" s="569">
        <f t="shared" si="10"/>
        <v>0</v>
      </c>
      <c r="N33" s="569">
        <f t="shared" si="11"/>
        <v>0</v>
      </c>
      <c r="O33" s="569">
        <f t="shared" si="12"/>
        <v>0</v>
      </c>
      <c r="P33" s="570">
        <f t="shared" si="13"/>
        <v>0</v>
      </c>
    </row>
    <row r="34" spans="1:16" ht="45" x14ac:dyDescent="0.2">
      <c r="A34" s="469">
        <f>IF(COUNTBLANK(B34)=1," ",COUNTA(B$13:B34))</f>
        <v>21</v>
      </c>
      <c r="B34" s="332" t="s">
        <v>86</v>
      </c>
      <c r="C34" s="456" t="s">
        <v>177</v>
      </c>
      <c r="D34" s="488" t="s">
        <v>365</v>
      </c>
      <c r="E34" s="489">
        <f>SUM(E30+E31)*7</f>
        <v>3778.5999999999995</v>
      </c>
      <c r="F34" s="566"/>
      <c r="G34" s="567"/>
      <c r="H34" s="567">
        <f t="shared" si="7"/>
        <v>0</v>
      </c>
      <c r="I34" s="567"/>
      <c r="J34" s="567"/>
      <c r="K34" s="568">
        <f t="shared" si="8"/>
        <v>0</v>
      </c>
      <c r="L34" s="566">
        <f t="shared" si="9"/>
        <v>0</v>
      </c>
      <c r="M34" s="567">
        <f t="shared" si="10"/>
        <v>0</v>
      </c>
      <c r="N34" s="567">
        <f t="shared" si="11"/>
        <v>0</v>
      </c>
      <c r="O34" s="567">
        <f t="shared" si="12"/>
        <v>0</v>
      </c>
      <c r="P34" s="568">
        <f t="shared" si="13"/>
        <v>0</v>
      </c>
    </row>
    <row r="35" spans="1:16" ht="33.75" x14ac:dyDescent="0.2">
      <c r="A35" s="469">
        <f>IF(COUNTBLANK(B35)=1," ",COUNTA(B$13:B35))</f>
        <v>22</v>
      </c>
      <c r="B35" s="389" t="s">
        <v>86</v>
      </c>
      <c r="C35" s="85" t="s">
        <v>608</v>
      </c>
      <c r="D35" s="138" t="s">
        <v>176</v>
      </c>
      <c r="E35" s="58">
        <v>143.69999999999999</v>
      </c>
      <c r="F35" s="566"/>
      <c r="G35" s="567"/>
      <c r="H35" s="569">
        <f t="shared" si="7"/>
        <v>0</v>
      </c>
      <c r="I35" s="567"/>
      <c r="J35" s="567"/>
      <c r="K35" s="570">
        <f t="shared" si="8"/>
        <v>0</v>
      </c>
      <c r="L35" s="571">
        <f t="shared" si="9"/>
        <v>0</v>
      </c>
      <c r="M35" s="569">
        <f t="shared" si="10"/>
        <v>0</v>
      </c>
      <c r="N35" s="569">
        <f t="shared" si="11"/>
        <v>0</v>
      </c>
      <c r="O35" s="569">
        <f t="shared" si="12"/>
        <v>0</v>
      </c>
      <c r="P35" s="570">
        <f t="shared" si="13"/>
        <v>0</v>
      </c>
    </row>
    <row r="36" spans="1:16" ht="22.5" x14ac:dyDescent="0.2">
      <c r="A36" s="469">
        <f>IF(COUNTBLANK(B36)=1," ",COUNTA(B$13:B36))</f>
        <v>23</v>
      </c>
      <c r="B36" s="389" t="s">
        <v>86</v>
      </c>
      <c r="C36" s="85" t="s">
        <v>597</v>
      </c>
      <c r="D36" s="138" t="s">
        <v>90</v>
      </c>
      <c r="E36" s="58">
        <f>1.71*210.4</f>
        <v>359.78399999999999</v>
      </c>
      <c r="F36" s="566"/>
      <c r="G36" s="567"/>
      <c r="H36" s="567">
        <f t="shared" si="7"/>
        <v>0</v>
      </c>
      <c r="I36" s="567"/>
      <c r="J36" s="567"/>
      <c r="K36" s="568">
        <f t="shared" si="8"/>
        <v>0</v>
      </c>
      <c r="L36" s="566">
        <f t="shared" si="9"/>
        <v>0</v>
      </c>
      <c r="M36" s="567">
        <f t="shared" si="10"/>
        <v>0</v>
      </c>
      <c r="N36" s="567">
        <f t="shared" si="11"/>
        <v>0</v>
      </c>
      <c r="O36" s="567">
        <f t="shared" si="12"/>
        <v>0</v>
      </c>
      <c r="P36" s="568">
        <f t="shared" si="13"/>
        <v>0</v>
      </c>
    </row>
    <row r="37" spans="1:16" x14ac:dyDescent="0.2">
      <c r="A37" s="469">
        <f>IF(COUNTBLANK(B37)=1," ",COUNTA(B$13:B37))</f>
        <v>24</v>
      </c>
      <c r="B37" s="389" t="s">
        <v>86</v>
      </c>
      <c r="C37" s="85" t="s">
        <v>598</v>
      </c>
      <c r="D37" s="138" t="s">
        <v>91</v>
      </c>
      <c r="E37" s="58">
        <v>424</v>
      </c>
      <c r="F37" s="566"/>
      <c r="G37" s="567"/>
      <c r="H37" s="569">
        <f t="shared" si="7"/>
        <v>0</v>
      </c>
      <c r="I37" s="567"/>
      <c r="J37" s="567"/>
      <c r="K37" s="570">
        <f t="shared" si="8"/>
        <v>0</v>
      </c>
      <c r="L37" s="571">
        <f t="shared" si="9"/>
        <v>0</v>
      </c>
      <c r="M37" s="569">
        <f t="shared" si="10"/>
        <v>0</v>
      </c>
      <c r="N37" s="569">
        <f t="shared" si="11"/>
        <v>0</v>
      </c>
      <c r="O37" s="569">
        <f t="shared" si="12"/>
        <v>0</v>
      </c>
      <c r="P37" s="570">
        <f t="shared" si="13"/>
        <v>0</v>
      </c>
    </row>
    <row r="38" spans="1:16" ht="33.75" x14ac:dyDescent="0.2">
      <c r="A38" s="469">
        <f>IF(COUNTBLANK(B38)=1," ",COUNTA(B$13:B38))</f>
        <v>25</v>
      </c>
      <c r="B38" s="490" t="s">
        <v>86</v>
      </c>
      <c r="C38" s="139" t="s">
        <v>366</v>
      </c>
      <c r="D38" s="491" t="s">
        <v>356</v>
      </c>
      <c r="E38" s="492">
        <v>3</v>
      </c>
      <c r="F38" s="566"/>
      <c r="G38" s="567"/>
      <c r="H38" s="567">
        <f t="shared" si="7"/>
        <v>0</v>
      </c>
      <c r="I38" s="567"/>
      <c r="J38" s="567"/>
      <c r="K38" s="568">
        <f t="shared" si="8"/>
        <v>0</v>
      </c>
      <c r="L38" s="566">
        <f t="shared" si="9"/>
        <v>0</v>
      </c>
      <c r="M38" s="567">
        <f t="shared" si="10"/>
        <v>0</v>
      </c>
      <c r="N38" s="567">
        <f t="shared" si="11"/>
        <v>0</v>
      </c>
      <c r="O38" s="567">
        <f t="shared" si="12"/>
        <v>0</v>
      </c>
      <c r="P38" s="568">
        <f t="shared" si="13"/>
        <v>0</v>
      </c>
    </row>
    <row r="39" spans="1:16" ht="42" customHeight="1" thickBot="1" x14ac:dyDescent="0.25">
      <c r="A39" s="469" t="str">
        <f>IF(COUNTBLANK(B39)=1," ",COUNTA(B$13:B39))</f>
        <v xml:space="preserve"> </v>
      </c>
      <c r="B39" s="493"/>
      <c r="C39" s="140" t="s">
        <v>367</v>
      </c>
      <c r="D39" s="494"/>
      <c r="E39" s="495"/>
      <c r="F39" s="566"/>
      <c r="G39" s="567"/>
      <c r="H39" s="569">
        <f t="shared" si="7"/>
        <v>0</v>
      </c>
      <c r="I39" s="567"/>
      <c r="J39" s="567"/>
      <c r="K39" s="570">
        <f t="shared" si="8"/>
        <v>0</v>
      </c>
      <c r="L39" s="571">
        <f t="shared" si="9"/>
        <v>0</v>
      </c>
      <c r="M39" s="569">
        <f t="shared" si="10"/>
        <v>0</v>
      </c>
      <c r="N39" s="569">
        <f t="shared" si="11"/>
        <v>0</v>
      </c>
      <c r="O39" s="569">
        <f t="shared" si="12"/>
        <v>0</v>
      </c>
      <c r="P39" s="570">
        <f t="shared" si="13"/>
        <v>0</v>
      </c>
    </row>
    <row r="40" spans="1:16" ht="67.5" x14ac:dyDescent="0.2">
      <c r="A40" s="469">
        <f>IF(COUNTBLANK(B40)=1," ",COUNTA(B$13:B40))</f>
        <v>26</v>
      </c>
      <c r="B40" s="496" t="s">
        <v>86</v>
      </c>
      <c r="C40" s="129" t="s">
        <v>599</v>
      </c>
      <c r="D40" s="141" t="s">
        <v>56</v>
      </c>
      <c r="E40" s="60">
        <v>22.2</v>
      </c>
      <c r="F40" s="566"/>
      <c r="G40" s="567"/>
      <c r="H40" s="567">
        <f t="shared" si="7"/>
        <v>0</v>
      </c>
      <c r="I40" s="567"/>
      <c r="J40" s="567"/>
      <c r="K40" s="568">
        <f t="shared" si="8"/>
        <v>0</v>
      </c>
      <c r="L40" s="566">
        <f t="shared" si="9"/>
        <v>0</v>
      </c>
      <c r="M40" s="567">
        <f t="shared" si="10"/>
        <v>0</v>
      </c>
      <c r="N40" s="567">
        <f t="shared" si="11"/>
        <v>0</v>
      </c>
      <c r="O40" s="567">
        <f t="shared" si="12"/>
        <v>0</v>
      </c>
      <c r="P40" s="568">
        <f t="shared" si="13"/>
        <v>0</v>
      </c>
    </row>
    <row r="41" spans="1:16" x14ac:dyDescent="0.2">
      <c r="A41" s="469">
        <f>IF(COUNTBLANK(B41)=1," ",COUNTA(B$13:B41))</f>
        <v>27</v>
      </c>
      <c r="B41" s="496" t="s">
        <v>86</v>
      </c>
      <c r="C41" s="142" t="s">
        <v>368</v>
      </c>
      <c r="D41" s="143" t="s">
        <v>90</v>
      </c>
      <c r="E41" s="144">
        <f>E40*5</f>
        <v>111</v>
      </c>
      <c r="F41" s="566"/>
      <c r="G41" s="567"/>
      <c r="H41" s="569">
        <f t="shared" si="7"/>
        <v>0</v>
      </c>
      <c r="I41" s="567"/>
      <c r="J41" s="567"/>
      <c r="K41" s="570">
        <f t="shared" si="8"/>
        <v>0</v>
      </c>
      <c r="L41" s="571">
        <f t="shared" si="9"/>
        <v>0</v>
      </c>
      <c r="M41" s="569">
        <f t="shared" si="10"/>
        <v>0</v>
      </c>
      <c r="N41" s="569">
        <f t="shared" si="11"/>
        <v>0</v>
      </c>
      <c r="O41" s="569">
        <f t="shared" si="12"/>
        <v>0</v>
      </c>
      <c r="P41" s="570">
        <f t="shared" si="13"/>
        <v>0</v>
      </c>
    </row>
    <row r="42" spans="1:16" x14ac:dyDescent="0.2">
      <c r="A42" s="469">
        <f>IF(COUNTBLANK(B42)=1," ",COUNTA(B$13:B42))</f>
        <v>28</v>
      </c>
      <c r="B42" s="496" t="s">
        <v>86</v>
      </c>
      <c r="C42" s="142" t="s">
        <v>369</v>
      </c>
      <c r="D42" s="143" t="s">
        <v>134</v>
      </c>
      <c r="E42" s="144">
        <f>E40*2.2</f>
        <v>48.84</v>
      </c>
      <c r="F42" s="566"/>
      <c r="G42" s="567"/>
      <c r="H42" s="567">
        <f t="shared" si="7"/>
        <v>0</v>
      </c>
      <c r="I42" s="567"/>
      <c r="J42" s="567"/>
      <c r="K42" s="568">
        <f t="shared" si="8"/>
        <v>0</v>
      </c>
      <c r="L42" s="566">
        <f t="shared" si="9"/>
        <v>0</v>
      </c>
      <c r="M42" s="567">
        <f t="shared" si="10"/>
        <v>0</v>
      </c>
      <c r="N42" s="567">
        <f t="shared" si="11"/>
        <v>0</v>
      </c>
      <c r="O42" s="567">
        <f t="shared" si="12"/>
        <v>0</v>
      </c>
      <c r="P42" s="568">
        <f t="shared" si="13"/>
        <v>0</v>
      </c>
    </row>
    <row r="43" spans="1:16" x14ac:dyDescent="0.2">
      <c r="A43" s="469">
        <f>IF(COUNTBLANK(B43)=1," ",COUNTA(B$13:B43))</f>
        <v>29</v>
      </c>
      <c r="B43" s="496" t="s">
        <v>86</v>
      </c>
      <c r="C43" s="142" t="s">
        <v>370</v>
      </c>
      <c r="D43" s="143" t="s">
        <v>371</v>
      </c>
      <c r="E43" s="144">
        <f>E40*0.15</f>
        <v>3.3299999999999996</v>
      </c>
      <c r="F43" s="566"/>
      <c r="G43" s="567"/>
      <c r="H43" s="569">
        <f t="shared" si="7"/>
        <v>0</v>
      </c>
      <c r="I43" s="567"/>
      <c r="J43" s="567"/>
      <c r="K43" s="570">
        <f t="shared" si="8"/>
        <v>0</v>
      </c>
      <c r="L43" s="571">
        <f t="shared" si="9"/>
        <v>0</v>
      </c>
      <c r="M43" s="569">
        <f t="shared" si="10"/>
        <v>0</v>
      </c>
      <c r="N43" s="569">
        <f t="shared" si="11"/>
        <v>0</v>
      </c>
      <c r="O43" s="569">
        <f t="shared" si="12"/>
        <v>0</v>
      </c>
      <c r="P43" s="570">
        <f t="shared" si="13"/>
        <v>0</v>
      </c>
    </row>
    <row r="44" spans="1:16" x14ac:dyDescent="0.2">
      <c r="A44" s="469">
        <f>IF(COUNTBLANK(B44)=1," ",COUNTA(B$13:B44))</f>
        <v>30</v>
      </c>
      <c r="B44" s="496" t="s">
        <v>86</v>
      </c>
      <c r="C44" s="142" t="s">
        <v>609</v>
      </c>
      <c r="D44" s="143" t="s">
        <v>90</v>
      </c>
      <c r="E44" s="144">
        <f>E40*0.5</f>
        <v>11.1</v>
      </c>
      <c r="F44" s="566"/>
      <c r="G44" s="567"/>
      <c r="H44" s="567">
        <f t="shared" si="7"/>
        <v>0</v>
      </c>
      <c r="I44" s="567"/>
      <c r="J44" s="567"/>
      <c r="K44" s="568">
        <f t="shared" si="8"/>
        <v>0</v>
      </c>
      <c r="L44" s="566">
        <f t="shared" si="9"/>
        <v>0</v>
      </c>
      <c r="M44" s="567">
        <f t="shared" si="10"/>
        <v>0</v>
      </c>
      <c r="N44" s="567">
        <f t="shared" si="11"/>
        <v>0</v>
      </c>
      <c r="O44" s="567">
        <f t="shared" si="12"/>
        <v>0</v>
      </c>
      <c r="P44" s="568">
        <f t="shared" si="13"/>
        <v>0</v>
      </c>
    </row>
    <row r="45" spans="1:16" x14ac:dyDescent="0.2">
      <c r="A45" s="469">
        <f>IF(COUNTBLANK(B45)=1," ",COUNTA(B$13:B45))</f>
        <v>31</v>
      </c>
      <c r="B45" s="496" t="s">
        <v>86</v>
      </c>
      <c r="C45" s="145" t="s">
        <v>372</v>
      </c>
      <c r="D45" s="143" t="s">
        <v>90</v>
      </c>
      <c r="E45" s="144">
        <f>E40*3.7</f>
        <v>82.14</v>
      </c>
      <c r="F45" s="566"/>
      <c r="G45" s="567"/>
      <c r="H45" s="569">
        <f t="shared" si="7"/>
        <v>0</v>
      </c>
      <c r="I45" s="567"/>
      <c r="J45" s="567"/>
      <c r="K45" s="570">
        <f t="shared" si="8"/>
        <v>0</v>
      </c>
      <c r="L45" s="571">
        <f t="shared" si="9"/>
        <v>0</v>
      </c>
      <c r="M45" s="569">
        <f t="shared" si="10"/>
        <v>0</v>
      </c>
      <c r="N45" s="569">
        <f t="shared" si="11"/>
        <v>0</v>
      </c>
      <c r="O45" s="569">
        <f t="shared" si="12"/>
        <v>0</v>
      </c>
      <c r="P45" s="570">
        <f t="shared" si="13"/>
        <v>0</v>
      </c>
    </row>
    <row r="46" spans="1:16" x14ac:dyDescent="0.2">
      <c r="A46" s="469">
        <f>IF(COUNTBLANK(B46)=1," ",COUNTA(B$13:B46))</f>
        <v>32</v>
      </c>
      <c r="B46" s="496" t="s">
        <v>86</v>
      </c>
      <c r="C46" s="146" t="s">
        <v>94</v>
      </c>
      <c r="D46" s="147" t="s">
        <v>373</v>
      </c>
      <c r="E46" s="148">
        <f>ROUNDUP(E40*0.09,0)</f>
        <v>2</v>
      </c>
      <c r="F46" s="566"/>
      <c r="G46" s="567"/>
      <c r="H46" s="567">
        <f t="shared" si="7"/>
        <v>0</v>
      </c>
      <c r="I46" s="567"/>
      <c r="J46" s="567"/>
      <c r="K46" s="568">
        <f t="shared" si="8"/>
        <v>0</v>
      </c>
      <c r="L46" s="566">
        <f t="shared" si="9"/>
        <v>0</v>
      </c>
      <c r="M46" s="567">
        <f t="shared" si="10"/>
        <v>0</v>
      </c>
      <c r="N46" s="567">
        <f t="shared" si="11"/>
        <v>0</v>
      </c>
      <c r="O46" s="567">
        <f t="shared" si="12"/>
        <v>0</v>
      </c>
      <c r="P46" s="568">
        <f t="shared" si="13"/>
        <v>0</v>
      </c>
    </row>
    <row r="47" spans="1:16" ht="21.75" thickBot="1" x14ac:dyDescent="0.25">
      <c r="A47" s="469" t="str">
        <f>IF(COUNTBLANK(B47)=1," ",COUNTA(B$13:B47))</f>
        <v xml:space="preserve"> </v>
      </c>
      <c r="B47" s="493"/>
      <c r="C47" s="149" t="s">
        <v>568</v>
      </c>
      <c r="D47" s="497"/>
      <c r="E47" s="498"/>
      <c r="F47" s="566"/>
      <c r="G47" s="567"/>
      <c r="H47" s="569">
        <f t="shared" si="7"/>
        <v>0</v>
      </c>
      <c r="I47" s="567"/>
      <c r="J47" s="567"/>
      <c r="K47" s="570">
        <f t="shared" si="8"/>
        <v>0</v>
      </c>
      <c r="L47" s="571">
        <f t="shared" si="9"/>
        <v>0</v>
      </c>
      <c r="M47" s="569">
        <f t="shared" si="10"/>
        <v>0</v>
      </c>
      <c r="N47" s="569">
        <f t="shared" si="11"/>
        <v>0</v>
      </c>
      <c r="O47" s="569">
        <f t="shared" si="12"/>
        <v>0</v>
      </c>
      <c r="P47" s="570">
        <f t="shared" si="13"/>
        <v>0</v>
      </c>
    </row>
    <row r="48" spans="1:16" ht="67.5" x14ac:dyDescent="0.2">
      <c r="A48" s="469">
        <f>IF(COUNTBLANK(B48)=1," ",COUNTA(B$13:B48))</f>
        <v>33</v>
      </c>
      <c r="B48" s="141" t="s">
        <v>86</v>
      </c>
      <c r="C48" s="129" t="s">
        <v>610</v>
      </c>
      <c r="D48" s="141" t="s">
        <v>56</v>
      </c>
      <c r="E48" s="60">
        <v>1725.4</v>
      </c>
      <c r="F48" s="566"/>
      <c r="G48" s="567"/>
      <c r="H48" s="567">
        <f t="shared" si="7"/>
        <v>0</v>
      </c>
      <c r="I48" s="567"/>
      <c r="J48" s="567"/>
      <c r="K48" s="568">
        <f t="shared" si="8"/>
        <v>0</v>
      </c>
      <c r="L48" s="566">
        <f t="shared" si="9"/>
        <v>0</v>
      </c>
      <c r="M48" s="567">
        <f t="shared" si="10"/>
        <v>0</v>
      </c>
      <c r="N48" s="567">
        <f t="shared" si="11"/>
        <v>0</v>
      </c>
      <c r="O48" s="567">
        <f t="shared" si="12"/>
        <v>0</v>
      </c>
      <c r="P48" s="568">
        <f t="shared" si="13"/>
        <v>0</v>
      </c>
    </row>
    <row r="49" spans="1:16" x14ac:dyDescent="0.2">
      <c r="A49" s="469">
        <f>IF(COUNTBLANK(B49)=1," ",COUNTA(B$13:B49))</f>
        <v>34</v>
      </c>
      <c r="B49" s="141" t="s">
        <v>86</v>
      </c>
      <c r="C49" s="142" t="s">
        <v>368</v>
      </c>
      <c r="D49" s="143" t="s">
        <v>90</v>
      </c>
      <c r="E49" s="144">
        <f>E48*5</f>
        <v>8627</v>
      </c>
      <c r="F49" s="566"/>
      <c r="G49" s="567"/>
      <c r="H49" s="569">
        <f t="shared" si="7"/>
        <v>0</v>
      </c>
      <c r="I49" s="567"/>
      <c r="J49" s="567"/>
      <c r="K49" s="570">
        <f t="shared" si="8"/>
        <v>0</v>
      </c>
      <c r="L49" s="571">
        <f t="shared" si="9"/>
        <v>0</v>
      </c>
      <c r="M49" s="569">
        <f t="shared" si="10"/>
        <v>0</v>
      </c>
      <c r="N49" s="569">
        <f t="shared" si="11"/>
        <v>0</v>
      </c>
      <c r="O49" s="569">
        <f t="shared" si="12"/>
        <v>0</v>
      </c>
      <c r="P49" s="570">
        <f t="shared" si="13"/>
        <v>0</v>
      </c>
    </row>
    <row r="50" spans="1:16" x14ac:dyDescent="0.2">
      <c r="A50" s="469">
        <f>IF(COUNTBLANK(B50)=1," ",COUNTA(B$13:B50))</f>
        <v>35</v>
      </c>
      <c r="B50" s="141" t="s">
        <v>86</v>
      </c>
      <c r="C50" s="146" t="s">
        <v>374</v>
      </c>
      <c r="D50" s="143" t="s">
        <v>134</v>
      </c>
      <c r="E50" s="144">
        <f>E48*1.1</f>
        <v>1897.9400000000003</v>
      </c>
      <c r="F50" s="566"/>
      <c r="G50" s="567"/>
      <c r="H50" s="567">
        <f t="shared" si="7"/>
        <v>0</v>
      </c>
      <c r="I50" s="567"/>
      <c r="J50" s="567"/>
      <c r="K50" s="568">
        <f t="shared" si="8"/>
        <v>0</v>
      </c>
      <c r="L50" s="566">
        <f t="shared" si="9"/>
        <v>0</v>
      </c>
      <c r="M50" s="567">
        <f t="shared" si="10"/>
        <v>0</v>
      </c>
      <c r="N50" s="567">
        <f t="shared" si="11"/>
        <v>0</v>
      </c>
      <c r="O50" s="567">
        <f t="shared" si="12"/>
        <v>0</v>
      </c>
      <c r="P50" s="568">
        <f t="shared" si="13"/>
        <v>0</v>
      </c>
    </row>
    <row r="51" spans="1:16" x14ac:dyDescent="0.2">
      <c r="A51" s="469">
        <f>IF(COUNTBLANK(B51)=1," ",COUNTA(B$13:B51))</f>
        <v>36</v>
      </c>
      <c r="B51" s="141" t="s">
        <v>86</v>
      </c>
      <c r="C51" s="150" t="s">
        <v>370</v>
      </c>
      <c r="D51" s="151" t="s">
        <v>371</v>
      </c>
      <c r="E51" s="144">
        <f>E48*0.15</f>
        <v>258.81</v>
      </c>
      <c r="F51" s="566"/>
      <c r="G51" s="567"/>
      <c r="H51" s="569">
        <f t="shared" si="7"/>
        <v>0</v>
      </c>
      <c r="I51" s="567"/>
      <c r="J51" s="567"/>
      <c r="K51" s="570">
        <f t="shared" si="8"/>
        <v>0</v>
      </c>
      <c r="L51" s="571">
        <f t="shared" si="9"/>
        <v>0</v>
      </c>
      <c r="M51" s="569">
        <f t="shared" si="10"/>
        <v>0</v>
      </c>
      <c r="N51" s="569">
        <f t="shared" si="11"/>
        <v>0</v>
      </c>
      <c r="O51" s="569">
        <f t="shared" si="12"/>
        <v>0</v>
      </c>
      <c r="P51" s="570">
        <f t="shared" si="13"/>
        <v>0</v>
      </c>
    </row>
    <row r="52" spans="1:16" x14ac:dyDescent="0.2">
      <c r="A52" s="469">
        <f>IF(COUNTBLANK(B52)=1," ",COUNTA(B$13:B52))</f>
        <v>37</v>
      </c>
      <c r="B52" s="141" t="s">
        <v>86</v>
      </c>
      <c r="C52" s="150" t="s">
        <v>611</v>
      </c>
      <c r="D52" s="151" t="s">
        <v>90</v>
      </c>
      <c r="E52" s="144">
        <f>E48*0.3</f>
        <v>517.62</v>
      </c>
      <c r="F52" s="566"/>
      <c r="G52" s="567"/>
      <c r="H52" s="567">
        <f t="shared" si="7"/>
        <v>0</v>
      </c>
      <c r="I52" s="567"/>
      <c r="J52" s="567"/>
      <c r="K52" s="568">
        <f t="shared" si="8"/>
        <v>0</v>
      </c>
      <c r="L52" s="566">
        <f t="shared" si="9"/>
        <v>0</v>
      </c>
      <c r="M52" s="567">
        <f t="shared" si="10"/>
        <v>0</v>
      </c>
      <c r="N52" s="567">
        <f t="shared" si="11"/>
        <v>0</v>
      </c>
      <c r="O52" s="567">
        <f t="shared" si="12"/>
        <v>0</v>
      </c>
      <c r="P52" s="568">
        <f t="shared" si="13"/>
        <v>0</v>
      </c>
    </row>
    <row r="53" spans="1:16" ht="22.5" x14ac:dyDescent="0.2">
      <c r="A53" s="469">
        <f>IF(COUNTBLANK(B53)=1," ",COUNTA(B$13:B53))</f>
        <v>38</v>
      </c>
      <c r="B53" s="141" t="s">
        <v>86</v>
      </c>
      <c r="C53" s="152" t="s">
        <v>375</v>
      </c>
      <c r="D53" s="143" t="s">
        <v>90</v>
      </c>
      <c r="E53" s="144">
        <f>E48*3.7</f>
        <v>6383.9800000000005</v>
      </c>
      <c r="F53" s="566"/>
      <c r="G53" s="567"/>
      <c r="H53" s="569">
        <f t="shared" si="7"/>
        <v>0</v>
      </c>
      <c r="I53" s="567"/>
      <c r="J53" s="567"/>
      <c r="K53" s="570">
        <f t="shared" si="8"/>
        <v>0</v>
      </c>
      <c r="L53" s="571">
        <f t="shared" si="9"/>
        <v>0</v>
      </c>
      <c r="M53" s="569">
        <f t="shared" si="10"/>
        <v>0</v>
      </c>
      <c r="N53" s="569">
        <f t="shared" si="11"/>
        <v>0</v>
      </c>
      <c r="O53" s="569">
        <f t="shared" si="12"/>
        <v>0</v>
      </c>
      <c r="P53" s="570">
        <f t="shared" si="13"/>
        <v>0</v>
      </c>
    </row>
    <row r="54" spans="1:16" ht="12" thickBot="1" x14ac:dyDescent="0.25">
      <c r="A54" s="469">
        <f>IF(COUNTBLANK(B54)=1," ",COUNTA(B$13:B54))</f>
        <v>39</v>
      </c>
      <c r="B54" s="141" t="s">
        <v>86</v>
      </c>
      <c r="C54" s="153" t="s">
        <v>94</v>
      </c>
      <c r="D54" s="154" t="s">
        <v>373</v>
      </c>
      <c r="E54" s="155">
        <f>ROUNDUP(E48*0.09,0)</f>
        <v>156</v>
      </c>
      <c r="F54" s="566"/>
      <c r="G54" s="567"/>
      <c r="H54" s="567">
        <f t="shared" si="7"/>
        <v>0</v>
      </c>
      <c r="I54" s="567"/>
      <c r="J54" s="567"/>
      <c r="K54" s="568">
        <f t="shared" si="8"/>
        <v>0</v>
      </c>
      <c r="L54" s="566">
        <f t="shared" si="9"/>
        <v>0</v>
      </c>
      <c r="M54" s="567">
        <f t="shared" si="10"/>
        <v>0</v>
      </c>
      <c r="N54" s="567">
        <f t="shared" si="11"/>
        <v>0</v>
      </c>
      <c r="O54" s="567">
        <f t="shared" si="12"/>
        <v>0</v>
      </c>
      <c r="P54" s="568">
        <f t="shared" si="13"/>
        <v>0</v>
      </c>
    </row>
    <row r="55" spans="1:16" ht="33.75" x14ac:dyDescent="0.2">
      <c r="A55" s="469">
        <f>IF(COUNTBLANK(B55)=1," ",COUNTA(B$13:B55))</f>
        <v>40</v>
      </c>
      <c r="B55" s="499" t="s">
        <v>86</v>
      </c>
      <c r="C55" s="145" t="s">
        <v>376</v>
      </c>
      <c r="D55" s="500" t="s">
        <v>56</v>
      </c>
      <c r="E55" s="501">
        <v>17.14</v>
      </c>
      <c r="F55" s="566"/>
      <c r="G55" s="567"/>
      <c r="H55" s="569">
        <f t="shared" si="7"/>
        <v>0</v>
      </c>
      <c r="I55" s="567"/>
      <c r="J55" s="567"/>
      <c r="K55" s="570">
        <f t="shared" si="8"/>
        <v>0</v>
      </c>
      <c r="L55" s="571">
        <f t="shared" si="9"/>
        <v>0</v>
      </c>
      <c r="M55" s="569">
        <f t="shared" si="10"/>
        <v>0</v>
      </c>
      <c r="N55" s="569">
        <f t="shared" si="11"/>
        <v>0</v>
      </c>
      <c r="O55" s="569">
        <f t="shared" si="12"/>
        <v>0</v>
      </c>
      <c r="P55" s="570">
        <f t="shared" si="13"/>
        <v>0</v>
      </c>
    </row>
    <row r="56" spans="1:16" ht="33.75" x14ac:dyDescent="0.2">
      <c r="A56" s="469">
        <f>IF(COUNTBLANK(B56)=1," ",COUNTA(B$13:B56))</f>
        <v>41</v>
      </c>
      <c r="B56" s="499" t="s">
        <v>86</v>
      </c>
      <c r="C56" s="145" t="s">
        <v>377</v>
      </c>
      <c r="D56" s="500" t="s">
        <v>176</v>
      </c>
      <c r="E56" s="501">
        <v>28.22</v>
      </c>
      <c r="F56" s="566"/>
      <c r="G56" s="567"/>
      <c r="H56" s="567">
        <f t="shared" si="7"/>
        <v>0</v>
      </c>
      <c r="I56" s="567"/>
      <c r="J56" s="567"/>
      <c r="K56" s="568">
        <f t="shared" si="8"/>
        <v>0</v>
      </c>
      <c r="L56" s="566">
        <f t="shared" si="9"/>
        <v>0</v>
      </c>
      <c r="M56" s="567">
        <f t="shared" si="10"/>
        <v>0</v>
      </c>
      <c r="N56" s="567">
        <f t="shared" si="11"/>
        <v>0</v>
      </c>
      <c r="O56" s="567">
        <f t="shared" si="12"/>
        <v>0</v>
      </c>
      <c r="P56" s="568">
        <f t="shared" si="13"/>
        <v>0</v>
      </c>
    </row>
    <row r="57" spans="1:16" x14ac:dyDescent="0.2">
      <c r="A57" s="469">
        <f>IF(COUNTBLANK(B57)=1," ",COUNTA(B$13:B57))</f>
        <v>42</v>
      </c>
      <c r="B57" s="499" t="s">
        <v>86</v>
      </c>
      <c r="C57" s="502" t="s">
        <v>378</v>
      </c>
      <c r="D57" s="143" t="s">
        <v>90</v>
      </c>
      <c r="E57" s="144">
        <f>(E55+E56)*0.3</f>
        <v>13.607999999999999</v>
      </c>
      <c r="F57" s="566"/>
      <c r="G57" s="567"/>
      <c r="H57" s="569">
        <f t="shared" si="7"/>
        <v>0</v>
      </c>
      <c r="I57" s="567"/>
      <c r="J57" s="567"/>
      <c r="K57" s="570">
        <f t="shared" si="8"/>
        <v>0</v>
      </c>
      <c r="L57" s="571">
        <f t="shared" si="9"/>
        <v>0</v>
      </c>
      <c r="M57" s="569">
        <f t="shared" si="10"/>
        <v>0</v>
      </c>
      <c r="N57" s="569">
        <f t="shared" si="11"/>
        <v>0</v>
      </c>
      <c r="O57" s="569">
        <f t="shared" si="12"/>
        <v>0</v>
      </c>
      <c r="P57" s="570">
        <f t="shared" si="13"/>
        <v>0</v>
      </c>
    </row>
    <row r="58" spans="1:16" x14ac:dyDescent="0.2">
      <c r="A58" s="469">
        <f>IF(COUNTBLANK(B58)=1," ",COUNTA(B$13:B58))</f>
        <v>43</v>
      </c>
      <c r="B58" s="499" t="s">
        <v>86</v>
      </c>
      <c r="C58" s="142" t="s">
        <v>379</v>
      </c>
      <c r="D58" s="143" t="s">
        <v>134</v>
      </c>
      <c r="E58" s="144">
        <f>(E55+E56)*1.15</f>
        <v>52.163999999999994</v>
      </c>
      <c r="F58" s="566"/>
      <c r="G58" s="567"/>
      <c r="H58" s="567">
        <f t="shared" si="7"/>
        <v>0</v>
      </c>
      <c r="I58" s="567"/>
      <c r="J58" s="567"/>
      <c r="K58" s="568">
        <f t="shared" si="8"/>
        <v>0</v>
      </c>
      <c r="L58" s="566">
        <f t="shared" si="9"/>
        <v>0</v>
      </c>
      <c r="M58" s="567">
        <f t="shared" si="10"/>
        <v>0</v>
      </c>
      <c r="N58" s="567">
        <f t="shared" si="11"/>
        <v>0</v>
      </c>
      <c r="O58" s="567">
        <f t="shared" si="12"/>
        <v>0</v>
      </c>
      <c r="P58" s="568">
        <f t="shared" si="13"/>
        <v>0</v>
      </c>
    </row>
    <row r="59" spans="1:16" x14ac:dyDescent="0.2">
      <c r="A59" s="469">
        <f>IF(COUNTBLANK(B59)=1," ",COUNTA(B$13:B59))</f>
        <v>44</v>
      </c>
      <c r="B59" s="499" t="s">
        <v>86</v>
      </c>
      <c r="C59" s="142" t="s">
        <v>175</v>
      </c>
      <c r="D59" s="143" t="s">
        <v>90</v>
      </c>
      <c r="E59" s="144">
        <f>(E55+E56)*5</f>
        <v>226.8</v>
      </c>
      <c r="F59" s="566"/>
      <c r="G59" s="567"/>
      <c r="H59" s="569">
        <f t="shared" si="7"/>
        <v>0</v>
      </c>
      <c r="I59" s="567"/>
      <c r="J59" s="567"/>
      <c r="K59" s="570">
        <f t="shared" si="8"/>
        <v>0</v>
      </c>
      <c r="L59" s="571">
        <f t="shared" si="9"/>
        <v>0</v>
      </c>
      <c r="M59" s="569">
        <f t="shared" si="10"/>
        <v>0</v>
      </c>
      <c r="N59" s="569">
        <f t="shared" si="11"/>
        <v>0</v>
      </c>
      <c r="O59" s="569">
        <f t="shared" si="12"/>
        <v>0</v>
      </c>
      <c r="P59" s="570">
        <f t="shared" si="13"/>
        <v>0</v>
      </c>
    </row>
    <row r="60" spans="1:16" ht="45" x14ac:dyDescent="0.2">
      <c r="A60" s="469">
        <f>IF(COUNTBLANK(B60)=1," ",COUNTA(B$13:B60))</f>
        <v>45</v>
      </c>
      <c r="B60" s="499" t="s">
        <v>86</v>
      </c>
      <c r="C60" s="142" t="s">
        <v>380</v>
      </c>
      <c r="D60" s="143" t="s">
        <v>82</v>
      </c>
      <c r="E60" s="144">
        <f>ROUNDUP((E55+E56)*7,0)</f>
        <v>318</v>
      </c>
      <c r="F60" s="566"/>
      <c r="G60" s="567"/>
      <c r="H60" s="567">
        <f t="shared" si="7"/>
        <v>0</v>
      </c>
      <c r="I60" s="567"/>
      <c r="J60" s="567"/>
      <c r="K60" s="568">
        <f t="shared" si="8"/>
        <v>0</v>
      </c>
      <c r="L60" s="566">
        <f t="shared" si="9"/>
        <v>0</v>
      </c>
      <c r="M60" s="567">
        <f t="shared" si="10"/>
        <v>0</v>
      </c>
      <c r="N60" s="567">
        <f t="shared" si="11"/>
        <v>0</v>
      </c>
      <c r="O60" s="567">
        <f t="shared" si="12"/>
        <v>0</v>
      </c>
      <c r="P60" s="568">
        <f t="shared" si="13"/>
        <v>0</v>
      </c>
    </row>
    <row r="61" spans="1:16" ht="33.75" x14ac:dyDescent="0.2">
      <c r="A61" s="469">
        <f>IF(COUNTBLANK(B61)=1," ",COUNTA(B$13:B61))</f>
        <v>46</v>
      </c>
      <c r="B61" s="321" t="s">
        <v>86</v>
      </c>
      <c r="C61" s="142" t="s">
        <v>600</v>
      </c>
      <c r="D61" s="143" t="s">
        <v>176</v>
      </c>
      <c r="E61" s="144">
        <v>15</v>
      </c>
      <c r="F61" s="566"/>
      <c r="G61" s="567"/>
      <c r="H61" s="569">
        <f t="shared" si="7"/>
        <v>0</v>
      </c>
      <c r="I61" s="567"/>
      <c r="J61" s="567"/>
      <c r="K61" s="570">
        <f t="shared" si="8"/>
        <v>0</v>
      </c>
      <c r="L61" s="571">
        <f t="shared" si="9"/>
        <v>0</v>
      </c>
      <c r="M61" s="569">
        <f t="shared" si="10"/>
        <v>0</v>
      </c>
      <c r="N61" s="569">
        <f t="shared" si="11"/>
        <v>0</v>
      </c>
      <c r="O61" s="569">
        <f t="shared" si="12"/>
        <v>0</v>
      </c>
      <c r="P61" s="570">
        <f t="shared" si="13"/>
        <v>0</v>
      </c>
    </row>
    <row r="62" spans="1:16" x14ac:dyDescent="0.2">
      <c r="A62" s="469">
        <f>IF(COUNTBLANK(B62)=1," ",COUNTA(B$13:B62))</f>
        <v>47</v>
      </c>
      <c r="B62" s="321" t="s">
        <v>86</v>
      </c>
      <c r="C62" s="142" t="s">
        <v>368</v>
      </c>
      <c r="D62" s="143" t="s">
        <v>90</v>
      </c>
      <c r="E62" s="144">
        <f>E61*5</f>
        <v>75</v>
      </c>
      <c r="F62" s="566"/>
      <c r="G62" s="567"/>
      <c r="H62" s="567">
        <f t="shared" si="7"/>
        <v>0</v>
      </c>
      <c r="I62" s="567"/>
      <c r="J62" s="567"/>
      <c r="K62" s="568">
        <f t="shared" si="8"/>
        <v>0</v>
      </c>
      <c r="L62" s="566">
        <f t="shared" si="9"/>
        <v>0</v>
      </c>
      <c r="M62" s="567">
        <f t="shared" si="10"/>
        <v>0</v>
      </c>
      <c r="N62" s="567">
        <f t="shared" si="11"/>
        <v>0</v>
      </c>
      <c r="O62" s="567">
        <f t="shared" si="12"/>
        <v>0</v>
      </c>
      <c r="P62" s="568">
        <f t="shared" si="13"/>
        <v>0</v>
      </c>
    </row>
    <row r="63" spans="1:16" x14ac:dyDescent="0.2">
      <c r="A63" s="469">
        <f>IF(COUNTBLANK(B63)=1," ",COUNTA(B$13:B63))</f>
        <v>48</v>
      </c>
      <c r="B63" s="321" t="s">
        <v>86</v>
      </c>
      <c r="C63" s="142" t="s">
        <v>369</v>
      </c>
      <c r="D63" s="143" t="s">
        <v>134</v>
      </c>
      <c r="E63" s="144">
        <f>E61*2.2</f>
        <v>33</v>
      </c>
      <c r="F63" s="566"/>
      <c r="G63" s="567"/>
      <c r="H63" s="569">
        <f t="shared" si="7"/>
        <v>0</v>
      </c>
      <c r="I63" s="567"/>
      <c r="J63" s="567"/>
      <c r="K63" s="570">
        <f t="shared" si="8"/>
        <v>0</v>
      </c>
      <c r="L63" s="571">
        <f t="shared" si="9"/>
        <v>0</v>
      </c>
      <c r="M63" s="569">
        <f t="shared" si="10"/>
        <v>0</v>
      </c>
      <c r="N63" s="569">
        <f t="shared" si="11"/>
        <v>0</v>
      </c>
      <c r="O63" s="569">
        <f t="shared" si="12"/>
        <v>0</v>
      </c>
      <c r="P63" s="570">
        <f t="shared" si="13"/>
        <v>0</v>
      </c>
    </row>
    <row r="64" spans="1:16" ht="33.75" x14ac:dyDescent="0.2">
      <c r="A64" s="469">
        <f>IF(COUNTBLANK(B64)=1," ",COUNTA(B$13:B64))</f>
        <v>49</v>
      </c>
      <c r="B64" s="350" t="s">
        <v>86</v>
      </c>
      <c r="C64" s="142" t="s">
        <v>601</v>
      </c>
      <c r="D64" s="143" t="s">
        <v>176</v>
      </c>
      <c r="E64" s="144">
        <v>8.16</v>
      </c>
      <c r="F64" s="566"/>
      <c r="G64" s="567"/>
      <c r="H64" s="567">
        <f t="shared" si="7"/>
        <v>0</v>
      </c>
      <c r="I64" s="567"/>
      <c r="J64" s="567"/>
      <c r="K64" s="568">
        <f t="shared" si="8"/>
        <v>0</v>
      </c>
      <c r="L64" s="566">
        <f t="shared" si="9"/>
        <v>0</v>
      </c>
      <c r="M64" s="567">
        <f t="shared" si="10"/>
        <v>0</v>
      </c>
      <c r="N64" s="567">
        <f t="shared" si="11"/>
        <v>0</v>
      </c>
      <c r="O64" s="567">
        <f t="shared" si="12"/>
        <v>0</v>
      </c>
      <c r="P64" s="568">
        <f t="shared" si="13"/>
        <v>0</v>
      </c>
    </row>
    <row r="65" spans="1:16" x14ac:dyDescent="0.2">
      <c r="A65" s="469">
        <f>IF(COUNTBLANK(B65)=1," ",COUNTA(B$13:B65))</f>
        <v>50</v>
      </c>
      <c r="B65" s="350" t="s">
        <v>86</v>
      </c>
      <c r="C65" s="142" t="s">
        <v>368</v>
      </c>
      <c r="D65" s="143" t="s">
        <v>90</v>
      </c>
      <c r="E65" s="144">
        <f>E64*5</f>
        <v>40.799999999999997</v>
      </c>
      <c r="F65" s="566"/>
      <c r="G65" s="567"/>
      <c r="H65" s="569">
        <f t="shared" si="7"/>
        <v>0</v>
      </c>
      <c r="I65" s="567"/>
      <c r="J65" s="567"/>
      <c r="K65" s="570">
        <f t="shared" si="8"/>
        <v>0</v>
      </c>
      <c r="L65" s="571">
        <f t="shared" si="9"/>
        <v>0</v>
      </c>
      <c r="M65" s="569">
        <f t="shared" si="10"/>
        <v>0</v>
      </c>
      <c r="N65" s="569">
        <f t="shared" si="11"/>
        <v>0</v>
      </c>
      <c r="O65" s="569">
        <f t="shared" si="12"/>
        <v>0</v>
      </c>
      <c r="P65" s="570">
        <f t="shared" si="13"/>
        <v>0</v>
      </c>
    </row>
    <row r="66" spans="1:16" x14ac:dyDescent="0.2">
      <c r="A66" s="469">
        <f>IF(COUNTBLANK(B66)=1," ",COUNTA(B$13:B66))</f>
        <v>51</v>
      </c>
      <c r="B66" s="350" t="s">
        <v>86</v>
      </c>
      <c r="C66" s="142" t="s">
        <v>381</v>
      </c>
      <c r="D66" s="143" t="s">
        <v>134</v>
      </c>
      <c r="E66" s="144">
        <f>E64*2.2</f>
        <v>17.952000000000002</v>
      </c>
      <c r="F66" s="566"/>
      <c r="G66" s="567"/>
      <c r="H66" s="567">
        <f t="shared" si="7"/>
        <v>0</v>
      </c>
      <c r="I66" s="567"/>
      <c r="J66" s="567"/>
      <c r="K66" s="568">
        <f t="shared" si="8"/>
        <v>0</v>
      </c>
      <c r="L66" s="566">
        <f t="shared" si="9"/>
        <v>0</v>
      </c>
      <c r="M66" s="567">
        <f t="shared" si="10"/>
        <v>0</v>
      </c>
      <c r="N66" s="567">
        <f t="shared" si="11"/>
        <v>0</v>
      </c>
      <c r="O66" s="567">
        <f t="shared" si="12"/>
        <v>0</v>
      </c>
      <c r="P66" s="568">
        <f t="shared" si="13"/>
        <v>0</v>
      </c>
    </row>
    <row r="67" spans="1:16" x14ac:dyDescent="0.2">
      <c r="A67" s="469">
        <f>IF(COUNTBLANK(B67)=1," ",COUNTA(B$13:B67))</f>
        <v>52</v>
      </c>
      <c r="B67" s="350" t="s">
        <v>86</v>
      </c>
      <c r="C67" s="142" t="s">
        <v>382</v>
      </c>
      <c r="D67" s="143" t="s">
        <v>371</v>
      </c>
      <c r="E67" s="144">
        <v>112.85</v>
      </c>
      <c r="F67" s="566"/>
      <c r="G67" s="567"/>
      <c r="H67" s="569">
        <f t="shared" si="7"/>
        <v>0</v>
      </c>
      <c r="I67" s="567"/>
      <c r="J67" s="567"/>
      <c r="K67" s="570">
        <f t="shared" si="8"/>
        <v>0</v>
      </c>
      <c r="L67" s="571">
        <f t="shared" si="9"/>
        <v>0</v>
      </c>
      <c r="M67" s="569">
        <f t="shared" si="10"/>
        <v>0</v>
      </c>
      <c r="N67" s="569">
        <f t="shared" si="11"/>
        <v>0</v>
      </c>
      <c r="O67" s="569">
        <f t="shared" si="12"/>
        <v>0</v>
      </c>
      <c r="P67" s="570">
        <f t="shared" si="13"/>
        <v>0</v>
      </c>
    </row>
    <row r="68" spans="1:16" ht="33.75" x14ac:dyDescent="0.2">
      <c r="A68" s="469">
        <f>IF(COUNTBLANK(B68)=1," ",COUNTA(B$13:B68))</f>
        <v>53</v>
      </c>
      <c r="B68" s="350" t="s">
        <v>86</v>
      </c>
      <c r="C68" s="142" t="s">
        <v>602</v>
      </c>
      <c r="D68" s="143" t="s">
        <v>176</v>
      </c>
      <c r="E68" s="144">
        <v>15.04</v>
      </c>
      <c r="F68" s="566"/>
      <c r="G68" s="567"/>
      <c r="H68" s="567">
        <f t="shared" si="7"/>
        <v>0</v>
      </c>
      <c r="I68" s="567"/>
      <c r="J68" s="567"/>
      <c r="K68" s="568">
        <f t="shared" si="8"/>
        <v>0</v>
      </c>
      <c r="L68" s="566">
        <f t="shared" si="9"/>
        <v>0</v>
      </c>
      <c r="M68" s="567">
        <f t="shared" si="10"/>
        <v>0</v>
      </c>
      <c r="N68" s="567">
        <f t="shared" si="11"/>
        <v>0</v>
      </c>
      <c r="O68" s="567">
        <f t="shared" si="12"/>
        <v>0</v>
      </c>
      <c r="P68" s="568">
        <f t="shared" si="13"/>
        <v>0</v>
      </c>
    </row>
    <row r="69" spans="1:16" x14ac:dyDescent="0.2">
      <c r="A69" s="469">
        <f>IF(COUNTBLANK(B69)=1," ",COUNTA(B$13:B69))</f>
        <v>54</v>
      </c>
      <c r="B69" s="350" t="s">
        <v>86</v>
      </c>
      <c r="C69" s="142" t="s">
        <v>368</v>
      </c>
      <c r="D69" s="143" t="s">
        <v>90</v>
      </c>
      <c r="E69" s="144">
        <f>E68*5</f>
        <v>75.199999999999989</v>
      </c>
      <c r="F69" s="566"/>
      <c r="G69" s="567"/>
      <c r="H69" s="569">
        <f t="shared" si="7"/>
        <v>0</v>
      </c>
      <c r="I69" s="567"/>
      <c r="J69" s="567"/>
      <c r="K69" s="570">
        <f t="shared" si="8"/>
        <v>0</v>
      </c>
      <c r="L69" s="571">
        <f t="shared" si="9"/>
        <v>0</v>
      </c>
      <c r="M69" s="569">
        <f t="shared" si="10"/>
        <v>0</v>
      </c>
      <c r="N69" s="569">
        <f t="shared" si="11"/>
        <v>0</v>
      </c>
      <c r="O69" s="569">
        <f t="shared" si="12"/>
        <v>0</v>
      </c>
      <c r="P69" s="570">
        <f t="shared" si="13"/>
        <v>0</v>
      </c>
    </row>
    <row r="70" spans="1:16" x14ac:dyDescent="0.2">
      <c r="A70" s="469">
        <f>IF(COUNTBLANK(B70)=1," ",COUNTA(B$13:B70))</f>
        <v>55</v>
      </c>
      <c r="B70" s="350" t="s">
        <v>86</v>
      </c>
      <c r="C70" s="142" t="s">
        <v>369</v>
      </c>
      <c r="D70" s="143" t="s">
        <v>134</v>
      </c>
      <c r="E70" s="144">
        <f>E68*2.2</f>
        <v>33.088000000000001</v>
      </c>
      <c r="F70" s="566"/>
      <c r="G70" s="567"/>
      <c r="H70" s="567">
        <f t="shared" si="7"/>
        <v>0</v>
      </c>
      <c r="I70" s="567"/>
      <c r="J70" s="567"/>
      <c r="K70" s="568">
        <f t="shared" si="8"/>
        <v>0</v>
      </c>
      <c r="L70" s="566">
        <f t="shared" si="9"/>
        <v>0</v>
      </c>
      <c r="M70" s="567">
        <f t="shared" si="10"/>
        <v>0</v>
      </c>
      <c r="N70" s="567">
        <f t="shared" si="11"/>
        <v>0</v>
      </c>
      <c r="O70" s="567">
        <f t="shared" si="12"/>
        <v>0</v>
      </c>
      <c r="P70" s="568">
        <f t="shared" si="13"/>
        <v>0</v>
      </c>
    </row>
    <row r="71" spans="1:16" x14ac:dyDescent="0.2">
      <c r="A71" s="469">
        <f>IF(COUNTBLANK(B71)=1," ",COUNTA(B$13:B71))</f>
        <v>56</v>
      </c>
      <c r="B71" s="350" t="s">
        <v>86</v>
      </c>
      <c r="C71" s="142" t="s">
        <v>370</v>
      </c>
      <c r="D71" s="143" t="s">
        <v>371</v>
      </c>
      <c r="E71" s="144">
        <v>93.8</v>
      </c>
      <c r="F71" s="566"/>
      <c r="G71" s="567"/>
      <c r="H71" s="569">
        <f t="shared" si="7"/>
        <v>0</v>
      </c>
      <c r="I71" s="567"/>
      <c r="J71" s="567"/>
      <c r="K71" s="570">
        <f t="shared" si="8"/>
        <v>0</v>
      </c>
      <c r="L71" s="571">
        <f t="shared" si="9"/>
        <v>0</v>
      </c>
      <c r="M71" s="569">
        <f t="shared" si="10"/>
        <v>0</v>
      </c>
      <c r="N71" s="569">
        <f t="shared" si="11"/>
        <v>0</v>
      </c>
      <c r="O71" s="569">
        <f t="shared" si="12"/>
        <v>0</v>
      </c>
      <c r="P71" s="570">
        <f t="shared" si="13"/>
        <v>0</v>
      </c>
    </row>
    <row r="72" spans="1:16" x14ac:dyDescent="0.2">
      <c r="A72" s="469">
        <f>IF(COUNTBLANK(B72)=1," ",COUNTA(B$13:B72))</f>
        <v>57</v>
      </c>
      <c r="B72" s="350" t="s">
        <v>86</v>
      </c>
      <c r="C72" s="142" t="s">
        <v>383</v>
      </c>
      <c r="D72" s="143" t="s">
        <v>88</v>
      </c>
      <c r="E72" s="503">
        <v>21.95</v>
      </c>
      <c r="F72" s="566"/>
      <c r="G72" s="567"/>
      <c r="H72" s="567">
        <f t="shared" si="7"/>
        <v>0</v>
      </c>
      <c r="I72" s="567"/>
      <c r="J72" s="567"/>
      <c r="K72" s="568">
        <f t="shared" si="8"/>
        <v>0</v>
      </c>
      <c r="L72" s="566">
        <f t="shared" si="9"/>
        <v>0</v>
      </c>
      <c r="M72" s="567">
        <f t="shared" si="10"/>
        <v>0</v>
      </c>
      <c r="N72" s="567">
        <f t="shared" si="11"/>
        <v>0</v>
      </c>
      <c r="O72" s="567">
        <f t="shared" si="12"/>
        <v>0</v>
      </c>
      <c r="P72" s="568">
        <f t="shared" si="13"/>
        <v>0</v>
      </c>
    </row>
    <row r="73" spans="1:16" x14ac:dyDescent="0.2">
      <c r="A73" s="469">
        <f>IF(COUNTBLANK(B73)=1," ",COUNTA(B$13:B73))</f>
        <v>58</v>
      </c>
      <c r="B73" s="504" t="s">
        <v>86</v>
      </c>
      <c r="C73" s="146" t="s">
        <v>384</v>
      </c>
      <c r="D73" s="147" t="s">
        <v>88</v>
      </c>
      <c r="E73" s="505">
        <v>87.9</v>
      </c>
      <c r="F73" s="566"/>
      <c r="G73" s="567"/>
      <c r="H73" s="569">
        <f t="shared" si="7"/>
        <v>0</v>
      </c>
      <c r="I73" s="567"/>
      <c r="J73" s="567"/>
      <c r="K73" s="570">
        <f t="shared" si="8"/>
        <v>0</v>
      </c>
      <c r="L73" s="571">
        <f t="shared" si="9"/>
        <v>0</v>
      </c>
      <c r="M73" s="569">
        <f t="shared" si="10"/>
        <v>0</v>
      </c>
      <c r="N73" s="569">
        <f t="shared" si="11"/>
        <v>0</v>
      </c>
      <c r="O73" s="569">
        <f t="shared" si="12"/>
        <v>0</v>
      </c>
      <c r="P73" s="570">
        <f t="shared" si="13"/>
        <v>0</v>
      </c>
    </row>
    <row r="74" spans="1:16" x14ac:dyDescent="0.2">
      <c r="A74" s="469">
        <f>IF(COUNTBLANK(B74)=1," ",COUNTA(B$13:B74))</f>
        <v>59</v>
      </c>
      <c r="B74" s="504" t="s">
        <v>86</v>
      </c>
      <c r="C74" s="506" t="s">
        <v>385</v>
      </c>
      <c r="D74" s="87" t="s">
        <v>88</v>
      </c>
      <c r="E74" s="74">
        <f>E73</f>
        <v>87.9</v>
      </c>
      <c r="F74" s="566"/>
      <c r="G74" s="567"/>
      <c r="H74" s="567">
        <f t="shared" si="7"/>
        <v>0</v>
      </c>
      <c r="I74" s="567"/>
      <c r="J74" s="567"/>
      <c r="K74" s="568">
        <f t="shared" si="8"/>
        <v>0</v>
      </c>
      <c r="L74" s="566">
        <f t="shared" si="9"/>
        <v>0</v>
      </c>
      <c r="M74" s="567">
        <f t="shared" si="10"/>
        <v>0</v>
      </c>
      <c r="N74" s="567">
        <f t="shared" si="11"/>
        <v>0</v>
      </c>
      <c r="O74" s="567">
        <f t="shared" si="12"/>
        <v>0</v>
      </c>
      <c r="P74" s="568">
        <f t="shared" si="13"/>
        <v>0</v>
      </c>
    </row>
    <row r="75" spans="1:16" ht="33.75" x14ac:dyDescent="0.2">
      <c r="A75" s="469">
        <f>IF(COUNTBLANK(B75)=1," ",COUNTA(B$13:B75))</f>
        <v>60</v>
      </c>
      <c r="B75" s="350" t="s">
        <v>86</v>
      </c>
      <c r="C75" s="506" t="s">
        <v>386</v>
      </c>
      <c r="D75" s="87" t="s">
        <v>176</v>
      </c>
      <c r="E75" s="74">
        <v>28.56</v>
      </c>
      <c r="F75" s="566"/>
      <c r="G75" s="567"/>
      <c r="H75" s="569">
        <f t="shared" si="7"/>
        <v>0</v>
      </c>
      <c r="I75" s="567"/>
      <c r="J75" s="567"/>
      <c r="K75" s="570">
        <f t="shared" si="8"/>
        <v>0</v>
      </c>
      <c r="L75" s="571">
        <f t="shared" si="9"/>
        <v>0</v>
      </c>
      <c r="M75" s="569">
        <f t="shared" si="10"/>
        <v>0</v>
      </c>
      <c r="N75" s="569">
        <f t="shared" si="11"/>
        <v>0</v>
      </c>
      <c r="O75" s="569">
        <f t="shared" si="12"/>
        <v>0</v>
      </c>
      <c r="P75" s="570">
        <f t="shared" si="13"/>
        <v>0</v>
      </c>
    </row>
    <row r="76" spans="1:16" ht="22.5" x14ac:dyDescent="0.2">
      <c r="A76" s="469">
        <f>IF(COUNTBLANK(B76)=1," ",COUNTA(B$13:B76))</f>
        <v>61</v>
      </c>
      <c r="B76" s="321" t="s">
        <v>86</v>
      </c>
      <c r="C76" s="85" t="s">
        <v>387</v>
      </c>
      <c r="D76" s="320" t="s">
        <v>149</v>
      </c>
      <c r="E76" s="320">
        <v>63</v>
      </c>
      <c r="F76" s="566"/>
      <c r="G76" s="567"/>
      <c r="H76" s="567">
        <f t="shared" si="7"/>
        <v>0</v>
      </c>
      <c r="I76" s="567"/>
      <c r="J76" s="567"/>
      <c r="K76" s="568">
        <f t="shared" si="8"/>
        <v>0</v>
      </c>
      <c r="L76" s="566">
        <f t="shared" si="9"/>
        <v>0</v>
      </c>
      <c r="M76" s="567">
        <f t="shared" si="10"/>
        <v>0</v>
      </c>
      <c r="N76" s="567">
        <f t="shared" si="11"/>
        <v>0</v>
      </c>
      <c r="O76" s="567">
        <f t="shared" si="12"/>
        <v>0</v>
      </c>
      <c r="P76" s="568">
        <f t="shared" si="13"/>
        <v>0</v>
      </c>
    </row>
    <row r="77" spans="1:16" ht="22.5" x14ac:dyDescent="0.2">
      <c r="A77" s="469">
        <f>IF(COUNTBLANK(B77)=1," ",COUNTA(B$13:B77))</f>
        <v>62</v>
      </c>
      <c r="B77" s="332" t="s">
        <v>86</v>
      </c>
      <c r="C77" s="473" t="s">
        <v>89</v>
      </c>
      <c r="D77" s="454" t="s">
        <v>88</v>
      </c>
      <c r="E77" s="387">
        <v>1128</v>
      </c>
      <c r="F77" s="566"/>
      <c r="G77" s="567"/>
      <c r="H77" s="569">
        <f t="shared" si="7"/>
        <v>0</v>
      </c>
      <c r="I77" s="567"/>
      <c r="J77" s="567"/>
      <c r="K77" s="570">
        <f t="shared" si="8"/>
        <v>0</v>
      </c>
      <c r="L77" s="571">
        <f t="shared" si="9"/>
        <v>0</v>
      </c>
      <c r="M77" s="569">
        <f t="shared" si="10"/>
        <v>0</v>
      </c>
      <c r="N77" s="569">
        <f t="shared" si="11"/>
        <v>0</v>
      </c>
      <c r="O77" s="569">
        <f t="shared" si="12"/>
        <v>0</v>
      </c>
      <c r="P77" s="570">
        <f t="shared" si="13"/>
        <v>0</v>
      </c>
    </row>
    <row r="78" spans="1:16" ht="22.5" x14ac:dyDescent="0.2">
      <c r="A78" s="469">
        <f>IF(COUNTBLANK(B78)=1," ",COUNTA(B$13:B78))</f>
        <v>63</v>
      </c>
      <c r="B78" s="332" t="s">
        <v>86</v>
      </c>
      <c r="C78" s="507" t="s">
        <v>570</v>
      </c>
      <c r="D78" s="508" t="s">
        <v>88</v>
      </c>
      <c r="E78" s="509">
        <v>6</v>
      </c>
      <c r="F78" s="566"/>
      <c r="G78" s="567"/>
      <c r="H78" s="567">
        <f t="shared" si="7"/>
        <v>0</v>
      </c>
      <c r="I78" s="567"/>
      <c r="J78" s="567"/>
      <c r="K78" s="568">
        <f t="shared" si="8"/>
        <v>0</v>
      </c>
      <c r="L78" s="566">
        <f t="shared" si="9"/>
        <v>0</v>
      </c>
      <c r="M78" s="567">
        <f t="shared" si="10"/>
        <v>0</v>
      </c>
      <c r="N78" s="567">
        <f t="shared" si="11"/>
        <v>0</v>
      </c>
      <c r="O78" s="567">
        <f t="shared" si="12"/>
        <v>0</v>
      </c>
      <c r="P78" s="568">
        <f t="shared" si="13"/>
        <v>0</v>
      </c>
    </row>
    <row r="79" spans="1:16" x14ac:dyDescent="0.2">
      <c r="A79" s="469">
        <f>IF(COUNTBLANK(B79)=1," ",COUNTA(B$13:B79))</f>
        <v>64</v>
      </c>
      <c r="B79" s="332" t="s">
        <v>86</v>
      </c>
      <c r="C79" s="298" t="s">
        <v>87</v>
      </c>
      <c r="D79" s="336" t="s">
        <v>57</v>
      </c>
      <c r="E79" s="510">
        <v>1</v>
      </c>
      <c r="F79" s="566"/>
      <c r="G79" s="567"/>
      <c r="H79" s="569">
        <f t="shared" si="7"/>
        <v>0</v>
      </c>
      <c r="I79" s="567"/>
      <c r="J79" s="567"/>
      <c r="K79" s="570">
        <f t="shared" si="8"/>
        <v>0</v>
      </c>
      <c r="L79" s="571">
        <f t="shared" si="9"/>
        <v>0</v>
      </c>
      <c r="M79" s="569">
        <f t="shared" si="10"/>
        <v>0</v>
      </c>
      <c r="N79" s="569">
        <f t="shared" si="11"/>
        <v>0</v>
      </c>
      <c r="O79" s="569">
        <f t="shared" si="12"/>
        <v>0</v>
      </c>
      <c r="P79" s="570">
        <f t="shared" si="13"/>
        <v>0</v>
      </c>
    </row>
    <row r="80" spans="1:16" ht="123.75" x14ac:dyDescent="0.2">
      <c r="A80" s="469">
        <f>IF(COUNTBLANK(B80)=1," ",COUNTA(B$13:B80))</f>
        <v>65</v>
      </c>
      <c r="B80" s="511" t="s">
        <v>86</v>
      </c>
      <c r="C80" s="456" t="s">
        <v>388</v>
      </c>
      <c r="D80" s="377" t="s">
        <v>111</v>
      </c>
      <c r="E80" s="512">
        <v>3</v>
      </c>
      <c r="F80" s="566"/>
      <c r="G80" s="567"/>
      <c r="H80" s="567">
        <f t="shared" si="7"/>
        <v>0</v>
      </c>
      <c r="I80" s="567"/>
      <c r="J80" s="567"/>
      <c r="K80" s="568">
        <f t="shared" si="8"/>
        <v>0</v>
      </c>
      <c r="L80" s="566">
        <f t="shared" si="9"/>
        <v>0</v>
      </c>
      <c r="M80" s="567">
        <f t="shared" si="10"/>
        <v>0</v>
      </c>
      <c r="N80" s="567">
        <f t="shared" si="11"/>
        <v>0</v>
      </c>
      <c r="O80" s="567">
        <f t="shared" si="12"/>
        <v>0</v>
      </c>
      <c r="P80" s="568">
        <f t="shared" si="13"/>
        <v>0</v>
      </c>
    </row>
    <row r="81" spans="1:16" ht="123.75" x14ac:dyDescent="0.2">
      <c r="A81" s="469">
        <f>IF(COUNTBLANK(B81)=1," ",COUNTA(B$13:B81))</f>
        <v>66</v>
      </c>
      <c r="B81" s="314" t="s">
        <v>86</v>
      </c>
      <c r="C81" s="513" t="s">
        <v>389</v>
      </c>
      <c r="D81" s="514" t="s">
        <v>236</v>
      </c>
      <c r="E81" s="515">
        <v>4</v>
      </c>
      <c r="F81" s="566"/>
      <c r="G81" s="567"/>
      <c r="H81" s="569">
        <f t="shared" ref="H81:H83" si="14">ROUND(F81*G81,2)</f>
        <v>0</v>
      </c>
      <c r="I81" s="567"/>
      <c r="J81" s="567"/>
      <c r="K81" s="570">
        <f t="shared" ref="K81:K83" si="15">SUM(H81:J81)</f>
        <v>0</v>
      </c>
      <c r="L81" s="571">
        <f t="shared" ref="L81:L83" si="16">ROUND(E81*F81,2)</f>
        <v>0</v>
      </c>
      <c r="M81" s="569">
        <f t="shared" ref="M81:M83" si="17">ROUND(H81*E81,2)</f>
        <v>0</v>
      </c>
      <c r="N81" s="569">
        <f t="shared" ref="N81:N83" si="18">ROUND(I81*E81,2)</f>
        <v>0</v>
      </c>
      <c r="O81" s="569">
        <f t="shared" ref="O81:O83" si="19">ROUND(J81*E81,2)</f>
        <v>0</v>
      </c>
      <c r="P81" s="570">
        <f t="shared" ref="P81:P83" si="20">SUM(M81:O81)</f>
        <v>0</v>
      </c>
    </row>
    <row r="82" spans="1:16" x14ac:dyDescent="0.2">
      <c r="A82" s="469">
        <f>IF(COUNTBLANK(B82)=1," ",COUNTA(B$13:B82))</f>
        <v>67</v>
      </c>
      <c r="B82" s="210" t="s">
        <v>86</v>
      </c>
      <c r="C82" s="298" t="s">
        <v>85</v>
      </c>
      <c r="D82" s="299" t="s">
        <v>84</v>
      </c>
      <c r="E82" s="510">
        <v>14</v>
      </c>
      <c r="F82" s="566"/>
      <c r="G82" s="567"/>
      <c r="H82" s="567">
        <f t="shared" si="14"/>
        <v>0</v>
      </c>
      <c r="I82" s="567"/>
      <c r="J82" s="567"/>
      <c r="K82" s="568">
        <f t="shared" si="15"/>
        <v>0</v>
      </c>
      <c r="L82" s="566">
        <f t="shared" si="16"/>
        <v>0</v>
      </c>
      <c r="M82" s="567">
        <f t="shared" si="17"/>
        <v>0</v>
      </c>
      <c r="N82" s="567">
        <f t="shared" si="18"/>
        <v>0</v>
      </c>
      <c r="O82" s="567">
        <f t="shared" si="19"/>
        <v>0</v>
      </c>
      <c r="P82" s="568">
        <f t="shared" si="20"/>
        <v>0</v>
      </c>
    </row>
    <row r="83" spans="1:16" ht="12" thickBot="1" x14ac:dyDescent="0.25">
      <c r="A83" s="516">
        <f>IF(COUNTBLANK(B83)=1," ",COUNTA(B$13:B83))</f>
        <v>68</v>
      </c>
      <c r="B83" s="517" t="s">
        <v>86</v>
      </c>
      <c r="C83" s="518" t="s">
        <v>83</v>
      </c>
      <c r="D83" s="519" t="s">
        <v>82</v>
      </c>
      <c r="E83" s="520">
        <f>ROUNDUP(E82*0.14,0)</f>
        <v>2</v>
      </c>
      <c r="F83" s="566"/>
      <c r="G83" s="567"/>
      <c r="H83" s="569">
        <f t="shared" si="14"/>
        <v>0</v>
      </c>
      <c r="I83" s="567"/>
      <c r="J83" s="567"/>
      <c r="K83" s="570">
        <f t="shared" si="15"/>
        <v>0</v>
      </c>
      <c r="L83" s="579">
        <f t="shared" si="16"/>
        <v>0</v>
      </c>
      <c r="M83" s="580">
        <f t="shared" si="17"/>
        <v>0</v>
      </c>
      <c r="N83" s="580">
        <f t="shared" si="18"/>
        <v>0</v>
      </c>
      <c r="O83" s="580">
        <f t="shared" si="19"/>
        <v>0</v>
      </c>
      <c r="P83" s="581">
        <f t="shared" si="20"/>
        <v>0</v>
      </c>
    </row>
    <row r="84" spans="1:16" ht="12" thickBot="1" x14ac:dyDescent="0.25">
      <c r="A84" s="619" t="s">
        <v>612</v>
      </c>
      <c r="B84" s="619"/>
      <c r="C84" s="619"/>
      <c r="D84" s="619"/>
      <c r="E84" s="619"/>
      <c r="F84" s="619"/>
      <c r="G84" s="619"/>
      <c r="H84" s="619"/>
      <c r="I84" s="619"/>
      <c r="J84" s="619"/>
      <c r="K84" s="620"/>
      <c r="L84" s="582">
        <f>SUM(L14:L83)</f>
        <v>0</v>
      </c>
      <c r="M84" s="583">
        <f t="shared" ref="M84:P84" si="21">SUM(M14:M83)</f>
        <v>0</v>
      </c>
      <c r="N84" s="583">
        <f t="shared" si="21"/>
        <v>0</v>
      </c>
      <c r="O84" s="583">
        <f t="shared" si="21"/>
        <v>0</v>
      </c>
      <c r="P84" s="584">
        <f t="shared" si="21"/>
        <v>0</v>
      </c>
    </row>
    <row r="85" spans="1:16" x14ac:dyDescent="0.2">
      <c r="A85" s="202"/>
      <c r="B85" s="202"/>
      <c r="C85" s="202"/>
      <c r="D85" s="202"/>
      <c r="E85" s="202"/>
      <c r="F85" s="202"/>
      <c r="G85" s="202"/>
      <c r="H85" s="202"/>
      <c r="I85" s="202"/>
      <c r="J85" s="202"/>
      <c r="K85" s="202"/>
      <c r="L85" s="202"/>
      <c r="M85" s="202"/>
      <c r="N85" s="202"/>
      <c r="O85" s="202"/>
      <c r="P85" s="202"/>
    </row>
    <row r="86" spans="1:16" x14ac:dyDescent="0.2">
      <c r="A86" s="202"/>
      <c r="B86" s="202"/>
      <c r="C86" s="202"/>
      <c r="D86" s="202"/>
      <c r="E86" s="202"/>
      <c r="F86" s="202"/>
      <c r="G86" s="202"/>
      <c r="H86" s="202"/>
      <c r="I86" s="202"/>
      <c r="J86" s="202"/>
      <c r="K86" s="202"/>
      <c r="L86" s="202"/>
      <c r="M86" s="202"/>
      <c r="N86" s="202"/>
      <c r="O86" s="202"/>
      <c r="P86" s="202"/>
    </row>
    <row r="87" spans="1:16" x14ac:dyDescent="0.2">
      <c r="A87" s="159" t="s">
        <v>14</v>
      </c>
      <c r="B87" s="202"/>
      <c r="C87" s="617">
        <f>sas</f>
        <v>0</v>
      </c>
      <c r="D87" s="617"/>
      <c r="E87" s="617"/>
      <c r="F87" s="617"/>
      <c r="G87" s="617"/>
      <c r="H87" s="617"/>
      <c r="I87" s="202"/>
      <c r="J87" s="202"/>
      <c r="K87" s="202"/>
      <c r="L87" s="202"/>
      <c r="M87" s="202"/>
      <c r="N87" s="202"/>
      <c r="O87" s="202"/>
      <c r="P87" s="202"/>
    </row>
    <row r="88" spans="1:16" x14ac:dyDescent="0.2">
      <c r="A88" s="202"/>
      <c r="B88" s="202"/>
      <c r="C88" s="590" t="s">
        <v>15</v>
      </c>
      <c r="D88" s="590"/>
      <c r="E88" s="590"/>
      <c r="F88" s="590"/>
      <c r="G88" s="590"/>
      <c r="H88" s="590"/>
      <c r="I88" s="202"/>
      <c r="J88" s="202"/>
      <c r="K88" s="202"/>
      <c r="L88" s="202"/>
      <c r="M88" s="202"/>
      <c r="N88" s="202"/>
      <c r="O88" s="202"/>
      <c r="P88" s="202"/>
    </row>
    <row r="89" spans="1:16" x14ac:dyDescent="0.2">
      <c r="A89" s="202"/>
      <c r="B89" s="202"/>
      <c r="C89" s="202"/>
      <c r="D89" s="202"/>
      <c r="E89" s="202"/>
      <c r="F89" s="202"/>
      <c r="G89" s="202"/>
      <c r="H89" s="202"/>
      <c r="I89" s="202"/>
      <c r="J89" s="202"/>
      <c r="K89" s="202"/>
      <c r="L89" s="202"/>
      <c r="M89" s="202"/>
      <c r="N89" s="202"/>
      <c r="O89" s="202"/>
      <c r="P89" s="202"/>
    </row>
    <row r="90" spans="1:16" x14ac:dyDescent="0.2">
      <c r="A90" s="203" t="str">
        <f>'Kops a'!A39</f>
        <v>Tāme sastādīta 2021. gada</v>
      </c>
      <c r="B90" s="204"/>
      <c r="C90" s="204"/>
      <c r="D90" s="204"/>
      <c r="E90" s="202"/>
      <c r="F90" s="202"/>
      <c r="G90" s="202"/>
      <c r="H90" s="202"/>
      <c r="I90" s="202"/>
      <c r="J90" s="202"/>
      <c r="K90" s="202"/>
      <c r="L90" s="202"/>
      <c r="M90" s="202"/>
      <c r="N90" s="202"/>
      <c r="O90" s="202"/>
      <c r="P90" s="202"/>
    </row>
    <row r="91" spans="1:16" x14ac:dyDescent="0.2">
      <c r="A91" s="202"/>
      <c r="B91" s="202"/>
      <c r="C91" s="202"/>
      <c r="D91" s="202"/>
      <c r="E91" s="202"/>
      <c r="F91" s="202"/>
      <c r="G91" s="202"/>
      <c r="H91" s="202"/>
      <c r="I91" s="202"/>
      <c r="J91" s="202"/>
      <c r="K91" s="202"/>
      <c r="L91" s="202"/>
      <c r="M91" s="202"/>
      <c r="N91" s="202"/>
      <c r="O91" s="202"/>
      <c r="P91" s="202"/>
    </row>
    <row r="92" spans="1:16" x14ac:dyDescent="0.2">
      <c r="A92" s="159" t="s">
        <v>38</v>
      </c>
      <c r="B92" s="202"/>
      <c r="C92" s="617">
        <f>C87</f>
        <v>0</v>
      </c>
      <c r="D92" s="617"/>
      <c r="E92" s="617"/>
      <c r="F92" s="617"/>
      <c r="G92" s="617"/>
      <c r="H92" s="617"/>
      <c r="I92" s="202"/>
      <c r="J92" s="202"/>
      <c r="K92" s="202"/>
      <c r="L92" s="202"/>
      <c r="M92" s="202"/>
      <c r="N92" s="202"/>
      <c r="O92" s="202"/>
      <c r="P92" s="202"/>
    </row>
    <row r="93" spans="1:16" x14ac:dyDescent="0.2">
      <c r="A93" s="202"/>
      <c r="B93" s="202"/>
      <c r="C93" s="590" t="s">
        <v>15</v>
      </c>
      <c r="D93" s="590"/>
      <c r="E93" s="590"/>
      <c r="F93" s="590"/>
      <c r="G93" s="590"/>
      <c r="H93" s="590"/>
      <c r="I93" s="202"/>
      <c r="J93" s="202"/>
      <c r="K93" s="202"/>
      <c r="L93" s="202"/>
      <c r="M93" s="202"/>
      <c r="N93" s="202"/>
      <c r="O93" s="202"/>
      <c r="P93" s="202"/>
    </row>
    <row r="94" spans="1:16" x14ac:dyDescent="0.2">
      <c r="A94" s="202"/>
      <c r="B94" s="202"/>
      <c r="C94" s="202"/>
      <c r="D94" s="202"/>
      <c r="E94" s="202"/>
      <c r="F94" s="202"/>
      <c r="G94" s="202"/>
      <c r="H94" s="202"/>
      <c r="I94" s="202"/>
      <c r="J94" s="202"/>
      <c r="K94" s="202"/>
      <c r="L94" s="202"/>
      <c r="M94" s="202"/>
      <c r="N94" s="202"/>
      <c r="O94" s="202"/>
      <c r="P94" s="202"/>
    </row>
    <row r="95" spans="1:16" x14ac:dyDescent="0.2">
      <c r="A95" s="203" t="s">
        <v>53</v>
      </c>
      <c r="B95" s="204"/>
      <c r="C95" s="384">
        <f>sert.nr</f>
        <v>0</v>
      </c>
      <c r="D95" s="205"/>
      <c r="E95" s="202"/>
      <c r="F95" s="202"/>
      <c r="G95" s="202"/>
      <c r="H95" s="202"/>
      <c r="I95" s="202"/>
      <c r="J95" s="202"/>
      <c r="K95" s="202"/>
      <c r="L95" s="202"/>
      <c r="M95" s="202"/>
      <c r="N95" s="202"/>
      <c r="O95" s="202"/>
      <c r="P95" s="202"/>
    </row>
    <row r="97" spans="1:15" x14ac:dyDescent="0.2">
      <c r="A97" s="687" t="s">
        <v>687</v>
      </c>
      <c r="B97" s="688"/>
      <c r="C97" s="689"/>
      <c r="D97" s="689"/>
      <c r="E97" s="690"/>
      <c r="F97" s="691"/>
      <c r="G97" s="690"/>
      <c r="H97" s="692"/>
      <c r="I97" s="692"/>
      <c r="J97" s="693"/>
      <c r="K97" s="694"/>
      <c r="L97" s="694"/>
      <c r="M97" s="694"/>
      <c r="N97" s="694"/>
      <c r="O97" s="694"/>
    </row>
    <row r="98" spans="1:15" x14ac:dyDescent="0.2">
      <c r="A98" s="695" t="s">
        <v>688</v>
      </c>
      <c r="B98" s="695"/>
      <c r="C98" s="695"/>
      <c r="D98" s="695"/>
      <c r="E98" s="695"/>
      <c r="F98" s="695"/>
      <c r="G98" s="695"/>
      <c r="H98" s="695"/>
      <c r="I98" s="695"/>
      <c r="J98" s="695"/>
      <c r="K98" s="695"/>
      <c r="L98" s="695"/>
      <c r="M98" s="695"/>
      <c r="N98" s="695"/>
      <c r="O98" s="695"/>
    </row>
    <row r="99" spans="1:15" x14ac:dyDescent="0.2">
      <c r="A99" s="695" t="s">
        <v>689</v>
      </c>
      <c r="B99" s="695"/>
      <c r="C99" s="695"/>
      <c r="D99" s="695"/>
      <c r="E99" s="695"/>
      <c r="F99" s="695"/>
      <c r="G99" s="695"/>
      <c r="H99" s="695"/>
      <c r="I99" s="695"/>
      <c r="J99" s="695"/>
      <c r="K99" s="695"/>
      <c r="L99" s="695"/>
      <c r="M99" s="695"/>
      <c r="N99" s="695"/>
      <c r="O99" s="695"/>
    </row>
  </sheetData>
  <mergeCells count="24">
    <mergeCell ref="A98:O98"/>
    <mergeCell ref="A99:O99"/>
    <mergeCell ref="C2:I2"/>
    <mergeCell ref="C3:I3"/>
    <mergeCell ref="C4:I4"/>
    <mergeCell ref="D5:L5"/>
    <mergeCell ref="D6:L6"/>
    <mergeCell ref="D7:L7"/>
    <mergeCell ref="D8:L8"/>
    <mergeCell ref="A9:F9"/>
    <mergeCell ref="J9:M9"/>
    <mergeCell ref="N9:O9"/>
    <mergeCell ref="C92:H92"/>
    <mergeCell ref="C93:H93"/>
    <mergeCell ref="F12:K12"/>
    <mergeCell ref="L12:P12"/>
    <mergeCell ref="A84:K84"/>
    <mergeCell ref="C87:H87"/>
    <mergeCell ref="C88:H88"/>
    <mergeCell ref="A12:A13"/>
    <mergeCell ref="B12:B13"/>
    <mergeCell ref="C12:C13"/>
    <mergeCell ref="D12:D13"/>
    <mergeCell ref="E12:E13"/>
  </mergeCells>
  <phoneticPr fontId="22" type="noConversion"/>
  <conditionalFormatting sqref="C87:H87 C4:I4 D33:E34 B33:B34 A14:E14 A15:A83 B35:E83 B15:E32">
    <cfRule type="cellIs" dxfId="172" priority="25" operator="equal">
      <formula>0</formula>
    </cfRule>
  </conditionalFormatting>
  <conditionalFormatting sqref="N9:O9 C2:I2 C92:H92 C87:H87 D5:L8">
    <cfRule type="cellIs" dxfId="171" priority="26" operator="equal">
      <formula>0</formula>
    </cfRule>
  </conditionalFormatting>
  <conditionalFormatting sqref="A9:F9 A84:K84">
    <cfRule type="containsText" dxfId="170" priority="27" operator="containsText" text="Tāme sastādīta  20__. gada tirgus cenās, pamatojoties uz ___ daļas rasējumiem"/>
  </conditionalFormatting>
  <conditionalFormatting sqref="O10:P10">
    <cfRule type="cellIs" dxfId="169" priority="29" operator="equal">
      <formula>"20__. gada __. _________"</formula>
    </cfRule>
  </conditionalFormatting>
  <conditionalFormatting sqref="C95">
    <cfRule type="cellIs" dxfId="168" priority="36" operator="equal">
      <formula>0</formula>
    </cfRule>
  </conditionalFormatting>
  <conditionalFormatting sqref="D1">
    <cfRule type="cellIs" dxfId="167" priority="37" operator="equal">
      <formula>0</formula>
    </cfRule>
  </conditionalFormatting>
  <conditionalFormatting sqref="C34">
    <cfRule type="cellIs" dxfId="166" priority="5" operator="equal">
      <formula>0</formula>
    </cfRule>
  </conditionalFormatting>
  <conditionalFormatting sqref="C33">
    <cfRule type="cellIs" dxfId="165" priority="6" operator="equal">
      <formula>0</formula>
    </cfRule>
  </conditionalFormatting>
  <conditionalFormatting sqref="I14:J83 F14:G83">
    <cfRule type="cellIs" dxfId="164" priority="3" operator="equal">
      <formula>0</formula>
    </cfRule>
  </conditionalFormatting>
  <conditionalFormatting sqref="H14:H83 K14:P83">
    <cfRule type="cellIs" dxfId="163" priority="2" operator="equal">
      <formula>0</formula>
    </cfRule>
  </conditionalFormatting>
  <conditionalFormatting sqref="L84:P84">
    <cfRule type="cellIs" dxfId="162" priority="1" operator="equal">
      <formula>0</formula>
    </cfRule>
  </conditionalFormatting>
  <pageMargins left="0.19685039370078741" right="0.19685039370078741" top="0.75196850393700787" bottom="0.39370078740157483" header="0.51181102362204722" footer="0.51181102362204722"/>
  <pageSetup paperSize="9" scale="69" firstPageNumber="0" orientation="landscape" r:id="rId1"/>
  <rowBreaks count="1" manualBreakCount="1">
    <brk id="58" max="15"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P82"/>
  <sheetViews>
    <sheetView view="pageBreakPreview" topLeftCell="A46" zoomScale="115" zoomScaleNormal="142" zoomScaleSheetLayoutView="115" workbookViewId="0">
      <selection activeCell="P67" sqref="P67"/>
    </sheetView>
  </sheetViews>
  <sheetFormatPr defaultColWidth="9.1640625" defaultRowHeight="11.25" x14ac:dyDescent="0.2"/>
  <cols>
    <col min="1" max="1" width="4.5" style="439" customWidth="1"/>
    <col min="2" max="2" width="5.33203125" style="439" customWidth="1"/>
    <col min="3" max="3" width="38.33203125" style="439" customWidth="1"/>
    <col min="4" max="4" width="5.83203125" style="439" customWidth="1"/>
    <col min="5" max="5" width="5.6640625" style="439" customWidth="1"/>
    <col min="6" max="6" width="5.33203125" style="439" customWidth="1"/>
    <col min="7" max="7" width="4.83203125" style="439" customWidth="1"/>
    <col min="8" max="10" width="6.6640625" style="439" customWidth="1"/>
    <col min="11" max="11" width="6.83203125" style="439" customWidth="1"/>
    <col min="12" max="15" width="7.6640625" style="439" customWidth="1"/>
    <col min="16" max="16" width="8.83203125" style="439" customWidth="1"/>
    <col min="17" max="1016" width="9.1640625" style="439" customWidth="1"/>
    <col min="1017" max="16384" width="9.1640625" style="439"/>
  </cols>
  <sheetData>
    <row r="1" spans="1:16" x14ac:dyDescent="0.2">
      <c r="A1" s="156"/>
      <c r="B1" s="156"/>
      <c r="C1" s="157" t="s">
        <v>39</v>
      </c>
      <c r="D1" s="437">
        <f>'Kops a'!A16</f>
        <v>2</v>
      </c>
      <c r="E1" s="275"/>
      <c r="F1" s="275"/>
      <c r="G1" s="275"/>
      <c r="H1" s="275"/>
      <c r="I1" s="275"/>
      <c r="J1" s="275"/>
      <c r="K1" s="438"/>
      <c r="L1" s="438"/>
      <c r="O1" s="156"/>
      <c r="P1" s="156"/>
    </row>
    <row r="2" spans="1:16" x14ac:dyDescent="0.2">
      <c r="A2" s="156"/>
      <c r="B2" s="156"/>
      <c r="C2" s="654" t="s">
        <v>190</v>
      </c>
      <c r="D2" s="654"/>
      <c r="E2" s="654"/>
      <c r="F2" s="654"/>
      <c r="G2" s="654"/>
      <c r="H2" s="654"/>
      <c r="I2" s="654"/>
      <c r="J2" s="275"/>
      <c r="K2" s="438"/>
      <c r="L2" s="438"/>
    </row>
    <row r="3" spans="1:16" x14ac:dyDescent="0.2">
      <c r="A3" s="156"/>
      <c r="B3" s="156"/>
      <c r="C3" s="604" t="s">
        <v>18</v>
      </c>
      <c r="D3" s="604"/>
      <c r="E3" s="604"/>
      <c r="F3" s="604"/>
      <c r="G3" s="604"/>
      <c r="H3" s="604"/>
      <c r="I3" s="604"/>
      <c r="J3" s="275"/>
      <c r="K3" s="438"/>
      <c r="L3" s="438"/>
    </row>
    <row r="4" spans="1:16" x14ac:dyDescent="0.2">
      <c r="A4" s="156"/>
      <c r="B4" s="156"/>
      <c r="C4" s="631" t="s">
        <v>4</v>
      </c>
      <c r="D4" s="631"/>
      <c r="E4" s="631"/>
      <c r="F4" s="631"/>
      <c r="G4" s="631"/>
      <c r="H4" s="631"/>
      <c r="I4" s="631"/>
      <c r="J4" s="275"/>
      <c r="K4" s="438"/>
      <c r="L4" s="438"/>
    </row>
    <row r="5" spans="1:16" x14ac:dyDescent="0.2">
      <c r="A5" s="156"/>
      <c r="B5" s="156"/>
      <c r="C5" s="275" t="s">
        <v>5</v>
      </c>
      <c r="D5" s="626" t="str">
        <f>'Kops a'!D6</f>
        <v>Daudzīvokļu dzīvojamā māja</v>
      </c>
      <c r="E5" s="626"/>
      <c r="F5" s="626"/>
      <c r="G5" s="626"/>
      <c r="H5" s="626"/>
      <c r="I5" s="626"/>
      <c r="J5" s="626"/>
      <c r="K5" s="626"/>
      <c r="L5" s="626"/>
    </row>
    <row r="6" spans="1:16" x14ac:dyDescent="0.2">
      <c r="A6" s="156"/>
      <c r="B6" s="156"/>
      <c r="C6" s="275" t="s">
        <v>6</v>
      </c>
      <c r="D6" s="650" t="str">
        <f>'Kops a'!D7</f>
        <v>fasādes vienkāršotā atjaunošana</v>
      </c>
      <c r="E6" s="650"/>
      <c r="F6" s="650"/>
      <c r="G6" s="650"/>
      <c r="H6" s="650"/>
      <c r="I6" s="650"/>
      <c r="J6" s="650"/>
      <c r="K6" s="650"/>
      <c r="L6" s="650"/>
    </row>
    <row r="7" spans="1:16" x14ac:dyDescent="0.2">
      <c r="A7" s="156"/>
      <c r="B7" s="156"/>
      <c r="C7" s="275" t="s">
        <v>7</v>
      </c>
      <c r="D7" s="650" t="str">
        <f>'Kops a'!D8</f>
        <v>Lēņu iela 2, Liepājā</v>
      </c>
      <c r="E7" s="650"/>
      <c r="F7" s="650"/>
      <c r="G7" s="650"/>
      <c r="H7" s="650"/>
      <c r="I7" s="650"/>
      <c r="J7" s="650"/>
      <c r="K7" s="650"/>
      <c r="L7" s="650"/>
    </row>
    <row r="8" spans="1:16" x14ac:dyDescent="0.2">
      <c r="A8" s="156"/>
      <c r="B8" s="156"/>
      <c r="C8" s="438" t="s">
        <v>21</v>
      </c>
      <c r="D8" s="650" t="str">
        <f>'Kops a'!D9</f>
        <v>WS-90-17 Līg.Nr. 2017/3-62/479</v>
      </c>
      <c r="E8" s="650"/>
      <c r="F8" s="650"/>
      <c r="G8" s="650"/>
      <c r="H8" s="650"/>
      <c r="I8" s="650"/>
      <c r="J8" s="650"/>
      <c r="K8" s="650"/>
      <c r="L8" s="650"/>
    </row>
    <row r="9" spans="1:16" x14ac:dyDescent="0.2">
      <c r="A9" s="651" t="s">
        <v>607</v>
      </c>
      <c r="B9" s="651"/>
      <c r="C9" s="651"/>
      <c r="D9" s="651"/>
      <c r="E9" s="651"/>
      <c r="F9" s="651"/>
      <c r="G9" s="165"/>
      <c r="H9" s="165"/>
      <c r="I9" s="165"/>
      <c r="J9" s="652" t="s">
        <v>40</v>
      </c>
      <c r="K9" s="652"/>
      <c r="L9" s="652"/>
      <c r="M9" s="652"/>
      <c r="N9" s="653">
        <f>P67</f>
        <v>0</v>
      </c>
      <c r="O9" s="653"/>
      <c r="P9" s="165"/>
    </row>
    <row r="10" spans="1:16" x14ac:dyDescent="0.2">
      <c r="A10" s="167"/>
      <c r="B10" s="167"/>
      <c r="D10" s="156"/>
      <c r="E10" s="156"/>
      <c r="F10" s="156"/>
      <c r="G10" s="156"/>
      <c r="H10" s="156"/>
      <c r="I10" s="156"/>
      <c r="J10" s="156"/>
      <c r="K10" s="156"/>
      <c r="L10" s="156"/>
      <c r="M10" s="156"/>
      <c r="O10" s="440"/>
      <c r="P10" s="169" t="str">
        <f>A73</f>
        <v>Tāme sastādīta 2021. gada</v>
      </c>
    </row>
    <row r="11" spans="1:16" ht="12" thickBot="1" x14ac:dyDescent="0.25">
      <c r="A11" s="167"/>
      <c r="B11" s="167"/>
      <c r="D11" s="156"/>
      <c r="E11" s="156"/>
      <c r="F11" s="156"/>
      <c r="G11" s="156"/>
      <c r="H11" s="156"/>
      <c r="I11" s="156"/>
      <c r="J11" s="156"/>
      <c r="K11" s="156"/>
      <c r="L11" s="156"/>
      <c r="M11" s="156"/>
      <c r="N11" s="440"/>
      <c r="P11" s="156"/>
    </row>
    <row r="12" spans="1:16" x14ac:dyDescent="0.2">
      <c r="A12" s="640" t="s">
        <v>24</v>
      </c>
      <c r="B12" s="642" t="s">
        <v>41</v>
      </c>
      <c r="C12" s="648" t="s">
        <v>42</v>
      </c>
      <c r="D12" s="644" t="s">
        <v>43</v>
      </c>
      <c r="E12" s="646" t="s">
        <v>44</v>
      </c>
      <c r="F12" s="634" t="s">
        <v>45</v>
      </c>
      <c r="G12" s="635"/>
      <c r="H12" s="635"/>
      <c r="I12" s="635"/>
      <c r="J12" s="635"/>
      <c r="K12" s="636"/>
      <c r="L12" s="634" t="s">
        <v>46</v>
      </c>
      <c r="M12" s="635"/>
      <c r="N12" s="635"/>
      <c r="O12" s="635"/>
      <c r="P12" s="636"/>
    </row>
    <row r="13" spans="1:16" ht="118.5" thickBot="1" x14ac:dyDescent="0.25">
      <c r="A13" s="641"/>
      <c r="B13" s="643"/>
      <c r="C13" s="649"/>
      <c r="D13" s="645"/>
      <c r="E13" s="647"/>
      <c r="F13" s="441" t="s">
        <v>47</v>
      </c>
      <c r="G13" s="442" t="s">
        <v>48</v>
      </c>
      <c r="H13" s="442" t="s">
        <v>49</v>
      </c>
      <c r="I13" s="442" t="s">
        <v>50</v>
      </c>
      <c r="J13" s="442" t="s">
        <v>51</v>
      </c>
      <c r="K13" s="443" t="s">
        <v>52</v>
      </c>
      <c r="L13" s="441" t="s">
        <v>47</v>
      </c>
      <c r="M13" s="442" t="s">
        <v>49</v>
      </c>
      <c r="N13" s="442" t="s">
        <v>50</v>
      </c>
      <c r="O13" s="442" t="s">
        <v>51</v>
      </c>
      <c r="P13" s="443" t="s">
        <v>52</v>
      </c>
    </row>
    <row r="14" spans="1:16" ht="22.5" x14ac:dyDescent="0.2">
      <c r="A14" s="361">
        <f>IF(COUNTBLANK(B14)=1," ",COUNTA(B$14:B14))</f>
        <v>1</v>
      </c>
      <c r="B14" s="332" t="s">
        <v>86</v>
      </c>
      <c r="C14" s="444" t="s">
        <v>390</v>
      </c>
      <c r="D14" s="445" t="s">
        <v>84</v>
      </c>
      <c r="E14" s="446">
        <v>0.62</v>
      </c>
      <c r="F14" s="566"/>
      <c r="G14" s="567"/>
      <c r="H14" s="567">
        <f>ROUND(F14*G14,2)</f>
        <v>0</v>
      </c>
      <c r="I14" s="567"/>
      <c r="J14" s="567"/>
      <c r="K14" s="568">
        <f>SUM(H14:J14)</f>
        <v>0</v>
      </c>
      <c r="L14" s="566">
        <f>ROUND(E14*F14,2)</f>
        <v>0</v>
      </c>
      <c r="M14" s="567">
        <f>ROUND(H14*E14,2)</f>
        <v>0</v>
      </c>
      <c r="N14" s="567">
        <f>ROUND(I14*E14,2)</f>
        <v>0</v>
      </c>
      <c r="O14" s="567">
        <f>ROUND(J14*E14,2)</f>
        <v>0</v>
      </c>
      <c r="P14" s="568">
        <f>SUM(M14:O14)</f>
        <v>0</v>
      </c>
    </row>
    <row r="15" spans="1:16" x14ac:dyDescent="0.2">
      <c r="A15" s="361">
        <f>IF(COUNTBLANK(B15)=1," ",COUNTA(B$14:B15))</f>
        <v>2</v>
      </c>
      <c r="B15" s="332" t="s">
        <v>86</v>
      </c>
      <c r="C15" s="447" t="s">
        <v>391</v>
      </c>
      <c r="D15" s="446" t="s">
        <v>84</v>
      </c>
      <c r="E15" s="446">
        <f>E14*0.15</f>
        <v>9.2999999999999999E-2</v>
      </c>
      <c r="F15" s="566"/>
      <c r="G15" s="567"/>
      <c r="H15" s="572">
        <f t="shared" ref="H15:H16" si="0">ROUND(F15*G15,2)</f>
        <v>0</v>
      </c>
      <c r="I15" s="567"/>
      <c r="J15" s="567"/>
      <c r="K15" s="573">
        <f t="shared" ref="K15:K16" si="1">SUM(H15:J15)</f>
        <v>0</v>
      </c>
      <c r="L15" s="574">
        <f t="shared" ref="L15:L16" si="2">ROUND(E15*F15,2)</f>
        <v>0</v>
      </c>
      <c r="M15" s="575">
        <f t="shared" ref="M15:M16" si="3">ROUND(H15*E15,2)</f>
        <v>0</v>
      </c>
      <c r="N15" s="575">
        <f t="shared" ref="N15:N16" si="4">ROUND(I15*E15,2)</f>
        <v>0</v>
      </c>
      <c r="O15" s="575">
        <f t="shared" ref="O15:O16" si="5">ROUND(J15*E15,2)</f>
        <v>0</v>
      </c>
      <c r="P15" s="573">
        <f t="shared" ref="P15:P16" si="6">SUM(M15:O15)</f>
        <v>0</v>
      </c>
    </row>
    <row r="16" spans="1:16" x14ac:dyDescent="0.2">
      <c r="A16" s="361">
        <f>IF(COUNTBLANK(B16)=1," ",COUNTA(B$14:B16))</f>
        <v>3</v>
      </c>
      <c r="B16" s="332" t="s">
        <v>86</v>
      </c>
      <c r="C16" s="447" t="s">
        <v>392</v>
      </c>
      <c r="D16" s="446" t="s">
        <v>84</v>
      </c>
      <c r="E16" s="446">
        <f>E14*0.93</f>
        <v>0.5766</v>
      </c>
      <c r="F16" s="566"/>
      <c r="G16" s="567"/>
      <c r="H16" s="567">
        <f t="shared" si="0"/>
        <v>0</v>
      </c>
      <c r="I16" s="567"/>
      <c r="J16" s="567"/>
      <c r="K16" s="568">
        <f t="shared" si="1"/>
        <v>0</v>
      </c>
      <c r="L16" s="566">
        <f t="shared" si="2"/>
        <v>0</v>
      </c>
      <c r="M16" s="567">
        <f t="shared" si="3"/>
        <v>0</v>
      </c>
      <c r="N16" s="567">
        <f t="shared" si="4"/>
        <v>0</v>
      </c>
      <c r="O16" s="567">
        <f t="shared" si="5"/>
        <v>0</v>
      </c>
      <c r="P16" s="568">
        <f t="shared" si="6"/>
        <v>0</v>
      </c>
    </row>
    <row r="17" spans="1:16" x14ac:dyDescent="0.2">
      <c r="A17" s="361">
        <f>IF(COUNTBLANK(B17)=1," ",COUNTA(B$14:B17))</f>
        <v>4</v>
      </c>
      <c r="B17" s="332" t="s">
        <v>86</v>
      </c>
      <c r="C17" s="447" t="s">
        <v>94</v>
      </c>
      <c r="D17" s="446" t="s">
        <v>373</v>
      </c>
      <c r="E17" s="446">
        <v>1</v>
      </c>
      <c r="F17" s="566"/>
      <c r="G17" s="567"/>
      <c r="H17" s="572">
        <f t="shared" ref="H17:H66" si="7">ROUND(F17*G17,2)</f>
        <v>0</v>
      </c>
      <c r="I17" s="567"/>
      <c r="J17" s="567"/>
      <c r="K17" s="573">
        <f t="shared" ref="K17:K66" si="8">SUM(H17:J17)</f>
        <v>0</v>
      </c>
      <c r="L17" s="574">
        <f t="shared" ref="L17:L66" si="9">ROUND(E17*F17,2)</f>
        <v>0</v>
      </c>
      <c r="M17" s="575">
        <f t="shared" ref="M17:M66" si="10">ROUND(H17*E17,2)</f>
        <v>0</v>
      </c>
      <c r="N17" s="575">
        <f t="shared" ref="N17:N66" si="11">ROUND(I17*E17,2)</f>
        <v>0</v>
      </c>
      <c r="O17" s="575">
        <f t="shared" ref="O17:O66" si="12">ROUND(J17*E17,2)</f>
        <v>0</v>
      </c>
      <c r="P17" s="573">
        <f t="shared" ref="P17:P66" si="13">SUM(M17:O17)</f>
        <v>0</v>
      </c>
    </row>
    <row r="18" spans="1:16" ht="12" thickBot="1" x14ac:dyDescent="0.25">
      <c r="A18" s="361" t="str">
        <f>IF(COUNTBLANK(B18)=1," ",COUNTA(B$14:B18))</f>
        <v xml:space="preserve"> </v>
      </c>
      <c r="B18" s="448"/>
      <c r="C18" s="124" t="s">
        <v>398</v>
      </c>
      <c r="D18" s="449"/>
      <c r="E18" s="61"/>
      <c r="F18" s="566"/>
      <c r="G18" s="567"/>
      <c r="H18" s="567">
        <f t="shared" si="7"/>
        <v>0</v>
      </c>
      <c r="I18" s="567"/>
      <c r="J18" s="567"/>
      <c r="K18" s="568">
        <f t="shared" si="8"/>
        <v>0</v>
      </c>
      <c r="L18" s="566">
        <f t="shared" si="9"/>
        <v>0</v>
      </c>
      <c r="M18" s="567">
        <f t="shared" si="10"/>
        <v>0</v>
      </c>
      <c r="N18" s="567">
        <f t="shared" si="11"/>
        <v>0</v>
      </c>
      <c r="O18" s="567">
        <f t="shared" si="12"/>
        <v>0</v>
      </c>
      <c r="P18" s="568">
        <f t="shared" si="13"/>
        <v>0</v>
      </c>
    </row>
    <row r="19" spans="1:16" ht="22.5" x14ac:dyDescent="0.2">
      <c r="A19" s="361">
        <f>IF(COUNTBLANK(B19)=1," ",COUNTA(B$14:B19))</f>
        <v>5</v>
      </c>
      <c r="B19" s="332" t="s">
        <v>86</v>
      </c>
      <c r="C19" s="360" t="s">
        <v>126</v>
      </c>
      <c r="D19" s="361" t="s">
        <v>84</v>
      </c>
      <c r="E19" s="387">
        <v>162</v>
      </c>
      <c r="F19" s="566"/>
      <c r="G19" s="567"/>
      <c r="H19" s="572">
        <f t="shared" si="7"/>
        <v>0</v>
      </c>
      <c r="I19" s="567"/>
      <c r="J19" s="567"/>
      <c r="K19" s="573">
        <f t="shared" si="8"/>
        <v>0</v>
      </c>
      <c r="L19" s="574">
        <f t="shared" si="9"/>
        <v>0</v>
      </c>
      <c r="M19" s="575">
        <f t="shared" si="10"/>
        <v>0</v>
      </c>
      <c r="N19" s="575">
        <f t="shared" si="11"/>
        <v>0</v>
      </c>
      <c r="O19" s="575">
        <f t="shared" si="12"/>
        <v>0</v>
      </c>
      <c r="P19" s="573">
        <f t="shared" si="13"/>
        <v>0</v>
      </c>
    </row>
    <row r="20" spans="1:16" ht="22.5" x14ac:dyDescent="0.2">
      <c r="A20" s="361">
        <f>IF(COUNTBLANK(B20)=1," ",COUNTA(B$14:B20))</f>
        <v>6</v>
      </c>
      <c r="B20" s="332" t="s">
        <v>86</v>
      </c>
      <c r="C20" s="386" t="s">
        <v>125</v>
      </c>
      <c r="D20" s="361" t="s">
        <v>56</v>
      </c>
      <c r="E20" s="387">
        <v>301</v>
      </c>
      <c r="F20" s="566"/>
      <c r="G20" s="567"/>
      <c r="H20" s="567">
        <f t="shared" si="7"/>
        <v>0</v>
      </c>
      <c r="I20" s="567"/>
      <c r="J20" s="567"/>
      <c r="K20" s="568">
        <f t="shared" si="8"/>
        <v>0</v>
      </c>
      <c r="L20" s="566">
        <f t="shared" si="9"/>
        <v>0</v>
      </c>
      <c r="M20" s="567">
        <f t="shared" si="10"/>
        <v>0</v>
      </c>
      <c r="N20" s="567">
        <f t="shared" si="11"/>
        <v>0</v>
      </c>
      <c r="O20" s="567">
        <f t="shared" si="12"/>
        <v>0</v>
      </c>
      <c r="P20" s="568">
        <f t="shared" si="13"/>
        <v>0</v>
      </c>
    </row>
    <row r="21" spans="1:16" ht="22.5" x14ac:dyDescent="0.2">
      <c r="A21" s="361">
        <f>IF(COUNTBLANK(B21)=1," ",COUNTA(B$14:B21))</f>
        <v>7</v>
      </c>
      <c r="B21" s="332" t="s">
        <v>86</v>
      </c>
      <c r="C21" s="450" t="s">
        <v>124</v>
      </c>
      <c r="D21" s="299" t="s">
        <v>90</v>
      </c>
      <c r="E21" s="334">
        <f>E20*0.5</f>
        <v>150.5</v>
      </c>
      <c r="F21" s="566"/>
      <c r="G21" s="567"/>
      <c r="H21" s="572">
        <f t="shared" si="7"/>
        <v>0</v>
      </c>
      <c r="I21" s="567"/>
      <c r="J21" s="567"/>
      <c r="K21" s="573">
        <f t="shared" si="8"/>
        <v>0</v>
      </c>
      <c r="L21" s="574">
        <f t="shared" si="9"/>
        <v>0</v>
      </c>
      <c r="M21" s="575">
        <f t="shared" si="10"/>
        <v>0</v>
      </c>
      <c r="N21" s="575">
        <f t="shared" si="11"/>
        <v>0</v>
      </c>
      <c r="O21" s="575">
        <f t="shared" si="12"/>
        <v>0</v>
      </c>
      <c r="P21" s="573">
        <f t="shared" si="13"/>
        <v>0</v>
      </c>
    </row>
    <row r="22" spans="1:16" ht="22.5" x14ac:dyDescent="0.2">
      <c r="A22" s="361">
        <f>IF(COUNTBLANK(B22)=1," ",COUNTA(B$14:B22))</f>
        <v>8</v>
      </c>
      <c r="B22" s="332" t="s">
        <v>86</v>
      </c>
      <c r="C22" s="386" t="s">
        <v>123</v>
      </c>
      <c r="D22" s="361" t="s">
        <v>56</v>
      </c>
      <c r="E22" s="387">
        <f>E20</f>
        <v>301</v>
      </c>
      <c r="F22" s="566"/>
      <c r="G22" s="567"/>
      <c r="H22" s="567">
        <f t="shared" si="7"/>
        <v>0</v>
      </c>
      <c r="I22" s="567"/>
      <c r="J22" s="567"/>
      <c r="K22" s="568">
        <f t="shared" si="8"/>
        <v>0</v>
      </c>
      <c r="L22" s="566">
        <f t="shared" si="9"/>
        <v>0</v>
      </c>
      <c r="M22" s="567">
        <f t="shared" si="10"/>
        <v>0</v>
      </c>
      <c r="N22" s="567">
        <f t="shared" si="11"/>
        <v>0</v>
      </c>
      <c r="O22" s="567">
        <f t="shared" si="12"/>
        <v>0</v>
      </c>
      <c r="P22" s="568">
        <f t="shared" si="13"/>
        <v>0</v>
      </c>
    </row>
    <row r="23" spans="1:16" ht="22.5" x14ac:dyDescent="0.2">
      <c r="A23" s="361">
        <f>IF(COUNTBLANK(B23)=1," ",COUNTA(B$14:B23))</f>
        <v>9</v>
      </c>
      <c r="B23" s="332" t="s">
        <v>86</v>
      </c>
      <c r="C23" s="451" t="s">
        <v>122</v>
      </c>
      <c r="D23" s="452" t="s">
        <v>90</v>
      </c>
      <c r="E23" s="387">
        <f>E22*1</f>
        <v>301</v>
      </c>
      <c r="F23" s="566"/>
      <c r="G23" s="567"/>
      <c r="H23" s="572">
        <f t="shared" si="7"/>
        <v>0</v>
      </c>
      <c r="I23" s="567"/>
      <c r="J23" s="567"/>
      <c r="K23" s="573">
        <f t="shared" si="8"/>
        <v>0</v>
      </c>
      <c r="L23" s="574">
        <f t="shared" si="9"/>
        <v>0</v>
      </c>
      <c r="M23" s="575">
        <f t="shared" si="10"/>
        <v>0</v>
      </c>
      <c r="N23" s="575">
        <f t="shared" si="11"/>
        <v>0</v>
      </c>
      <c r="O23" s="575">
        <f t="shared" si="12"/>
        <v>0</v>
      </c>
      <c r="P23" s="573">
        <f t="shared" si="13"/>
        <v>0</v>
      </c>
    </row>
    <row r="24" spans="1:16" ht="21.75" thickBot="1" x14ac:dyDescent="0.25">
      <c r="A24" s="361" t="str">
        <f>IF(COUNTBLANK(B24)=1," ",COUNTA(B$14:B24))</f>
        <v xml:space="preserve"> </v>
      </c>
      <c r="B24" s="332"/>
      <c r="C24" s="453" t="s">
        <v>397</v>
      </c>
      <c r="D24" s="454" t="s">
        <v>56</v>
      </c>
      <c r="E24" s="82">
        <f>E25+E26</f>
        <v>202</v>
      </c>
      <c r="F24" s="566"/>
      <c r="G24" s="567"/>
      <c r="H24" s="567">
        <f t="shared" si="7"/>
        <v>0</v>
      </c>
      <c r="I24" s="567"/>
      <c r="J24" s="567"/>
      <c r="K24" s="568">
        <f t="shared" si="8"/>
        <v>0</v>
      </c>
      <c r="L24" s="566">
        <f t="shared" si="9"/>
        <v>0</v>
      </c>
      <c r="M24" s="567">
        <f t="shared" si="10"/>
        <v>0</v>
      </c>
      <c r="N24" s="567">
        <f t="shared" si="11"/>
        <v>0</v>
      </c>
      <c r="O24" s="567">
        <f t="shared" si="12"/>
        <v>0</v>
      </c>
      <c r="P24" s="568">
        <f t="shared" si="13"/>
        <v>0</v>
      </c>
    </row>
    <row r="25" spans="1:16" ht="56.25" x14ac:dyDescent="0.2">
      <c r="A25" s="361">
        <f>IF(COUNTBLANK(B25)=1," ",COUNTA(B$14:B25))</f>
        <v>10</v>
      </c>
      <c r="B25" s="332" t="s">
        <v>86</v>
      </c>
      <c r="C25" s="125" t="s">
        <v>592</v>
      </c>
      <c r="D25" s="126" t="s">
        <v>176</v>
      </c>
      <c r="E25" s="61">
        <v>95</v>
      </c>
      <c r="F25" s="566"/>
      <c r="G25" s="567"/>
      <c r="H25" s="572">
        <f t="shared" si="7"/>
        <v>0</v>
      </c>
      <c r="I25" s="567"/>
      <c r="J25" s="567"/>
      <c r="K25" s="573">
        <f t="shared" si="8"/>
        <v>0</v>
      </c>
      <c r="L25" s="574">
        <f t="shared" si="9"/>
        <v>0</v>
      </c>
      <c r="M25" s="575">
        <f t="shared" si="10"/>
        <v>0</v>
      </c>
      <c r="N25" s="575">
        <f t="shared" si="11"/>
        <v>0</v>
      </c>
      <c r="O25" s="575">
        <f t="shared" si="12"/>
        <v>0</v>
      </c>
      <c r="P25" s="573">
        <f t="shared" si="13"/>
        <v>0</v>
      </c>
    </row>
    <row r="26" spans="1:16" ht="56.25" x14ac:dyDescent="0.2">
      <c r="A26" s="361">
        <f>IF(COUNTBLANK(B26)=1," ",COUNTA(B$14:B26))</f>
        <v>11</v>
      </c>
      <c r="B26" s="332" t="s">
        <v>86</v>
      </c>
      <c r="C26" s="57" t="s">
        <v>593</v>
      </c>
      <c r="D26" s="127" t="s">
        <v>56</v>
      </c>
      <c r="E26" s="59">
        <v>107</v>
      </c>
      <c r="F26" s="566"/>
      <c r="G26" s="567"/>
      <c r="H26" s="567">
        <f t="shared" si="7"/>
        <v>0</v>
      </c>
      <c r="I26" s="567"/>
      <c r="J26" s="567"/>
      <c r="K26" s="568">
        <f t="shared" si="8"/>
        <v>0</v>
      </c>
      <c r="L26" s="566">
        <f t="shared" si="9"/>
        <v>0</v>
      </c>
      <c r="M26" s="567">
        <f t="shared" si="10"/>
        <v>0</v>
      </c>
      <c r="N26" s="567">
        <f t="shared" si="11"/>
        <v>0</v>
      </c>
      <c r="O26" s="567">
        <f t="shared" si="12"/>
        <v>0</v>
      </c>
      <c r="P26" s="568">
        <f t="shared" si="13"/>
        <v>0</v>
      </c>
    </row>
    <row r="27" spans="1:16" ht="22.5" x14ac:dyDescent="0.2">
      <c r="A27" s="361">
        <f>IF(COUNTBLANK(B27)=1," ",COUNTA(B$14:B27))</f>
        <v>12</v>
      </c>
      <c r="B27" s="332" t="s">
        <v>86</v>
      </c>
      <c r="C27" s="128" t="s">
        <v>393</v>
      </c>
      <c r="D27" s="127" t="s">
        <v>134</v>
      </c>
      <c r="E27" s="59">
        <f>E25+E26*1.15</f>
        <v>218.05</v>
      </c>
      <c r="F27" s="566"/>
      <c r="G27" s="567"/>
      <c r="H27" s="572">
        <f t="shared" si="7"/>
        <v>0</v>
      </c>
      <c r="I27" s="567"/>
      <c r="J27" s="567"/>
      <c r="K27" s="573">
        <f t="shared" si="8"/>
        <v>0</v>
      </c>
      <c r="L27" s="574">
        <f t="shared" si="9"/>
        <v>0</v>
      </c>
      <c r="M27" s="575">
        <f t="shared" si="10"/>
        <v>0</v>
      </c>
      <c r="N27" s="575">
        <f t="shared" si="11"/>
        <v>0</v>
      </c>
      <c r="O27" s="575">
        <f t="shared" si="12"/>
        <v>0</v>
      </c>
      <c r="P27" s="573">
        <f t="shared" si="13"/>
        <v>0</v>
      </c>
    </row>
    <row r="28" spans="1:16" x14ac:dyDescent="0.2">
      <c r="A28" s="361">
        <f>IF(COUNTBLANK(B28)=1," ",COUNTA(B$14:B28))</f>
        <v>13</v>
      </c>
      <c r="B28" s="332" t="s">
        <v>86</v>
      </c>
      <c r="C28" s="386" t="s">
        <v>174</v>
      </c>
      <c r="D28" s="361" t="s">
        <v>90</v>
      </c>
      <c r="E28" s="455">
        <f>E24*5</f>
        <v>1010</v>
      </c>
      <c r="F28" s="566"/>
      <c r="G28" s="567"/>
      <c r="H28" s="567">
        <f t="shared" si="7"/>
        <v>0</v>
      </c>
      <c r="I28" s="567"/>
      <c r="J28" s="567"/>
      <c r="K28" s="568">
        <f t="shared" si="8"/>
        <v>0</v>
      </c>
      <c r="L28" s="566">
        <f t="shared" si="9"/>
        <v>0</v>
      </c>
      <c r="M28" s="567">
        <f t="shared" si="10"/>
        <v>0</v>
      </c>
      <c r="N28" s="567">
        <f t="shared" si="11"/>
        <v>0</v>
      </c>
      <c r="O28" s="567">
        <f t="shared" si="12"/>
        <v>0</v>
      </c>
      <c r="P28" s="568">
        <f t="shared" si="13"/>
        <v>0</v>
      </c>
    </row>
    <row r="29" spans="1:16" ht="56.25" x14ac:dyDescent="0.2">
      <c r="A29" s="361">
        <f>IF(COUNTBLANK(B29)=1," ",COUNTA(B$14:B29))</f>
        <v>14</v>
      </c>
      <c r="B29" s="332" t="s">
        <v>86</v>
      </c>
      <c r="C29" s="456" t="s">
        <v>394</v>
      </c>
      <c r="D29" s="361" t="s">
        <v>57</v>
      </c>
      <c r="E29" s="457">
        <f>E24*7*0.75</f>
        <v>1060.5</v>
      </c>
      <c r="F29" s="566"/>
      <c r="G29" s="567"/>
      <c r="H29" s="572">
        <f t="shared" si="7"/>
        <v>0</v>
      </c>
      <c r="I29" s="567"/>
      <c r="J29" s="567"/>
      <c r="K29" s="573">
        <f t="shared" si="8"/>
        <v>0</v>
      </c>
      <c r="L29" s="574">
        <f t="shared" si="9"/>
        <v>0</v>
      </c>
      <c r="M29" s="575">
        <f t="shared" si="10"/>
        <v>0</v>
      </c>
      <c r="N29" s="575">
        <f t="shared" si="11"/>
        <v>0</v>
      </c>
      <c r="O29" s="575">
        <f t="shared" si="12"/>
        <v>0</v>
      </c>
      <c r="P29" s="573">
        <f t="shared" si="13"/>
        <v>0</v>
      </c>
    </row>
    <row r="30" spans="1:16" ht="67.5" x14ac:dyDescent="0.2">
      <c r="A30" s="361">
        <f>IF(COUNTBLANK(B30)=1," ",COUNTA(B$14:B30))</f>
        <v>15</v>
      </c>
      <c r="B30" s="332" t="s">
        <v>86</v>
      </c>
      <c r="C30" s="57" t="s">
        <v>594</v>
      </c>
      <c r="D30" s="126" t="s">
        <v>176</v>
      </c>
      <c r="E30" s="61">
        <v>101.6</v>
      </c>
      <c r="F30" s="566"/>
      <c r="G30" s="567"/>
      <c r="H30" s="567">
        <f t="shared" si="7"/>
        <v>0</v>
      </c>
      <c r="I30" s="567"/>
      <c r="J30" s="567"/>
      <c r="K30" s="568">
        <f t="shared" si="8"/>
        <v>0</v>
      </c>
      <c r="L30" s="566">
        <f t="shared" si="9"/>
        <v>0</v>
      </c>
      <c r="M30" s="567">
        <f t="shared" si="10"/>
        <v>0</v>
      </c>
      <c r="N30" s="567">
        <f t="shared" si="11"/>
        <v>0</v>
      </c>
      <c r="O30" s="567">
        <f t="shared" si="12"/>
        <v>0</v>
      </c>
      <c r="P30" s="568">
        <f t="shared" si="13"/>
        <v>0</v>
      </c>
    </row>
    <row r="31" spans="1:16" ht="22.5" x14ac:dyDescent="0.2">
      <c r="A31" s="361">
        <f>IF(COUNTBLANK(B31)=1," ",COUNTA(B$14:B31))</f>
        <v>16</v>
      </c>
      <c r="B31" s="332" t="s">
        <v>86</v>
      </c>
      <c r="C31" s="128" t="s">
        <v>395</v>
      </c>
      <c r="D31" s="127" t="s">
        <v>134</v>
      </c>
      <c r="E31" s="59">
        <f>E30*1.15</f>
        <v>116.83999999999999</v>
      </c>
      <c r="F31" s="566"/>
      <c r="G31" s="567"/>
      <c r="H31" s="572">
        <f t="shared" si="7"/>
        <v>0</v>
      </c>
      <c r="I31" s="567"/>
      <c r="J31" s="567"/>
      <c r="K31" s="573">
        <f t="shared" si="8"/>
        <v>0</v>
      </c>
      <c r="L31" s="574">
        <f t="shared" si="9"/>
        <v>0</v>
      </c>
      <c r="M31" s="575">
        <f t="shared" si="10"/>
        <v>0</v>
      </c>
      <c r="N31" s="575">
        <f t="shared" si="11"/>
        <v>0</v>
      </c>
      <c r="O31" s="575">
        <f t="shared" si="12"/>
        <v>0</v>
      </c>
      <c r="P31" s="573">
        <f t="shared" si="13"/>
        <v>0</v>
      </c>
    </row>
    <row r="32" spans="1:16" x14ac:dyDescent="0.2">
      <c r="A32" s="361">
        <f>IF(COUNTBLANK(B32)=1," ",COUNTA(B$14:B32))</f>
        <v>17</v>
      </c>
      <c r="B32" s="332" t="s">
        <v>86</v>
      </c>
      <c r="C32" s="128" t="s">
        <v>121</v>
      </c>
      <c r="D32" s="127" t="s">
        <v>90</v>
      </c>
      <c r="E32" s="59">
        <f>E30*5</f>
        <v>508</v>
      </c>
      <c r="F32" s="566"/>
      <c r="G32" s="567"/>
      <c r="H32" s="567">
        <f t="shared" si="7"/>
        <v>0</v>
      </c>
      <c r="I32" s="567"/>
      <c r="J32" s="567"/>
      <c r="K32" s="568">
        <f t="shared" si="8"/>
        <v>0</v>
      </c>
      <c r="L32" s="566">
        <f t="shared" si="9"/>
        <v>0</v>
      </c>
      <c r="M32" s="567">
        <f t="shared" si="10"/>
        <v>0</v>
      </c>
      <c r="N32" s="567">
        <f t="shared" si="11"/>
        <v>0</v>
      </c>
      <c r="O32" s="567">
        <f t="shared" si="12"/>
        <v>0</v>
      </c>
      <c r="P32" s="568">
        <f t="shared" si="13"/>
        <v>0</v>
      </c>
    </row>
    <row r="33" spans="1:16" ht="56.25" x14ac:dyDescent="0.2">
      <c r="A33" s="361">
        <f>IF(COUNTBLANK(B33)=1," ",COUNTA(B$14:B33))</f>
        <v>18</v>
      </c>
      <c r="B33" s="332" t="s">
        <v>86</v>
      </c>
      <c r="C33" s="456" t="s">
        <v>177</v>
      </c>
      <c r="D33" s="127" t="s">
        <v>82</v>
      </c>
      <c r="E33" s="59">
        <f>E30*7*0.75</f>
        <v>533.4</v>
      </c>
      <c r="F33" s="566"/>
      <c r="G33" s="567"/>
      <c r="H33" s="572">
        <f t="shared" si="7"/>
        <v>0</v>
      </c>
      <c r="I33" s="567"/>
      <c r="J33" s="567"/>
      <c r="K33" s="573">
        <f t="shared" si="8"/>
        <v>0</v>
      </c>
      <c r="L33" s="574">
        <f t="shared" si="9"/>
        <v>0</v>
      </c>
      <c r="M33" s="575">
        <f t="shared" si="10"/>
        <v>0</v>
      </c>
      <c r="N33" s="575">
        <f t="shared" si="11"/>
        <v>0</v>
      </c>
      <c r="O33" s="575">
        <f t="shared" si="12"/>
        <v>0</v>
      </c>
      <c r="P33" s="573">
        <f t="shared" si="13"/>
        <v>0</v>
      </c>
    </row>
    <row r="34" spans="1:16" ht="22.5" x14ac:dyDescent="0.2">
      <c r="A34" s="361">
        <f>IF(COUNTBLANK(B34)=1," ",COUNTA(B$14:B34))</f>
        <v>19</v>
      </c>
      <c r="B34" s="332" t="s">
        <v>86</v>
      </c>
      <c r="C34" s="458" t="s">
        <v>120</v>
      </c>
      <c r="D34" s="361" t="s">
        <v>84</v>
      </c>
      <c r="E34" s="387">
        <v>146.6</v>
      </c>
      <c r="F34" s="566"/>
      <c r="G34" s="567"/>
      <c r="H34" s="567">
        <f t="shared" si="7"/>
        <v>0</v>
      </c>
      <c r="I34" s="567"/>
      <c r="J34" s="567"/>
      <c r="K34" s="568">
        <f t="shared" si="8"/>
        <v>0</v>
      </c>
      <c r="L34" s="566">
        <f t="shared" si="9"/>
        <v>0</v>
      </c>
      <c r="M34" s="567">
        <f t="shared" si="10"/>
        <v>0</v>
      </c>
      <c r="N34" s="567">
        <f t="shared" si="11"/>
        <v>0</v>
      </c>
      <c r="O34" s="567">
        <f t="shared" si="12"/>
        <v>0</v>
      </c>
      <c r="P34" s="568">
        <f t="shared" si="13"/>
        <v>0</v>
      </c>
    </row>
    <row r="35" spans="1:16" ht="12" thickBot="1" x14ac:dyDescent="0.25">
      <c r="A35" s="361" t="str">
        <f>IF(COUNTBLANK(B35)=1," ",COUNTA(B$14:B35))</f>
        <v xml:space="preserve"> </v>
      </c>
      <c r="B35" s="459"/>
      <c r="C35" s="460" t="s">
        <v>396</v>
      </c>
      <c r="D35" s="127"/>
      <c r="E35" s="59"/>
      <c r="F35" s="566"/>
      <c r="G35" s="567"/>
      <c r="H35" s="572">
        <f t="shared" si="7"/>
        <v>0</v>
      </c>
      <c r="I35" s="567"/>
      <c r="J35" s="567"/>
      <c r="K35" s="573">
        <f t="shared" si="8"/>
        <v>0</v>
      </c>
      <c r="L35" s="574">
        <f t="shared" si="9"/>
        <v>0</v>
      </c>
      <c r="M35" s="575">
        <f t="shared" si="10"/>
        <v>0</v>
      </c>
      <c r="N35" s="575">
        <f t="shared" si="11"/>
        <v>0</v>
      </c>
      <c r="O35" s="575">
        <f t="shared" si="12"/>
        <v>0</v>
      </c>
      <c r="P35" s="573">
        <f t="shared" si="13"/>
        <v>0</v>
      </c>
    </row>
    <row r="36" spans="1:16" ht="67.5" x14ac:dyDescent="0.2">
      <c r="A36" s="361">
        <f>IF(COUNTBLANK(B36)=1," ",COUNTA(B$14:B36))</f>
        <v>20</v>
      </c>
      <c r="B36" s="332" t="s">
        <v>86</v>
      </c>
      <c r="C36" s="129" t="s">
        <v>595</v>
      </c>
      <c r="D36" s="127" t="s">
        <v>56</v>
      </c>
      <c r="E36" s="59">
        <v>167.7</v>
      </c>
      <c r="F36" s="566"/>
      <c r="G36" s="567"/>
      <c r="H36" s="567">
        <f t="shared" si="7"/>
        <v>0</v>
      </c>
      <c r="I36" s="567"/>
      <c r="J36" s="567"/>
      <c r="K36" s="568">
        <f t="shared" si="8"/>
        <v>0</v>
      </c>
      <c r="L36" s="566">
        <f t="shared" si="9"/>
        <v>0</v>
      </c>
      <c r="M36" s="567">
        <f t="shared" si="10"/>
        <v>0</v>
      </c>
      <c r="N36" s="567">
        <f t="shared" si="11"/>
        <v>0</v>
      </c>
      <c r="O36" s="567">
        <f t="shared" si="12"/>
        <v>0</v>
      </c>
      <c r="P36" s="568">
        <f t="shared" si="13"/>
        <v>0</v>
      </c>
    </row>
    <row r="37" spans="1:16" x14ac:dyDescent="0.2">
      <c r="A37" s="361">
        <f>IF(COUNTBLANK(B37)=1," ",COUNTA(B$14:B37))</f>
        <v>21</v>
      </c>
      <c r="B37" s="332" t="s">
        <v>86</v>
      </c>
      <c r="C37" s="128" t="s">
        <v>400</v>
      </c>
      <c r="D37" s="127" t="s">
        <v>90</v>
      </c>
      <c r="E37" s="59">
        <f>E36*5</f>
        <v>838.5</v>
      </c>
      <c r="F37" s="566"/>
      <c r="G37" s="567"/>
      <c r="H37" s="572">
        <f t="shared" si="7"/>
        <v>0</v>
      </c>
      <c r="I37" s="567"/>
      <c r="J37" s="567"/>
      <c r="K37" s="573">
        <f t="shared" si="8"/>
        <v>0</v>
      </c>
      <c r="L37" s="574">
        <f t="shared" si="9"/>
        <v>0</v>
      </c>
      <c r="M37" s="575">
        <f t="shared" si="10"/>
        <v>0</v>
      </c>
      <c r="N37" s="575">
        <f t="shared" si="11"/>
        <v>0</v>
      </c>
      <c r="O37" s="575">
        <f t="shared" si="12"/>
        <v>0</v>
      </c>
      <c r="P37" s="573">
        <f t="shared" si="13"/>
        <v>0</v>
      </c>
    </row>
    <row r="38" spans="1:16" ht="22.5" x14ac:dyDescent="0.2">
      <c r="A38" s="361">
        <f>IF(COUNTBLANK(B38)=1," ",COUNTA(B$14:B38))</f>
        <v>22</v>
      </c>
      <c r="B38" s="332" t="s">
        <v>86</v>
      </c>
      <c r="C38" s="130" t="s">
        <v>369</v>
      </c>
      <c r="D38" s="127" t="s">
        <v>134</v>
      </c>
      <c r="E38" s="59">
        <f>E36*2.2</f>
        <v>368.94</v>
      </c>
      <c r="F38" s="566"/>
      <c r="G38" s="567"/>
      <c r="H38" s="567">
        <f t="shared" si="7"/>
        <v>0</v>
      </c>
      <c r="I38" s="567"/>
      <c r="J38" s="567"/>
      <c r="K38" s="568">
        <f t="shared" si="8"/>
        <v>0</v>
      </c>
      <c r="L38" s="566">
        <f t="shared" si="9"/>
        <v>0</v>
      </c>
      <c r="M38" s="567">
        <f t="shared" si="10"/>
        <v>0</v>
      </c>
      <c r="N38" s="567">
        <f t="shared" si="11"/>
        <v>0</v>
      </c>
      <c r="O38" s="567">
        <f t="shared" si="12"/>
        <v>0</v>
      </c>
      <c r="P38" s="568">
        <f t="shared" si="13"/>
        <v>0</v>
      </c>
    </row>
    <row r="39" spans="1:16" x14ac:dyDescent="0.2">
      <c r="A39" s="361">
        <f>IF(COUNTBLANK(B39)=1," ",COUNTA(B$14:B39))</f>
        <v>23</v>
      </c>
      <c r="B39" s="332" t="s">
        <v>86</v>
      </c>
      <c r="C39" s="131" t="s">
        <v>613</v>
      </c>
      <c r="D39" s="127" t="s">
        <v>90</v>
      </c>
      <c r="E39" s="132">
        <f>E36*0.5</f>
        <v>83.85</v>
      </c>
      <c r="F39" s="566"/>
      <c r="G39" s="567"/>
      <c r="H39" s="572">
        <f t="shared" si="7"/>
        <v>0</v>
      </c>
      <c r="I39" s="567"/>
      <c r="J39" s="567"/>
      <c r="K39" s="573">
        <f t="shared" si="8"/>
        <v>0</v>
      </c>
      <c r="L39" s="574">
        <f t="shared" si="9"/>
        <v>0</v>
      </c>
      <c r="M39" s="575">
        <f t="shared" si="10"/>
        <v>0</v>
      </c>
      <c r="N39" s="575">
        <f t="shared" si="11"/>
        <v>0</v>
      </c>
      <c r="O39" s="575">
        <f t="shared" si="12"/>
        <v>0</v>
      </c>
      <c r="P39" s="573">
        <f t="shared" si="13"/>
        <v>0</v>
      </c>
    </row>
    <row r="40" spans="1:16" x14ac:dyDescent="0.2">
      <c r="A40" s="361">
        <f>IF(COUNTBLANK(B40)=1," ",COUNTA(B$14:B40))</f>
        <v>24</v>
      </c>
      <c r="B40" s="332" t="s">
        <v>86</v>
      </c>
      <c r="C40" s="128" t="s">
        <v>372</v>
      </c>
      <c r="D40" s="127" t="s">
        <v>90</v>
      </c>
      <c r="E40" s="59">
        <f>E36*5</f>
        <v>838.5</v>
      </c>
      <c r="F40" s="566"/>
      <c r="G40" s="567"/>
      <c r="H40" s="567">
        <f t="shared" si="7"/>
        <v>0</v>
      </c>
      <c r="I40" s="567"/>
      <c r="J40" s="567"/>
      <c r="K40" s="568">
        <f t="shared" si="8"/>
        <v>0</v>
      </c>
      <c r="L40" s="566">
        <f t="shared" si="9"/>
        <v>0</v>
      </c>
      <c r="M40" s="567">
        <f t="shared" si="10"/>
        <v>0</v>
      </c>
      <c r="N40" s="567">
        <f t="shared" si="11"/>
        <v>0</v>
      </c>
      <c r="O40" s="567">
        <f t="shared" si="12"/>
        <v>0</v>
      </c>
      <c r="P40" s="568">
        <f t="shared" si="13"/>
        <v>0</v>
      </c>
    </row>
    <row r="41" spans="1:16" ht="22.5" x14ac:dyDescent="0.2">
      <c r="A41" s="361">
        <f>IF(COUNTBLANK(B41)=1," ",COUNTA(B$14:B41))</f>
        <v>25</v>
      </c>
      <c r="B41" s="332" t="s">
        <v>86</v>
      </c>
      <c r="C41" s="386" t="s">
        <v>119</v>
      </c>
      <c r="D41" s="361" t="s">
        <v>88</v>
      </c>
      <c r="E41" s="461">
        <v>130</v>
      </c>
      <c r="F41" s="566"/>
      <c r="G41" s="567"/>
      <c r="H41" s="572">
        <f t="shared" si="7"/>
        <v>0</v>
      </c>
      <c r="I41" s="567"/>
      <c r="J41" s="567"/>
      <c r="K41" s="573">
        <f t="shared" si="8"/>
        <v>0</v>
      </c>
      <c r="L41" s="574">
        <f t="shared" si="9"/>
        <v>0</v>
      </c>
      <c r="M41" s="575">
        <f t="shared" si="10"/>
        <v>0</v>
      </c>
      <c r="N41" s="575">
        <f t="shared" si="11"/>
        <v>0</v>
      </c>
      <c r="O41" s="575">
        <f t="shared" si="12"/>
        <v>0</v>
      </c>
      <c r="P41" s="573">
        <f t="shared" si="13"/>
        <v>0</v>
      </c>
    </row>
    <row r="42" spans="1:16" x14ac:dyDescent="0.2">
      <c r="A42" s="361">
        <f>IF(COUNTBLANK(B42)=1," ",COUNTA(B$14:B42))</f>
        <v>26</v>
      </c>
      <c r="B42" s="332" t="s">
        <v>86</v>
      </c>
      <c r="C42" s="386" t="s">
        <v>614</v>
      </c>
      <c r="D42" s="361" t="s">
        <v>90</v>
      </c>
      <c r="E42" s="452">
        <f>E41*0.3</f>
        <v>39</v>
      </c>
      <c r="F42" s="566"/>
      <c r="G42" s="567"/>
      <c r="H42" s="567">
        <f t="shared" si="7"/>
        <v>0</v>
      </c>
      <c r="I42" s="567"/>
      <c r="J42" s="567"/>
      <c r="K42" s="568">
        <f t="shared" si="8"/>
        <v>0</v>
      </c>
      <c r="L42" s="566">
        <f t="shared" si="9"/>
        <v>0</v>
      </c>
      <c r="M42" s="567">
        <f t="shared" si="10"/>
        <v>0</v>
      </c>
      <c r="N42" s="567">
        <f t="shared" si="11"/>
        <v>0</v>
      </c>
      <c r="O42" s="567">
        <f t="shared" si="12"/>
        <v>0</v>
      </c>
      <c r="P42" s="568">
        <f t="shared" si="13"/>
        <v>0</v>
      </c>
    </row>
    <row r="43" spans="1:16" x14ac:dyDescent="0.2">
      <c r="A43" s="361">
        <f>IF(COUNTBLANK(B43)=1," ",COUNTA(B$14:B43))</f>
        <v>27</v>
      </c>
      <c r="B43" s="332" t="s">
        <v>86</v>
      </c>
      <c r="C43" s="458" t="s">
        <v>615</v>
      </c>
      <c r="D43" s="361" t="s">
        <v>90</v>
      </c>
      <c r="E43" s="452">
        <f>E42*2</f>
        <v>78</v>
      </c>
      <c r="F43" s="566"/>
      <c r="G43" s="567"/>
      <c r="H43" s="572">
        <f t="shared" si="7"/>
        <v>0</v>
      </c>
      <c r="I43" s="567"/>
      <c r="J43" s="567"/>
      <c r="K43" s="573">
        <f t="shared" si="8"/>
        <v>0</v>
      </c>
      <c r="L43" s="574">
        <f t="shared" si="9"/>
        <v>0</v>
      </c>
      <c r="M43" s="575">
        <f t="shared" si="10"/>
        <v>0</v>
      </c>
      <c r="N43" s="575">
        <f t="shared" si="11"/>
        <v>0</v>
      </c>
      <c r="O43" s="575">
        <f t="shared" si="12"/>
        <v>0</v>
      </c>
      <c r="P43" s="573">
        <f t="shared" si="13"/>
        <v>0</v>
      </c>
    </row>
    <row r="44" spans="1:16" ht="27" customHeight="1" thickBot="1" x14ac:dyDescent="0.25">
      <c r="A44" s="361" t="str">
        <f>IF(COUNTBLANK(B44)=1," ",COUNTA(B$14:B44))</f>
        <v xml:space="preserve"> </v>
      </c>
      <c r="B44" s="299"/>
      <c r="C44" s="133" t="s">
        <v>118</v>
      </c>
      <c r="D44" s="462"/>
      <c r="E44" s="463"/>
      <c r="F44" s="566"/>
      <c r="G44" s="567"/>
      <c r="H44" s="567">
        <f t="shared" si="7"/>
        <v>0</v>
      </c>
      <c r="I44" s="567"/>
      <c r="J44" s="567"/>
      <c r="K44" s="568">
        <f t="shared" si="8"/>
        <v>0</v>
      </c>
      <c r="L44" s="566">
        <f t="shared" si="9"/>
        <v>0</v>
      </c>
      <c r="M44" s="567">
        <f t="shared" si="10"/>
        <v>0</v>
      </c>
      <c r="N44" s="567">
        <f t="shared" si="11"/>
        <v>0</v>
      </c>
      <c r="O44" s="567">
        <f t="shared" si="12"/>
        <v>0</v>
      </c>
      <c r="P44" s="568">
        <f t="shared" si="13"/>
        <v>0</v>
      </c>
    </row>
    <row r="45" spans="1:16" x14ac:dyDescent="0.2">
      <c r="A45" s="361">
        <f>IF(COUNTBLANK(B45)=1," ",COUNTA(B$14:B45))</f>
        <v>28</v>
      </c>
      <c r="B45" s="332" t="s">
        <v>86</v>
      </c>
      <c r="C45" s="333" t="s">
        <v>117</v>
      </c>
      <c r="D45" s="299" t="s">
        <v>56</v>
      </c>
      <c r="E45" s="334">
        <v>30.5</v>
      </c>
      <c r="F45" s="566"/>
      <c r="G45" s="567"/>
      <c r="H45" s="572">
        <f t="shared" si="7"/>
        <v>0</v>
      </c>
      <c r="I45" s="567"/>
      <c r="J45" s="567"/>
      <c r="K45" s="573">
        <f t="shared" si="8"/>
        <v>0</v>
      </c>
      <c r="L45" s="574">
        <f t="shared" si="9"/>
        <v>0</v>
      </c>
      <c r="M45" s="575">
        <f t="shared" si="10"/>
        <v>0</v>
      </c>
      <c r="N45" s="575">
        <f t="shared" si="11"/>
        <v>0</v>
      </c>
      <c r="O45" s="575">
        <f t="shared" si="12"/>
        <v>0</v>
      </c>
      <c r="P45" s="573">
        <f t="shared" si="13"/>
        <v>0</v>
      </c>
    </row>
    <row r="46" spans="1:16" ht="22.5" x14ac:dyDescent="0.2">
      <c r="A46" s="361">
        <f>IF(COUNTBLANK(B46)=1," ",COUNTA(B$14:B46))</f>
        <v>29</v>
      </c>
      <c r="B46" s="332" t="s">
        <v>86</v>
      </c>
      <c r="C46" s="335" t="s">
        <v>116</v>
      </c>
      <c r="D46" s="299" t="s">
        <v>84</v>
      </c>
      <c r="E46" s="334">
        <f>E45*0.1</f>
        <v>3.0500000000000003</v>
      </c>
      <c r="F46" s="566"/>
      <c r="G46" s="567"/>
      <c r="H46" s="567">
        <f t="shared" si="7"/>
        <v>0</v>
      </c>
      <c r="I46" s="567"/>
      <c r="J46" s="567"/>
      <c r="K46" s="568">
        <f t="shared" si="8"/>
        <v>0</v>
      </c>
      <c r="L46" s="566">
        <f t="shared" si="9"/>
        <v>0</v>
      </c>
      <c r="M46" s="567">
        <f t="shared" si="10"/>
        <v>0</v>
      </c>
      <c r="N46" s="567">
        <f t="shared" si="11"/>
        <v>0</v>
      </c>
      <c r="O46" s="567">
        <f t="shared" si="12"/>
        <v>0</v>
      </c>
      <c r="P46" s="568">
        <f t="shared" si="13"/>
        <v>0</v>
      </c>
    </row>
    <row r="47" spans="1:16" x14ac:dyDescent="0.2">
      <c r="A47" s="361">
        <f>IF(COUNTBLANK(B47)=1," ",COUNTA(B$14:B47))</f>
        <v>30</v>
      </c>
      <c r="B47" s="332" t="s">
        <v>86</v>
      </c>
      <c r="C47" s="335" t="s">
        <v>115</v>
      </c>
      <c r="D47" s="299" t="s">
        <v>84</v>
      </c>
      <c r="E47" s="336">
        <f>E46*1.1</f>
        <v>3.3550000000000004</v>
      </c>
      <c r="F47" s="566"/>
      <c r="G47" s="567"/>
      <c r="H47" s="572">
        <f t="shared" si="7"/>
        <v>0</v>
      </c>
      <c r="I47" s="567"/>
      <c r="J47" s="567"/>
      <c r="K47" s="573">
        <f t="shared" si="8"/>
        <v>0</v>
      </c>
      <c r="L47" s="574">
        <f t="shared" si="9"/>
        <v>0</v>
      </c>
      <c r="M47" s="575">
        <f t="shared" si="10"/>
        <v>0</v>
      </c>
      <c r="N47" s="575">
        <f t="shared" si="11"/>
        <v>0</v>
      </c>
      <c r="O47" s="575">
        <f t="shared" si="12"/>
        <v>0</v>
      </c>
      <c r="P47" s="573">
        <f t="shared" si="13"/>
        <v>0</v>
      </c>
    </row>
    <row r="48" spans="1:16" ht="22.5" x14ac:dyDescent="0.2">
      <c r="A48" s="361">
        <f>IF(COUNTBLANK(B48)=1," ",COUNTA(B$14:B48))</f>
        <v>31</v>
      </c>
      <c r="B48" s="332" t="s">
        <v>86</v>
      </c>
      <c r="C48" s="335" t="s">
        <v>178</v>
      </c>
      <c r="D48" s="299" t="s">
        <v>84</v>
      </c>
      <c r="E48" s="334">
        <f>E45*0.05</f>
        <v>1.5250000000000001</v>
      </c>
      <c r="F48" s="566"/>
      <c r="G48" s="567"/>
      <c r="H48" s="567">
        <f t="shared" si="7"/>
        <v>0</v>
      </c>
      <c r="I48" s="567"/>
      <c r="J48" s="567"/>
      <c r="K48" s="568">
        <f t="shared" si="8"/>
        <v>0</v>
      </c>
      <c r="L48" s="566">
        <f t="shared" si="9"/>
        <v>0</v>
      </c>
      <c r="M48" s="567">
        <f t="shared" si="10"/>
        <v>0</v>
      </c>
      <c r="N48" s="567">
        <f t="shared" si="11"/>
        <v>0</v>
      </c>
      <c r="O48" s="567">
        <f t="shared" si="12"/>
        <v>0</v>
      </c>
      <c r="P48" s="568">
        <f t="shared" si="13"/>
        <v>0</v>
      </c>
    </row>
    <row r="49" spans="1:16" x14ac:dyDescent="0.2">
      <c r="A49" s="361">
        <f>IF(COUNTBLANK(B49)=1," ",COUNTA(B$14:B49))</f>
        <v>32</v>
      </c>
      <c r="B49" s="332" t="s">
        <v>86</v>
      </c>
      <c r="C49" s="335" t="s">
        <v>115</v>
      </c>
      <c r="D49" s="299" t="s">
        <v>84</v>
      </c>
      <c r="E49" s="336">
        <f>E48*1.1</f>
        <v>1.6775000000000002</v>
      </c>
      <c r="F49" s="566"/>
      <c r="G49" s="567"/>
      <c r="H49" s="572">
        <f t="shared" si="7"/>
        <v>0</v>
      </c>
      <c r="I49" s="567"/>
      <c r="J49" s="567"/>
      <c r="K49" s="573">
        <f t="shared" si="8"/>
        <v>0</v>
      </c>
      <c r="L49" s="574">
        <f t="shared" si="9"/>
        <v>0</v>
      </c>
      <c r="M49" s="575">
        <f t="shared" si="10"/>
        <v>0</v>
      </c>
      <c r="N49" s="575">
        <f t="shared" si="11"/>
        <v>0</v>
      </c>
      <c r="O49" s="575">
        <f t="shared" si="12"/>
        <v>0</v>
      </c>
      <c r="P49" s="573">
        <f t="shared" si="13"/>
        <v>0</v>
      </c>
    </row>
    <row r="50" spans="1:16" x14ac:dyDescent="0.2">
      <c r="A50" s="361">
        <f>IF(COUNTBLANK(B50)=1," ",COUNTA(B$14:B50))</f>
        <v>33</v>
      </c>
      <c r="B50" s="332" t="s">
        <v>86</v>
      </c>
      <c r="C50" s="335" t="s">
        <v>179</v>
      </c>
      <c r="D50" s="299" t="s">
        <v>84</v>
      </c>
      <c r="E50" s="334">
        <f>E48</f>
        <v>1.5250000000000001</v>
      </c>
      <c r="F50" s="566"/>
      <c r="G50" s="567"/>
      <c r="H50" s="567">
        <f t="shared" si="7"/>
        <v>0</v>
      </c>
      <c r="I50" s="567"/>
      <c r="J50" s="567"/>
      <c r="K50" s="568">
        <f t="shared" si="8"/>
        <v>0</v>
      </c>
      <c r="L50" s="566">
        <f t="shared" si="9"/>
        <v>0</v>
      </c>
      <c r="M50" s="567">
        <f t="shared" si="10"/>
        <v>0</v>
      </c>
      <c r="N50" s="567">
        <f t="shared" si="11"/>
        <v>0</v>
      </c>
      <c r="O50" s="567">
        <f t="shared" si="12"/>
        <v>0</v>
      </c>
      <c r="P50" s="568">
        <f t="shared" si="13"/>
        <v>0</v>
      </c>
    </row>
    <row r="51" spans="1:16" x14ac:dyDescent="0.2">
      <c r="A51" s="361">
        <f>IF(COUNTBLANK(B51)=1," ",COUNTA(B$14:B51))</f>
        <v>34</v>
      </c>
      <c r="B51" s="332" t="s">
        <v>86</v>
      </c>
      <c r="C51" s="335" t="s">
        <v>180</v>
      </c>
      <c r="D51" s="299" t="s">
        <v>84</v>
      </c>
      <c r="E51" s="336">
        <f>E50*1.1</f>
        <v>1.6775000000000002</v>
      </c>
      <c r="F51" s="566"/>
      <c r="G51" s="567"/>
      <c r="H51" s="572">
        <f t="shared" si="7"/>
        <v>0</v>
      </c>
      <c r="I51" s="567"/>
      <c r="J51" s="567"/>
      <c r="K51" s="573">
        <f t="shared" si="8"/>
        <v>0</v>
      </c>
      <c r="L51" s="574">
        <f t="shared" si="9"/>
        <v>0</v>
      </c>
      <c r="M51" s="575">
        <f t="shared" si="10"/>
        <v>0</v>
      </c>
      <c r="N51" s="575">
        <f t="shared" si="11"/>
        <v>0</v>
      </c>
      <c r="O51" s="575">
        <f t="shared" si="12"/>
        <v>0</v>
      </c>
      <c r="P51" s="573">
        <f t="shared" si="13"/>
        <v>0</v>
      </c>
    </row>
    <row r="52" spans="1:16" x14ac:dyDescent="0.2">
      <c r="A52" s="361">
        <f>IF(COUNTBLANK(B52)=1," ",COUNTA(B$14:B52))</f>
        <v>35</v>
      </c>
      <c r="B52" s="332" t="s">
        <v>86</v>
      </c>
      <c r="C52" s="335" t="s">
        <v>181</v>
      </c>
      <c r="D52" s="299" t="s">
        <v>56</v>
      </c>
      <c r="E52" s="334">
        <f>E45</f>
        <v>30.5</v>
      </c>
      <c r="F52" s="566"/>
      <c r="G52" s="567"/>
      <c r="H52" s="567">
        <f t="shared" si="7"/>
        <v>0</v>
      </c>
      <c r="I52" s="567"/>
      <c r="J52" s="567"/>
      <c r="K52" s="568">
        <f t="shared" si="8"/>
        <v>0</v>
      </c>
      <c r="L52" s="566">
        <f t="shared" si="9"/>
        <v>0</v>
      </c>
      <c r="M52" s="567">
        <f t="shared" si="10"/>
        <v>0</v>
      </c>
      <c r="N52" s="567">
        <f t="shared" si="11"/>
        <v>0</v>
      </c>
      <c r="O52" s="567">
        <f t="shared" si="12"/>
        <v>0</v>
      </c>
      <c r="P52" s="568">
        <f t="shared" si="13"/>
        <v>0</v>
      </c>
    </row>
    <row r="53" spans="1:16" x14ac:dyDescent="0.2">
      <c r="A53" s="361">
        <f>IF(COUNTBLANK(B53)=1," ",COUNTA(B$14:B53))</f>
        <v>36</v>
      </c>
      <c r="B53" s="332" t="s">
        <v>86</v>
      </c>
      <c r="C53" s="335" t="s">
        <v>182</v>
      </c>
      <c r="D53" s="336" t="s">
        <v>56</v>
      </c>
      <c r="E53" s="336">
        <f>E52*1.05</f>
        <v>32.024999999999999</v>
      </c>
      <c r="F53" s="566"/>
      <c r="G53" s="567"/>
      <c r="H53" s="572">
        <f t="shared" si="7"/>
        <v>0</v>
      </c>
      <c r="I53" s="567"/>
      <c r="J53" s="567"/>
      <c r="K53" s="573">
        <f t="shared" si="8"/>
        <v>0</v>
      </c>
      <c r="L53" s="574">
        <f t="shared" si="9"/>
        <v>0</v>
      </c>
      <c r="M53" s="575">
        <f t="shared" si="10"/>
        <v>0</v>
      </c>
      <c r="N53" s="575">
        <f t="shared" si="11"/>
        <v>0</v>
      </c>
      <c r="O53" s="575">
        <f t="shared" si="12"/>
        <v>0</v>
      </c>
      <c r="P53" s="573">
        <f t="shared" si="13"/>
        <v>0</v>
      </c>
    </row>
    <row r="54" spans="1:16" x14ac:dyDescent="0.2">
      <c r="A54" s="361">
        <f>IF(COUNTBLANK(B54)=1," ",COUNTA(B$14:B54))</f>
        <v>37</v>
      </c>
      <c r="B54" s="332" t="s">
        <v>86</v>
      </c>
      <c r="C54" s="335" t="s">
        <v>183</v>
      </c>
      <c r="D54" s="336" t="s">
        <v>84</v>
      </c>
      <c r="E54" s="336">
        <f>E52*0.05*1.1</f>
        <v>1.6775000000000002</v>
      </c>
      <c r="F54" s="566"/>
      <c r="G54" s="567"/>
      <c r="H54" s="567">
        <f t="shared" si="7"/>
        <v>0</v>
      </c>
      <c r="I54" s="567"/>
      <c r="J54" s="567"/>
      <c r="K54" s="568">
        <f t="shared" si="8"/>
        <v>0</v>
      </c>
      <c r="L54" s="566">
        <f t="shared" si="9"/>
        <v>0</v>
      </c>
      <c r="M54" s="567">
        <f t="shared" si="10"/>
        <v>0</v>
      </c>
      <c r="N54" s="567">
        <f t="shared" si="11"/>
        <v>0</v>
      </c>
      <c r="O54" s="567">
        <f t="shared" si="12"/>
        <v>0</v>
      </c>
      <c r="P54" s="568">
        <f t="shared" si="13"/>
        <v>0</v>
      </c>
    </row>
    <row r="55" spans="1:16" ht="22.5" x14ac:dyDescent="0.2">
      <c r="A55" s="361">
        <f>IF(COUNTBLANK(B55)=1," ",COUNTA(B$14:B55))</f>
        <v>38</v>
      </c>
      <c r="B55" s="332" t="s">
        <v>86</v>
      </c>
      <c r="C55" s="335" t="s">
        <v>184</v>
      </c>
      <c r="D55" s="299" t="s">
        <v>88</v>
      </c>
      <c r="E55" s="334">
        <v>44.3</v>
      </c>
      <c r="F55" s="566"/>
      <c r="G55" s="567"/>
      <c r="H55" s="572">
        <f t="shared" si="7"/>
        <v>0</v>
      </c>
      <c r="I55" s="567"/>
      <c r="J55" s="567"/>
      <c r="K55" s="573">
        <f t="shared" si="8"/>
        <v>0</v>
      </c>
      <c r="L55" s="574">
        <f t="shared" si="9"/>
        <v>0</v>
      </c>
      <c r="M55" s="575">
        <f t="shared" si="10"/>
        <v>0</v>
      </c>
      <c r="N55" s="575">
        <f t="shared" si="11"/>
        <v>0</v>
      </c>
      <c r="O55" s="575">
        <f t="shared" si="12"/>
        <v>0</v>
      </c>
      <c r="P55" s="573">
        <f t="shared" si="13"/>
        <v>0</v>
      </c>
    </row>
    <row r="56" spans="1:16" x14ac:dyDescent="0.2">
      <c r="A56" s="361">
        <f>IF(COUNTBLANK(B56)=1," ",COUNTA(B$14:B56))</f>
        <v>39</v>
      </c>
      <c r="B56" s="332" t="s">
        <v>86</v>
      </c>
      <c r="C56" s="464" t="s">
        <v>185</v>
      </c>
      <c r="D56" s="465" t="s">
        <v>84</v>
      </c>
      <c r="E56" s="465">
        <f>E55*0.3*0.2</f>
        <v>2.6579999999999999</v>
      </c>
      <c r="F56" s="566"/>
      <c r="G56" s="567"/>
      <c r="H56" s="567">
        <f t="shared" si="7"/>
        <v>0</v>
      </c>
      <c r="I56" s="567"/>
      <c r="J56" s="567"/>
      <c r="K56" s="568">
        <f t="shared" si="8"/>
        <v>0</v>
      </c>
      <c r="L56" s="566">
        <f t="shared" si="9"/>
        <v>0</v>
      </c>
      <c r="M56" s="567">
        <f t="shared" si="10"/>
        <v>0</v>
      </c>
      <c r="N56" s="567">
        <f t="shared" si="11"/>
        <v>0</v>
      </c>
      <c r="O56" s="567">
        <f t="shared" si="12"/>
        <v>0</v>
      </c>
      <c r="P56" s="568">
        <f t="shared" si="13"/>
        <v>0</v>
      </c>
    </row>
    <row r="57" spans="1:16" ht="12" thickBot="1" x14ac:dyDescent="0.25">
      <c r="A57" s="361" t="str">
        <f>IF(COUNTBLANK(B57)=1," ",COUNTA(B$14:B57))</f>
        <v xml:space="preserve"> </v>
      </c>
      <c r="B57" s="466"/>
      <c r="C57" s="133" t="s">
        <v>401</v>
      </c>
      <c r="D57" s="467"/>
      <c r="E57" s="467"/>
      <c r="F57" s="566"/>
      <c r="G57" s="567"/>
      <c r="H57" s="572">
        <f t="shared" si="7"/>
        <v>0</v>
      </c>
      <c r="I57" s="567"/>
      <c r="J57" s="567"/>
      <c r="K57" s="573">
        <f t="shared" si="8"/>
        <v>0</v>
      </c>
      <c r="L57" s="574">
        <f t="shared" si="9"/>
        <v>0</v>
      </c>
      <c r="M57" s="575">
        <f t="shared" si="10"/>
        <v>0</v>
      </c>
      <c r="N57" s="575">
        <f t="shared" si="11"/>
        <v>0</v>
      </c>
      <c r="O57" s="575">
        <f t="shared" si="12"/>
        <v>0</v>
      </c>
      <c r="P57" s="573">
        <f t="shared" si="13"/>
        <v>0</v>
      </c>
    </row>
    <row r="58" spans="1:16" x14ac:dyDescent="0.2">
      <c r="A58" s="361">
        <f>IF(COUNTBLANK(B58)=1," ",COUNTA(B$14:B58))</f>
        <v>40</v>
      </c>
      <c r="B58" s="332" t="s">
        <v>86</v>
      </c>
      <c r="C58" s="130" t="s">
        <v>402</v>
      </c>
      <c r="D58" s="134" t="s">
        <v>56</v>
      </c>
      <c r="E58" s="63">
        <v>50</v>
      </c>
      <c r="F58" s="566"/>
      <c r="G58" s="567"/>
      <c r="H58" s="567">
        <f t="shared" si="7"/>
        <v>0</v>
      </c>
      <c r="I58" s="567"/>
      <c r="J58" s="567"/>
      <c r="K58" s="568">
        <f t="shared" si="8"/>
        <v>0</v>
      </c>
      <c r="L58" s="566">
        <f t="shared" si="9"/>
        <v>0</v>
      </c>
      <c r="M58" s="567">
        <f t="shared" si="10"/>
        <v>0</v>
      </c>
      <c r="N58" s="567">
        <f t="shared" si="11"/>
        <v>0</v>
      </c>
      <c r="O58" s="567">
        <f t="shared" si="12"/>
        <v>0</v>
      </c>
      <c r="P58" s="568">
        <f t="shared" si="13"/>
        <v>0</v>
      </c>
    </row>
    <row r="59" spans="1:16" ht="22.5" x14ac:dyDescent="0.2">
      <c r="A59" s="361">
        <f>IF(COUNTBLANK(B59)=1," ",COUNTA(B$14:B59))</f>
        <v>41</v>
      </c>
      <c r="B59" s="332" t="s">
        <v>86</v>
      </c>
      <c r="C59" s="130" t="s">
        <v>403</v>
      </c>
      <c r="D59" s="135" t="s">
        <v>84</v>
      </c>
      <c r="E59" s="62">
        <f>E58*0.2</f>
        <v>10</v>
      </c>
      <c r="F59" s="566"/>
      <c r="G59" s="567"/>
      <c r="H59" s="572">
        <f t="shared" si="7"/>
        <v>0</v>
      </c>
      <c r="I59" s="567"/>
      <c r="J59" s="567"/>
      <c r="K59" s="573">
        <f t="shared" si="8"/>
        <v>0</v>
      </c>
      <c r="L59" s="574">
        <f t="shared" si="9"/>
        <v>0</v>
      </c>
      <c r="M59" s="575">
        <f t="shared" si="10"/>
        <v>0</v>
      </c>
      <c r="N59" s="575">
        <f t="shared" si="11"/>
        <v>0</v>
      </c>
      <c r="O59" s="575">
        <f t="shared" si="12"/>
        <v>0</v>
      </c>
      <c r="P59" s="573">
        <f t="shared" si="13"/>
        <v>0</v>
      </c>
    </row>
    <row r="60" spans="1:16" x14ac:dyDescent="0.2">
      <c r="A60" s="361">
        <f>IF(COUNTBLANK(B60)=1," ",COUNTA(B$14:B60))</f>
        <v>42</v>
      </c>
      <c r="B60" s="332" t="s">
        <v>86</v>
      </c>
      <c r="C60" s="130" t="s">
        <v>115</v>
      </c>
      <c r="D60" s="135" t="s">
        <v>226</v>
      </c>
      <c r="E60" s="136">
        <f>E59*1.1</f>
        <v>11</v>
      </c>
      <c r="F60" s="566"/>
      <c r="G60" s="567"/>
      <c r="H60" s="567">
        <f t="shared" si="7"/>
        <v>0</v>
      </c>
      <c r="I60" s="567"/>
      <c r="J60" s="567"/>
      <c r="K60" s="568">
        <f t="shared" si="8"/>
        <v>0</v>
      </c>
      <c r="L60" s="566">
        <f t="shared" si="9"/>
        <v>0</v>
      </c>
      <c r="M60" s="567">
        <f t="shared" si="10"/>
        <v>0</v>
      </c>
      <c r="N60" s="567">
        <f t="shared" si="11"/>
        <v>0</v>
      </c>
      <c r="O60" s="567">
        <f t="shared" si="12"/>
        <v>0</v>
      </c>
      <c r="P60" s="568">
        <f t="shared" si="13"/>
        <v>0</v>
      </c>
    </row>
    <row r="61" spans="1:16" ht="22.5" x14ac:dyDescent="0.2">
      <c r="A61" s="361">
        <f>IF(COUNTBLANK(B61)=1," ",COUNTA(B$14:B61))</f>
        <v>43</v>
      </c>
      <c r="B61" s="332" t="s">
        <v>86</v>
      </c>
      <c r="C61" s="130" t="s">
        <v>404</v>
      </c>
      <c r="D61" s="135" t="s">
        <v>88</v>
      </c>
      <c r="E61" s="62">
        <v>41</v>
      </c>
      <c r="F61" s="566"/>
      <c r="G61" s="567"/>
      <c r="H61" s="572">
        <f t="shared" si="7"/>
        <v>0</v>
      </c>
      <c r="I61" s="567"/>
      <c r="J61" s="567"/>
      <c r="K61" s="573">
        <f t="shared" si="8"/>
        <v>0</v>
      </c>
      <c r="L61" s="574">
        <f t="shared" si="9"/>
        <v>0</v>
      </c>
      <c r="M61" s="575">
        <f t="shared" si="10"/>
        <v>0</v>
      </c>
      <c r="N61" s="575">
        <f t="shared" si="11"/>
        <v>0</v>
      </c>
      <c r="O61" s="575">
        <f t="shared" si="12"/>
        <v>0</v>
      </c>
      <c r="P61" s="573">
        <f t="shared" si="13"/>
        <v>0</v>
      </c>
    </row>
    <row r="62" spans="1:16" x14ac:dyDescent="0.2">
      <c r="A62" s="361">
        <f>IF(COUNTBLANK(B62)=1," ",COUNTA(B$14:B62))</f>
        <v>44</v>
      </c>
      <c r="B62" s="332" t="s">
        <v>86</v>
      </c>
      <c r="C62" s="464" t="s">
        <v>185</v>
      </c>
      <c r="D62" s="135" t="s">
        <v>84</v>
      </c>
      <c r="E62" s="62">
        <f>E61*0.2*0.3</f>
        <v>2.4600000000000004</v>
      </c>
      <c r="F62" s="566"/>
      <c r="G62" s="567"/>
      <c r="H62" s="567">
        <f t="shared" si="7"/>
        <v>0</v>
      </c>
      <c r="I62" s="567"/>
      <c r="J62" s="567"/>
      <c r="K62" s="568">
        <f t="shared" si="8"/>
        <v>0</v>
      </c>
      <c r="L62" s="566">
        <f t="shared" si="9"/>
        <v>0</v>
      </c>
      <c r="M62" s="567">
        <f t="shared" si="10"/>
        <v>0</v>
      </c>
      <c r="N62" s="567">
        <f t="shared" si="11"/>
        <v>0</v>
      </c>
      <c r="O62" s="567">
        <f t="shared" si="12"/>
        <v>0</v>
      </c>
      <c r="P62" s="568">
        <f t="shared" si="13"/>
        <v>0</v>
      </c>
    </row>
    <row r="63" spans="1:16" x14ac:dyDescent="0.2">
      <c r="A63" s="361">
        <f>IF(COUNTBLANK(B63)=1," ",COUNTA(B$14:B63))</f>
        <v>45</v>
      </c>
      <c r="B63" s="332" t="s">
        <v>86</v>
      </c>
      <c r="C63" s="456" t="s">
        <v>186</v>
      </c>
      <c r="D63" s="361" t="s">
        <v>56</v>
      </c>
      <c r="E63" s="387">
        <v>11</v>
      </c>
      <c r="F63" s="566"/>
      <c r="G63" s="567"/>
      <c r="H63" s="572">
        <f t="shared" si="7"/>
        <v>0</v>
      </c>
      <c r="I63" s="567"/>
      <c r="J63" s="567"/>
      <c r="K63" s="573">
        <f t="shared" si="8"/>
        <v>0</v>
      </c>
      <c r="L63" s="574">
        <f t="shared" si="9"/>
        <v>0</v>
      </c>
      <c r="M63" s="575">
        <f t="shared" si="10"/>
        <v>0</v>
      </c>
      <c r="N63" s="575">
        <f t="shared" si="11"/>
        <v>0</v>
      </c>
      <c r="O63" s="575">
        <f t="shared" si="12"/>
        <v>0</v>
      </c>
      <c r="P63" s="573">
        <f t="shared" si="13"/>
        <v>0</v>
      </c>
    </row>
    <row r="64" spans="1:16" x14ac:dyDescent="0.2">
      <c r="A64" s="361">
        <f>IF(COUNTBLANK(B64)=1," ",COUNTA(B$14:B64))</f>
        <v>46</v>
      </c>
      <c r="B64" s="332" t="s">
        <v>86</v>
      </c>
      <c r="C64" s="456" t="s">
        <v>187</v>
      </c>
      <c r="D64" s="452" t="s">
        <v>84</v>
      </c>
      <c r="E64" s="452">
        <f>E63*0.3*1.1</f>
        <v>3.63</v>
      </c>
      <c r="F64" s="566"/>
      <c r="G64" s="567"/>
      <c r="H64" s="567">
        <f t="shared" si="7"/>
        <v>0</v>
      </c>
      <c r="I64" s="567"/>
      <c r="J64" s="567"/>
      <c r="K64" s="568">
        <f t="shared" si="8"/>
        <v>0</v>
      </c>
      <c r="L64" s="566">
        <f t="shared" si="9"/>
        <v>0</v>
      </c>
      <c r="M64" s="567">
        <f t="shared" si="10"/>
        <v>0</v>
      </c>
      <c r="N64" s="567">
        <f t="shared" si="11"/>
        <v>0</v>
      </c>
      <c r="O64" s="567">
        <f t="shared" si="12"/>
        <v>0</v>
      </c>
      <c r="P64" s="568">
        <f t="shared" si="13"/>
        <v>0</v>
      </c>
    </row>
    <row r="65" spans="1:16" x14ac:dyDescent="0.2">
      <c r="A65" s="361">
        <f>IF(COUNTBLANK(B65)=1," ",COUNTA(B$14:B65))</f>
        <v>47</v>
      </c>
      <c r="B65" s="332" t="s">
        <v>86</v>
      </c>
      <c r="C65" s="456" t="s">
        <v>188</v>
      </c>
      <c r="D65" s="361" t="s">
        <v>56</v>
      </c>
      <c r="E65" s="387">
        <f>E63</f>
        <v>11</v>
      </c>
      <c r="F65" s="566"/>
      <c r="G65" s="567"/>
      <c r="H65" s="572">
        <f t="shared" si="7"/>
        <v>0</v>
      </c>
      <c r="I65" s="567"/>
      <c r="J65" s="567"/>
      <c r="K65" s="573">
        <f t="shared" si="8"/>
        <v>0</v>
      </c>
      <c r="L65" s="574">
        <f t="shared" si="9"/>
        <v>0</v>
      </c>
      <c r="M65" s="575">
        <f t="shared" si="10"/>
        <v>0</v>
      </c>
      <c r="N65" s="575">
        <f t="shared" si="11"/>
        <v>0</v>
      </c>
      <c r="O65" s="575">
        <f t="shared" si="12"/>
        <v>0</v>
      </c>
      <c r="P65" s="573">
        <f t="shared" si="13"/>
        <v>0</v>
      </c>
    </row>
    <row r="66" spans="1:16" ht="12" thickBot="1" x14ac:dyDescent="0.25">
      <c r="A66" s="361">
        <f>IF(COUNTBLANK(B66)=1," ",COUNTA(B$14:B66))</f>
        <v>48</v>
      </c>
      <c r="B66" s="332" t="s">
        <v>86</v>
      </c>
      <c r="C66" s="456" t="s">
        <v>189</v>
      </c>
      <c r="D66" s="361" t="s">
        <v>90</v>
      </c>
      <c r="E66" s="452">
        <f>E65*0.02</f>
        <v>0.22</v>
      </c>
      <c r="F66" s="566"/>
      <c r="G66" s="567"/>
      <c r="H66" s="567">
        <f t="shared" si="7"/>
        <v>0</v>
      </c>
      <c r="I66" s="567"/>
      <c r="J66" s="567"/>
      <c r="K66" s="568">
        <f t="shared" si="8"/>
        <v>0</v>
      </c>
      <c r="L66" s="566">
        <f t="shared" si="9"/>
        <v>0</v>
      </c>
      <c r="M66" s="567">
        <f t="shared" si="10"/>
        <v>0</v>
      </c>
      <c r="N66" s="567">
        <f t="shared" si="11"/>
        <v>0</v>
      </c>
      <c r="O66" s="567">
        <f t="shared" si="12"/>
        <v>0</v>
      </c>
      <c r="P66" s="568">
        <f t="shared" si="13"/>
        <v>0</v>
      </c>
    </row>
    <row r="67" spans="1:16" ht="12" thickBot="1" x14ac:dyDescent="0.25">
      <c r="A67" s="637" t="s">
        <v>612</v>
      </c>
      <c r="B67" s="638"/>
      <c r="C67" s="638"/>
      <c r="D67" s="638"/>
      <c r="E67" s="638"/>
      <c r="F67" s="638"/>
      <c r="G67" s="638"/>
      <c r="H67" s="638"/>
      <c r="I67" s="638"/>
      <c r="J67" s="638"/>
      <c r="K67" s="639"/>
      <c r="L67" s="582">
        <f>SUM(L14:L66)</f>
        <v>0</v>
      </c>
      <c r="M67" s="582">
        <f t="shared" ref="M67:P67" si="14">SUM(M14:M66)</f>
        <v>0</v>
      </c>
      <c r="N67" s="582">
        <f t="shared" si="14"/>
        <v>0</v>
      </c>
      <c r="O67" s="582">
        <f t="shared" si="14"/>
        <v>0</v>
      </c>
      <c r="P67" s="582">
        <f t="shared" si="14"/>
        <v>0</v>
      </c>
    </row>
    <row r="68" spans="1:16" x14ac:dyDescent="0.2">
      <c r="A68" s="202"/>
      <c r="B68" s="202"/>
      <c r="C68" s="202"/>
      <c r="D68" s="202"/>
      <c r="E68" s="202"/>
      <c r="F68" s="202"/>
      <c r="G68" s="202"/>
      <c r="H68" s="202"/>
      <c r="I68" s="202"/>
      <c r="J68" s="202"/>
      <c r="K68" s="202"/>
      <c r="L68" s="202"/>
      <c r="M68" s="202"/>
      <c r="N68" s="202"/>
      <c r="O68" s="202"/>
      <c r="P68" s="202"/>
    </row>
    <row r="69" spans="1:16" x14ac:dyDescent="0.2">
      <c r="A69" s="202"/>
      <c r="B69" s="202"/>
      <c r="C69" s="383"/>
      <c r="D69" s="383"/>
      <c r="E69" s="383"/>
      <c r="F69" s="383"/>
      <c r="G69" s="383"/>
      <c r="H69" s="383"/>
      <c r="I69" s="383"/>
      <c r="J69" s="383"/>
      <c r="K69" s="383"/>
      <c r="L69" s="383"/>
      <c r="M69" s="383"/>
      <c r="N69" s="383"/>
      <c r="O69" s="383"/>
      <c r="P69" s="383"/>
    </row>
    <row r="70" spans="1:16" x14ac:dyDescent="0.2">
      <c r="A70" s="439" t="s">
        <v>14</v>
      </c>
      <c r="B70" s="202"/>
      <c r="C70" s="632">
        <f>'Kops a'!C36:H36</f>
        <v>0</v>
      </c>
      <c r="D70" s="632"/>
      <c r="E70" s="632"/>
      <c r="F70" s="632"/>
      <c r="G70" s="632"/>
      <c r="H70" s="632"/>
      <c r="I70" s="383"/>
      <c r="J70" s="383"/>
      <c r="K70" s="383"/>
      <c r="L70" s="383"/>
      <c r="M70" s="383"/>
      <c r="N70" s="383"/>
      <c r="O70" s="383"/>
      <c r="P70" s="383"/>
    </row>
    <row r="71" spans="1:16" x14ac:dyDescent="0.2">
      <c r="A71" s="202"/>
      <c r="B71" s="202"/>
      <c r="C71" s="633" t="s">
        <v>15</v>
      </c>
      <c r="D71" s="633"/>
      <c r="E71" s="633"/>
      <c r="F71" s="633"/>
      <c r="G71" s="633"/>
      <c r="H71" s="633"/>
      <c r="I71" s="383"/>
      <c r="J71" s="383"/>
      <c r="K71" s="383"/>
      <c r="L71" s="383"/>
      <c r="M71" s="383"/>
      <c r="N71" s="383"/>
      <c r="O71" s="383"/>
      <c r="P71" s="383"/>
    </row>
    <row r="72" spans="1:16" x14ac:dyDescent="0.2">
      <c r="A72" s="202"/>
      <c r="B72" s="202"/>
      <c r="C72" s="383"/>
      <c r="D72" s="383"/>
      <c r="E72" s="383"/>
      <c r="F72" s="383"/>
      <c r="G72" s="383"/>
      <c r="H72" s="383"/>
      <c r="I72" s="383"/>
      <c r="J72" s="383"/>
      <c r="K72" s="383"/>
      <c r="L72" s="383"/>
      <c r="M72" s="383"/>
      <c r="N72" s="383"/>
      <c r="O72" s="383"/>
      <c r="P72" s="383"/>
    </row>
    <row r="73" spans="1:16" x14ac:dyDescent="0.2">
      <c r="A73" s="203" t="str">
        <f>'Kops a'!A39</f>
        <v>Tāme sastādīta 2021. gada</v>
      </c>
      <c r="B73" s="204"/>
      <c r="C73" s="468"/>
      <c r="D73" s="468"/>
      <c r="E73" s="383"/>
      <c r="F73" s="383"/>
      <c r="G73" s="383"/>
      <c r="H73" s="383"/>
      <c r="I73" s="383"/>
      <c r="J73" s="383"/>
      <c r="K73" s="383"/>
      <c r="L73" s="383"/>
      <c r="M73" s="383"/>
      <c r="N73" s="383"/>
      <c r="O73" s="383"/>
      <c r="P73" s="383"/>
    </row>
    <row r="74" spans="1:16" x14ac:dyDescent="0.2">
      <c r="A74" s="202"/>
      <c r="B74" s="202"/>
      <c r="C74" s="383"/>
      <c r="D74" s="383"/>
      <c r="E74" s="383"/>
      <c r="F74" s="383"/>
      <c r="G74" s="383"/>
      <c r="H74" s="383"/>
      <c r="I74" s="383"/>
      <c r="J74" s="383"/>
      <c r="K74" s="383"/>
      <c r="L74" s="383"/>
      <c r="M74" s="383"/>
      <c r="N74" s="383"/>
      <c r="O74" s="383"/>
      <c r="P74" s="383"/>
    </row>
    <row r="75" spans="1:16" x14ac:dyDescent="0.2">
      <c r="A75" s="439" t="s">
        <v>38</v>
      </c>
      <c r="B75" s="202"/>
      <c r="C75" s="632">
        <f>'Kops a'!C41:H41</f>
        <v>0</v>
      </c>
      <c r="D75" s="632"/>
      <c r="E75" s="632"/>
      <c r="F75" s="632"/>
      <c r="G75" s="632"/>
      <c r="H75" s="632"/>
      <c r="I75" s="383"/>
      <c r="J75" s="383"/>
      <c r="K75" s="383"/>
      <c r="L75" s="383"/>
      <c r="M75" s="383"/>
      <c r="N75" s="383"/>
      <c r="O75" s="383"/>
      <c r="P75" s="383"/>
    </row>
    <row r="76" spans="1:16" x14ac:dyDescent="0.2">
      <c r="A76" s="202"/>
      <c r="B76" s="202"/>
      <c r="C76" s="633" t="s">
        <v>15</v>
      </c>
      <c r="D76" s="633"/>
      <c r="E76" s="633"/>
      <c r="F76" s="633"/>
      <c r="G76" s="633"/>
      <c r="H76" s="633"/>
      <c r="I76" s="383"/>
      <c r="J76" s="383"/>
      <c r="K76" s="383"/>
      <c r="L76" s="383"/>
      <c r="M76" s="383"/>
      <c r="N76" s="383"/>
      <c r="O76" s="383"/>
      <c r="P76" s="383"/>
    </row>
    <row r="77" spans="1:16" x14ac:dyDescent="0.2">
      <c r="A77" s="202"/>
      <c r="B77" s="202"/>
      <c r="C77" s="383"/>
      <c r="D77" s="383"/>
      <c r="E77" s="383"/>
      <c r="F77" s="383"/>
      <c r="G77" s="383"/>
      <c r="H77" s="383"/>
      <c r="I77" s="383"/>
      <c r="J77" s="383"/>
      <c r="K77" s="383"/>
      <c r="L77" s="383"/>
      <c r="M77" s="383"/>
      <c r="N77" s="383"/>
      <c r="O77" s="383"/>
      <c r="P77" s="383"/>
    </row>
    <row r="78" spans="1:16" x14ac:dyDescent="0.2">
      <c r="A78" s="203" t="s">
        <v>53</v>
      </c>
      <c r="B78" s="204"/>
      <c r="C78" s="384">
        <f>'Kops a'!C44</f>
        <v>0</v>
      </c>
      <c r="D78" s="468"/>
      <c r="E78" s="383"/>
      <c r="F78" s="383"/>
      <c r="G78" s="383"/>
      <c r="H78" s="383"/>
      <c r="I78" s="383"/>
      <c r="J78" s="383"/>
      <c r="K78" s="383"/>
      <c r="L78" s="383"/>
      <c r="M78" s="383"/>
      <c r="N78" s="383"/>
      <c r="O78" s="383"/>
      <c r="P78" s="383"/>
    </row>
    <row r="80" spans="1:16" x14ac:dyDescent="0.2">
      <c r="A80" s="687" t="s">
        <v>687</v>
      </c>
      <c r="B80" s="688"/>
      <c r="C80" s="689"/>
      <c r="D80" s="689"/>
      <c r="E80" s="690"/>
      <c r="F80" s="691"/>
      <c r="G80" s="690"/>
      <c r="H80" s="692"/>
      <c r="I80" s="692"/>
      <c r="J80" s="693"/>
      <c r="K80" s="694"/>
      <c r="L80" s="694"/>
      <c r="M80" s="694"/>
      <c r="N80" s="694"/>
      <c r="O80" s="694"/>
    </row>
    <row r="81" spans="1:15" x14ac:dyDescent="0.2">
      <c r="A81" s="695" t="s">
        <v>688</v>
      </c>
      <c r="B81" s="695"/>
      <c r="C81" s="695"/>
      <c r="D81" s="695"/>
      <c r="E81" s="695"/>
      <c r="F81" s="695"/>
      <c r="G81" s="695"/>
      <c r="H81" s="695"/>
      <c r="I81" s="695"/>
      <c r="J81" s="695"/>
      <c r="K81" s="695"/>
      <c r="L81" s="695"/>
      <c r="M81" s="695"/>
      <c r="N81" s="695"/>
      <c r="O81" s="695"/>
    </row>
    <row r="82" spans="1:15" x14ac:dyDescent="0.2">
      <c r="A82" s="695" t="s">
        <v>689</v>
      </c>
      <c r="B82" s="695"/>
      <c r="C82" s="695"/>
      <c r="D82" s="695"/>
      <c r="E82" s="695"/>
      <c r="F82" s="695"/>
      <c r="G82" s="695"/>
      <c r="H82" s="695"/>
      <c r="I82" s="695"/>
      <c r="J82" s="695"/>
      <c r="K82" s="695"/>
      <c r="L82" s="695"/>
      <c r="M82" s="695"/>
      <c r="N82" s="695"/>
      <c r="O82" s="695"/>
    </row>
  </sheetData>
  <mergeCells count="24">
    <mergeCell ref="A81:O81"/>
    <mergeCell ref="A82:O82"/>
    <mergeCell ref="C2:I2"/>
    <mergeCell ref="C3:I3"/>
    <mergeCell ref="C4:I4"/>
    <mergeCell ref="D5:L5"/>
    <mergeCell ref="D6:L6"/>
    <mergeCell ref="D7:L7"/>
    <mergeCell ref="D8:L8"/>
    <mergeCell ref="A9:F9"/>
    <mergeCell ref="J9:M9"/>
    <mergeCell ref="N9:O9"/>
    <mergeCell ref="C75:H75"/>
    <mergeCell ref="C76:H76"/>
    <mergeCell ref="F12:K12"/>
    <mergeCell ref="L12:P12"/>
    <mergeCell ref="A67:K67"/>
    <mergeCell ref="C70:H70"/>
    <mergeCell ref="C71:H71"/>
    <mergeCell ref="A12:A13"/>
    <mergeCell ref="B12:B13"/>
    <mergeCell ref="D12:D13"/>
    <mergeCell ref="E12:E13"/>
    <mergeCell ref="C12:C13"/>
  </mergeCells>
  <phoneticPr fontId="22" type="noConversion"/>
  <conditionalFormatting sqref="D5:L8 C4:I4 C75:H75 C70:H70 D18:E18 C28:E29 B35:E35 B44:E56 C63:E66 D57:E57 B19:E24 C34:E34 B25:B34 B14:B18 C41:E43 B36:B43 B47:B66">
    <cfRule type="cellIs" dxfId="161" priority="31" operator="equal">
      <formula>0</formula>
    </cfRule>
  </conditionalFormatting>
  <conditionalFormatting sqref="N9:O9 C2:I2 C75:H75 C70:H70">
    <cfRule type="cellIs" dxfId="160" priority="32" operator="equal">
      <formula>0</formula>
    </cfRule>
  </conditionalFormatting>
  <conditionalFormatting sqref="A9:F9 A67">
    <cfRule type="containsText" dxfId="159" priority="33" operator="containsText" text="Tāme sastādīta  20__. gada tirgus cenās, pamatojoties uz ___ daļas rasējumiem"/>
  </conditionalFormatting>
  <conditionalFormatting sqref="O10">
    <cfRule type="cellIs" dxfId="158" priority="35" operator="equal">
      <formula>"20__. gada __. _________"</formula>
    </cfRule>
  </conditionalFormatting>
  <conditionalFormatting sqref="P10">
    <cfRule type="cellIs" dxfId="157" priority="41" operator="equal">
      <formula>"20__. gada __. _________"</formula>
    </cfRule>
  </conditionalFormatting>
  <conditionalFormatting sqref="C78">
    <cfRule type="cellIs" dxfId="156" priority="44" operator="equal">
      <formula>0</formula>
    </cfRule>
  </conditionalFormatting>
  <conditionalFormatting sqref="D1">
    <cfRule type="cellIs" dxfId="155" priority="45" operator="equal">
      <formula>0</formula>
    </cfRule>
  </conditionalFormatting>
  <conditionalFormatting sqref="D15:E17">
    <cfRule type="cellIs" dxfId="154" priority="10" operator="equal">
      <formula>0</formula>
    </cfRule>
  </conditionalFormatting>
  <conditionalFormatting sqref="C15:C17">
    <cfRule type="cellIs" dxfId="153" priority="9" operator="equal">
      <formula>0</formula>
    </cfRule>
  </conditionalFormatting>
  <conditionalFormatting sqref="D14:E14">
    <cfRule type="cellIs" dxfId="152" priority="8" operator="equal">
      <formula>0</formula>
    </cfRule>
  </conditionalFormatting>
  <conditionalFormatting sqref="C14">
    <cfRule type="cellIs" dxfId="151" priority="7" operator="equal">
      <formula>0</formula>
    </cfRule>
  </conditionalFormatting>
  <conditionalFormatting sqref="C33">
    <cfRule type="cellIs" dxfId="150" priority="6" operator="equal">
      <formula>0</formula>
    </cfRule>
  </conditionalFormatting>
  <conditionalFormatting sqref="C62">
    <cfRule type="cellIs" dxfId="149" priority="5" operator="equal">
      <formula>0</formula>
    </cfRule>
  </conditionalFormatting>
  <conditionalFormatting sqref="A14:A66">
    <cfRule type="cellIs" dxfId="148" priority="4" operator="equal">
      <formula>0</formula>
    </cfRule>
  </conditionalFormatting>
  <conditionalFormatting sqref="I14:J66 F14:G66">
    <cfRule type="cellIs" dxfId="147" priority="3" operator="equal">
      <formula>0</formula>
    </cfRule>
  </conditionalFormatting>
  <conditionalFormatting sqref="H14:H66 K14:P66">
    <cfRule type="cellIs" dxfId="146" priority="2" operator="equal">
      <formula>0</formula>
    </cfRule>
  </conditionalFormatting>
  <conditionalFormatting sqref="L67:P67">
    <cfRule type="cellIs" dxfId="145" priority="1" operator="equal">
      <formula>0</formula>
    </cfRule>
  </conditionalFormatting>
  <pageMargins left="0.19685039370078741" right="0.19685039370078741" top="0.75196850393700787" bottom="0.39370078740157483" header="0.51181102362204722" footer="0.51181102362204722"/>
  <pageSetup paperSize="9" scale="89" firstPageNumber="0" orientation="landscape" r:id="rId1"/>
  <rowBreaks count="2" manualBreakCount="2">
    <brk id="39" max="15" man="1"/>
    <brk id="67" max="1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P92"/>
  <sheetViews>
    <sheetView view="pageBreakPreview" topLeftCell="A64" zoomScale="115" zoomScaleNormal="100" zoomScaleSheetLayoutView="115" workbookViewId="0">
      <selection activeCell="P77" sqref="P77"/>
    </sheetView>
  </sheetViews>
  <sheetFormatPr defaultColWidth="8.6640625" defaultRowHeight="11.25" x14ac:dyDescent="0.2"/>
  <cols>
    <col min="1" max="1" width="4.5" style="159" customWidth="1"/>
    <col min="2" max="2" width="7.6640625" style="159" customWidth="1"/>
    <col min="3" max="3" width="38.33203125" style="159" customWidth="1"/>
    <col min="4" max="4" width="5.83203125" style="159" customWidth="1"/>
    <col min="5" max="5" width="8.6640625" style="159" customWidth="1"/>
    <col min="6" max="6" width="5.33203125" style="159" customWidth="1"/>
    <col min="7" max="7" width="4.83203125" style="159" customWidth="1"/>
    <col min="8" max="10" width="6.6640625" style="159" customWidth="1"/>
    <col min="11" max="11" width="6.83203125" style="159" customWidth="1"/>
    <col min="12" max="15" width="7.6640625" style="159" customWidth="1"/>
    <col min="16" max="16" width="8.83203125" style="159" customWidth="1"/>
    <col min="17" max="1013" width="9.1640625" style="159" customWidth="1"/>
    <col min="1014" max="16384" width="8.6640625" style="159"/>
  </cols>
  <sheetData>
    <row r="1" spans="1:16" x14ac:dyDescent="0.2">
      <c r="A1" s="156"/>
      <c r="B1" s="156"/>
      <c r="C1" s="157" t="s">
        <v>39</v>
      </c>
      <c r="D1" s="158">
        <f>'Kops a'!A17</f>
        <v>3</v>
      </c>
      <c r="E1" s="156"/>
      <c r="F1" s="156"/>
      <c r="G1" s="156"/>
      <c r="H1" s="156"/>
      <c r="I1" s="156"/>
      <c r="J1" s="156"/>
      <c r="N1" s="160"/>
      <c r="O1" s="157"/>
      <c r="P1" s="161"/>
    </row>
    <row r="2" spans="1:16" x14ac:dyDescent="0.2">
      <c r="A2" s="162"/>
      <c r="B2" s="162"/>
      <c r="C2" s="630" t="s">
        <v>405</v>
      </c>
      <c r="D2" s="630"/>
      <c r="E2" s="630"/>
      <c r="F2" s="630"/>
      <c r="G2" s="630"/>
      <c r="H2" s="630"/>
      <c r="I2" s="630"/>
      <c r="J2" s="162"/>
    </row>
    <row r="3" spans="1:16" x14ac:dyDescent="0.2">
      <c r="A3" s="163"/>
      <c r="B3" s="163"/>
      <c r="C3" s="604" t="s">
        <v>18</v>
      </c>
      <c r="D3" s="604"/>
      <c r="E3" s="604"/>
      <c r="F3" s="604"/>
      <c r="G3" s="604"/>
      <c r="H3" s="604"/>
      <c r="I3" s="604"/>
      <c r="J3" s="163"/>
    </row>
    <row r="4" spans="1:16" x14ac:dyDescent="0.2">
      <c r="A4" s="163"/>
      <c r="B4" s="163"/>
      <c r="C4" s="631" t="s">
        <v>4</v>
      </c>
      <c r="D4" s="631"/>
      <c r="E4" s="631"/>
      <c r="F4" s="631"/>
      <c r="G4" s="631"/>
      <c r="H4" s="631"/>
      <c r="I4" s="631"/>
      <c r="J4" s="163"/>
    </row>
    <row r="5" spans="1:16" x14ac:dyDescent="0.2">
      <c r="A5" s="156"/>
      <c r="B5" s="156"/>
      <c r="C5" s="157" t="s">
        <v>5</v>
      </c>
      <c r="D5" s="626" t="str">
        <f>'Kops a'!D6</f>
        <v>Daudzīvokļu dzīvojamā māja</v>
      </c>
      <c r="E5" s="626"/>
      <c r="F5" s="626"/>
      <c r="G5" s="626"/>
      <c r="H5" s="626"/>
      <c r="I5" s="626"/>
      <c r="J5" s="626"/>
      <c r="K5" s="626"/>
      <c r="L5" s="626"/>
      <c r="M5" s="202"/>
      <c r="N5" s="202"/>
      <c r="O5" s="202"/>
      <c r="P5" s="202"/>
    </row>
    <row r="6" spans="1:16" x14ac:dyDescent="0.2">
      <c r="A6" s="156"/>
      <c r="B6" s="156"/>
      <c r="C6" s="157" t="s">
        <v>6</v>
      </c>
      <c r="D6" s="626" t="str">
        <f>'Kops a'!D7</f>
        <v>fasādes vienkāršotā atjaunošana</v>
      </c>
      <c r="E6" s="626"/>
      <c r="F6" s="626"/>
      <c r="G6" s="626"/>
      <c r="H6" s="626"/>
      <c r="I6" s="626"/>
      <c r="J6" s="626"/>
      <c r="K6" s="626"/>
      <c r="L6" s="626"/>
      <c r="M6" s="202"/>
      <c r="N6" s="202"/>
      <c r="O6" s="202"/>
      <c r="P6" s="202"/>
    </row>
    <row r="7" spans="1:16" x14ac:dyDescent="0.2">
      <c r="A7" s="156"/>
      <c r="B7" s="156"/>
      <c r="C7" s="157" t="s">
        <v>7</v>
      </c>
      <c r="D7" s="626" t="str">
        <f>'Kops a'!D8</f>
        <v>Lēņu iela 2, Liepājā</v>
      </c>
      <c r="E7" s="626"/>
      <c r="F7" s="626"/>
      <c r="G7" s="626"/>
      <c r="H7" s="626"/>
      <c r="I7" s="626"/>
      <c r="J7" s="626"/>
      <c r="K7" s="626"/>
      <c r="L7" s="626"/>
      <c r="M7" s="202"/>
      <c r="N7" s="202"/>
      <c r="O7" s="202"/>
      <c r="P7" s="202"/>
    </row>
    <row r="8" spans="1:16" x14ac:dyDescent="0.2">
      <c r="A8" s="156"/>
      <c r="B8" s="156"/>
      <c r="C8" s="164" t="s">
        <v>21</v>
      </c>
      <c r="D8" s="626" t="str">
        <f>'Kops a'!D9</f>
        <v>WS-90-17 Līg.Nr. 2017/3-62/479</v>
      </c>
      <c r="E8" s="626"/>
      <c r="F8" s="626"/>
      <c r="G8" s="626"/>
      <c r="H8" s="626"/>
      <c r="I8" s="626"/>
      <c r="J8" s="626"/>
      <c r="K8" s="626"/>
      <c r="L8" s="626"/>
      <c r="M8" s="202"/>
      <c r="N8" s="202"/>
      <c r="O8" s="202"/>
      <c r="P8" s="202"/>
    </row>
    <row r="9" spans="1:16" x14ac:dyDescent="0.2">
      <c r="A9" s="627" t="s">
        <v>607</v>
      </c>
      <c r="B9" s="627"/>
      <c r="C9" s="627"/>
      <c r="D9" s="627"/>
      <c r="E9" s="627"/>
      <c r="F9" s="627"/>
      <c r="G9" s="165"/>
      <c r="H9" s="165"/>
      <c r="I9" s="165"/>
      <c r="J9" s="628" t="s">
        <v>40</v>
      </c>
      <c r="K9" s="628"/>
      <c r="L9" s="628"/>
      <c r="M9" s="628"/>
      <c r="N9" s="629">
        <f>P77</f>
        <v>0</v>
      </c>
      <c r="O9" s="629"/>
      <c r="P9" s="165"/>
    </row>
    <row r="10" spans="1:16" x14ac:dyDescent="0.2">
      <c r="A10" s="166"/>
      <c r="B10" s="167"/>
      <c r="C10" s="164"/>
      <c r="D10" s="156"/>
      <c r="E10" s="156"/>
      <c r="F10" s="156"/>
      <c r="G10" s="156"/>
      <c r="H10" s="156"/>
      <c r="I10" s="156"/>
      <c r="J10" s="156"/>
      <c r="K10" s="156"/>
      <c r="L10" s="162"/>
      <c r="M10" s="162"/>
      <c r="O10" s="168"/>
      <c r="P10" s="169" t="str">
        <f>A83</f>
        <v>Tāme sastādīta 2021. gada</v>
      </c>
    </row>
    <row r="11" spans="1:16" ht="12" thickBot="1" x14ac:dyDescent="0.25">
      <c r="A11" s="166"/>
      <c r="B11" s="167"/>
      <c r="C11" s="164"/>
      <c r="D11" s="156"/>
      <c r="E11" s="156"/>
      <c r="F11" s="156"/>
      <c r="G11" s="156"/>
      <c r="H11" s="156"/>
      <c r="I11" s="156"/>
      <c r="J11" s="156"/>
      <c r="K11" s="156"/>
      <c r="L11" s="170"/>
      <c r="M11" s="170"/>
      <c r="N11" s="171"/>
      <c r="O11" s="160"/>
      <c r="P11" s="156"/>
    </row>
    <row r="12" spans="1:16" ht="12" thickBot="1" x14ac:dyDescent="0.25">
      <c r="A12" s="621" t="s">
        <v>24</v>
      </c>
      <c r="B12" s="622" t="s">
        <v>41</v>
      </c>
      <c r="C12" s="623" t="s">
        <v>42</v>
      </c>
      <c r="D12" s="624" t="s">
        <v>43</v>
      </c>
      <c r="E12" s="625" t="s">
        <v>44</v>
      </c>
      <c r="F12" s="618" t="s">
        <v>45</v>
      </c>
      <c r="G12" s="618"/>
      <c r="H12" s="618"/>
      <c r="I12" s="618"/>
      <c r="J12" s="618"/>
      <c r="K12" s="618"/>
      <c r="L12" s="618" t="s">
        <v>46</v>
      </c>
      <c r="M12" s="618"/>
      <c r="N12" s="618"/>
      <c r="O12" s="618"/>
      <c r="P12" s="618"/>
    </row>
    <row r="13" spans="1:16" ht="118.5" thickBot="1" x14ac:dyDescent="0.25">
      <c r="A13" s="621"/>
      <c r="B13" s="622"/>
      <c r="C13" s="623"/>
      <c r="D13" s="624"/>
      <c r="E13" s="625"/>
      <c r="F13" s="206" t="s">
        <v>47</v>
      </c>
      <c r="G13" s="207" t="s">
        <v>48</v>
      </c>
      <c r="H13" s="207" t="s">
        <v>49</v>
      </c>
      <c r="I13" s="207" t="s">
        <v>50</v>
      </c>
      <c r="J13" s="207" t="s">
        <v>51</v>
      </c>
      <c r="K13" s="208" t="s">
        <v>52</v>
      </c>
      <c r="L13" s="206" t="s">
        <v>47</v>
      </c>
      <c r="M13" s="207" t="s">
        <v>49</v>
      </c>
      <c r="N13" s="207" t="s">
        <v>50</v>
      </c>
      <c r="O13" s="207" t="s">
        <v>51</v>
      </c>
      <c r="P13" s="208" t="s">
        <v>52</v>
      </c>
    </row>
    <row r="14" spans="1:16" x14ac:dyDescent="0.2">
      <c r="A14" s="361">
        <f>IF(COUNTBLANK(B14)=1," ",COUNTA(B$14:B14))</f>
        <v>1</v>
      </c>
      <c r="B14" s="392" t="s">
        <v>86</v>
      </c>
      <c r="C14" s="393" t="s">
        <v>114</v>
      </c>
      <c r="D14" s="394" t="s">
        <v>176</v>
      </c>
      <c r="E14" s="395">
        <v>148.19999999999999</v>
      </c>
      <c r="F14" s="576"/>
      <c r="G14" s="577"/>
      <c r="H14" s="577">
        <f>ROUND(F14*G14,2)</f>
        <v>0</v>
      </c>
      <c r="I14" s="577"/>
      <c r="J14" s="577"/>
      <c r="K14" s="578">
        <f>SUM(H14:J14)</f>
        <v>0</v>
      </c>
      <c r="L14" s="576">
        <f>ROUND(E14*F14,2)</f>
        <v>0</v>
      </c>
      <c r="M14" s="577">
        <f>ROUND(H14*E14,2)</f>
        <v>0</v>
      </c>
      <c r="N14" s="577">
        <f>ROUND(I14*E14,2)</f>
        <v>0</v>
      </c>
      <c r="O14" s="577">
        <f>ROUND(J14*E14,2)</f>
        <v>0</v>
      </c>
      <c r="P14" s="578">
        <f>SUM(M14:O14)</f>
        <v>0</v>
      </c>
    </row>
    <row r="15" spans="1:16" ht="22.5" x14ac:dyDescent="0.2">
      <c r="A15" s="361">
        <f>IF(COUNTBLANK(B15)=1," ",COUNTA(B$14:B15))</f>
        <v>2</v>
      </c>
      <c r="B15" s="396" t="s">
        <v>86</v>
      </c>
      <c r="C15" s="91" t="s">
        <v>406</v>
      </c>
      <c r="D15" s="92" t="s">
        <v>176</v>
      </c>
      <c r="E15" s="64">
        <v>3.6</v>
      </c>
      <c r="F15" s="576"/>
      <c r="G15" s="577"/>
      <c r="H15" s="572">
        <f t="shared" ref="H15:H16" si="0">ROUND(F15*G15,2)</f>
        <v>0</v>
      </c>
      <c r="I15" s="577"/>
      <c r="J15" s="577"/>
      <c r="K15" s="573">
        <f t="shared" ref="K15:K16" si="1">SUM(H15:J15)</f>
        <v>0</v>
      </c>
      <c r="L15" s="574">
        <f t="shared" ref="L15:L16" si="2">ROUND(E15*F15,2)</f>
        <v>0</v>
      </c>
      <c r="M15" s="572">
        <f t="shared" ref="M15:M16" si="3">ROUND(H15*E15,2)</f>
        <v>0</v>
      </c>
      <c r="N15" s="572">
        <f t="shared" ref="N15:N16" si="4">ROUND(I15*E15,2)</f>
        <v>0</v>
      </c>
      <c r="O15" s="572">
        <f t="shared" ref="O15:O16" si="5">ROUND(J15*E15,2)</f>
        <v>0</v>
      </c>
      <c r="P15" s="573">
        <f t="shared" ref="P15:P16" si="6">SUM(M15:O15)</f>
        <v>0</v>
      </c>
    </row>
    <row r="16" spans="1:16" ht="22.5" x14ac:dyDescent="0.2">
      <c r="A16" s="361">
        <f>IF(COUNTBLANK(B16)=1," ",COUNTA(B$14:B16))</f>
        <v>3</v>
      </c>
      <c r="B16" s="397" t="s">
        <v>86</v>
      </c>
      <c r="C16" s="91" t="s">
        <v>407</v>
      </c>
      <c r="D16" s="92" t="s">
        <v>56</v>
      </c>
      <c r="E16" s="65">
        <v>157.5</v>
      </c>
      <c r="F16" s="576"/>
      <c r="G16" s="577"/>
      <c r="H16" s="577">
        <f t="shared" si="0"/>
        <v>0</v>
      </c>
      <c r="I16" s="577"/>
      <c r="J16" s="577"/>
      <c r="K16" s="578">
        <f t="shared" si="1"/>
        <v>0</v>
      </c>
      <c r="L16" s="576">
        <f t="shared" si="2"/>
        <v>0</v>
      </c>
      <c r="M16" s="577">
        <f t="shared" si="3"/>
        <v>0</v>
      </c>
      <c r="N16" s="577">
        <f t="shared" si="4"/>
        <v>0</v>
      </c>
      <c r="O16" s="577">
        <f t="shared" si="5"/>
        <v>0</v>
      </c>
      <c r="P16" s="578">
        <f t="shared" si="6"/>
        <v>0</v>
      </c>
    </row>
    <row r="17" spans="1:16" x14ac:dyDescent="0.2">
      <c r="A17" s="361">
        <f>IF(COUNTBLANK(B17)=1," ",COUNTA(B$14:B17))</f>
        <v>4</v>
      </c>
      <c r="B17" s="397" t="s">
        <v>86</v>
      </c>
      <c r="C17" s="93" t="s">
        <v>408</v>
      </c>
      <c r="D17" s="94" t="s">
        <v>176</v>
      </c>
      <c r="E17" s="66">
        <v>9</v>
      </c>
      <c r="F17" s="576"/>
      <c r="G17" s="577"/>
      <c r="H17" s="572">
        <f t="shared" ref="H17:H76" si="7">ROUND(F17*G17,2)</f>
        <v>0</v>
      </c>
      <c r="I17" s="577"/>
      <c r="J17" s="577"/>
      <c r="K17" s="573">
        <f t="shared" ref="K17:K76" si="8">SUM(H17:J17)</f>
        <v>0</v>
      </c>
      <c r="L17" s="574">
        <f t="shared" ref="L17:L76" si="9">ROUND(E17*F17,2)</f>
        <v>0</v>
      </c>
      <c r="M17" s="572">
        <f t="shared" ref="M17:M76" si="10">ROUND(H17*E17,2)</f>
        <v>0</v>
      </c>
      <c r="N17" s="572">
        <f t="shared" ref="N17:N76" si="11">ROUND(I17*E17,2)</f>
        <v>0</v>
      </c>
      <c r="O17" s="572">
        <f t="shared" ref="O17:O76" si="12">ROUND(J17*E17,2)</f>
        <v>0</v>
      </c>
      <c r="P17" s="573">
        <f t="shared" ref="P17:P76" si="13">SUM(M17:O17)</f>
        <v>0</v>
      </c>
    </row>
    <row r="18" spans="1:16" ht="22.5" x14ac:dyDescent="0.2">
      <c r="A18" s="361">
        <f>IF(COUNTBLANK(B18)=1," ",COUNTA(B$14:B18))</f>
        <v>5</v>
      </c>
      <c r="B18" s="397" t="s">
        <v>86</v>
      </c>
      <c r="C18" s="398" t="s">
        <v>113</v>
      </c>
      <c r="D18" s="94" t="s">
        <v>88</v>
      </c>
      <c r="E18" s="399">
        <v>87.9</v>
      </c>
      <c r="F18" s="576"/>
      <c r="G18" s="577"/>
      <c r="H18" s="577">
        <f t="shared" si="7"/>
        <v>0</v>
      </c>
      <c r="I18" s="577"/>
      <c r="J18" s="577"/>
      <c r="K18" s="578">
        <f t="shared" si="8"/>
        <v>0</v>
      </c>
      <c r="L18" s="576">
        <f t="shared" si="9"/>
        <v>0</v>
      </c>
      <c r="M18" s="577">
        <f t="shared" si="10"/>
        <v>0</v>
      </c>
      <c r="N18" s="577">
        <f t="shared" si="11"/>
        <v>0</v>
      </c>
      <c r="O18" s="577">
        <f t="shared" si="12"/>
        <v>0</v>
      </c>
      <c r="P18" s="578">
        <f t="shared" si="13"/>
        <v>0</v>
      </c>
    </row>
    <row r="19" spans="1:16" ht="126" x14ac:dyDescent="0.2">
      <c r="A19" s="361" t="str">
        <f>IF(COUNTBLANK(B19)=1," ",COUNTA(B$14:B19))</f>
        <v xml:space="preserve"> </v>
      </c>
      <c r="B19" s="332"/>
      <c r="C19" s="400" t="s">
        <v>567</v>
      </c>
      <c r="D19" s="401"/>
      <c r="E19" s="401"/>
      <c r="F19" s="576"/>
      <c r="G19" s="577"/>
      <c r="H19" s="572">
        <f t="shared" si="7"/>
        <v>0</v>
      </c>
      <c r="I19" s="577"/>
      <c r="J19" s="577"/>
      <c r="K19" s="573">
        <f t="shared" si="8"/>
        <v>0</v>
      </c>
      <c r="L19" s="574">
        <f t="shared" si="9"/>
        <v>0</v>
      </c>
      <c r="M19" s="572">
        <f t="shared" si="10"/>
        <v>0</v>
      </c>
      <c r="N19" s="572">
        <f t="shared" si="11"/>
        <v>0</v>
      </c>
      <c r="O19" s="572">
        <f t="shared" si="12"/>
        <v>0</v>
      </c>
      <c r="P19" s="573">
        <f t="shared" si="13"/>
        <v>0</v>
      </c>
    </row>
    <row r="20" spans="1:16" ht="22.5" x14ac:dyDescent="0.2">
      <c r="A20" s="361">
        <f>IF(COUNTBLANK(B20)=1," ",COUNTA(B$14:B20))</f>
        <v>6</v>
      </c>
      <c r="B20" s="332" t="s">
        <v>86</v>
      </c>
      <c r="C20" s="95" t="s">
        <v>571</v>
      </c>
      <c r="D20" s="96" t="s">
        <v>57</v>
      </c>
      <c r="E20" s="67">
        <v>18</v>
      </c>
      <c r="F20" s="576"/>
      <c r="G20" s="577"/>
      <c r="H20" s="577">
        <f t="shared" si="7"/>
        <v>0</v>
      </c>
      <c r="I20" s="577"/>
      <c r="J20" s="577"/>
      <c r="K20" s="578">
        <f t="shared" si="8"/>
        <v>0</v>
      </c>
      <c r="L20" s="576">
        <f t="shared" si="9"/>
        <v>0</v>
      </c>
      <c r="M20" s="577">
        <f t="shared" si="10"/>
        <v>0</v>
      </c>
      <c r="N20" s="577">
        <f t="shared" si="11"/>
        <v>0</v>
      </c>
      <c r="O20" s="577">
        <f t="shared" si="12"/>
        <v>0</v>
      </c>
      <c r="P20" s="578">
        <f t="shared" si="13"/>
        <v>0</v>
      </c>
    </row>
    <row r="21" spans="1:16" ht="22.5" x14ac:dyDescent="0.2">
      <c r="A21" s="361">
        <f>IF(COUNTBLANK(B21)=1," ",COUNTA(B$14:B21))</f>
        <v>7</v>
      </c>
      <c r="B21" s="332" t="s">
        <v>86</v>
      </c>
      <c r="C21" s="97" t="s">
        <v>572</v>
      </c>
      <c r="D21" s="96" t="s">
        <v>57</v>
      </c>
      <c r="E21" s="67">
        <v>9</v>
      </c>
      <c r="F21" s="576"/>
      <c r="G21" s="577"/>
      <c r="H21" s="572">
        <f t="shared" si="7"/>
        <v>0</v>
      </c>
      <c r="I21" s="577"/>
      <c r="J21" s="577"/>
      <c r="K21" s="573">
        <f t="shared" si="8"/>
        <v>0</v>
      </c>
      <c r="L21" s="574">
        <f t="shared" si="9"/>
        <v>0</v>
      </c>
      <c r="M21" s="572">
        <f t="shared" si="10"/>
        <v>0</v>
      </c>
      <c r="N21" s="572">
        <f t="shared" si="11"/>
        <v>0</v>
      </c>
      <c r="O21" s="572">
        <f t="shared" si="12"/>
        <v>0</v>
      </c>
      <c r="P21" s="573">
        <f t="shared" si="13"/>
        <v>0</v>
      </c>
    </row>
    <row r="22" spans="1:16" ht="22.5" x14ac:dyDescent="0.2">
      <c r="A22" s="361">
        <f>IF(COUNTBLANK(B22)=1," ",COUNTA(B$14:B22))</f>
        <v>8</v>
      </c>
      <c r="B22" s="332" t="s">
        <v>86</v>
      </c>
      <c r="C22" s="98" t="s">
        <v>573</v>
      </c>
      <c r="D22" s="96" t="s">
        <v>57</v>
      </c>
      <c r="E22" s="68">
        <v>26</v>
      </c>
      <c r="F22" s="576"/>
      <c r="G22" s="577"/>
      <c r="H22" s="577">
        <f t="shared" si="7"/>
        <v>0</v>
      </c>
      <c r="I22" s="577"/>
      <c r="J22" s="577"/>
      <c r="K22" s="578">
        <f t="shared" si="8"/>
        <v>0</v>
      </c>
      <c r="L22" s="576">
        <f t="shared" si="9"/>
        <v>0</v>
      </c>
      <c r="M22" s="577">
        <f t="shared" si="10"/>
        <v>0</v>
      </c>
      <c r="N22" s="577">
        <f t="shared" si="11"/>
        <v>0</v>
      </c>
      <c r="O22" s="577">
        <f t="shared" si="12"/>
        <v>0</v>
      </c>
      <c r="P22" s="578">
        <f t="shared" si="13"/>
        <v>0</v>
      </c>
    </row>
    <row r="23" spans="1:16" ht="22.5" x14ac:dyDescent="0.2">
      <c r="A23" s="361">
        <f>IF(COUNTBLANK(B23)=1," ",COUNTA(B$14:B23))</f>
        <v>9</v>
      </c>
      <c r="B23" s="332" t="s">
        <v>86</v>
      </c>
      <c r="C23" s="98" t="s">
        <v>574</v>
      </c>
      <c r="D23" s="96" t="s">
        <v>57</v>
      </c>
      <c r="E23" s="68">
        <v>7</v>
      </c>
      <c r="F23" s="576"/>
      <c r="G23" s="577"/>
      <c r="H23" s="572">
        <f t="shared" si="7"/>
        <v>0</v>
      </c>
      <c r="I23" s="577"/>
      <c r="J23" s="577"/>
      <c r="K23" s="573">
        <f t="shared" si="8"/>
        <v>0</v>
      </c>
      <c r="L23" s="574">
        <f t="shared" si="9"/>
        <v>0</v>
      </c>
      <c r="M23" s="572">
        <f t="shared" si="10"/>
        <v>0</v>
      </c>
      <c r="N23" s="572">
        <f t="shared" si="11"/>
        <v>0</v>
      </c>
      <c r="O23" s="572">
        <f t="shared" si="12"/>
        <v>0</v>
      </c>
      <c r="P23" s="573">
        <f t="shared" si="13"/>
        <v>0</v>
      </c>
    </row>
    <row r="24" spans="1:16" ht="22.5" x14ac:dyDescent="0.2">
      <c r="A24" s="361">
        <f>IF(COUNTBLANK(B24)=1," ",COUNTA(B$14:B24))</f>
        <v>10</v>
      </c>
      <c r="B24" s="332" t="s">
        <v>86</v>
      </c>
      <c r="C24" s="98" t="s">
        <v>575</v>
      </c>
      <c r="D24" s="96" t="s">
        <v>57</v>
      </c>
      <c r="E24" s="68">
        <v>7</v>
      </c>
      <c r="F24" s="576"/>
      <c r="G24" s="577"/>
      <c r="H24" s="577">
        <f t="shared" si="7"/>
        <v>0</v>
      </c>
      <c r="I24" s="577"/>
      <c r="J24" s="577"/>
      <c r="K24" s="578">
        <f t="shared" si="8"/>
        <v>0</v>
      </c>
      <c r="L24" s="576">
        <f t="shared" si="9"/>
        <v>0</v>
      </c>
      <c r="M24" s="577">
        <f t="shared" si="10"/>
        <v>0</v>
      </c>
      <c r="N24" s="577">
        <f t="shared" si="11"/>
        <v>0</v>
      </c>
      <c r="O24" s="577">
        <f t="shared" si="12"/>
        <v>0</v>
      </c>
      <c r="P24" s="578">
        <f t="shared" si="13"/>
        <v>0</v>
      </c>
    </row>
    <row r="25" spans="1:16" ht="22.5" x14ac:dyDescent="0.2">
      <c r="A25" s="361">
        <f>IF(COUNTBLANK(B25)=1," ",COUNTA(B$14:B25))</f>
        <v>11</v>
      </c>
      <c r="B25" s="332" t="s">
        <v>86</v>
      </c>
      <c r="C25" s="97" t="s">
        <v>576</v>
      </c>
      <c r="D25" s="96" t="s">
        <v>57</v>
      </c>
      <c r="E25" s="67">
        <v>14</v>
      </c>
      <c r="F25" s="576"/>
      <c r="G25" s="577"/>
      <c r="H25" s="572">
        <f t="shared" si="7"/>
        <v>0</v>
      </c>
      <c r="I25" s="577"/>
      <c r="J25" s="577"/>
      <c r="K25" s="573">
        <f t="shared" si="8"/>
        <v>0</v>
      </c>
      <c r="L25" s="574">
        <f t="shared" si="9"/>
        <v>0</v>
      </c>
      <c r="M25" s="572">
        <f t="shared" si="10"/>
        <v>0</v>
      </c>
      <c r="N25" s="572">
        <f t="shared" si="11"/>
        <v>0</v>
      </c>
      <c r="O25" s="572">
        <f t="shared" si="12"/>
        <v>0</v>
      </c>
      <c r="P25" s="573">
        <f t="shared" si="13"/>
        <v>0</v>
      </c>
    </row>
    <row r="26" spans="1:16" ht="22.5" x14ac:dyDescent="0.2">
      <c r="A26" s="361">
        <f>IF(COUNTBLANK(B26)=1," ",COUNTA(B$14:B26))</f>
        <v>12</v>
      </c>
      <c r="B26" s="332" t="s">
        <v>86</v>
      </c>
      <c r="C26" s="97" t="s">
        <v>577</v>
      </c>
      <c r="D26" s="96" t="s">
        <v>57</v>
      </c>
      <c r="E26" s="68">
        <v>1</v>
      </c>
      <c r="F26" s="576"/>
      <c r="G26" s="577"/>
      <c r="H26" s="577">
        <f t="shared" si="7"/>
        <v>0</v>
      </c>
      <c r="I26" s="577"/>
      <c r="J26" s="577"/>
      <c r="K26" s="578">
        <f t="shared" si="8"/>
        <v>0</v>
      </c>
      <c r="L26" s="576">
        <f t="shared" si="9"/>
        <v>0</v>
      </c>
      <c r="M26" s="577">
        <f t="shared" si="10"/>
        <v>0</v>
      </c>
      <c r="N26" s="577">
        <f t="shared" si="11"/>
        <v>0</v>
      </c>
      <c r="O26" s="577">
        <f t="shared" si="12"/>
        <v>0</v>
      </c>
      <c r="P26" s="578">
        <f t="shared" si="13"/>
        <v>0</v>
      </c>
    </row>
    <row r="27" spans="1:16" x14ac:dyDescent="0.2">
      <c r="A27" s="361">
        <f>IF(COUNTBLANK(B27)=1," ",COUNTA(B$14:B27))</f>
        <v>13</v>
      </c>
      <c r="B27" s="392" t="s">
        <v>86</v>
      </c>
      <c r="C27" s="402" t="s">
        <v>191</v>
      </c>
      <c r="D27" s="403" t="s">
        <v>57</v>
      </c>
      <c r="E27" s="404">
        <f>SUM(E20:E26)</f>
        <v>82</v>
      </c>
      <c r="F27" s="576"/>
      <c r="G27" s="577"/>
      <c r="H27" s="572">
        <f t="shared" si="7"/>
        <v>0</v>
      </c>
      <c r="I27" s="577"/>
      <c r="J27" s="577"/>
      <c r="K27" s="573">
        <f t="shared" si="8"/>
        <v>0</v>
      </c>
      <c r="L27" s="574">
        <f t="shared" si="9"/>
        <v>0</v>
      </c>
      <c r="M27" s="572">
        <f t="shared" si="10"/>
        <v>0</v>
      </c>
      <c r="N27" s="572">
        <f t="shared" si="11"/>
        <v>0</v>
      </c>
      <c r="O27" s="572">
        <f t="shared" si="12"/>
        <v>0</v>
      </c>
      <c r="P27" s="573">
        <f t="shared" si="13"/>
        <v>0</v>
      </c>
    </row>
    <row r="28" spans="1:16" x14ac:dyDescent="0.2">
      <c r="A28" s="361">
        <f>IF(COUNTBLANK(B28)=1," ",COUNTA(B$14:B28))</f>
        <v>14</v>
      </c>
      <c r="B28" s="392" t="s">
        <v>86</v>
      </c>
      <c r="C28" s="298" t="s">
        <v>110</v>
      </c>
      <c r="D28" s="405" t="s">
        <v>57</v>
      </c>
      <c r="E28" s="404">
        <f>ROUNDUP(E27*10,0)</f>
        <v>820</v>
      </c>
      <c r="F28" s="576"/>
      <c r="G28" s="577"/>
      <c r="H28" s="577">
        <f t="shared" si="7"/>
        <v>0</v>
      </c>
      <c r="I28" s="577"/>
      <c r="J28" s="577"/>
      <c r="K28" s="578">
        <f t="shared" si="8"/>
        <v>0</v>
      </c>
      <c r="L28" s="576">
        <f t="shared" si="9"/>
        <v>0</v>
      </c>
      <c r="M28" s="577">
        <f t="shared" si="10"/>
        <v>0</v>
      </c>
      <c r="N28" s="577">
        <f t="shared" si="11"/>
        <v>0</v>
      </c>
      <c r="O28" s="577">
        <f t="shared" si="12"/>
        <v>0</v>
      </c>
      <c r="P28" s="578">
        <f t="shared" si="13"/>
        <v>0</v>
      </c>
    </row>
    <row r="29" spans="1:16" x14ac:dyDescent="0.2">
      <c r="A29" s="361">
        <f>IF(COUNTBLANK(B29)=1," ",COUNTA(B$14:B29))</f>
        <v>15</v>
      </c>
      <c r="B29" s="392" t="s">
        <v>86</v>
      </c>
      <c r="C29" s="298" t="s">
        <v>108</v>
      </c>
      <c r="D29" s="299" t="s">
        <v>57</v>
      </c>
      <c r="E29" s="406">
        <f>E28*4</f>
        <v>3280</v>
      </c>
      <c r="F29" s="576"/>
      <c r="G29" s="577"/>
      <c r="H29" s="572">
        <f t="shared" si="7"/>
        <v>0</v>
      </c>
      <c r="I29" s="577"/>
      <c r="J29" s="577"/>
      <c r="K29" s="573">
        <f t="shared" si="8"/>
        <v>0</v>
      </c>
      <c r="L29" s="574">
        <f t="shared" si="9"/>
        <v>0</v>
      </c>
      <c r="M29" s="572">
        <f t="shared" si="10"/>
        <v>0</v>
      </c>
      <c r="N29" s="572">
        <f t="shared" si="11"/>
        <v>0</v>
      </c>
      <c r="O29" s="572">
        <f t="shared" si="12"/>
        <v>0</v>
      </c>
      <c r="P29" s="573">
        <f t="shared" si="13"/>
        <v>0</v>
      </c>
    </row>
    <row r="30" spans="1:16" x14ac:dyDescent="0.2">
      <c r="A30" s="361">
        <f>IF(COUNTBLANK(B30)=1," ",COUNTA(B$14:B30))</f>
        <v>16</v>
      </c>
      <c r="B30" s="392" t="s">
        <v>86</v>
      </c>
      <c r="C30" s="407" t="s">
        <v>109</v>
      </c>
      <c r="D30" s="336" t="s">
        <v>57</v>
      </c>
      <c r="E30" s="406">
        <f>E28*2</f>
        <v>1640</v>
      </c>
      <c r="F30" s="576"/>
      <c r="G30" s="577"/>
      <c r="H30" s="577">
        <f t="shared" si="7"/>
        <v>0</v>
      </c>
      <c r="I30" s="577"/>
      <c r="J30" s="577"/>
      <c r="K30" s="578">
        <f t="shared" si="8"/>
        <v>0</v>
      </c>
      <c r="L30" s="576">
        <f t="shared" si="9"/>
        <v>0</v>
      </c>
      <c r="M30" s="577">
        <f t="shared" si="10"/>
        <v>0</v>
      </c>
      <c r="N30" s="577">
        <f t="shared" si="11"/>
        <v>0</v>
      </c>
      <c r="O30" s="577">
        <f t="shared" si="12"/>
        <v>0</v>
      </c>
      <c r="P30" s="578">
        <f t="shared" si="13"/>
        <v>0</v>
      </c>
    </row>
    <row r="31" spans="1:16" x14ac:dyDescent="0.2">
      <c r="A31" s="361">
        <f>IF(COUNTBLANK(B31)=1," ",COUNTA(B$14:B31))</f>
        <v>17</v>
      </c>
      <c r="B31" s="392" t="s">
        <v>86</v>
      </c>
      <c r="C31" s="408" t="s">
        <v>616</v>
      </c>
      <c r="D31" s="409" t="s">
        <v>92</v>
      </c>
      <c r="E31" s="410">
        <f>ROUNDUP(E27*4,0)</f>
        <v>328</v>
      </c>
      <c r="F31" s="576"/>
      <c r="G31" s="577"/>
      <c r="H31" s="572">
        <f t="shared" si="7"/>
        <v>0</v>
      </c>
      <c r="I31" s="577"/>
      <c r="J31" s="577"/>
      <c r="K31" s="573">
        <f t="shared" si="8"/>
        <v>0</v>
      </c>
      <c r="L31" s="574">
        <f t="shared" si="9"/>
        <v>0</v>
      </c>
      <c r="M31" s="572">
        <f t="shared" si="10"/>
        <v>0</v>
      </c>
      <c r="N31" s="572">
        <f t="shared" si="11"/>
        <v>0</v>
      </c>
      <c r="O31" s="572">
        <f t="shared" si="12"/>
        <v>0</v>
      </c>
      <c r="P31" s="573">
        <f t="shared" si="13"/>
        <v>0</v>
      </c>
    </row>
    <row r="32" spans="1:16" x14ac:dyDescent="0.2">
      <c r="A32" s="361">
        <f>IF(COUNTBLANK(B32)=1," ",COUNTA(B$14:B32))</f>
        <v>18</v>
      </c>
      <c r="B32" s="392" t="s">
        <v>86</v>
      </c>
      <c r="C32" s="411" t="s">
        <v>412</v>
      </c>
      <c r="D32" s="412" t="s">
        <v>92</v>
      </c>
      <c r="E32" s="413">
        <f>ROUNDUP(E27*0.25,2)</f>
        <v>20.5</v>
      </c>
      <c r="F32" s="576"/>
      <c r="G32" s="577"/>
      <c r="H32" s="577">
        <f t="shared" si="7"/>
        <v>0</v>
      </c>
      <c r="I32" s="577"/>
      <c r="J32" s="577"/>
      <c r="K32" s="578">
        <f t="shared" si="8"/>
        <v>0</v>
      </c>
      <c r="L32" s="576">
        <f t="shared" si="9"/>
        <v>0</v>
      </c>
      <c r="M32" s="577">
        <f t="shared" si="10"/>
        <v>0</v>
      </c>
      <c r="N32" s="577">
        <f t="shared" si="11"/>
        <v>0</v>
      </c>
      <c r="O32" s="577">
        <f t="shared" si="12"/>
        <v>0</v>
      </c>
      <c r="P32" s="578">
        <f t="shared" si="13"/>
        <v>0</v>
      </c>
    </row>
    <row r="33" spans="1:16" x14ac:dyDescent="0.2">
      <c r="A33" s="414">
        <f>IF(COUNTBLANK(B33)=1," ",COUNTA(B$14:B33))</f>
        <v>19</v>
      </c>
      <c r="B33" s="396" t="s">
        <v>86</v>
      </c>
      <c r="C33" s="415" t="s">
        <v>112</v>
      </c>
      <c r="D33" s="416" t="s">
        <v>88</v>
      </c>
      <c r="E33" s="417">
        <f>E34</f>
        <v>68.8</v>
      </c>
      <c r="F33" s="576"/>
      <c r="G33" s="577"/>
      <c r="H33" s="572">
        <f t="shared" si="7"/>
        <v>0</v>
      </c>
      <c r="I33" s="577"/>
      <c r="J33" s="577"/>
      <c r="K33" s="573">
        <f t="shared" si="8"/>
        <v>0</v>
      </c>
      <c r="L33" s="574">
        <f t="shared" si="9"/>
        <v>0</v>
      </c>
      <c r="M33" s="572">
        <f t="shared" si="10"/>
        <v>0</v>
      </c>
      <c r="N33" s="572">
        <f t="shared" si="11"/>
        <v>0</v>
      </c>
      <c r="O33" s="572">
        <f t="shared" si="12"/>
        <v>0</v>
      </c>
      <c r="P33" s="573">
        <f t="shared" si="13"/>
        <v>0</v>
      </c>
    </row>
    <row r="34" spans="1:16" ht="33.75" x14ac:dyDescent="0.2">
      <c r="A34" s="138">
        <f>IF(COUNTBLANK(B34)=1," ",COUNTA(B$14:B34))</f>
        <v>20</v>
      </c>
      <c r="B34" s="102" t="s">
        <v>86</v>
      </c>
      <c r="C34" s="99" t="s">
        <v>409</v>
      </c>
      <c r="D34" s="100" t="s">
        <v>88</v>
      </c>
      <c r="E34" s="78">
        <v>68.8</v>
      </c>
      <c r="F34" s="576"/>
      <c r="G34" s="577"/>
      <c r="H34" s="577">
        <f t="shared" si="7"/>
        <v>0</v>
      </c>
      <c r="I34" s="577"/>
      <c r="J34" s="577"/>
      <c r="K34" s="578">
        <f t="shared" si="8"/>
        <v>0</v>
      </c>
      <c r="L34" s="576">
        <f t="shared" si="9"/>
        <v>0</v>
      </c>
      <c r="M34" s="577">
        <f t="shared" si="10"/>
        <v>0</v>
      </c>
      <c r="N34" s="577">
        <f t="shared" si="11"/>
        <v>0</v>
      </c>
      <c r="O34" s="577">
        <f t="shared" si="12"/>
        <v>0</v>
      </c>
      <c r="P34" s="578">
        <f t="shared" si="13"/>
        <v>0</v>
      </c>
    </row>
    <row r="35" spans="1:16" s="418" customFormat="1" x14ac:dyDescent="0.2">
      <c r="A35" s="138" t="str">
        <f>IF(COUNTBLANK(B35)=1," ",COUNTA(B$14:B35))</f>
        <v xml:space="preserve"> </v>
      </c>
      <c r="B35" s="102"/>
      <c r="C35" s="101" t="s">
        <v>410</v>
      </c>
      <c r="D35" s="102"/>
      <c r="E35" s="69"/>
      <c r="F35" s="576"/>
      <c r="G35" s="577"/>
      <c r="H35" s="572">
        <f t="shared" si="7"/>
        <v>0</v>
      </c>
      <c r="I35" s="577"/>
      <c r="J35" s="577"/>
      <c r="K35" s="573">
        <f t="shared" si="8"/>
        <v>0</v>
      </c>
      <c r="L35" s="574">
        <f t="shared" si="9"/>
        <v>0</v>
      </c>
      <c r="M35" s="572">
        <f t="shared" si="10"/>
        <v>0</v>
      </c>
      <c r="N35" s="572">
        <f t="shared" si="11"/>
        <v>0</v>
      </c>
      <c r="O35" s="572">
        <f t="shared" si="12"/>
        <v>0</v>
      </c>
      <c r="P35" s="573">
        <f t="shared" si="13"/>
        <v>0</v>
      </c>
    </row>
    <row r="36" spans="1:16" s="418" customFormat="1" x14ac:dyDescent="0.2">
      <c r="A36" s="138" t="str">
        <f>IF(COUNTBLANK(B36)=1," ",COUNTA(B$14:B36))</f>
        <v xml:space="preserve"> </v>
      </c>
      <c r="B36" s="102"/>
      <c r="C36" s="79" t="s">
        <v>411</v>
      </c>
      <c r="D36" s="102"/>
      <c r="E36" s="69"/>
      <c r="F36" s="576"/>
      <c r="G36" s="577"/>
      <c r="H36" s="577">
        <f t="shared" si="7"/>
        <v>0</v>
      </c>
      <c r="I36" s="577"/>
      <c r="J36" s="577"/>
      <c r="K36" s="578">
        <f t="shared" si="8"/>
        <v>0</v>
      </c>
      <c r="L36" s="576">
        <f t="shared" si="9"/>
        <v>0</v>
      </c>
      <c r="M36" s="577">
        <f t="shared" si="10"/>
        <v>0</v>
      </c>
      <c r="N36" s="577">
        <f t="shared" si="11"/>
        <v>0</v>
      </c>
      <c r="O36" s="577">
        <f t="shared" si="12"/>
        <v>0</v>
      </c>
      <c r="P36" s="578">
        <f t="shared" si="13"/>
        <v>0</v>
      </c>
    </row>
    <row r="37" spans="1:16" s="418" customFormat="1" ht="22.5" x14ac:dyDescent="0.2">
      <c r="A37" s="138">
        <f>IF(COUNTBLANK(B37)=1," ",COUNTA(B$14:B37))</f>
        <v>21</v>
      </c>
      <c r="B37" s="102" t="s">
        <v>86</v>
      </c>
      <c r="C37" s="373" t="s">
        <v>524</v>
      </c>
      <c r="D37" s="103"/>
      <c r="E37" s="70"/>
      <c r="F37" s="576"/>
      <c r="G37" s="577"/>
      <c r="H37" s="572">
        <f t="shared" si="7"/>
        <v>0</v>
      </c>
      <c r="I37" s="577"/>
      <c r="J37" s="577"/>
      <c r="K37" s="573">
        <f t="shared" si="8"/>
        <v>0</v>
      </c>
      <c r="L37" s="574">
        <f t="shared" si="9"/>
        <v>0</v>
      </c>
      <c r="M37" s="572">
        <f t="shared" si="10"/>
        <v>0</v>
      </c>
      <c r="N37" s="572">
        <f t="shared" si="11"/>
        <v>0</v>
      </c>
      <c r="O37" s="572">
        <f t="shared" si="12"/>
        <v>0</v>
      </c>
      <c r="P37" s="573">
        <f t="shared" si="13"/>
        <v>0</v>
      </c>
    </row>
    <row r="38" spans="1:16" s="418" customFormat="1" x14ac:dyDescent="0.2">
      <c r="A38" s="141">
        <f>IF(COUNTBLANK(B38)=1," ",COUNTA(B$14:B38))</f>
        <v>22</v>
      </c>
      <c r="B38" s="419" t="s">
        <v>86</v>
      </c>
      <c r="C38" s="104" t="s">
        <v>578</v>
      </c>
      <c r="D38" s="105" t="s">
        <v>57</v>
      </c>
      <c r="E38" s="77">
        <v>9</v>
      </c>
      <c r="F38" s="576"/>
      <c r="G38" s="577"/>
      <c r="H38" s="577">
        <f t="shared" si="7"/>
        <v>0</v>
      </c>
      <c r="I38" s="577"/>
      <c r="J38" s="577"/>
      <c r="K38" s="578">
        <f t="shared" si="8"/>
        <v>0</v>
      </c>
      <c r="L38" s="576">
        <f t="shared" si="9"/>
        <v>0</v>
      </c>
      <c r="M38" s="577">
        <f t="shared" si="10"/>
        <v>0</v>
      </c>
      <c r="N38" s="577">
        <f t="shared" si="11"/>
        <v>0</v>
      </c>
      <c r="O38" s="577">
        <f t="shared" si="12"/>
        <v>0</v>
      </c>
      <c r="P38" s="578">
        <f t="shared" si="13"/>
        <v>0</v>
      </c>
    </row>
    <row r="39" spans="1:16" s="418" customFormat="1" x14ac:dyDescent="0.2">
      <c r="A39" s="361">
        <f>IF(COUNTBLANK(B39)=1," ",COUNTA(B$14:B39))</f>
        <v>23</v>
      </c>
      <c r="B39" s="102" t="s">
        <v>86</v>
      </c>
      <c r="C39" s="106" t="s">
        <v>579</v>
      </c>
      <c r="D39" s="107" t="s">
        <v>57</v>
      </c>
      <c r="E39" s="71">
        <v>9</v>
      </c>
      <c r="F39" s="576"/>
      <c r="G39" s="577"/>
      <c r="H39" s="572">
        <f t="shared" si="7"/>
        <v>0</v>
      </c>
      <c r="I39" s="577"/>
      <c r="J39" s="577"/>
      <c r="K39" s="573">
        <f t="shared" si="8"/>
        <v>0</v>
      </c>
      <c r="L39" s="574">
        <f t="shared" si="9"/>
        <v>0</v>
      </c>
      <c r="M39" s="572">
        <f t="shared" si="10"/>
        <v>0</v>
      </c>
      <c r="N39" s="572">
        <f t="shared" si="11"/>
        <v>0</v>
      </c>
      <c r="O39" s="572">
        <f t="shared" si="12"/>
        <v>0</v>
      </c>
      <c r="P39" s="573">
        <f t="shared" si="13"/>
        <v>0</v>
      </c>
    </row>
    <row r="40" spans="1:16" s="418" customFormat="1" x14ac:dyDescent="0.2">
      <c r="A40" s="361">
        <f>IF(COUNTBLANK(B40)=1," ",COUNTA(B$14:B40))</f>
        <v>24</v>
      </c>
      <c r="B40" s="102" t="s">
        <v>86</v>
      </c>
      <c r="C40" s="106" t="s">
        <v>580</v>
      </c>
      <c r="D40" s="107" t="s">
        <v>57</v>
      </c>
      <c r="E40" s="71">
        <v>9</v>
      </c>
      <c r="F40" s="576"/>
      <c r="G40" s="577"/>
      <c r="H40" s="577">
        <f t="shared" si="7"/>
        <v>0</v>
      </c>
      <c r="I40" s="577"/>
      <c r="J40" s="577"/>
      <c r="K40" s="578">
        <f t="shared" si="8"/>
        <v>0</v>
      </c>
      <c r="L40" s="576">
        <f t="shared" si="9"/>
        <v>0</v>
      </c>
      <c r="M40" s="577">
        <f t="shared" si="10"/>
        <v>0</v>
      </c>
      <c r="N40" s="577">
        <f t="shared" si="11"/>
        <v>0</v>
      </c>
      <c r="O40" s="577">
        <f t="shared" si="12"/>
        <v>0</v>
      </c>
      <c r="P40" s="578">
        <f t="shared" si="13"/>
        <v>0</v>
      </c>
    </row>
    <row r="41" spans="1:16" s="418" customFormat="1" x14ac:dyDescent="0.2">
      <c r="A41" s="361">
        <f>IF(COUNTBLANK(B41)=1," ",COUNTA(B$14:B41))</f>
        <v>25</v>
      </c>
      <c r="B41" s="102" t="s">
        <v>86</v>
      </c>
      <c r="C41" s="106" t="s">
        <v>581</v>
      </c>
      <c r="D41" s="107" t="s">
        <v>57</v>
      </c>
      <c r="E41" s="71">
        <v>81</v>
      </c>
      <c r="F41" s="576"/>
      <c r="G41" s="577"/>
      <c r="H41" s="572">
        <f t="shared" si="7"/>
        <v>0</v>
      </c>
      <c r="I41" s="577"/>
      <c r="J41" s="577"/>
      <c r="K41" s="573">
        <f t="shared" si="8"/>
        <v>0</v>
      </c>
      <c r="L41" s="574">
        <f t="shared" si="9"/>
        <v>0</v>
      </c>
      <c r="M41" s="572">
        <f t="shared" si="10"/>
        <v>0</v>
      </c>
      <c r="N41" s="572">
        <f t="shared" si="11"/>
        <v>0</v>
      </c>
      <c r="O41" s="572">
        <f t="shared" si="12"/>
        <v>0</v>
      </c>
      <c r="P41" s="573">
        <f t="shared" si="13"/>
        <v>0</v>
      </c>
    </row>
    <row r="42" spans="1:16" s="418" customFormat="1" x14ac:dyDescent="0.2">
      <c r="A42" s="361">
        <f>IF(COUNTBLANK(B42)=1," ",COUNTA(B$14:B42))</f>
        <v>26</v>
      </c>
      <c r="B42" s="102" t="s">
        <v>86</v>
      </c>
      <c r="C42" s="108" t="s">
        <v>582</v>
      </c>
      <c r="D42" s="107" t="s">
        <v>57</v>
      </c>
      <c r="E42" s="71">
        <v>18</v>
      </c>
      <c r="F42" s="576"/>
      <c r="G42" s="577"/>
      <c r="H42" s="577">
        <f t="shared" si="7"/>
        <v>0</v>
      </c>
      <c r="I42" s="577"/>
      <c r="J42" s="577"/>
      <c r="K42" s="578">
        <f t="shared" si="8"/>
        <v>0</v>
      </c>
      <c r="L42" s="576">
        <f t="shared" si="9"/>
        <v>0</v>
      </c>
      <c r="M42" s="577">
        <f t="shared" si="10"/>
        <v>0</v>
      </c>
      <c r="N42" s="577">
        <f t="shared" si="11"/>
        <v>0</v>
      </c>
      <c r="O42" s="577">
        <f t="shared" si="12"/>
        <v>0</v>
      </c>
      <c r="P42" s="578">
        <f t="shared" si="13"/>
        <v>0</v>
      </c>
    </row>
    <row r="43" spans="1:16" s="418" customFormat="1" ht="22.5" x14ac:dyDescent="0.2">
      <c r="A43" s="361">
        <f>IF(COUNTBLANK(B43)=1," ",COUNTA(B$14:B43))</f>
        <v>27</v>
      </c>
      <c r="B43" s="102" t="s">
        <v>86</v>
      </c>
      <c r="C43" s="109" t="s">
        <v>583</v>
      </c>
      <c r="D43" s="110"/>
      <c r="E43" s="71"/>
      <c r="F43" s="576"/>
      <c r="G43" s="577"/>
      <c r="H43" s="572">
        <f t="shared" si="7"/>
        <v>0</v>
      </c>
      <c r="I43" s="577"/>
      <c r="J43" s="577"/>
      <c r="K43" s="573">
        <f t="shared" si="8"/>
        <v>0</v>
      </c>
      <c r="L43" s="574">
        <f t="shared" si="9"/>
        <v>0</v>
      </c>
      <c r="M43" s="572">
        <f t="shared" si="10"/>
        <v>0</v>
      </c>
      <c r="N43" s="572">
        <f t="shared" si="11"/>
        <v>0</v>
      </c>
      <c r="O43" s="572">
        <f t="shared" si="12"/>
        <v>0</v>
      </c>
      <c r="P43" s="573">
        <f t="shared" si="13"/>
        <v>0</v>
      </c>
    </row>
    <row r="44" spans="1:16" s="418" customFormat="1" x14ac:dyDescent="0.2">
      <c r="A44" s="361">
        <f>IF(COUNTBLANK(B44)=1," ",COUNTA(B$14:B44))</f>
        <v>28</v>
      </c>
      <c r="B44" s="102" t="s">
        <v>86</v>
      </c>
      <c r="C44" s="109" t="s">
        <v>584</v>
      </c>
      <c r="D44" s="111" t="s">
        <v>57</v>
      </c>
      <c r="E44" s="71">
        <v>9</v>
      </c>
      <c r="F44" s="576"/>
      <c r="G44" s="577"/>
      <c r="H44" s="577">
        <f t="shared" si="7"/>
        <v>0</v>
      </c>
      <c r="I44" s="577"/>
      <c r="J44" s="577"/>
      <c r="K44" s="578">
        <f t="shared" si="8"/>
        <v>0</v>
      </c>
      <c r="L44" s="576">
        <f t="shared" si="9"/>
        <v>0</v>
      </c>
      <c r="M44" s="577">
        <f t="shared" si="10"/>
        <v>0</v>
      </c>
      <c r="N44" s="577">
        <f t="shared" si="11"/>
        <v>0</v>
      </c>
      <c r="O44" s="577">
        <f t="shared" si="12"/>
        <v>0</v>
      </c>
      <c r="P44" s="578">
        <f t="shared" si="13"/>
        <v>0</v>
      </c>
    </row>
    <row r="45" spans="1:16" s="418" customFormat="1" x14ac:dyDescent="0.2">
      <c r="A45" s="361">
        <f>IF(COUNTBLANK(B45)=1," ",COUNTA(B$14:B45))</f>
        <v>29</v>
      </c>
      <c r="B45" s="102" t="s">
        <v>86</v>
      </c>
      <c r="C45" s="109" t="s">
        <v>585</v>
      </c>
      <c r="D45" s="111" t="s">
        <v>57</v>
      </c>
      <c r="E45" s="71">
        <v>9</v>
      </c>
      <c r="F45" s="576"/>
      <c r="G45" s="577"/>
      <c r="H45" s="572">
        <f t="shared" si="7"/>
        <v>0</v>
      </c>
      <c r="I45" s="577"/>
      <c r="J45" s="577"/>
      <c r="K45" s="573">
        <f t="shared" si="8"/>
        <v>0</v>
      </c>
      <c r="L45" s="574">
        <f t="shared" si="9"/>
        <v>0</v>
      </c>
      <c r="M45" s="572">
        <f t="shared" si="10"/>
        <v>0</v>
      </c>
      <c r="N45" s="572">
        <f t="shared" si="11"/>
        <v>0</v>
      </c>
      <c r="O45" s="572">
        <f t="shared" si="12"/>
        <v>0</v>
      </c>
      <c r="P45" s="573">
        <f t="shared" si="13"/>
        <v>0</v>
      </c>
    </row>
    <row r="46" spans="1:16" s="418" customFormat="1" x14ac:dyDescent="0.2">
      <c r="A46" s="361">
        <f>IF(COUNTBLANK(B46)=1," ",COUNTA(B$14:B46))</f>
        <v>30</v>
      </c>
      <c r="B46" s="102" t="s">
        <v>86</v>
      </c>
      <c r="C46" s="109" t="s">
        <v>586</v>
      </c>
      <c r="D46" s="111" t="s">
        <v>57</v>
      </c>
      <c r="E46" s="71">
        <v>9</v>
      </c>
      <c r="F46" s="576"/>
      <c r="G46" s="577"/>
      <c r="H46" s="577">
        <f t="shared" si="7"/>
        <v>0</v>
      </c>
      <c r="I46" s="577"/>
      <c r="J46" s="577"/>
      <c r="K46" s="578">
        <f t="shared" si="8"/>
        <v>0</v>
      </c>
      <c r="L46" s="576">
        <f t="shared" si="9"/>
        <v>0</v>
      </c>
      <c r="M46" s="577">
        <f t="shared" si="10"/>
        <v>0</v>
      </c>
      <c r="N46" s="577">
        <f t="shared" si="11"/>
        <v>0</v>
      </c>
      <c r="O46" s="577">
        <f t="shared" si="12"/>
        <v>0</v>
      </c>
      <c r="P46" s="578">
        <f t="shared" si="13"/>
        <v>0</v>
      </c>
    </row>
    <row r="47" spans="1:16" s="418" customFormat="1" x14ac:dyDescent="0.2">
      <c r="A47" s="361">
        <f>IF(COUNTBLANK(B47)=1," ",COUNTA(B$14:B47))</f>
        <v>31</v>
      </c>
      <c r="B47" s="102" t="s">
        <v>86</v>
      </c>
      <c r="C47" s="109" t="s">
        <v>587</v>
      </c>
      <c r="D47" s="111" t="s">
        <v>57</v>
      </c>
      <c r="E47" s="71">
        <v>81</v>
      </c>
      <c r="F47" s="576"/>
      <c r="G47" s="577"/>
      <c r="H47" s="572">
        <f t="shared" si="7"/>
        <v>0</v>
      </c>
      <c r="I47" s="577"/>
      <c r="J47" s="577"/>
      <c r="K47" s="573">
        <f t="shared" si="8"/>
        <v>0</v>
      </c>
      <c r="L47" s="574">
        <f t="shared" si="9"/>
        <v>0</v>
      </c>
      <c r="M47" s="572">
        <f t="shared" si="10"/>
        <v>0</v>
      </c>
      <c r="N47" s="572">
        <f t="shared" si="11"/>
        <v>0</v>
      </c>
      <c r="O47" s="572">
        <f t="shared" si="12"/>
        <v>0</v>
      </c>
      <c r="P47" s="573">
        <f t="shared" si="13"/>
        <v>0</v>
      </c>
    </row>
    <row r="48" spans="1:16" s="418" customFormat="1" x14ac:dyDescent="0.2">
      <c r="A48" s="361">
        <f>IF(COUNTBLANK(B48)=1," ",COUNTA(B$14:B48))</f>
        <v>32</v>
      </c>
      <c r="B48" s="102" t="s">
        <v>86</v>
      </c>
      <c r="C48" s="108" t="s">
        <v>588</v>
      </c>
      <c r="D48" s="111" t="s">
        <v>57</v>
      </c>
      <c r="E48" s="71">
        <v>18</v>
      </c>
      <c r="F48" s="576"/>
      <c r="G48" s="577"/>
      <c r="H48" s="577">
        <f t="shared" si="7"/>
        <v>0</v>
      </c>
      <c r="I48" s="577"/>
      <c r="J48" s="577"/>
      <c r="K48" s="578">
        <f t="shared" si="8"/>
        <v>0</v>
      </c>
      <c r="L48" s="576">
        <f t="shared" si="9"/>
        <v>0</v>
      </c>
      <c r="M48" s="577">
        <f t="shared" si="10"/>
        <v>0</v>
      </c>
      <c r="N48" s="577">
        <f t="shared" si="11"/>
        <v>0</v>
      </c>
      <c r="O48" s="577">
        <f t="shared" si="12"/>
        <v>0</v>
      </c>
      <c r="P48" s="578">
        <f t="shared" si="13"/>
        <v>0</v>
      </c>
    </row>
    <row r="49" spans="1:16" s="418" customFormat="1" ht="21.75" x14ac:dyDescent="0.2">
      <c r="A49" s="361">
        <f>IF(COUNTBLANK(B49)=1," ",COUNTA(B$14:B49))</f>
        <v>33</v>
      </c>
      <c r="B49" s="102" t="s">
        <v>86</v>
      </c>
      <c r="C49" s="112" t="s">
        <v>589</v>
      </c>
      <c r="D49" s="111" t="s">
        <v>57</v>
      </c>
      <c r="E49" s="70">
        <v>252</v>
      </c>
      <c r="F49" s="576"/>
      <c r="G49" s="577"/>
      <c r="H49" s="572">
        <f t="shared" si="7"/>
        <v>0</v>
      </c>
      <c r="I49" s="577"/>
      <c r="J49" s="577"/>
      <c r="K49" s="573">
        <f t="shared" si="8"/>
        <v>0</v>
      </c>
      <c r="L49" s="574">
        <f t="shared" si="9"/>
        <v>0</v>
      </c>
      <c r="M49" s="572">
        <f t="shared" si="10"/>
        <v>0</v>
      </c>
      <c r="N49" s="572">
        <f t="shared" si="11"/>
        <v>0</v>
      </c>
      <c r="O49" s="572">
        <f t="shared" si="12"/>
        <v>0</v>
      </c>
      <c r="P49" s="573">
        <f t="shared" si="13"/>
        <v>0</v>
      </c>
    </row>
    <row r="50" spans="1:16" s="418" customFormat="1" x14ac:dyDescent="0.2">
      <c r="A50" s="361">
        <f>IF(COUNTBLANK(B50)=1," ",COUNTA(B$14:B50))</f>
        <v>34</v>
      </c>
      <c r="B50" s="102" t="s">
        <v>86</v>
      </c>
      <c r="C50" s="113" t="s">
        <v>110</v>
      </c>
      <c r="D50" s="114" t="s">
        <v>91</v>
      </c>
      <c r="E50" s="65">
        <f>E49*10</f>
        <v>2520</v>
      </c>
      <c r="F50" s="576"/>
      <c r="G50" s="577"/>
      <c r="H50" s="577">
        <f t="shared" si="7"/>
        <v>0</v>
      </c>
      <c r="I50" s="577"/>
      <c r="J50" s="577"/>
      <c r="K50" s="578">
        <f t="shared" si="8"/>
        <v>0</v>
      </c>
      <c r="L50" s="576">
        <f t="shared" si="9"/>
        <v>0</v>
      </c>
      <c r="M50" s="577">
        <f t="shared" si="10"/>
        <v>0</v>
      </c>
      <c r="N50" s="577">
        <f t="shared" si="11"/>
        <v>0</v>
      </c>
      <c r="O50" s="577">
        <f t="shared" si="12"/>
        <v>0</v>
      </c>
      <c r="P50" s="578">
        <f t="shared" si="13"/>
        <v>0</v>
      </c>
    </row>
    <row r="51" spans="1:16" s="418" customFormat="1" x14ac:dyDescent="0.2">
      <c r="A51" s="361">
        <f>IF(COUNTBLANK(B51)=1," ",COUNTA(B$14:B51))</f>
        <v>35</v>
      </c>
      <c r="B51" s="102" t="s">
        <v>86</v>
      </c>
      <c r="C51" s="115" t="s">
        <v>109</v>
      </c>
      <c r="D51" s="116" t="s">
        <v>91</v>
      </c>
      <c r="E51" s="65">
        <f>E50*2</f>
        <v>5040</v>
      </c>
      <c r="F51" s="576"/>
      <c r="G51" s="577"/>
      <c r="H51" s="572">
        <f t="shared" si="7"/>
        <v>0</v>
      </c>
      <c r="I51" s="577"/>
      <c r="J51" s="577"/>
      <c r="K51" s="573">
        <f t="shared" si="8"/>
        <v>0</v>
      </c>
      <c r="L51" s="574">
        <f t="shared" si="9"/>
        <v>0</v>
      </c>
      <c r="M51" s="572">
        <f t="shared" si="10"/>
        <v>0</v>
      </c>
      <c r="N51" s="572">
        <f t="shared" si="11"/>
        <v>0</v>
      </c>
      <c r="O51" s="572">
        <f t="shared" si="12"/>
        <v>0</v>
      </c>
      <c r="P51" s="573">
        <f t="shared" si="13"/>
        <v>0</v>
      </c>
    </row>
    <row r="52" spans="1:16" s="418" customFormat="1" x14ac:dyDescent="0.2">
      <c r="A52" s="361">
        <f>IF(COUNTBLANK(B52)=1," ",COUNTA(B$14:B52))</f>
        <v>36</v>
      </c>
      <c r="B52" s="102" t="s">
        <v>86</v>
      </c>
      <c r="C52" s="113" t="s">
        <v>616</v>
      </c>
      <c r="D52" s="114" t="s">
        <v>92</v>
      </c>
      <c r="E52" s="65">
        <f>E49*4</f>
        <v>1008</v>
      </c>
      <c r="F52" s="576"/>
      <c r="G52" s="577"/>
      <c r="H52" s="577">
        <f t="shared" si="7"/>
        <v>0</v>
      </c>
      <c r="I52" s="577"/>
      <c r="J52" s="577"/>
      <c r="K52" s="578">
        <f t="shared" si="8"/>
        <v>0</v>
      </c>
      <c r="L52" s="576">
        <f t="shared" si="9"/>
        <v>0</v>
      </c>
      <c r="M52" s="577">
        <f t="shared" si="10"/>
        <v>0</v>
      </c>
      <c r="N52" s="577">
        <f t="shared" si="11"/>
        <v>0</v>
      </c>
      <c r="O52" s="577">
        <f t="shared" si="12"/>
        <v>0</v>
      </c>
      <c r="P52" s="578">
        <f t="shared" si="13"/>
        <v>0</v>
      </c>
    </row>
    <row r="53" spans="1:16" s="418" customFormat="1" x14ac:dyDescent="0.2">
      <c r="A53" s="361">
        <f>IF(COUNTBLANK(B53)=1," ",COUNTA(B$14:B53))</f>
        <v>37</v>
      </c>
      <c r="B53" s="102" t="s">
        <v>86</v>
      </c>
      <c r="C53" s="117" t="s">
        <v>108</v>
      </c>
      <c r="D53" s="118" t="s">
        <v>91</v>
      </c>
      <c r="E53" s="119">
        <f>E50*4</f>
        <v>10080</v>
      </c>
      <c r="F53" s="576"/>
      <c r="G53" s="577"/>
      <c r="H53" s="572">
        <f t="shared" si="7"/>
        <v>0</v>
      </c>
      <c r="I53" s="577"/>
      <c r="J53" s="577"/>
      <c r="K53" s="573">
        <f t="shared" si="8"/>
        <v>0</v>
      </c>
      <c r="L53" s="574">
        <f t="shared" si="9"/>
        <v>0</v>
      </c>
      <c r="M53" s="572">
        <f t="shared" si="10"/>
        <v>0</v>
      </c>
      <c r="N53" s="572">
        <f t="shared" si="11"/>
        <v>0</v>
      </c>
      <c r="O53" s="572">
        <f t="shared" si="12"/>
        <v>0</v>
      </c>
      <c r="P53" s="573">
        <f t="shared" si="13"/>
        <v>0</v>
      </c>
    </row>
    <row r="54" spans="1:16" s="418" customFormat="1" x14ac:dyDescent="0.2">
      <c r="A54" s="361">
        <f>IF(COUNTBLANK(B54)=1," ",COUNTA(B$14:B54))</f>
        <v>38</v>
      </c>
      <c r="B54" s="102" t="s">
        <v>86</v>
      </c>
      <c r="C54" s="113" t="s">
        <v>412</v>
      </c>
      <c r="D54" s="114" t="s">
        <v>92</v>
      </c>
      <c r="E54" s="413">
        <f>ROUNDUP(E49*0.25,2)</f>
        <v>63</v>
      </c>
      <c r="F54" s="576"/>
      <c r="G54" s="577"/>
      <c r="H54" s="577">
        <f t="shared" si="7"/>
        <v>0</v>
      </c>
      <c r="I54" s="577"/>
      <c r="J54" s="577"/>
      <c r="K54" s="578">
        <f t="shared" si="8"/>
        <v>0</v>
      </c>
      <c r="L54" s="576">
        <f t="shared" si="9"/>
        <v>0</v>
      </c>
      <c r="M54" s="577">
        <f t="shared" si="10"/>
        <v>0</v>
      </c>
      <c r="N54" s="577">
        <f t="shared" si="11"/>
        <v>0</v>
      </c>
      <c r="O54" s="577">
        <f t="shared" si="12"/>
        <v>0</v>
      </c>
      <c r="P54" s="578">
        <f t="shared" si="13"/>
        <v>0</v>
      </c>
    </row>
    <row r="55" spans="1:16" s="418" customFormat="1" x14ac:dyDescent="0.2">
      <c r="A55" s="361">
        <f>IF(COUNTBLANK(B55)=1," ",COUNTA(B$14:B55))</f>
        <v>39</v>
      </c>
      <c r="B55" s="102" t="s">
        <v>86</v>
      </c>
      <c r="C55" s="120" t="s">
        <v>413</v>
      </c>
      <c r="D55" s="121" t="s">
        <v>88</v>
      </c>
      <c r="E55" s="72">
        <v>376.6</v>
      </c>
      <c r="F55" s="576"/>
      <c r="G55" s="577"/>
      <c r="H55" s="572">
        <f t="shared" si="7"/>
        <v>0</v>
      </c>
      <c r="I55" s="577"/>
      <c r="J55" s="577"/>
      <c r="K55" s="573">
        <f t="shared" si="8"/>
        <v>0</v>
      </c>
      <c r="L55" s="574">
        <f t="shared" si="9"/>
        <v>0</v>
      </c>
      <c r="M55" s="572">
        <f t="shared" si="10"/>
        <v>0</v>
      </c>
      <c r="N55" s="572">
        <f t="shared" si="11"/>
        <v>0</v>
      </c>
      <c r="O55" s="572">
        <f t="shared" si="12"/>
        <v>0</v>
      </c>
      <c r="P55" s="573">
        <f t="shared" si="13"/>
        <v>0</v>
      </c>
    </row>
    <row r="56" spans="1:16" s="418" customFormat="1" x14ac:dyDescent="0.2">
      <c r="A56" s="361">
        <f>IF(COUNTBLANK(B56)=1," ",COUNTA(B$14:B56))</f>
        <v>40</v>
      </c>
      <c r="B56" s="102" t="s">
        <v>86</v>
      </c>
      <c r="C56" s="120" t="s">
        <v>414</v>
      </c>
      <c r="D56" s="121" t="s">
        <v>88</v>
      </c>
      <c r="E56" s="72">
        <v>376.6</v>
      </c>
      <c r="F56" s="576"/>
      <c r="G56" s="577"/>
      <c r="H56" s="577">
        <f t="shared" si="7"/>
        <v>0</v>
      </c>
      <c r="I56" s="577"/>
      <c r="J56" s="577"/>
      <c r="K56" s="578">
        <f t="shared" si="8"/>
        <v>0</v>
      </c>
      <c r="L56" s="576">
        <f t="shared" si="9"/>
        <v>0</v>
      </c>
      <c r="M56" s="577">
        <f t="shared" si="10"/>
        <v>0</v>
      </c>
      <c r="N56" s="577">
        <f t="shared" si="11"/>
        <v>0</v>
      </c>
      <c r="O56" s="577">
        <f t="shared" si="12"/>
        <v>0</v>
      </c>
      <c r="P56" s="578">
        <f t="shared" si="13"/>
        <v>0</v>
      </c>
    </row>
    <row r="57" spans="1:16" s="418" customFormat="1" x14ac:dyDescent="0.2">
      <c r="A57" s="361" t="str">
        <f>IF(COUNTBLANK(B57)=1," ",COUNTA(B$14:B57))</f>
        <v xml:space="preserve"> </v>
      </c>
      <c r="B57" s="102"/>
      <c r="C57" s="76" t="s">
        <v>415</v>
      </c>
      <c r="D57" s="102"/>
      <c r="E57" s="69"/>
      <c r="F57" s="576"/>
      <c r="G57" s="577"/>
      <c r="H57" s="572">
        <f t="shared" si="7"/>
        <v>0</v>
      </c>
      <c r="I57" s="577"/>
      <c r="J57" s="577"/>
      <c r="K57" s="573">
        <f t="shared" si="8"/>
        <v>0</v>
      </c>
      <c r="L57" s="574">
        <f t="shared" si="9"/>
        <v>0</v>
      </c>
      <c r="M57" s="572">
        <f t="shared" si="10"/>
        <v>0</v>
      </c>
      <c r="N57" s="572">
        <f t="shared" si="11"/>
        <v>0</v>
      </c>
      <c r="O57" s="572">
        <f t="shared" si="12"/>
        <v>0</v>
      </c>
      <c r="P57" s="573">
        <f t="shared" si="13"/>
        <v>0</v>
      </c>
    </row>
    <row r="58" spans="1:16" ht="78.75" x14ac:dyDescent="0.2">
      <c r="A58" s="361">
        <f>IF(COUNTBLANK(B58)=1," ",COUNTA(B$14:B58))</f>
        <v>41</v>
      </c>
      <c r="B58" s="359" t="s">
        <v>86</v>
      </c>
      <c r="C58" s="91" t="s">
        <v>590</v>
      </c>
      <c r="D58" s="420" t="s">
        <v>57</v>
      </c>
      <c r="E58" s="421">
        <v>1</v>
      </c>
      <c r="F58" s="576"/>
      <c r="G58" s="577"/>
      <c r="H58" s="577">
        <f t="shared" si="7"/>
        <v>0</v>
      </c>
      <c r="I58" s="577"/>
      <c r="J58" s="577"/>
      <c r="K58" s="578">
        <f t="shared" si="8"/>
        <v>0</v>
      </c>
      <c r="L58" s="576">
        <f t="shared" si="9"/>
        <v>0</v>
      </c>
      <c r="M58" s="577">
        <f t="shared" si="10"/>
        <v>0</v>
      </c>
      <c r="N58" s="577">
        <f t="shared" si="11"/>
        <v>0</v>
      </c>
      <c r="O58" s="577">
        <f t="shared" si="12"/>
        <v>0</v>
      </c>
      <c r="P58" s="578">
        <f t="shared" si="13"/>
        <v>0</v>
      </c>
    </row>
    <row r="59" spans="1:16" ht="56.25" x14ac:dyDescent="0.2">
      <c r="A59" s="361">
        <f>IF(COUNTBLANK(B59)=1," ",COUNTA(B$14:B59))</f>
        <v>42</v>
      </c>
      <c r="B59" s="332" t="s">
        <v>86</v>
      </c>
      <c r="C59" s="98" t="s">
        <v>591</v>
      </c>
      <c r="D59" s="422" t="s">
        <v>57</v>
      </c>
      <c r="E59" s="423">
        <v>1</v>
      </c>
      <c r="F59" s="576"/>
      <c r="G59" s="577"/>
      <c r="H59" s="572">
        <f t="shared" si="7"/>
        <v>0</v>
      </c>
      <c r="I59" s="577"/>
      <c r="J59" s="577"/>
      <c r="K59" s="573">
        <f t="shared" si="8"/>
        <v>0</v>
      </c>
      <c r="L59" s="574">
        <f t="shared" si="9"/>
        <v>0</v>
      </c>
      <c r="M59" s="572">
        <f t="shared" si="10"/>
        <v>0</v>
      </c>
      <c r="N59" s="572">
        <f t="shared" si="11"/>
        <v>0</v>
      </c>
      <c r="O59" s="572">
        <f t="shared" si="12"/>
        <v>0</v>
      </c>
      <c r="P59" s="573">
        <f t="shared" si="13"/>
        <v>0</v>
      </c>
    </row>
    <row r="60" spans="1:16" x14ac:dyDescent="0.2">
      <c r="A60" s="361">
        <f>IF(COUNTBLANK(B60)=1," ",COUNTA(B$14:B60))</f>
        <v>43</v>
      </c>
      <c r="B60" s="424" t="s">
        <v>86</v>
      </c>
      <c r="C60" s="425" t="s">
        <v>192</v>
      </c>
      <c r="D60" s="426" t="s">
        <v>57</v>
      </c>
      <c r="E60" s="413">
        <f>SUM(E58:E59)</f>
        <v>2</v>
      </c>
      <c r="F60" s="576"/>
      <c r="G60" s="577"/>
      <c r="H60" s="577">
        <f t="shared" si="7"/>
        <v>0</v>
      </c>
      <c r="I60" s="577"/>
      <c r="J60" s="577"/>
      <c r="K60" s="578">
        <f t="shared" si="8"/>
        <v>0</v>
      </c>
      <c r="L60" s="576">
        <f t="shared" si="9"/>
        <v>0</v>
      </c>
      <c r="M60" s="577">
        <f t="shared" si="10"/>
        <v>0</v>
      </c>
      <c r="N60" s="577">
        <f t="shared" si="11"/>
        <v>0</v>
      </c>
      <c r="O60" s="577">
        <f t="shared" si="12"/>
        <v>0</v>
      </c>
      <c r="P60" s="578">
        <f t="shared" si="13"/>
        <v>0</v>
      </c>
    </row>
    <row r="61" spans="1:16" x14ac:dyDescent="0.2">
      <c r="A61" s="361">
        <f>IF(COUNTBLANK(B61)=1," ",COUNTA(B$14:B61))</f>
        <v>44</v>
      </c>
      <c r="B61" s="424" t="s">
        <v>86</v>
      </c>
      <c r="C61" s="411" t="s">
        <v>110</v>
      </c>
      <c r="D61" s="412" t="s">
        <v>57</v>
      </c>
      <c r="E61" s="413">
        <f>ROUNDUP(E60*10,0)</f>
        <v>20</v>
      </c>
      <c r="F61" s="576"/>
      <c r="G61" s="577"/>
      <c r="H61" s="572">
        <f t="shared" si="7"/>
        <v>0</v>
      </c>
      <c r="I61" s="577"/>
      <c r="J61" s="577"/>
      <c r="K61" s="573">
        <f t="shared" si="8"/>
        <v>0</v>
      </c>
      <c r="L61" s="574">
        <f t="shared" si="9"/>
        <v>0</v>
      </c>
      <c r="M61" s="572">
        <f t="shared" si="10"/>
        <v>0</v>
      </c>
      <c r="N61" s="572">
        <f t="shared" si="11"/>
        <v>0</v>
      </c>
      <c r="O61" s="572">
        <f t="shared" si="12"/>
        <v>0</v>
      </c>
      <c r="P61" s="573">
        <f t="shared" si="13"/>
        <v>0</v>
      </c>
    </row>
    <row r="62" spans="1:16" x14ac:dyDescent="0.2">
      <c r="A62" s="361">
        <f>IF(COUNTBLANK(B62)=1," ",COUNTA(B$14:B62))</f>
        <v>45</v>
      </c>
      <c r="B62" s="424" t="s">
        <v>86</v>
      </c>
      <c r="C62" s="411" t="s">
        <v>108</v>
      </c>
      <c r="D62" s="412" t="s">
        <v>57</v>
      </c>
      <c r="E62" s="413">
        <f>E61*4</f>
        <v>80</v>
      </c>
      <c r="F62" s="576"/>
      <c r="G62" s="577"/>
      <c r="H62" s="577">
        <f t="shared" si="7"/>
        <v>0</v>
      </c>
      <c r="I62" s="577"/>
      <c r="J62" s="577"/>
      <c r="K62" s="578">
        <f t="shared" si="8"/>
        <v>0</v>
      </c>
      <c r="L62" s="576">
        <f t="shared" si="9"/>
        <v>0</v>
      </c>
      <c r="M62" s="577">
        <f t="shared" si="10"/>
        <v>0</v>
      </c>
      <c r="N62" s="577">
        <f t="shared" si="11"/>
        <v>0</v>
      </c>
      <c r="O62" s="577">
        <f t="shared" si="12"/>
        <v>0</v>
      </c>
      <c r="P62" s="578">
        <f t="shared" si="13"/>
        <v>0</v>
      </c>
    </row>
    <row r="63" spans="1:16" x14ac:dyDescent="0.2">
      <c r="A63" s="361">
        <f>IF(COUNTBLANK(B63)=1," ",COUNTA(B$14:B63))</f>
        <v>46</v>
      </c>
      <c r="B63" s="424" t="s">
        <v>86</v>
      </c>
      <c r="C63" s="427" t="s">
        <v>109</v>
      </c>
      <c r="D63" s="289" t="s">
        <v>57</v>
      </c>
      <c r="E63" s="413">
        <f>E61*2</f>
        <v>40</v>
      </c>
      <c r="F63" s="576"/>
      <c r="G63" s="577"/>
      <c r="H63" s="572">
        <f t="shared" si="7"/>
        <v>0</v>
      </c>
      <c r="I63" s="577"/>
      <c r="J63" s="577"/>
      <c r="K63" s="573">
        <f t="shared" si="8"/>
        <v>0</v>
      </c>
      <c r="L63" s="574">
        <f t="shared" si="9"/>
        <v>0</v>
      </c>
      <c r="M63" s="572">
        <f t="shared" si="10"/>
        <v>0</v>
      </c>
      <c r="N63" s="572">
        <f t="shared" si="11"/>
        <v>0</v>
      </c>
      <c r="O63" s="572">
        <f t="shared" si="12"/>
        <v>0</v>
      </c>
      <c r="P63" s="573">
        <f t="shared" si="13"/>
        <v>0</v>
      </c>
    </row>
    <row r="64" spans="1:16" x14ac:dyDescent="0.2">
      <c r="A64" s="361">
        <f>IF(COUNTBLANK(B64)=1," ",COUNTA(B$14:B64))</f>
        <v>47</v>
      </c>
      <c r="B64" s="424" t="s">
        <v>86</v>
      </c>
      <c r="C64" s="411" t="s">
        <v>616</v>
      </c>
      <c r="D64" s="412" t="s">
        <v>92</v>
      </c>
      <c r="E64" s="413">
        <f>ROUNDUP(E60*4,0)</f>
        <v>8</v>
      </c>
      <c r="F64" s="576"/>
      <c r="G64" s="577"/>
      <c r="H64" s="577">
        <f t="shared" si="7"/>
        <v>0</v>
      </c>
      <c r="I64" s="577"/>
      <c r="J64" s="577"/>
      <c r="K64" s="578">
        <f t="shared" si="8"/>
        <v>0</v>
      </c>
      <c r="L64" s="576">
        <f t="shared" si="9"/>
        <v>0</v>
      </c>
      <c r="M64" s="577">
        <f t="shared" si="10"/>
        <v>0</v>
      </c>
      <c r="N64" s="577">
        <f t="shared" si="11"/>
        <v>0</v>
      </c>
      <c r="O64" s="577">
        <f t="shared" si="12"/>
        <v>0</v>
      </c>
      <c r="P64" s="578">
        <f t="shared" si="13"/>
        <v>0</v>
      </c>
    </row>
    <row r="65" spans="1:16" x14ac:dyDescent="0.2">
      <c r="A65" s="361">
        <f>IF(COUNTBLANK(B65)=1," ",COUNTA(B$14:B65))</f>
        <v>48</v>
      </c>
      <c r="B65" s="424" t="s">
        <v>86</v>
      </c>
      <c r="C65" s="411" t="s">
        <v>412</v>
      </c>
      <c r="D65" s="412" t="s">
        <v>92</v>
      </c>
      <c r="E65" s="413">
        <f>ROUNDUP(E60*0.25,2)</f>
        <v>0.5</v>
      </c>
      <c r="F65" s="576"/>
      <c r="G65" s="577"/>
      <c r="H65" s="572">
        <f t="shared" si="7"/>
        <v>0</v>
      </c>
      <c r="I65" s="577"/>
      <c r="J65" s="577"/>
      <c r="K65" s="573">
        <f t="shared" si="8"/>
        <v>0</v>
      </c>
      <c r="L65" s="574">
        <f t="shared" si="9"/>
        <v>0</v>
      </c>
      <c r="M65" s="572">
        <f t="shared" si="10"/>
        <v>0</v>
      </c>
      <c r="N65" s="572">
        <f t="shared" si="11"/>
        <v>0</v>
      </c>
      <c r="O65" s="572">
        <f t="shared" si="12"/>
        <v>0</v>
      </c>
      <c r="P65" s="573">
        <f t="shared" si="13"/>
        <v>0</v>
      </c>
    </row>
    <row r="66" spans="1:16" ht="33.75" x14ac:dyDescent="0.2">
      <c r="A66" s="361">
        <f>IF(COUNTBLANK(B66)=1," ",COUNTA(B$14:B66))</f>
        <v>49</v>
      </c>
      <c r="B66" s="424" t="s">
        <v>86</v>
      </c>
      <c r="C66" s="428" t="s">
        <v>523</v>
      </c>
      <c r="D66" s="429" t="s">
        <v>88</v>
      </c>
      <c r="E66" s="122">
        <v>1626</v>
      </c>
      <c r="F66" s="576"/>
      <c r="G66" s="577"/>
      <c r="H66" s="577">
        <f t="shared" si="7"/>
        <v>0</v>
      </c>
      <c r="I66" s="577"/>
      <c r="J66" s="577"/>
      <c r="K66" s="578">
        <f t="shared" si="8"/>
        <v>0</v>
      </c>
      <c r="L66" s="576">
        <f t="shared" si="9"/>
        <v>0</v>
      </c>
      <c r="M66" s="577">
        <f t="shared" si="10"/>
        <v>0</v>
      </c>
      <c r="N66" s="577">
        <f t="shared" si="11"/>
        <v>0</v>
      </c>
      <c r="O66" s="577">
        <f t="shared" si="12"/>
        <v>0</v>
      </c>
      <c r="P66" s="578">
        <f t="shared" si="13"/>
        <v>0</v>
      </c>
    </row>
    <row r="67" spans="1:16" ht="22.5" x14ac:dyDescent="0.2">
      <c r="A67" s="361">
        <f>IF(COUNTBLANK(B67)=1," ",COUNTA(B$14:B67))</f>
        <v>50</v>
      </c>
      <c r="B67" s="424" t="s">
        <v>86</v>
      </c>
      <c r="C67" s="428" t="s">
        <v>416</v>
      </c>
      <c r="D67" s="429" t="s">
        <v>88</v>
      </c>
      <c r="E67" s="122">
        <v>1760</v>
      </c>
      <c r="F67" s="576"/>
      <c r="G67" s="577"/>
      <c r="H67" s="572">
        <f t="shared" si="7"/>
        <v>0</v>
      </c>
      <c r="I67" s="577"/>
      <c r="J67" s="577"/>
      <c r="K67" s="573">
        <f t="shared" si="8"/>
        <v>0</v>
      </c>
      <c r="L67" s="574">
        <f t="shared" si="9"/>
        <v>0</v>
      </c>
      <c r="M67" s="572">
        <f t="shared" si="10"/>
        <v>0</v>
      </c>
      <c r="N67" s="572">
        <f t="shared" si="11"/>
        <v>0</v>
      </c>
      <c r="O67" s="572">
        <f t="shared" si="12"/>
        <v>0</v>
      </c>
      <c r="P67" s="573">
        <f t="shared" si="13"/>
        <v>0</v>
      </c>
    </row>
    <row r="68" spans="1:16" x14ac:dyDescent="0.2">
      <c r="A68" s="361">
        <f>IF(COUNTBLANK(B68)=1," ",COUNTA(B$14:B68))</f>
        <v>51</v>
      </c>
      <c r="B68" s="430" t="s">
        <v>86</v>
      </c>
      <c r="C68" s="123" t="s">
        <v>417</v>
      </c>
      <c r="D68" s="68" t="s">
        <v>82</v>
      </c>
      <c r="E68" s="68">
        <v>252</v>
      </c>
      <c r="F68" s="576"/>
      <c r="G68" s="577"/>
      <c r="H68" s="577">
        <f t="shared" si="7"/>
        <v>0</v>
      </c>
      <c r="I68" s="577"/>
      <c r="J68" s="577"/>
      <c r="K68" s="578">
        <f t="shared" si="8"/>
        <v>0</v>
      </c>
      <c r="L68" s="576">
        <f t="shared" si="9"/>
        <v>0</v>
      </c>
      <c r="M68" s="577">
        <f t="shared" si="10"/>
        <v>0</v>
      </c>
      <c r="N68" s="577">
        <f t="shared" si="11"/>
        <v>0</v>
      </c>
      <c r="O68" s="577">
        <f t="shared" si="12"/>
        <v>0</v>
      </c>
      <c r="P68" s="578">
        <f t="shared" si="13"/>
        <v>0</v>
      </c>
    </row>
    <row r="69" spans="1:16" ht="22.5" x14ac:dyDescent="0.2">
      <c r="A69" s="361">
        <f>IF(COUNTBLANK(B69)=1," ",COUNTA(B$14:B69))</f>
        <v>52</v>
      </c>
      <c r="B69" s="332" t="s">
        <v>86</v>
      </c>
      <c r="C69" s="431" t="s">
        <v>418</v>
      </c>
      <c r="D69" s="403" t="s">
        <v>56</v>
      </c>
      <c r="E69" s="432">
        <v>129.9</v>
      </c>
      <c r="F69" s="576"/>
      <c r="G69" s="577"/>
      <c r="H69" s="572">
        <f t="shared" si="7"/>
        <v>0</v>
      </c>
      <c r="I69" s="577"/>
      <c r="J69" s="577"/>
      <c r="K69" s="573">
        <f t="shared" si="8"/>
        <v>0</v>
      </c>
      <c r="L69" s="574">
        <f t="shared" si="9"/>
        <v>0</v>
      </c>
      <c r="M69" s="572">
        <f t="shared" si="10"/>
        <v>0</v>
      </c>
      <c r="N69" s="572">
        <f t="shared" si="11"/>
        <v>0</v>
      </c>
      <c r="O69" s="572">
        <f t="shared" si="12"/>
        <v>0</v>
      </c>
      <c r="P69" s="573">
        <f t="shared" si="13"/>
        <v>0</v>
      </c>
    </row>
    <row r="70" spans="1:16" x14ac:dyDescent="0.2">
      <c r="A70" s="361">
        <f>IF(COUNTBLANK(B70)=1," ",COUNTA(B$14:B70))</f>
        <v>53</v>
      </c>
      <c r="B70" s="332" t="s">
        <v>86</v>
      </c>
      <c r="C70" s="433" t="s">
        <v>419</v>
      </c>
      <c r="D70" s="434" t="s">
        <v>88</v>
      </c>
      <c r="E70" s="435">
        <v>354.65</v>
      </c>
      <c r="F70" s="576"/>
      <c r="G70" s="577"/>
      <c r="H70" s="577">
        <f t="shared" si="7"/>
        <v>0</v>
      </c>
      <c r="I70" s="577"/>
      <c r="J70" s="577"/>
      <c r="K70" s="578">
        <f t="shared" si="8"/>
        <v>0</v>
      </c>
      <c r="L70" s="576">
        <f t="shared" si="9"/>
        <v>0</v>
      </c>
      <c r="M70" s="577">
        <f t="shared" si="10"/>
        <v>0</v>
      </c>
      <c r="N70" s="577">
        <f t="shared" si="11"/>
        <v>0</v>
      </c>
      <c r="O70" s="577">
        <f t="shared" si="12"/>
        <v>0</v>
      </c>
      <c r="P70" s="578">
        <f t="shared" si="13"/>
        <v>0</v>
      </c>
    </row>
    <row r="71" spans="1:16" x14ac:dyDescent="0.2">
      <c r="A71" s="361">
        <f>IF(COUNTBLANK(B71)=1," ",COUNTA(B$14:B71))</f>
        <v>54</v>
      </c>
      <c r="B71" s="332" t="s">
        <v>86</v>
      </c>
      <c r="C71" s="436" t="s">
        <v>107</v>
      </c>
      <c r="D71" s="406" t="s">
        <v>88</v>
      </c>
      <c r="E71" s="406">
        <f>ROUNDUP(E69*0.3,0)</f>
        <v>39</v>
      </c>
      <c r="F71" s="576"/>
      <c r="G71" s="577"/>
      <c r="H71" s="572">
        <f t="shared" si="7"/>
        <v>0</v>
      </c>
      <c r="I71" s="577"/>
      <c r="J71" s="577"/>
      <c r="K71" s="573">
        <f t="shared" si="8"/>
        <v>0</v>
      </c>
      <c r="L71" s="574">
        <f t="shared" si="9"/>
        <v>0</v>
      </c>
      <c r="M71" s="572">
        <f t="shared" si="10"/>
        <v>0</v>
      </c>
      <c r="N71" s="572">
        <f t="shared" si="11"/>
        <v>0</v>
      </c>
      <c r="O71" s="572">
        <f t="shared" si="12"/>
        <v>0</v>
      </c>
      <c r="P71" s="573">
        <f t="shared" si="13"/>
        <v>0</v>
      </c>
    </row>
    <row r="72" spans="1:16" x14ac:dyDescent="0.2">
      <c r="A72" s="361">
        <f>IF(COUNTBLANK(B72)=1," ",COUNTA(B$14:B72))</f>
        <v>55</v>
      </c>
      <c r="B72" s="332" t="s">
        <v>86</v>
      </c>
      <c r="C72" s="436" t="s">
        <v>106</v>
      </c>
      <c r="D72" s="406" t="s">
        <v>56</v>
      </c>
      <c r="E72" s="406">
        <f>ROUNDUP(E69*1.2,0)</f>
        <v>156</v>
      </c>
      <c r="F72" s="576"/>
      <c r="G72" s="577"/>
      <c r="H72" s="577">
        <f t="shared" si="7"/>
        <v>0</v>
      </c>
      <c r="I72" s="577"/>
      <c r="J72" s="577"/>
      <c r="K72" s="578">
        <f t="shared" si="8"/>
        <v>0</v>
      </c>
      <c r="L72" s="576">
        <f t="shared" si="9"/>
        <v>0</v>
      </c>
      <c r="M72" s="577">
        <f t="shared" si="10"/>
        <v>0</v>
      </c>
      <c r="N72" s="577">
        <f t="shared" si="11"/>
        <v>0</v>
      </c>
      <c r="O72" s="577">
        <f t="shared" si="12"/>
        <v>0</v>
      </c>
      <c r="P72" s="578">
        <f t="shared" si="13"/>
        <v>0</v>
      </c>
    </row>
    <row r="73" spans="1:16" x14ac:dyDescent="0.2">
      <c r="A73" s="361">
        <f>IF(COUNTBLANK(B73)=1," ",COUNTA(B$14:B73))</f>
        <v>56</v>
      </c>
      <c r="B73" s="332" t="s">
        <v>86</v>
      </c>
      <c r="C73" s="436" t="s">
        <v>105</v>
      </c>
      <c r="D73" s="406" t="s">
        <v>90</v>
      </c>
      <c r="E73" s="406">
        <f>ROUNDUP(E69*1,0)</f>
        <v>130</v>
      </c>
      <c r="F73" s="576"/>
      <c r="G73" s="577"/>
      <c r="H73" s="572">
        <f t="shared" si="7"/>
        <v>0</v>
      </c>
      <c r="I73" s="577"/>
      <c r="J73" s="577"/>
      <c r="K73" s="573">
        <f t="shared" si="8"/>
        <v>0</v>
      </c>
      <c r="L73" s="574">
        <f t="shared" si="9"/>
        <v>0</v>
      </c>
      <c r="M73" s="572">
        <f t="shared" si="10"/>
        <v>0</v>
      </c>
      <c r="N73" s="572">
        <f t="shared" si="11"/>
        <v>0</v>
      </c>
      <c r="O73" s="572">
        <f t="shared" si="12"/>
        <v>0</v>
      </c>
      <c r="P73" s="573">
        <f t="shared" si="13"/>
        <v>0</v>
      </c>
    </row>
    <row r="74" spans="1:16" x14ac:dyDescent="0.2">
      <c r="A74" s="361">
        <f>IF(COUNTBLANK(B74)=1," ",COUNTA(B$14:B74))</f>
        <v>57</v>
      </c>
      <c r="B74" s="332" t="s">
        <v>86</v>
      </c>
      <c r="C74" s="298" t="s">
        <v>193</v>
      </c>
      <c r="D74" s="406" t="s">
        <v>90</v>
      </c>
      <c r="E74" s="406">
        <f>ROUNDUP(E69*0.8,0)</f>
        <v>104</v>
      </c>
      <c r="F74" s="576"/>
      <c r="G74" s="577"/>
      <c r="H74" s="577">
        <f t="shared" si="7"/>
        <v>0</v>
      </c>
      <c r="I74" s="577"/>
      <c r="J74" s="577"/>
      <c r="K74" s="578">
        <f t="shared" si="8"/>
        <v>0</v>
      </c>
      <c r="L74" s="576">
        <f t="shared" si="9"/>
        <v>0</v>
      </c>
      <c r="M74" s="577">
        <f t="shared" si="10"/>
        <v>0</v>
      </c>
      <c r="N74" s="577">
        <f t="shared" si="11"/>
        <v>0</v>
      </c>
      <c r="O74" s="577">
        <f t="shared" si="12"/>
        <v>0</v>
      </c>
      <c r="P74" s="578">
        <f t="shared" si="13"/>
        <v>0</v>
      </c>
    </row>
    <row r="75" spans="1:16" x14ac:dyDescent="0.2">
      <c r="A75" s="361">
        <f>IF(COUNTBLANK(B75)=1," ",COUNTA(B$14:B75))</f>
        <v>58</v>
      </c>
      <c r="B75" s="332" t="s">
        <v>86</v>
      </c>
      <c r="C75" s="436" t="s">
        <v>104</v>
      </c>
      <c r="D75" s="406" t="s">
        <v>90</v>
      </c>
      <c r="E75" s="406">
        <f>ROUNDUP(E69*0.4,2)</f>
        <v>51.96</v>
      </c>
      <c r="F75" s="576"/>
      <c r="G75" s="577"/>
      <c r="H75" s="572">
        <f t="shared" si="7"/>
        <v>0</v>
      </c>
      <c r="I75" s="577"/>
      <c r="J75" s="577"/>
      <c r="K75" s="573">
        <f t="shared" si="8"/>
        <v>0</v>
      </c>
      <c r="L75" s="574">
        <f t="shared" si="9"/>
        <v>0</v>
      </c>
      <c r="M75" s="572">
        <f t="shared" si="10"/>
        <v>0</v>
      </c>
      <c r="N75" s="572">
        <f t="shared" si="11"/>
        <v>0</v>
      </c>
      <c r="O75" s="572">
        <f t="shared" si="12"/>
        <v>0</v>
      </c>
      <c r="P75" s="573">
        <f t="shared" si="13"/>
        <v>0</v>
      </c>
    </row>
    <row r="76" spans="1:16" ht="12" thickBot="1" x14ac:dyDescent="0.25">
      <c r="A76" s="361">
        <f>IF(COUNTBLANK(B76)=1," ",COUNTA(B$14:B76))</f>
        <v>59</v>
      </c>
      <c r="B76" s="332" t="s">
        <v>86</v>
      </c>
      <c r="C76" s="436" t="s">
        <v>103</v>
      </c>
      <c r="D76" s="406" t="s">
        <v>57</v>
      </c>
      <c r="E76" s="336">
        <f>E69*0.1</f>
        <v>12.990000000000002</v>
      </c>
      <c r="F76" s="576"/>
      <c r="G76" s="577"/>
      <c r="H76" s="577">
        <f t="shared" si="7"/>
        <v>0</v>
      </c>
      <c r="I76" s="577"/>
      <c r="J76" s="577"/>
      <c r="K76" s="578">
        <f t="shared" si="8"/>
        <v>0</v>
      </c>
      <c r="L76" s="576">
        <f t="shared" si="9"/>
        <v>0</v>
      </c>
      <c r="M76" s="577">
        <f t="shared" si="10"/>
        <v>0</v>
      </c>
      <c r="N76" s="577">
        <f t="shared" si="11"/>
        <v>0</v>
      </c>
      <c r="O76" s="577">
        <f t="shared" si="12"/>
        <v>0</v>
      </c>
      <c r="P76" s="578">
        <f t="shared" si="13"/>
        <v>0</v>
      </c>
    </row>
    <row r="77" spans="1:16" ht="12" thickBot="1" x14ac:dyDescent="0.25">
      <c r="A77" s="656" t="s">
        <v>612</v>
      </c>
      <c r="B77" s="656"/>
      <c r="C77" s="656"/>
      <c r="D77" s="656"/>
      <c r="E77" s="656"/>
      <c r="F77" s="656"/>
      <c r="G77" s="656"/>
      <c r="H77" s="656"/>
      <c r="I77" s="656"/>
      <c r="J77" s="656"/>
      <c r="K77" s="656"/>
      <c r="L77" s="582">
        <f>SUM(L14:L76)</f>
        <v>0</v>
      </c>
      <c r="M77" s="582">
        <f t="shared" ref="M77:P77" si="14">SUM(M14:M76)</f>
        <v>0</v>
      </c>
      <c r="N77" s="582">
        <f t="shared" si="14"/>
        <v>0</v>
      </c>
      <c r="O77" s="582">
        <f t="shared" si="14"/>
        <v>0</v>
      </c>
      <c r="P77" s="582">
        <f t="shared" si="14"/>
        <v>0</v>
      </c>
    </row>
    <row r="78" spans="1:16" x14ac:dyDescent="0.2">
      <c r="A78" s="202"/>
      <c r="B78" s="202"/>
      <c r="C78" s="202"/>
      <c r="D78" s="202"/>
      <c r="E78" s="202"/>
      <c r="F78" s="202"/>
      <c r="G78" s="202"/>
      <c r="H78" s="202"/>
      <c r="I78" s="202"/>
      <c r="J78" s="202"/>
      <c r="K78" s="202"/>
      <c r="L78" s="202"/>
      <c r="M78" s="202"/>
      <c r="N78" s="202"/>
      <c r="O78" s="202"/>
      <c r="P78" s="202"/>
    </row>
    <row r="79" spans="1:16" x14ac:dyDescent="0.2">
      <c r="A79" s="202"/>
      <c r="B79" s="202"/>
      <c r="C79" s="202"/>
      <c r="D79" s="202"/>
      <c r="E79" s="202"/>
      <c r="F79" s="202"/>
      <c r="G79" s="202"/>
      <c r="H79" s="202"/>
      <c r="I79" s="202"/>
      <c r="J79" s="202"/>
      <c r="K79" s="202"/>
      <c r="L79" s="202"/>
      <c r="M79" s="202"/>
      <c r="N79" s="202"/>
      <c r="O79" s="202"/>
      <c r="P79" s="202"/>
    </row>
    <row r="80" spans="1:16" x14ac:dyDescent="0.2">
      <c r="A80" s="159" t="s">
        <v>14</v>
      </c>
      <c r="B80" s="202"/>
      <c r="C80" s="617">
        <f>'Kops a'!C36:H36</f>
        <v>0</v>
      </c>
      <c r="D80" s="617"/>
      <c r="E80" s="617"/>
      <c r="F80" s="617"/>
      <c r="G80" s="617"/>
      <c r="H80" s="617"/>
      <c r="I80" s="202"/>
      <c r="J80" s="202"/>
      <c r="K80" s="202"/>
      <c r="L80" s="202"/>
      <c r="M80" s="202"/>
      <c r="N80" s="202"/>
      <c r="O80" s="202"/>
      <c r="P80" s="202"/>
    </row>
    <row r="81" spans="1:16" x14ac:dyDescent="0.2">
      <c r="A81" s="202"/>
      <c r="B81" s="202"/>
      <c r="C81" s="655" t="s">
        <v>15</v>
      </c>
      <c r="D81" s="655"/>
      <c r="E81" s="655"/>
      <c r="F81" s="655"/>
      <c r="G81" s="655"/>
      <c r="H81" s="655"/>
      <c r="I81" s="202"/>
      <c r="J81" s="202"/>
      <c r="K81" s="202"/>
      <c r="L81" s="202"/>
      <c r="M81" s="202"/>
      <c r="N81" s="202"/>
      <c r="O81" s="202"/>
      <c r="P81" s="202"/>
    </row>
    <row r="82" spans="1:16" x14ac:dyDescent="0.2">
      <c r="A82" s="202"/>
      <c r="B82" s="202"/>
      <c r="C82" s="381"/>
      <c r="D82" s="381"/>
      <c r="E82" s="381"/>
      <c r="F82" s="381"/>
      <c r="G82" s="381"/>
      <c r="H82" s="381"/>
      <c r="I82" s="202"/>
      <c r="J82" s="202"/>
      <c r="K82" s="202"/>
      <c r="L82" s="202"/>
      <c r="M82" s="202"/>
      <c r="N82" s="202"/>
      <c r="O82" s="202"/>
      <c r="P82" s="202"/>
    </row>
    <row r="83" spans="1:16" x14ac:dyDescent="0.2">
      <c r="A83" s="203" t="str">
        <f>'Kops a'!A39</f>
        <v>Tāme sastādīta 2021. gada</v>
      </c>
      <c r="B83" s="204"/>
      <c r="C83" s="382"/>
      <c r="D83" s="382"/>
      <c r="E83" s="381"/>
      <c r="F83" s="381"/>
      <c r="G83" s="381"/>
      <c r="H83" s="381"/>
      <c r="I83" s="202"/>
      <c r="J83" s="202"/>
      <c r="K83" s="202"/>
      <c r="L83" s="202"/>
      <c r="M83" s="202"/>
      <c r="N83" s="202"/>
      <c r="O83" s="202"/>
      <c r="P83" s="202"/>
    </row>
    <row r="84" spans="1:16" x14ac:dyDescent="0.2">
      <c r="A84" s="202"/>
      <c r="B84" s="202"/>
      <c r="C84" s="381"/>
      <c r="D84" s="381"/>
      <c r="E84" s="381"/>
      <c r="F84" s="381"/>
      <c r="G84" s="381"/>
      <c r="H84" s="381"/>
      <c r="I84" s="202"/>
      <c r="J84" s="202"/>
      <c r="K84" s="202"/>
      <c r="L84" s="202"/>
      <c r="M84" s="202"/>
      <c r="N84" s="202"/>
      <c r="O84" s="202"/>
      <c r="P84" s="202"/>
    </row>
    <row r="85" spans="1:16" x14ac:dyDescent="0.2">
      <c r="A85" s="159" t="s">
        <v>38</v>
      </c>
      <c r="B85" s="202"/>
      <c r="C85" s="617">
        <f>'Kops a'!C41:H41</f>
        <v>0</v>
      </c>
      <c r="D85" s="617"/>
      <c r="E85" s="617"/>
      <c r="F85" s="617"/>
      <c r="G85" s="617"/>
      <c r="H85" s="617"/>
      <c r="I85" s="202"/>
      <c r="J85" s="202"/>
      <c r="K85" s="202"/>
      <c r="L85" s="202"/>
      <c r="M85" s="202"/>
      <c r="N85" s="202"/>
      <c r="O85" s="202"/>
      <c r="P85" s="202"/>
    </row>
    <row r="86" spans="1:16" x14ac:dyDescent="0.2">
      <c r="A86" s="202"/>
      <c r="B86" s="202"/>
      <c r="C86" s="655" t="s">
        <v>15</v>
      </c>
      <c r="D86" s="655"/>
      <c r="E86" s="655"/>
      <c r="F86" s="655"/>
      <c r="G86" s="655"/>
      <c r="H86" s="655"/>
      <c r="I86" s="202"/>
      <c r="J86" s="202"/>
      <c r="K86" s="202"/>
      <c r="L86" s="202"/>
      <c r="M86" s="202"/>
      <c r="N86" s="202"/>
      <c r="O86" s="202"/>
      <c r="P86" s="202"/>
    </row>
    <row r="87" spans="1:16" x14ac:dyDescent="0.2">
      <c r="A87" s="202"/>
      <c r="B87" s="202"/>
      <c r="C87" s="383"/>
      <c r="D87" s="383"/>
      <c r="E87" s="383"/>
      <c r="F87" s="383"/>
      <c r="G87" s="383"/>
      <c r="H87" s="383"/>
      <c r="I87" s="202"/>
      <c r="J87" s="202"/>
      <c r="K87" s="202"/>
      <c r="L87" s="202"/>
      <c r="M87" s="202"/>
      <c r="N87" s="202"/>
      <c r="O87" s="202"/>
      <c r="P87" s="202"/>
    </row>
    <row r="88" spans="1:16" x14ac:dyDescent="0.2">
      <c r="A88" s="203" t="s">
        <v>53</v>
      </c>
      <c r="B88" s="204"/>
      <c r="C88" s="384">
        <f>'Kops a'!C44</f>
        <v>0</v>
      </c>
      <c r="D88" s="385"/>
      <c r="E88" s="383"/>
      <c r="F88" s="383"/>
      <c r="G88" s="383"/>
      <c r="H88" s="383"/>
      <c r="I88" s="202"/>
      <c r="J88" s="202"/>
      <c r="K88" s="202"/>
      <c r="L88" s="202"/>
      <c r="M88" s="202"/>
      <c r="N88" s="202"/>
      <c r="O88" s="202"/>
      <c r="P88" s="202"/>
    </row>
    <row r="90" spans="1:16" x14ac:dyDescent="0.2">
      <c r="A90" s="687" t="s">
        <v>687</v>
      </c>
      <c r="B90" s="688"/>
      <c r="C90" s="689"/>
      <c r="D90" s="689"/>
      <c r="E90" s="690"/>
      <c r="F90" s="691"/>
      <c r="G90" s="690"/>
      <c r="H90" s="692"/>
      <c r="I90" s="692"/>
      <c r="J90" s="693"/>
      <c r="K90" s="694"/>
      <c r="L90" s="694"/>
      <c r="M90" s="694"/>
      <c r="N90" s="694"/>
      <c r="O90" s="694"/>
    </row>
    <row r="91" spans="1:16" x14ac:dyDescent="0.2">
      <c r="A91" s="695" t="s">
        <v>688</v>
      </c>
      <c r="B91" s="695"/>
      <c r="C91" s="695"/>
      <c r="D91" s="695"/>
      <c r="E91" s="695"/>
      <c r="F91" s="695"/>
      <c r="G91" s="695"/>
      <c r="H91" s="695"/>
      <c r="I91" s="695"/>
      <c r="J91" s="695"/>
      <c r="K91" s="695"/>
      <c r="L91" s="695"/>
      <c r="M91" s="695"/>
      <c r="N91" s="695"/>
      <c r="O91" s="695"/>
    </row>
    <row r="92" spans="1:16" x14ac:dyDescent="0.2">
      <c r="A92" s="695" t="s">
        <v>689</v>
      </c>
      <c r="B92" s="695"/>
      <c r="C92" s="695"/>
      <c r="D92" s="695"/>
      <c r="E92" s="695"/>
      <c r="F92" s="695"/>
      <c r="G92" s="695"/>
      <c r="H92" s="695"/>
      <c r="I92" s="695"/>
      <c r="J92" s="695"/>
      <c r="K92" s="695"/>
      <c r="L92" s="695"/>
      <c r="M92" s="695"/>
      <c r="N92" s="695"/>
      <c r="O92" s="695"/>
    </row>
  </sheetData>
  <mergeCells count="24">
    <mergeCell ref="A91:O91"/>
    <mergeCell ref="A92:O92"/>
    <mergeCell ref="C2:I2"/>
    <mergeCell ref="C3:I3"/>
    <mergeCell ref="C4:I4"/>
    <mergeCell ref="D5:L5"/>
    <mergeCell ref="D6:L6"/>
    <mergeCell ref="D7:L7"/>
    <mergeCell ref="D8:L8"/>
    <mergeCell ref="A9:F9"/>
    <mergeCell ref="J9:M9"/>
    <mergeCell ref="N9:O9"/>
    <mergeCell ref="C85:H85"/>
    <mergeCell ref="C86:H86"/>
    <mergeCell ref="F12:K12"/>
    <mergeCell ref="L12:P12"/>
    <mergeCell ref="A77:K77"/>
    <mergeCell ref="C80:H80"/>
    <mergeCell ref="C81:H81"/>
    <mergeCell ref="A12:A13"/>
    <mergeCell ref="B12:B13"/>
    <mergeCell ref="C12:C13"/>
    <mergeCell ref="D12:D13"/>
    <mergeCell ref="E12:E13"/>
  </mergeCells>
  <conditionalFormatting sqref="C4:I4 D5:L8 C85:H85 C80:H80 B16:E76">
    <cfRule type="cellIs" dxfId="144" priority="9" operator="equal">
      <formula>0</formula>
    </cfRule>
  </conditionalFormatting>
  <conditionalFormatting sqref="N9:O9 C2:I2 C85:H85 C80:H80 D14:E15 A14:A76">
    <cfRule type="cellIs" dxfId="143" priority="10" operator="equal">
      <formula>0</formula>
    </cfRule>
  </conditionalFormatting>
  <conditionalFormatting sqref="A9:F9 A77:K77">
    <cfRule type="containsText" dxfId="142" priority="11" operator="containsText" text="Tāme sastādīta  20__. gada tirgus cenās, pamatojoties uz ___ daļas rasējumiem"/>
  </conditionalFormatting>
  <conditionalFormatting sqref="O10">
    <cfRule type="cellIs" dxfId="141" priority="13" operator="equal">
      <formula>"20__. gada __. _________"</formula>
    </cfRule>
  </conditionalFormatting>
  <conditionalFormatting sqref="B14:B15">
    <cfRule type="cellIs" dxfId="140" priority="19" operator="equal">
      <formula>0</formula>
    </cfRule>
  </conditionalFormatting>
  <conditionalFormatting sqref="C14:C15">
    <cfRule type="cellIs" dxfId="139" priority="20" operator="equal">
      <formula>0</formula>
    </cfRule>
  </conditionalFormatting>
  <conditionalFormatting sqref="P10">
    <cfRule type="cellIs" dxfId="138" priority="22" operator="equal">
      <formula>"20__. gada __. _________"</formula>
    </cfRule>
  </conditionalFormatting>
  <conditionalFormatting sqref="C88">
    <cfRule type="cellIs" dxfId="137" priority="25" operator="equal">
      <formula>0</formula>
    </cfRule>
  </conditionalFormatting>
  <conditionalFormatting sqref="D1">
    <cfRule type="cellIs" dxfId="136" priority="26" operator="equal">
      <formula>0</formula>
    </cfRule>
  </conditionalFormatting>
  <conditionalFormatting sqref="I14:J76 F14:G76">
    <cfRule type="cellIs" dxfId="135" priority="3" operator="equal">
      <formula>0</formula>
    </cfRule>
  </conditionalFormatting>
  <conditionalFormatting sqref="H14:H76 K14:P76">
    <cfRule type="cellIs" dxfId="134" priority="2" operator="equal">
      <formula>0</formula>
    </cfRule>
  </conditionalFormatting>
  <conditionalFormatting sqref="L77:P77">
    <cfRule type="cellIs" dxfId="133" priority="1" operator="equal">
      <formula>0</formula>
    </cfRule>
  </conditionalFormatting>
  <pageMargins left="0.19685039370078741" right="0.19685039370078741" top="0.75196850393700787" bottom="0.39370078740157483" header="0.51181102362204722" footer="0.51181102362204722"/>
  <pageSetup paperSize="9" scale="95" firstPageNumber="0" orientation="landscape" r:id="rId1"/>
  <rowBreaks count="1" manualBreakCount="1">
    <brk id="26"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V48"/>
  <sheetViews>
    <sheetView view="pageBreakPreview" topLeftCell="A22" zoomScaleSheetLayoutView="100" workbookViewId="0">
      <selection activeCell="J41" sqref="J41:J48"/>
    </sheetView>
  </sheetViews>
  <sheetFormatPr defaultColWidth="9.1640625" defaultRowHeight="11.25" x14ac:dyDescent="0.2"/>
  <cols>
    <col min="1" max="1" width="13.1640625" style="13" customWidth="1"/>
    <col min="2" max="2" width="29.83203125" style="13" customWidth="1"/>
    <col min="3" max="3" width="11.83203125" style="1" customWidth="1"/>
    <col min="4" max="4" width="8.1640625" style="2" customWidth="1"/>
    <col min="5" max="5" width="4.83203125" style="1" customWidth="1"/>
    <col min="6" max="7" width="8.1640625" style="1" customWidth="1"/>
    <col min="8" max="8" width="5.6640625" style="1" customWidth="1"/>
    <col min="9" max="9" width="6.6640625" style="1" customWidth="1"/>
    <col min="10" max="11" width="7.83203125" style="1" customWidth="1"/>
    <col min="12" max="12" width="9.83203125" style="1" customWidth="1"/>
    <col min="13" max="13" width="5.5" style="1" customWidth="1"/>
    <col min="14" max="16" width="6.83203125" style="1" customWidth="1"/>
    <col min="17" max="18" width="4.83203125" style="1" customWidth="1"/>
    <col min="19" max="19" width="6.33203125" style="1" customWidth="1"/>
    <col min="20" max="20" width="7.5" style="1" customWidth="1"/>
    <col min="21" max="21" width="7.6640625" style="1" customWidth="1"/>
    <col min="22" max="22" width="10.83203125" style="1" customWidth="1"/>
    <col min="23" max="16384" width="9.1640625" style="1"/>
  </cols>
  <sheetData>
    <row r="1" spans="2:22" x14ac:dyDescent="0.2">
      <c r="B1" s="14"/>
      <c r="C1" s="5"/>
      <c r="D1" s="5"/>
      <c r="E1" s="5"/>
      <c r="F1" s="5"/>
      <c r="G1" s="5"/>
      <c r="H1" s="5"/>
      <c r="I1" s="5"/>
      <c r="J1" s="5"/>
      <c r="K1" s="5"/>
      <c r="L1" s="658" t="s">
        <v>81</v>
      </c>
      <c r="M1" s="658"/>
      <c r="N1" s="658" t="s">
        <v>80</v>
      </c>
      <c r="O1" s="658"/>
      <c r="P1" s="658" t="s">
        <v>79</v>
      </c>
      <c r="Q1" s="658"/>
      <c r="R1" s="659" t="s">
        <v>78</v>
      </c>
      <c r="S1" s="659"/>
      <c r="T1" s="659"/>
      <c r="U1" s="659"/>
      <c r="V1" s="659"/>
    </row>
    <row r="2" spans="2:22" x14ac:dyDescent="0.2">
      <c r="B2" s="665" t="s">
        <v>77</v>
      </c>
      <c r="C2" s="658" t="s">
        <v>76</v>
      </c>
      <c r="D2" s="658"/>
      <c r="E2" s="658"/>
      <c r="F2" s="658" t="s">
        <v>75</v>
      </c>
      <c r="G2" s="658"/>
      <c r="H2" s="658" t="s">
        <v>74</v>
      </c>
      <c r="I2" s="658"/>
      <c r="J2" s="658"/>
      <c r="K2" s="5"/>
      <c r="L2" s="5"/>
      <c r="M2" s="5"/>
      <c r="N2" s="5" t="s">
        <v>73</v>
      </c>
      <c r="O2" s="5" t="s">
        <v>72</v>
      </c>
      <c r="P2" s="5" t="s">
        <v>71</v>
      </c>
      <c r="Q2" s="5" t="s">
        <v>72</v>
      </c>
      <c r="R2" s="657" t="s">
        <v>70</v>
      </c>
      <c r="S2" s="657" t="s">
        <v>69</v>
      </c>
      <c r="T2" s="657" t="s">
        <v>68</v>
      </c>
      <c r="U2" s="657" t="s">
        <v>67</v>
      </c>
      <c r="V2" s="660" t="s">
        <v>66</v>
      </c>
    </row>
    <row r="3" spans="2:22" ht="22.5" x14ac:dyDescent="0.2">
      <c r="B3" s="665"/>
      <c r="C3" s="10" t="s">
        <v>151</v>
      </c>
      <c r="D3" s="10" t="s">
        <v>65</v>
      </c>
      <c r="E3" s="5" t="s">
        <v>64</v>
      </c>
      <c r="F3" s="5" t="s">
        <v>63</v>
      </c>
      <c r="G3" s="5" t="s">
        <v>62</v>
      </c>
      <c r="H3" s="5" t="s">
        <v>61</v>
      </c>
      <c r="I3" s="10" t="str">
        <f>D3</f>
        <v>esošie PVC</v>
      </c>
      <c r="J3" s="11" t="str">
        <f>C3</f>
        <v>maināmie</v>
      </c>
      <c r="K3" s="10" t="s">
        <v>152</v>
      </c>
      <c r="L3" s="5" t="s">
        <v>60</v>
      </c>
      <c r="M3" s="5" t="s">
        <v>59</v>
      </c>
      <c r="N3" s="7">
        <v>0.25</v>
      </c>
      <c r="O3" s="7">
        <v>0.30000000000000004</v>
      </c>
      <c r="P3" s="5"/>
      <c r="Q3" s="5"/>
      <c r="R3" s="657"/>
      <c r="S3" s="657"/>
      <c r="T3" s="657"/>
      <c r="U3" s="657"/>
      <c r="V3" s="660"/>
    </row>
    <row r="4" spans="2:22" x14ac:dyDescent="0.2">
      <c r="B4" s="15" t="s">
        <v>264</v>
      </c>
      <c r="C4" s="4">
        <v>6</v>
      </c>
      <c r="D4" s="4">
        <v>21</v>
      </c>
      <c r="E4" s="6">
        <f>C4+D4</f>
        <v>27</v>
      </c>
      <c r="F4" s="4">
        <v>1.2</v>
      </c>
      <c r="G4" s="4">
        <v>1.4</v>
      </c>
      <c r="H4" s="6">
        <f t="shared" ref="H4:H13" si="0">F4*G4</f>
        <v>1.68</v>
      </c>
      <c r="I4" s="6">
        <f t="shared" ref="I4:I17" si="1">H4*D4</f>
        <v>35.28</v>
      </c>
      <c r="J4" s="19">
        <f t="shared" ref="J4:J17" si="2">H4*C4</f>
        <v>10.08</v>
      </c>
      <c r="K4" s="25">
        <f>(F4*2+G4*2)*E4</f>
        <v>140.39999999999998</v>
      </c>
      <c r="L4" s="6">
        <f t="shared" ref="L4:L13" si="3">(F4*2+G4*2)*E4</f>
        <v>140.39999999999998</v>
      </c>
      <c r="M4" s="6">
        <f t="shared" ref="M4:M17" si="4">(F4*2+G4*2)*C4</f>
        <v>31.199999999999996</v>
      </c>
      <c r="N4" s="6">
        <f t="shared" ref="N4:N13" si="5">L4*$N$3</f>
        <v>35.099999999999994</v>
      </c>
      <c r="O4" s="6">
        <f t="shared" ref="O4:O13" si="6">M4*$O$3</f>
        <v>9.36</v>
      </c>
      <c r="P4" s="6">
        <f t="shared" ref="P4:P13" si="7">E4*F4*1.05</f>
        <v>34.020000000000003</v>
      </c>
      <c r="Q4" s="6">
        <f t="shared" ref="Q4:Q17" si="8">F4*C4</f>
        <v>7.1999999999999993</v>
      </c>
      <c r="R4" s="6">
        <f t="shared" ref="R4:R13" si="9">E4*(F4+2*G4)</f>
        <v>108</v>
      </c>
      <c r="S4" s="6">
        <f t="shared" ref="S4:S13" si="10">R4</f>
        <v>108</v>
      </c>
      <c r="T4" s="6">
        <f t="shared" ref="T4:T13" si="11">E4*F4</f>
        <v>32.4</v>
      </c>
      <c r="U4" s="6">
        <f t="shared" ref="U4:U13" si="12">T4</f>
        <v>32.4</v>
      </c>
      <c r="V4" s="10"/>
    </row>
    <row r="5" spans="2:22" x14ac:dyDescent="0.2">
      <c r="B5" s="15" t="s">
        <v>265</v>
      </c>
      <c r="C5" s="4">
        <v>5</v>
      </c>
      <c r="D5" s="4">
        <v>23</v>
      </c>
      <c r="E5" s="6">
        <f t="shared" ref="E5:E17" si="13">C5+D5</f>
        <v>28</v>
      </c>
      <c r="F5" s="4">
        <v>2.4</v>
      </c>
      <c r="G5" s="4">
        <v>1.4</v>
      </c>
      <c r="H5" s="6">
        <f t="shared" si="0"/>
        <v>3.36</v>
      </c>
      <c r="I5" s="6">
        <f t="shared" si="1"/>
        <v>77.28</v>
      </c>
      <c r="J5" s="20">
        <f t="shared" si="2"/>
        <v>16.8</v>
      </c>
      <c r="K5" s="25">
        <f t="shared" ref="K5:K27" si="14">(F5*2+G5*2)*E5</f>
        <v>212.79999999999998</v>
      </c>
      <c r="L5" s="6">
        <f t="shared" si="3"/>
        <v>212.79999999999998</v>
      </c>
      <c r="M5" s="6">
        <f t="shared" si="4"/>
        <v>38</v>
      </c>
      <c r="N5" s="6">
        <f t="shared" si="5"/>
        <v>53.199999999999996</v>
      </c>
      <c r="O5" s="6">
        <f t="shared" si="6"/>
        <v>11.400000000000002</v>
      </c>
      <c r="P5" s="6">
        <f t="shared" si="7"/>
        <v>70.56</v>
      </c>
      <c r="Q5" s="6">
        <f t="shared" si="8"/>
        <v>12</v>
      </c>
      <c r="R5" s="6">
        <f t="shared" si="9"/>
        <v>145.59999999999997</v>
      </c>
      <c r="S5" s="6">
        <f t="shared" si="10"/>
        <v>145.59999999999997</v>
      </c>
      <c r="T5" s="6">
        <f t="shared" si="11"/>
        <v>67.2</v>
      </c>
      <c r="U5" s="6">
        <f t="shared" si="12"/>
        <v>67.2</v>
      </c>
      <c r="V5" s="10"/>
    </row>
    <row r="6" spans="2:22" x14ac:dyDescent="0.2">
      <c r="B6" s="32" t="s">
        <v>266</v>
      </c>
      <c r="C6" s="4">
        <v>3</v>
      </c>
      <c r="D6" s="4">
        <v>7</v>
      </c>
      <c r="E6" s="6">
        <f t="shared" si="13"/>
        <v>10</v>
      </c>
      <c r="F6" s="4">
        <v>1.4</v>
      </c>
      <c r="G6" s="4">
        <v>1.4</v>
      </c>
      <c r="H6" s="6">
        <f t="shared" si="0"/>
        <v>1.9599999999999997</v>
      </c>
      <c r="I6" s="6">
        <f t="shared" si="1"/>
        <v>13.719999999999999</v>
      </c>
      <c r="J6" s="20">
        <f t="shared" si="2"/>
        <v>5.879999999999999</v>
      </c>
      <c r="K6" s="25">
        <f t="shared" si="14"/>
        <v>56</v>
      </c>
      <c r="L6" s="6">
        <f t="shared" si="3"/>
        <v>56</v>
      </c>
      <c r="M6" s="6">
        <f t="shared" si="4"/>
        <v>16.799999999999997</v>
      </c>
      <c r="N6" s="6">
        <f t="shared" si="5"/>
        <v>14</v>
      </c>
      <c r="O6" s="6">
        <f t="shared" si="6"/>
        <v>5.04</v>
      </c>
      <c r="P6" s="6">
        <f t="shared" si="7"/>
        <v>14.700000000000001</v>
      </c>
      <c r="Q6" s="6">
        <f t="shared" si="8"/>
        <v>4.1999999999999993</v>
      </c>
      <c r="R6" s="6">
        <f t="shared" si="9"/>
        <v>41.999999999999993</v>
      </c>
      <c r="S6" s="6">
        <f t="shared" si="10"/>
        <v>41.999999999999993</v>
      </c>
      <c r="T6" s="6">
        <f t="shared" si="11"/>
        <v>14</v>
      </c>
      <c r="U6" s="6">
        <f t="shared" si="12"/>
        <v>14</v>
      </c>
      <c r="V6" s="10"/>
    </row>
    <row r="7" spans="2:22" x14ac:dyDescent="0.2">
      <c r="B7" s="32" t="s">
        <v>267</v>
      </c>
      <c r="C7" s="4">
        <f>C6</f>
        <v>3</v>
      </c>
      <c r="D7" s="4">
        <f>D6</f>
        <v>7</v>
      </c>
      <c r="E7" s="6">
        <f t="shared" si="13"/>
        <v>10</v>
      </c>
      <c r="F7" s="4">
        <v>0.7</v>
      </c>
      <c r="G7" s="4">
        <v>2</v>
      </c>
      <c r="H7" s="6">
        <f t="shared" si="0"/>
        <v>1.4</v>
      </c>
      <c r="I7" s="6">
        <f t="shared" si="1"/>
        <v>9.7999999999999989</v>
      </c>
      <c r="J7" s="20">
        <f t="shared" si="2"/>
        <v>4.1999999999999993</v>
      </c>
      <c r="K7" s="25">
        <f t="shared" si="14"/>
        <v>54</v>
      </c>
      <c r="L7" s="6">
        <f t="shared" si="3"/>
        <v>54</v>
      </c>
      <c r="M7" s="6">
        <f t="shared" si="4"/>
        <v>16.200000000000003</v>
      </c>
      <c r="N7" s="6">
        <f t="shared" si="5"/>
        <v>13.5</v>
      </c>
      <c r="O7" s="6">
        <f t="shared" si="6"/>
        <v>4.8600000000000012</v>
      </c>
      <c r="P7" s="6">
        <f t="shared" si="7"/>
        <v>7.3500000000000005</v>
      </c>
      <c r="Q7" s="6">
        <f t="shared" si="8"/>
        <v>2.0999999999999996</v>
      </c>
      <c r="R7" s="6">
        <f t="shared" si="9"/>
        <v>47</v>
      </c>
      <c r="S7" s="6">
        <f t="shared" si="10"/>
        <v>47</v>
      </c>
      <c r="T7" s="6">
        <f t="shared" si="11"/>
        <v>7</v>
      </c>
      <c r="U7" s="6">
        <f t="shared" si="12"/>
        <v>7</v>
      </c>
      <c r="V7" s="10"/>
    </row>
    <row r="8" spans="2:22" x14ac:dyDescent="0.2">
      <c r="B8" s="32" t="s">
        <v>268</v>
      </c>
      <c r="C8" s="4">
        <v>2</v>
      </c>
      <c r="D8" s="4">
        <v>18</v>
      </c>
      <c r="E8" s="6">
        <f t="shared" si="13"/>
        <v>20</v>
      </c>
      <c r="F8" s="4">
        <v>1.4</v>
      </c>
      <c r="G8" s="4">
        <v>1.4</v>
      </c>
      <c r="H8" s="6">
        <f t="shared" si="0"/>
        <v>1.9599999999999997</v>
      </c>
      <c r="I8" s="6">
        <f t="shared" si="1"/>
        <v>35.279999999999994</v>
      </c>
      <c r="J8" s="20">
        <f t="shared" si="2"/>
        <v>3.9199999999999995</v>
      </c>
      <c r="K8" s="25">
        <f t="shared" si="14"/>
        <v>112</v>
      </c>
      <c r="L8" s="6">
        <f t="shared" si="3"/>
        <v>112</v>
      </c>
      <c r="M8" s="6">
        <f t="shared" si="4"/>
        <v>11.2</v>
      </c>
      <c r="N8" s="6">
        <f t="shared" si="5"/>
        <v>28</v>
      </c>
      <c r="O8" s="6">
        <f t="shared" si="6"/>
        <v>3.3600000000000003</v>
      </c>
      <c r="P8" s="6">
        <f t="shared" si="7"/>
        <v>29.400000000000002</v>
      </c>
      <c r="Q8" s="6">
        <f t="shared" si="8"/>
        <v>2.8</v>
      </c>
      <c r="R8" s="6">
        <f t="shared" si="9"/>
        <v>83.999999999999986</v>
      </c>
      <c r="S8" s="6">
        <f t="shared" si="10"/>
        <v>83.999999999999986</v>
      </c>
      <c r="T8" s="6">
        <f t="shared" si="11"/>
        <v>28</v>
      </c>
      <c r="U8" s="6">
        <f t="shared" si="12"/>
        <v>28</v>
      </c>
      <c r="V8" s="10"/>
    </row>
    <row r="9" spans="2:22" x14ac:dyDescent="0.2">
      <c r="B9" s="32" t="s">
        <v>269</v>
      </c>
      <c r="C9" s="4">
        <f>C8</f>
        <v>2</v>
      </c>
      <c r="D9" s="4">
        <f>D8</f>
        <v>18</v>
      </c>
      <c r="E9" s="6">
        <f t="shared" si="13"/>
        <v>20</v>
      </c>
      <c r="F9" s="4">
        <v>0.7</v>
      </c>
      <c r="G9" s="4">
        <v>2</v>
      </c>
      <c r="H9" s="6">
        <f t="shared" si="0"/>
        <v>1.4</v>
      </c>
      <c r="I9" s="6">
        <f t="shared" si="1"/>
        <v>25.2</v>
      </c>
      <c r="J9" s="20">
        <f t="shared" si="2"/>
        <v>2.8</v>
      </c>
      <c r="K9" s="25">
        <f t="shared" si="14"/>
        <v>108</v>
      </c>
      <c r="L9" s="6">
        <f t="shared" si="3"/>
        <v>108</v>
      </c>
      <c r="M9" s="6">
        <f t="shared" si="4"/>
        <v>10.8</v>
      </c>
      <c r="N9" s="6">
        <f t="shared" si="5"/>
        <v>27</v>
      </c>
      <c r="O9" s="6">
        <f t="shared" si="6"/>
        <v>3.2400000000000007</v>
      </c>
      <c r="P9" s="6">
        <f t="shared" si="7"/>
        <v>14.700000000000001</v>
      </c>
      <c r="Q9" s="6">
        <f t="shared" si="8"/>
        <v>1.4</v>
      </c>
      <c r="R9" s="6">
        <f t="shared" si="9"/>
        <v>94</v>
      </c>
      <c r="S9" s="6">
        <f t="shared" si="10"/>
        <v>94</v>
      </c>
      <c r="T9" s="6">
        <f t="shared" si="11"/>
        <v>14</v>
      </c>
      <c r="U9" s="6">
        <f t="shared" si="12"/>
        <v>14</v>
      </c>
      <c r="V9" s="10"/>
    </row>
    <row r="10" spans="2:22" x14ac:dyDescent="0.2">
      <c r="B10" s="32" t="s">
        <v>270</v>
      </c>
      <c r="C10" s="4">
        <v>7</v>
      </c>
      <c r="D10" s="4">
        <v>7</v>
      </c>
      <c r="E10" s="6">
        <f t="shared" si="13"/>
        <v>14</v>
      </c>
      <c r="F10" s="4">
        <v>2.9</v>
      </c>
      <c r="G10" s="4">
        <v>0.55500000000000005</v>
      </c>
      <c r="H10" s="6">
        <f t="shared" si="0"/>
        <v>1.6095000000000002</v>
      </c>
      <c r="I10" s="6">
        <f t="shared" si="1"/>
        <v>11.266500000000001</v>
      </c>
      <c r="J10" s="20">
        <f t="shared" si="2"/>
        <v>11.266500000000001</v>
      </c>
      <c r="K10" s="25">
        <f t="shared" si="14"/>
        <v>96.740000000000009</v>
      </c>
      <c r="L10" s="6">
        <f t="shared" si="3"/>
        <v>96.740000000000009</v>
      </c>
      <c r="M10" s="6">
        <f t="shared" si="4"/>
        <v>48.370000000000005</v>
      </c>
      <c r="N10" s="6">
        <f t="shared" si="5"/>
        <v>24.185000000000002</v>
      </c>
      <c r="O10" s="6">
        <f t="shared" si="6"/>
        <v>14.511000000000003</v>
      </c>
      <c r="P10" s="6">
        <f t="shared" si="7"/>
        <v>42.63</v>
      </c>
      <c r="Q10" s="6">
        <f t="shared" si="8"/>
        <v>20.3</v>
      </c>
      <c r="R10" s="6">
        <f t="shared" si="9"/>
        <v>56.14</v>
      </c>
      <c r="S10" s="6">
        <f t="shared" si="10"/>
        <v>56.14</v>
      </c>
      <c r="T10" s="6">
        <f t="shared" si="11"/>
        <v>40.6</v>
      </c>
      <c r="U10" s="6">
        <f t="shared" si="12"/>
        <v>40.6</v>
      </c>
      <c r="V10" s="10"/>
    </row>
    <row r="11" spans="2:22" x14ac:dyDescent="0.2">
      <c r="B11" s="32" t="s">
        <v>271</v>
      </c>
      <c r="C11" s="4">
        <v>1</v>
      </c>
      <c r="D11" s="4">
        <v>1</v>
      </c>
      <c r="E11" s="6">
        <f t="shared" si="13"/>
        <v>2</v>
      </c>
      <c r="F11" s="4">
        <v>2.9</v>
      </c>
      <c r="G11" s="4">
        <v>0.55500000000000005</v>
      </c>
      <c r="H11" s="6">
        <f t="shared" si="0"/>
        <v>1.6095000000000002</v>
      </c>
      <c r="I11" s="6">
        <f t="shared" si="1"/>
        <v>1.6095000000000002</v>
      </c>
      <c r="J11" s="20">
        <f t="shared" si="2"/>
        <v>1.6095000000000002</v>
      </c>
      <c r="K11" s="25">
        <f t="shared" si="14"/>
        <v>13.82</v>
      </c>
      <c r="L11" s="6">
        <f t="shared" si="3"/>
        <v>13.82</v>
      </c>
      <c r="M11" s="6">
        <f t="shared" si="4"/>
        <v>6.91</v>
      </c>
      <c r="N11" s="6">
        <f t="shared" si="5"/>
        <v>3.4550000000000001</v>
      </c>
      <c r="O11" s="6">
        <f t="shared" si="6"/>
        <v>2.0730000000000004</v>
      </c>
      <c r="P11" s="6">
        <f t="shared" si="7"/>
        <v>6.09</v>
      </c>
      <c r="Q11" s="6">
        <f t="shared" si="8"/>
        <v>2.9</v>
      </c>
      <c r="R11" s="6">
        <f t="shared" si="9"/>
        <v>8.02</v>
      </c>
      <c r="S11" s="6">
        <f t="shared" si="10"/>
        <v>8.02</v>
      </c>
      <c r="T11" s="6">
        <f t="shared" si="11"/>
        <v>5.8</v>
      </c>
      <c r="U11" s="6">
        <f t="shared" si="12"/>
        <v>5.8</v>
      </c>
      <c r="V11" s="10"/>
    </row>
    <row r="12" spans="2:22" x14ac:dyDescent="0.2">
      <c r="B12" s="32" t="s">
        <v>272</v>
      </c>
      <c r="C12" s="4">
        <v>4</v>
      </c>
      <c r="D12" s="4">
        <v>4</v>
      </c>
      <c r="E12" s="6">
        <f t="shared" si="13"/>
        <v>8</v>
      </c>
      <c r="F12" s="4">
        <v>1.45</v>
      </c>
      <c r="G12" s="4">
        <v>0.55500000000000005</v>
      </c>
      <c r="H12" s="6">
        <f t="shared" si="0"/>
        <v>0.80475000000000008</v>
      </c>
      <c r="I12" s="6">
        <f t="shared" si="1"/>
        <v>3.2190000000000003</v>
      </c>
      <c r="J12" s="20">
        <f t="shared" si="2"/>
        <v>3.2190000000000003</v>
      </c>
      <c r="K12" s="25">
        <f t="shared" si="14"/>
        <v>32.08</v>
      </c>
      <c r="L12" s="6">
        <f t="shared" si="3"/>
        <v>32.08</v>
      </c>
      <c r="M12" s="6">
        <f t="shared" si="4"/>
        <v>16.04</v>
      </c>
      <c r="N12" s="6">
        <f t="shared" si="5"/>
        <v>8.02</v>
      </c>
      <c r="O12" s="6">
        <f t="shared" si="6"/>
        <v>4.8120000000000003</v>
      </c>
      <c r="P12" s="6">
        <f t="shared" si="7"/>
        <v>12.18</v>
      </c>
      <c r="Q12" s="6">
        <f t="shared" si="8"/>
        <v>5.8</v>
      </c>
      <c r="R12" s="6">
        <f t="shared" si="9"/>
        <v>20.48</v>
      </c>
      <c r="S12" s="6">
        <f t="shared" si="10"/>
        <v>20.48</v>
      </c>
      <c r="T12" s="6">
        <f t="shared" si="11"/>
        <v>11.6</v>
      </c>
      <c r="U12" s="6">
        <f t="shared" si="12"/>
        <v>11.6</v>
      </c>
      <c r="V12" s="10"/>
    </row>
    <row r="13" spans="2:22" x14ac:dyDescent="0.2">
      <c r="B13" s="32" t="s">
        <v>273</v>
      </c>
      <c r="C13" s="4">
        <v>1</v>
      </c>
      <c r="D13" s="4">
        <v>1</v>
      </c>
      <c r="E13" s="6">
        <f t="shared" si="13"/>
        <v>2</v>
      </c>
      <c r="F13" s="4">
        <v>2.9</v>
      </c>
      <c r="G13" s="4">
        <v>0.8</v>
      </c>
      <c r="H13" s="6">
        <f t="shared" si="0"/>
        <v>2.3199999999999998</v>
      </c>
      <c r="I13" s="6">
        <f t="shared" si="1"/>
        <v>2.3199999999999998</v>
      </c>
      <c r="J13" s="20">
        <f t="shared" si="2"/>
        <v>2.3199999999999998</v>
      </c>
      <c r="K13" s="25">
        <f t="shared" si="14"/>
        <v>14.8</v>
      </c>
      <c r="L13" s="6">
        <f t="shared" si="3"/>
        <v>14.8</v>
      </c>
      <c r="M13" s="6">
        <f t="shared" si="4"/>
        <v>7.4</v>
      </c>
      <c r="N13" s="6">
        <f t="shared" si="5"/>
        <v>3.7</v>
      </c>
      <c r="O13" s="6">
        <f t="shared" si="6"/>
        <v>2.2200000000000006</v>
      </c>
      <c r="P13" s="6">
        <f t="shared" si="7"/>
        <v>6.09</v>
      </c>
      <c r="Q13" s="6">
        <f t="shared" si="8"/>
        <v>2.9</v>
      </c>
      <c r="R13" s="6">
        <f t="shared" si="9"/>
        <v>9</v>
      </c>
      <c r="S13" s="6">
        <f t="shared" si="10"/>
        <v>9</v>
      </c>
      <c r="T13" s="6">
        <f t="shared" si="11"/>
        <v>5.8</v>
      </c>
      <c r="U13" s="6">
        <f t="shared" si="12"/>
        <v>5.8</v>
      </c>
      <c r="V13" s="10"/>
    </row>
    <row r="14" spans="2:22" x14ac:dyDescent="0.2">
      <c r="B14" s="32" t="s">
        <v>274</v>
      </c>
      <c r="C14" s="4">
        <v>5</v>
      </c>
      <c r="D14" s="4">
        <v>5</v>
      </c>
      <c r="E14" s="6">
        <f t="shared" si="13"/>
        <v>10</v>
      </c>
      <c r="F14" s="4">
        <v>1.2</v>
      </c>
      <c r="G14" s="4">
        <v>1.1000000000000001</v>
      </c>
      <c r="H14" s="6">
        <f t="shared" ref="H14:H17" si="15">F14*G14</f>
        <v>1.32</v>
      </c>
      <c r="I14" s="6">
        <f t="shared" si="1"/>
        <v>6.6000000000000005</v>
      </c>
      <c r="J14" s="20">
        <f t="shared" si="2"/>
        <v>6.6000000000000005</v>
      </c>
      <c r="K14" s="25">
        <f t="shared" ref="K14:K17" si="16">(F14*2+G14*2)*E14</f>
        <v>46</v>
      </c>
      <c r="L14" s="6">
        <f t="shared" ref="L14:L17" si="17">(F14*2+G14*2)*E14</f>
        <v>46</v>
      </c>
      <c r="M14" s="6">
        <f t="shared" si="4"/>
        <v>23</v>
      </c>
      <c r="N14" s="6">
        <f t="shared" ref="N14:N17" si="18">L14*$N$3</f>
        <v>11.5</v>
      </c>
      <c r="O14" s="6">
        <f t="shared" ref="O14:O17" si="19">M14*$O$3</f>
        <v>6.9000000000000012</v>
      </c>
      <c r="P14" s="6">
        <f t="shared" ref="P14:P17" si="20">E14*F14*1.05</f>
        <v>12.600000000000001</v>
      </c>
      <c r="Q14" s="6">
        <f t="shared" si="8"/>
        <v>6</v>
      </c>
      <c r="R14" s="6">
        <f t="shared" ref="R14:R17" si="21">E14*(F14+2*G14)</f>
        <v>34</v>
      </c>
      <c r="S14" s="6">
        <f t="shared" ref="S14:S17" si="22">R14</f>
        <v>34</v>
      </c>
      <c r="T14" s="6">
        <f t="shared" ref="T14:T17" si="23">E14*F14</f>
        <v>12</v>
      </c>
      <c r="U14" s="6">
        <f t="shared" ref="U14:U17" si="24">T14</f>
        <v>12</v>
      </c>
      <c r="V14" s="10"/>
    </row>
    <row r="15" spans="2:22" x14ac:dyDescent="0.2">
      <c r="B15" s="32" t="s">
        <v>275</v>
      </c>
      <c r="C15" s="4">
        <v>27</v>
      </c>
      <c r="D15" s="4">
        <v>11</v>
      </c>
      <c r="E15" s="6">
        <f t="shared" si="13"/>
        <v>38</v>
      </c>
      <c r="F15" s="4">
        <v>3</v>
      </c>
      <c r="G15" s="4">
        <v>1.5</v>
      </c>
      <c r="H15" s="6">
        <f t="shared" si="15"/>
        <v>4.5</v>
      </c>
      <c r="I15" s="6">
        <f t="shared" si="1"/>
        <v>49.5</v>
      </c>
      <c r="J15" s="20">
        <f t="shared" si="2"/>
        <v>121.5</v>
      </c>
      <c r="K15" s="25">
        <f t="shared" si="16"/>
        <v>342</v>
      </c>
      <c r="L15" s="6">
        <f t="shared" si="17"/>
        <v>342</v>
      </c>
      <c r="M15" s="6">
        <f t="shared" si="4"/>
        <v>243</v>
      </c>
      <c r="N15" s="6">
        <f t="shared" si="18"/>
        <v>85.5</v>
      </c>
      <c r="O15" s="6">
        <f t="shared" si="19"/>
        <v>72.900000000000006</v>
      </c>
      <c r="P15" s="6">
        <f t="shared" si="20"/>
        <v>119.7</v>
      </c>
      <c r="Q15" s="6">
        <f t="shared" si="8"/>
        <v>81</v>
      </c>
      <c r="R15" s="6">
        <f t="shared" si="21"/>
        <v>228</v>
      </c>
      <c r="S15" s="6">
        <f t="shared" si="22"/>
        <v>228</v>
      </c>
      <c r="T15" s="6">
        <f t="shared" si="23"/>
        <v>114</v>
      </c>
      <c r="U15" s="6">
        <f t="shared" si="24"/>
        <v>114</v>
      </c>
      <c r="V15" s="10"/>
    </row>
    <row r="16" spans="2:22" x14ac:dyDescent="0.2">
      <c r="B16" s="32" t="s">
        <v>276</v>
      </c>
      <c r="C16" s="4">
        <v>0</v>
      </c>
      <c r="D16" s="4">
        <v>18</v>
      </c>
      <c r="E16" s="6">
        <f t="shared" si="13"/>
        <v>18</v>
      </c>
      <c r="F16" s="4">
        <v>1.58</v>
      </c>
      <c r="G16" s="4">
        <v>0.67500000000000004</v>
      </c>
      <c r="H16" s="6">
        <f t="shared" si="15"/>
        <v>1.0665000000000002</v>
      </c>
      <c r="I16" s="6">
        <f t="shared" si="1"/>
        <v>19.197000000000003</v>
      </c>
      <c r="J16" s="20">
        <f t="shared" si="2"/>
        <v>0</v>
      </c>
      <c r="K16" s="25">
        <f t="shared" si="16"/>
        <v>81.179999999999993</v>
      </c>
      <c r="L16" s="6">
        <f t="shared" si="17"/>
        <v>81.179999999999993</v>
      </c>
      <c r="M16" s="6">
        <f t="shared" si="4"/>
        <v>0</v>
      </c>
      <c r="N16" s="6">
        <f t="shared" si="18"/>
        <v>20.294999999999998</v>
      </c>
      <c r="O16" s="6">
        <f t="shared" si="19"/>
        <v>0</v>
      </c>
      <c r="P16" s="6">
        <f t="shared" si="20"/>
        <v>29.862000000000002</v>
      </c>
      <c r="Q16" s="6">
        <f t="shared" si="8"/>
        <v>0</v>
      </c>
      <c r="R16" s="6">
        <f t="shared" si="21"/>
        <v>52.74</v>
      </c>
      <c r="S16" s="6">
        <f t="shared" si="22"/>
        <v>52.74</v>
      </c>
      <c r="T16" s="6">
        <f t="shared" si="23"/>
        <v>28.44</v>
      </c>
      <c r="U16" s="6">
        <f t="shared" si="24"/>
        <v>28.44</v>
      </c>
      <c r="V16" s="10"/>
    </row>
    <row r="17" spans="1:22" x14ac:dyDescent="0.2">
      <c r="B17" s="32" t="s">
        <v>277</v>
      </c>
      <c r="C17" s="4">
        <v>0</v>
      </c>
      <c r="D17" s="4">
        <v>1</v>
      </c>
      <c r="E17" s="6">
        <f t="shared" si="13"/>
        <v>1</v>
      </c>
      <c r="F17" s="4">
        <v>2.9</v>
      </c>
      <c r="G17" s="4">
        <v>0.8</v>
      </c>
      <c r="H17" s="6">
        <f t="shared" si="15"/>
        <v>2.3199999999999998</v>
      </c>
      <c r="I17" s="6">
        <f t="shared" si="1"/>
        <v>2.3199999999999998</v>
      </c>
      <c r="J17" s="20">
        <f t="shared" si="2"/>
        <v>0</v>
      </c>
      <c r="K17" s="25">
        <f t="shared" si="16"/>
        <v>7.4</v>
      </c>
      <c r="L17" s="6">
        <f t="shared" si="17"/>
        <v>7.4</v>
      </c>
      <c r="M17" s="6">
        <f t="shared" si="4"/>
        <v>0</v>
      </c>
      <c r="N17" s="6">
        <f t="shared" si="18"/>
        <v>1.85</v>
      </c>
      <c r="O17" s="6">
        <f t="shared" si="19"/>
        <v>0</v>
      </c>
      <c r="P17" s="6">
        <f t="shared" si="20"/>
        <v>3.0449999999999999</v>
      </c>
      <c r="Q17" s="6">
        <f t="shared" si="8"/>
        <v>0</v>
      </c>
      <c r="R17" s="6">
        <f t="shared" si="21"/>
        <v>4.5</v>
      </c>
      <c r="S17" s="6">
        <f t="shared" si="22"/>
        <v>4.5</v>
      </c>
      <c r="T17" s="6">
        <f t="shared" si="23"/>
        <v>2.9</v>
      </c>
      <c r="U17" s="6">
        <f t="shared" si="24"/>
        <v>2.9</v>
      </c>
      <c r="V17" s="10"/>
    </row>
    <row r="18" spans="1:22" x14ac:dyDescent="0.2">
      <c r="B18" s="15"/>
      <c r="C18" s="4"/>
      <c r="D18" s="6"/>
      <c r="E18" s="4"/>
      <c r="F18" s="4"/>
      <c r="G18" s="4"/>
      <c r="H18" s="6"/>
      <c r="I18" s="6"/>
      <c r="J18" s="20"/>
      <c r="K18" s="26">
        <f>SUM(K4:K17)</f>
        <v>1317.22</v>
      </c>
      <c r="L18" s="6"/>
      <c r="M18" s="6"/>
      <c r="N18" s="6"/>
      <c r="O18" s="6"/>
      <c r="P18" s="6"/>
      <c r="Q18" s="6"/>
      <c r="R18" s="6"/>
      <c r="S18" s="6"/>
      <c r="T18" s="6"/>
      <c r="U18" s="6"/>
      <c r="V18" s="10"/>
    </row>
    <row r="19" spans="1:22" ht="57.75" x14ac:dyDescent="0.2">
      <c r="B19" s="34" t="s">
        <v>279</v>
      </c>
      <c r="C19" s="12">
        <v>2</v>
      </c>
      <c r="D19" s="12">
        <v>2</v>
      </c>
      <c r="E19" s="6">
        <f>D19</f>
        <v>2</v>
      </c>
      <c r="F19" s="12">
        <v>1.3</v>
      </c>
      <c r="G19" s="12">
        <v>2</v>
      </c>
      <c r="H19" s="8">
        <f>F19*G19</f>
        <v>2.6</v>
      </c>
      <c r="I19" s="8">
        <f>H19*C19</f>
        <v>5.2</v>
      </c>
      <c r="J19" s="21">
        <f>H19*D19</f>
        <v>5.2</v>
      </c>
      <c r="K19" s="25">
        <f t="shared" si="14"/>
        <v>13.2</v>
      </c>
      <c r="L19" s="8">
        <f>(F19+G19*2)*E19</f>
        <v>10.6</v>
      </c>
      <c r="M19" s="8">
        <f>(F19+G19*2)*D19</f>
        <v>10.6</v>
      </c>
      <c r="N19" s="8"/>
      <c r="O19" s="8">
        <f>M19*$O$3</f>
        <v>3.18</v>
      </c>
      <c r="P19" s="8"/>
      <c r="Q19" s="8"/>
      <c r="R19" s="8">
        <f>E19*(F19+2*G19)</f>
        <v>10.6</v>
      </c>
      <c r="S19" s="8">
        <f>R19</f>
        <v>10.6</v>
      </c>
      <c r="T19" s="8">
        <f>E19*F19</f>
        <v>2.6</v>
      </c>
      <c r="U19" s="8"/>
      <c r="V19" s="5"/>
    </row>
    <row r="20" spans="1:22" ht="33" x14ac:dyDescent="0.2">
      <c r="B20" s="34" t="s">
        <v>280</v>
      </c>
      <c r="C20" s="12">
        <v>2</v>
      </c>
      <c r="D20" s="12">
        <v>2</v>
      </c>
      <c r="E20" s="6">
        <f t="shared" ref="E20:E24" si="25">D20</f>
        <v>2</v>
      </c>
      <c r="F20" s="12">
        <v>1.22</v>
      </c>
      <c r="G20" s="12">
        <v>2</v>
      </c>
      <c r="H20" s="8">
        <f>F20*G20</f>
        <v>2.44</v>
      </c>
      <c r="I20" s="8">
        <f>H20*C20</f>
        <v>4.88</v>
      </c>
      <c r="J20" s="21">
        <f>H20*D20</f>
        <v>4.88</v>
      </c>
      <c r="K20" s="25">
        <f t="shared" si="14"/>
        <v>12.879999999999999</v>
      </c>
      <c r="L20" s="8">
        <f>(F20+G20*2)*E20</f>
        <v>10.44</v>
      </c>
      <c r="M20" s="8">
        <f t="shared" ref="M20:M24" si="26">(F20+G20*2)*D20</f>
        <v>10.44</v>
      </c>
      <c r="N20" s="8"/>
      <c r="O20" s="8">
        <f>M20*$O$3</f>
        <v>3.1320000000000001</v>
      </c>
      <c r="P20" s="8"/>
      <c r="Q20" s="8"/>
      <c r="R20" s="8">
        <f>E20*(F20+2*G20)</f>
        <v>10.44</v>
      </c>
      <c r="S20" s="8">
        <f>R20</f>
        <v>10.44</v>
      </c>
      <c r="T20" s="8">
        <f>E20*F20</f>
        <v>2.44</v>
      </c>
      <c r="U20" s="8"/>
      <c r="V20" s="5"/>
    </row>
    <row r="21" spans="1:22" ht="33" x14ac:dyDescent="0.2">
      <c r="B21" s="34" t="s">
        <v>281</v>
      </c>
      <c r="C21" s="12">
        <v>2</v>
      </c>
      <c r="D21" s="12">
        <v>2</v>
      </c>
      <c r="E21" s="6">
        <f t="shared" si="25"/>
        <v>2</v>
      </c>
      <c r="F21" s="12">
        <v>0.9</v>
      </c>
      <c r="G21" s="12">
        <v>1.84</v>
      </c>
      <c r="H21" s="8">
        <f t="shared" ref="H21:H23" si="27">F21*G21</f>
        <v>1.6560000000000001</v>
      </c>
      <c r="I21" s="8">
        <f t="shared" ref="I21:I23" si="28">H21*C21</f>
        <v>3.3120000000000003</v>
      </c>
      <c r="J21" s="21">
        <f t="shared" ref="J21:J23" si="29">H21*D21</f>
        <v>3.3120000000000003</v>
      </c>
      <c r="K21" s="25">
        <f t="shared" ref="K21:K23" si="30">(F21*2+G21*2)*E21</f>
        <v>10.96</v>
      </c>
      <c r="L21" s="8">
        <f t="shared" ref="L21:L23" si="31">(F21+G21*2)*E21</f>
        <v>9.16</v>
      </c>
      <c r="M21" s="8">
        <f t="shared" ref="M21:M23" si="32">(F21+G21*2)*D21</f>
        <v>9.16</v>
      </c>
      <c r="N21" s="8"/>
      <c r="O21" s="8">
        <f t="shared" ref="O21:O23" si="33">M21*$O$3</f>
        <v>2.7480000000000007</v>
      </c>
      <c r="P21" s="8"/>
      <c r="Q21" s="8"/>
      <c r="R21" s="8">
        <f t="shared" ref="R21:R23" si="34">E21*(F21+2*G21)</f>
        <v>9.16</v>
      </c>
      <c r="S21" s="8">
        <f t="shared" ref="S21:S23" si="35">R21</f>
        <v>9.16</v>
      </c>
      <c r="T21" s="8">
        <f t="shared" ref="T21:T23" si="36">E21*F21</f>
        <v>1.8</v>
      </c>
      <c r="U21" s="8"/>
      <c r="V21" s="33"/>
    </row>
    <row r="22" spans="1:22" ht="74.25" x14ac:dyDescent="0.2">
      <c r="B22" s="34" t="s">
        <v>282</v>
      </c>
      <c r="C22" s="12">
        <v>2</v>
      </c>
      <c r="D22" s="12">
        <v>2</v>
      </c>
      <c r="E22" s="6">
        <f t="shared" si="25"/>
        <v>2</v>
      </c>
      <c r="F22" s="12">
        <v>1.4</v>
      </c>
      <c r="G22" s="12">
        <v>2.8</v>
      </c>
      <c r="H22" s="8">
        <f t="shared" si="27"/>
        <v>3.9199999999999995</v>
      </c>
      <c r="I22" s="8">
        <f t="shared" si="28"/>
        <v>7.839999999999999</v>
      </c>
      <c r="J22" s="21">
        <f t="shared" si="29"/>
        <v>7.839999999999999</v>
      </c>
      <c r="K22" s="25">
        <f t="shared" si="30"/>
        <v>16.799999999999997</v>
      </c>
      <c r="L22" s="8">
        <f t="shared" si="31"/>
        <v>14</v>
      </c>
      <c r="M22" s="8">
        <f t="shared" si="32"/>
        <v>14</v>
      </c>
      <c r="N22" s="8"/>
      <c r="O22" s="8">
        <f t="shared" si="33"/>
        <v>4.2000000000000011</v>
      </c>
      <c r="P22" s="8"/>
      <c r="Q22" s="8"/>
      <c r="R22" s="8">
        <f t="shared" si="34"/>
        <v>14</v>
      </c>
      <c r="S22" s="8">
        <f t="shared" si="35"/>
        <v>14</v>
      </c>
      <c r="T22" s="8">
        <f t="shared" si="36"/>
        <v>2.8</v>
      </c>
      <c r="U22" s="8"/>
      <c r="V22" s="33"/>
    </row>
    <row r="23" spans="1:22" x14ac:dyDescent="0.2">
      <c r="B23" s="34" t="s">
        <v>278</v>
      </c>
      <c r="C23" s="12">
        <v>0</v>
      </c>
      <c r="D23" s="12">
        <v>1</v>
      </c>
      <c r="E23" s="6">
        <f t="shared" si="25"/>
        <v>1</v>
      </c>
      <c r="F23" s="12">
        <v>1.4</v>
      </c>
      <c r="G23" s="12">
        <v>2.1</v>
      </c>
      <c r="H23" s="8">
        <f t="shared" si="27"/>
        <v>2.94</v>
      </c>
      <c r="I23" s="8">
        <f t="shared" si="28"/>
        <v>0</v>
      </c>
      <c r="J23" s="21">
        <f t="shared" si="29"/>
        <v>2.94</v>
      </c>
      <c r="K23" s="25">
        <f t="shared" si="30"/>
        <v>7</v>
      </c>
      <c r="L23" s="8">
        <f t="shared" si="31"/>
        <v>5.6</v>
      </c>
      <c r="M23" s="8">
        <f t="shared" si="32"/>
        <v>5.6</v>
      </c>
      <c r="N23" s="8"/>
      <c r="O23" s="8">
        <f t="shared" si="33"/>
        <v>1.6800000000000002</v>
      </c>
      <c r="P23" s="8"/>
      <c r="Q23" s="8"/>
      <c r="R23" s="8">
        <f t="shared" si="34"/>
        <v>5.6</v>
      </c>
      <c r="S23" s="8">
        <f t="shared" si="35"/>
        <v>5.6</v>
      </c>
      <c r="T23" s="8">
        <f t="shared" si="36"/>
        <v>1.4</v>
      </c>
      <c r="U23" s="8"/>
      <c r="V23" s="33"/>
    </row>
    <row r="24" spans="1:22" ht="74.25" x14ac:dyDescent="0.2">
      <c r="B24" s="34" t="s">
        <v>283</v>
      </c>
      <c r="C24" s="12">
        <v>2</v>
      </c>
      <c r="D24" s="12">
        <v>2</v>
      </c>
      <c r="E24" s="6">
        <f t="shared" si="25"/>
        <v>2</v>
      </c>
      <c r="F24" s="12">
        <v>0.9</v>
      </c>
      <c r="G24" s="12">
        <v>1.9</v>
      </c>
      <c r="H24" s="8">
        <f>F24*G24</f>
        <v>1.71</v>
      </c>
      <c r="I24" s="8">
        <f>H24*C24</f>
        <v>3.42</v>
      </c>
      <c r="J24" s="21">
        <f>H24*D24</f>
        <v>3.42</v>
      </c>
      <c r="K24" s="25">
        <f t="shared" si="14"/>
        <v>11.2</v>
      </c>
      <c r="L24" s="8">
        <f>(F24+G24*2)*E24</f>
        <v>9.4</v>
      </c>
      <c r="M24" s="8">
        <f t="shared" si="26"/>
        <v>9.4</v>
      </c>
      <c r="N24" s="8"/>
      <c r="O24" s="8">
        <f>M24*$O$3</f>
        <v>2.8200000000000007</v>
      </c>
      <c r="P24" s="8"/>
      <c r="Q24" s="8"/>
      <c r="R24" s="8">
        <f>E24*(F24+2*G24)</f>
        <v>9.4</v>
      </c>
      <c r="S24" s="8">
        <f>R24</f>
        <v>9.4</v>
      </c>
      <c r="T24" s="8">
        <f>E24*F24</f>
        <v>1.8</v>
      </c>
      <c r="U24" s="8"/>
      <c r="V24" s="5"/>
    </row>
    <row r="25" spans="1:22" x14ac:dyDescent="0.2">
      <c r="B25" s="16"/>
      <c r="C25" s="9"/>
      <c r="D25" s="12"/>
      <c r="E25" s="12"/>
      <c r="F25" s="12"/>
      <c r="G25" s="12"/>
      <c r="H25" s="8"/>
      <c r="I25" s="8"/>
      <c r="J25" s="21"/>
      <c r="K25" s="26">
        <f>SUM(K19:K24)</f>
        <v>72.039999999999992</v>
      </c>
      <c r="L25" s="8"/>
      <c r="M25" s="8"/>
      <c r="N25" s="8"/>
      <c r="O25" s="8"/>
      <c r="P25" s="8"/>
      <c r="Q25" s="8"/>
      <c r="R25" s="8"/>
      <c r="S25" s="8"/>
      <c r="T25" s="8"/>
      <c r="U25" s="8"/>
      <c r="V25" s="5"/>
    </row>
    <row r="26" spans="1:22" x14ac:dyDescent="0.2">
      <c r="B26" s="15" t="s">
        <v>153</v>
      </c>
      <c r="C26" s="6">
        <f>E26-D26</f>
        <v>0</v>
      </c>
      <c r="D26" s="4">
        <v>13</v>
      </c>
      <c r="E26" s="4">
        <v>13</v>
      </c>
      <c r="F26" s="4">
        <v>0.3</v>
      </c>
      <c r="G26" s="4">
        <v>0.3</v>
      </c>
      <c r="H26" s="6">
        <f>F26*G26</f>
        <v>0.09</v>
      </c>
      <c r="I26" s="6">
        <f>H26*C26</f>
        <v>0</v>
      </c>
      <c r="J26" s="20">
        <f>H26*D26</f>
        <v>1.17</v>
      </c>
      <c r="K26" s="25">
        <f t="shared" si="14"/>
        <v>15.6</v>
      </c>
      <c r="L26" s="6"/>
      <c r="M26" s="6"/>
      <c r="N26" s="6"/>
      <c r="O26" s="6">
        <f>M26*$O$3</f>
        <v>0</v>
      </c>
      <c r="P26" s="6"/>
      <c r="Q26" s="6"/>
      <c r="R26" s="6">
        <f>E26*(F26+2*G26)</f>
        <v>11.7</v>
      </c>
      <c r="S26" s="6">
        <f>R26</f>
        <v>11.7</v>
      </c>
      <c r="T26" s="6">
        <f>E26*F26</f>
        <v>3.9</v>
      </c>
      <c r="U26" s="6"/>
      <c r="V26" s="5"/>
    </row>
    <row r="27" spans="1:22" x14ac:dyDescent="0.2">
      <c r="B27" s="15" t="s">
        <v>154</v>
      </c>
      <c r="C27" s="6">
        <f>E27-D27</f>
        <v>0</v>
      </c>
      <c r="D27" s="4">
        <v>13</v>
      </c>
      <c r="E27" s="4">
        <v>13</v>
      </c>
      <c r="F27" s="4">
        <v>0.7</v>
      </c>
      <c r="G27" s="4">
        <v>0.35</v>
      </c>
      <c r="H27" s="6">
        <f>F27*G27</f>
        <v>0.24499999999999997</v>
      </c>
      <c r="I27" s="6">
        <f>H27*C27</f>
        <v>0</v>
      </c>
      <c r="J27" s="22">
        <f>H27*D27</f>
        <v>3.1849999999999996</v>
      </c>
      <c r="K27" s="25">
        <f t="shared" si="14"/>
        <v>27.299999999999997</v>
      </c>
      <c r="L27" s="6"/>
      <c r="M27" s="6"/>
      <c r="N27" s="6"/>
      <c r="O27" s="6">
        <f>M27*$O$3</f>
        <v>0</v>
      </c>
      <c r="P27" s="6"/>
      <c r="Q27" s="6"/>
      <c r="R27" s="6">
        <f>E27*(F27+2*G27)</f>
        <v>18.2</v>
      </c>
      <c r="S27" s="6">
        <f>R27</f>
        <v>18.2</v>
      </c>
      <c r="T27" s="6">
        <f>E27*F27</f>
        <v>9.1</v>
      </c>
      <c r="U27" s="6"/>
      <c r="V27" s="5"/>
    </row>
    <row r="28" spans="1:22" x14ac:dyDescent="0.2">
      <c r="A28" s="17" t="s">
        <v>58</v>
      </c>
      <c r="B28" s="18"/>
      <c r="E28" s="23">
        <f>SUM(E4:E25)</f>
        <v>219</v>
      </c>
      <c r="F28" s="24"/>
      <c r="G28" s="24"/>
      <c r="H28" s="24"/>
      <c r="I28" s="23"/>
      <c r="J28" s="23">
        <f>SUM(J4:J27)</f>
        <v>222.14199999999997</v>
      </c>
      <c r="K28" s="23">
        <f>SUM(K26:K27)</f>
        <v>42.9</v>
      </c>
      <c r="L28" s="23">
        <f t="shared" ref="L28:U28" si="37">SUM(L4:L27)</f>
        <v>1376.42</v>
      </c>
      <c r="M28" s="23">
        <f t="shared" si="37"/>
        <v>528.12</v>
      </c>
      <c r="N28" s="23">
        <f t="shared" si="37"/>
        <v>329.30500000000001</v>
      </c>
      <c r="O28" s="23">
        <f t="shared" si="37"/>
        <v>158.43600000000001</v>
      </c>
      <c r="P28" s="23">
        <f t="shared" si="37"/>
        <v>402.92700000000002</v>
      </c>
      <c r="Q28" s="23">
        <f t="shared" si="37"/>
        <v>148.6</v>
      </c>
      <c r="R28" s="23">
        <f t="shared" si="37"/>
        <v>1022.58</v>
      </c>
      <c r="S28" s="23">
        <f t="shared" si="37"/>
        <v>1022.58</v>
      </c>
      <c r="T28" s="23">
        <f t="shared" si="37"/>
        <v>409.58</v>
      </c>
      <c r="U28" s="23">
        <f t="shared" si="37"/>
        <v>383.73999999999995</v>
      </c>
      <c r="V28" s="3">
        <v>95</v>
      </c>
    </row>
    <row r="29" spans="1:22" x14ac:dyDescent="0.2">
      <c r="B29" s="29"/>
      <c r="C29" s="663" t="s">
        <v>169</v>
      </c>
      <c r="D29" s="664"/>
      <c r="E29" s="664"/>
      <c r="F29" s="664"/>
      <c r="G29" s="663" t="s">
        <v>170</v>
      </c>
      <c r="H29" s="664"/>
      <c r="I29" s="664"/>
      <c r="J29" s="664"/>
      <c r="K29" s="2"/>
      <c r="L29" s="2"/>
      <c r="M29" s="2"/>
      <c r="N29" s="2"/>
    </row>
    <row r="30" spans="1:22" x14ac:dyDescent="0.2">
      <c r="B30" s="30" t="s">
        <v>157</v>
      </c>
      <c r="C30" s="28" t="s">
        <v>159</v>
      </c>
      <c r="D30" s="28" t="s">
        <v>158</v>
      </c>
      <c r="E30" s="28" t="s">
        <v>76</v>
      </c>
      <c r="F30" s="27" t="s">
        <v>167</v>
      </c>
      <c r="G30" s="28" t="s">
        <v>159</v>
      </c>
      <c r="H30" s="28" t="s">
        <v>158</v>
      </c>
      <c r="I30" s="28" t="s">
        <v>76</v>
      </c>
      <c r="J30" s="27" t="s">
        <v>167</v>
      </c>
      <c r="K30" s="2"/>
      <c r="L30" s="2"/>
      <c r="M30" s="2"/>
      <c r="N30" s="2"/>
    </row>
    <row r="31" spans="1:22" x14ac:dyDescent="0.2">
      <c r="B31" s="30" t="s">
        <v>160</v>
      </c>
      <c r="C31" s="4">
        <f>0.05*0.12</f>
        <v>6.0000000000000001E-3</v>
      </c>
      <c r="D31" s="28">
        <v>15</v>
      </c>
      <c r="E31" s="28">
        <v>21</v>
      </c>
      <c r="F31" s="31">
        <f>E31*D31*C31</f>
        <v>1.8900000000000001</v>
      </c>
      <c r="G31" s="4">
        <f>0.05*0.03</f>
        <v>1.5E-3</v>
      </c>
      <c r="H31" s="28">
        <v>15</v>
      </c>
      <c r="I31" s="28">
        <v>21</v>
      </c>
      <c r="J31" s="31">
        <f>I31*H31*G31</f>
        <v>0.47250000000000003</v>
      </c>
      <c r="K31" s="2"/>
      <c r="L31" s="2"/>
      <c r="M31" s="2"/>
      <c r="N31" s="2"/>
    </row>
    <row r="32" spans="1:22" x14ac:dyDescent="0.2">
      <c r="B32" s="30" t="s">
        <v>161</v>
      </c>
      <c r="C32" s="28">
        <f>C31</f>
        <v>6.0000000000000001E-3</v>
      </c>
      <c r="D32" s="28">
        <v>10.9</v>
      </c>
      <c r="E32" s="28">
        <v>3</v>
      </c>
      <c r="F32" s="31">
        <f t="shared" ref="F32:F38" si="38">E32*D32*C32</f>
        <v>0.19620000000000001</v>
      </c>
      <c r="G32" s="28">
        <f>G31</f>
        <v>1.5E-3</v>
      </c>
      <c r="H32" s="28">
        <v>10.9</v>
      </c>
      <c r="I32" s="28">
        <v>3</v>
      </c>
      <c r="J32" s="31">
        <f t="shared" ref="J32:J38" si="39">I32*H32*G32</f>
        <v>4.9050000000000003E-2</v>
      </c>
      <c r="K32" s="2"/>
      <c r="L32" s="2"/>
      <c r="M32" s="2"/>
      <c r="N32" s="2"/>
    </row>
    <row r="33" spans="1:15" x14ac:dyDescent="0.2">
      <c r="B33" s="30" t="s">
        <v>162</v>
      </c>
      <c r="C33" s="28">
        <f t="shared" ref="C33:C37" si="40">C32</f>
        <v>6.0000000000000001E-3</v>
      </c>
      <c r="D33" s="28">
        <v>10.3</v>
      </c>
      <c r="E33" s="28">
        <v>3</v>
      </c>
      <c r="F33" s="31">
        <f t="shared" si="38"/>
        <v>0.18540000000000001</v>
      </c>
      <c r="G33" s="28">
        <f t="shared" ref="G33:G38" si="41">G32</f>
        <v>1.5E-3</v>
      </c>
      <c r="H33" s="28">
        <v>10.3</v>
      </c>
      <c r="I33" s="28">
        <v>3</v>
      </c>
      <c r="J33" s="31">
        <f t="shared" si="39"/>
        <v>4.6350000000000002E-2</v>
      </c>
      <c r="K33" s="2"/>
      <c r="L33" s="2"/>
      <c r="M33" s="2"/>
      <c r="N33" s="2"/>
    </row>
    <row r="34" spans="1:15" x14ac:dyDescent="0.2">
      <c r="B34" s="30" t="s">
        <v>163</v>
      </c>
      <c r="C34" s="28">
        <f t="shared" si="40"/>
        <v>6.0000000000000001E-3</v>
      </c>
      <c r="D34" s="28">
        <v>14.2</v>
      </c>
      <c r="E34" s="28">
        <v>3</v>
      </c>
      <c r="F34" s="31">
        <f t="shared" si="38"/>
        <v>0.25559999999999999</v>
      </c>
      <c r="G34" s="28">
        <f t="shared" si="41"/>
        <v>1.5E-3</v>
      </c>
      <c r="H34" s="28">
        <v>14.2</v>
      </c>
      <c r="I34" s="28">
        <v>3</v>
      </c>
      <c r="J34" s="31">
        <f t="shared" si="39"/>
        <v>6.3899999999999998E-2</v>
      </c>
      <c r="K34" s="2"/>
      <c r="L34" s="2"/>
      <c r="M34" s="2"/>
      <c r="N34" s="2"/>
      <c r="O34" s="2"/>
    </row>
    <row r="35" spans="1:15" x14ac:dyDescent="0.2">
      <c r="B35" s="30" t="s">
        <v>164</v>
      </c>
      <c r="C35" s="28">
        <f t="shared" si="40"/>
        <v>6.0000000000000001E-3</v>
      </c>
      <c r="D35" s="28">
        <v>5.0999999999999996</v>
      </c>
      <c r="E35" s="28">
        <v>12</v>
      </c>
      <c r="F35" s="31">
        <f t="shared" si="38"/>
        <v>0.36719999999999997</v>
      </c>
      <c r="G35" s="28">
        <f t="shared" si="41"/>
        <v>1.5E-3</v>
      </c>
      <c r="H35" s="28">
        <v>5.0999999999999996</v>
      </c>
      <c r="I35" s="28">
        <v>12</v>
      </c>
      <c r="J35" s="31">
        <f t="shared" si="39"/>
        <v>9.1799999999999993E-2</v>
      </c>
      <c r="K35" s="2"/>
      <c r="L35" s="2"/>
      <c r="M35" s="2"/>
      <c r="N35" s="2"/>
      <c r="O35" s="2"/>
    </row>
    <row r="36" spans="1:15" x14ac:dyDescent="0.2">
      <c r="B36" s="30" t="s">
        <v>165</v>
      </c>
      <c r="C36" s="28">
        <f t="shared" si="40"/>
        <v>6.0000000000000001E-3</v>
      </c>
      <c r="D36" s="28">
        <v>14.2</v>
      </c>
      <c r="E36" s="28">
        <v>6</v>
      </c>
      <c r="F36" s="31">
        <f t="shared" si="38"/>
        <v>0.51119999999999999</v>
      </c>
      <c r="G36" s="28">
        <f t="shared" si="41"/>
        <v>1.5E-3</v>
      </c>
      <c r="H36" s="28">
        <v>14.2</v>
      </c>
      <c r="I36" s="28">
        <v>6</v>
      </c>
      <c r="J36" s="31">
        <f t="shared" si="39"/>
        <v>0.1278</v>
      </c>
      <c r="O36" s="2"/>
    </row>
    <row r="37" spans="1:15" x14ac:dyDescent="0.2">
      <c r="B37" s="30" t="s">
        <v>166</v>
      </c>
      <c r="C37" s="28">
        <f t="shared" si="40"/>
        <v>6.0000000000000001E-3</v>
      </c>
      <c r="D37" s="28">
        <v>14.2</v>
      </c>
      <c r="E37" s="28">
        <v>6</v>
      </c>
      <c r="F37" s="31">
        <f t="shared" si="38"/>
        <v>0.51119999999999999</v>
      </c>
      <c r="G37" s="28">
        <f t="shared" si="41"/>
        <v>1.5E-3</v>
      </c>
      <c r="H37" s="28">
        <v>14.2</v>
      </c>
      <c r="I37" s="28">
        <v>6</v>
      </c>
      <c r="J37" s="31">
        <f t="shared" si="39"/>
        <v>0.1278</v>
      </c>
      <c r="O37" s="2"/>
    </row>
    <row r="38" spans="1:15" x14ac:dyDescent="0.2">
      <c r="B38" s="30" t="s">
        <v>168</v>
      </c>
      <c r="C38" s="28">
        <f t="shared" ref="C38" si="42">C37</f>
        <v>6.0000000000000001E-3</v>
      </c>
      <c r="D38" s="28">
        <v>15</v>
      </c>
      <c r="E38" s="28">
        <v>9</v>
      </c>
      <c r="F38" s="31">
        <f t="shared" si="38"/>
        <v>0.81</v>
      </c>
      <c r="G38" s="28">
        <f t="shared" si="41"/>
        <v>1.5E-3</v>
      </c>
      <c r="H38" s="28">
        <v>15</v>
      </c>
      <c r="I38" s="28">
        <v>9</v>
      </c>
      <c r="J38" s="31">
        <f t="shared" si="39"/>
        <v>0.20250000000000001</v>
      </c>
      <c r="O38" s="2"/>
    </row>
    <row r="39" spans="1:15" x14ac:dyDescent="0.2">
      <c r="B39" s="30"/>
      <c r="C39" s="27"/>
      <c r="D39" s="28"/>
      <c r="E39" s="28"/>
      <c r="F39" s="31">
        <f>SUM(F31:F38)</f>
        <v>4.7268000000000008</v>
      </c>
      <c r="G39" s="27"/>
      <c r="H39" s="28"/>
      <c r="I39" s="28"/>
      <c r="J39" s="31">
        <f>SUM(J31:J38)</f>
        <v>1.1817000000000002</v>
      </c>
      <c r="O39" s="2"/>
    </row>
    <row r="40" spans="1:15" ht="41.25" x14ac:dyDescent="0.2">
      <c r="B40" s="37" t="s">
        <v>287</v>
      </c>
      <c r="C40" s="38" t="s">
        <v>288</v>
      </c>
      <c r="D40" s="38" t="s">
        <v>289</v>
      </c>
      <c r="E40" s="37" t="s">
        <v>290</v>
      </c>
      <c r="F40" s="37" t="s">
        <v>291</v>
      </c>
      <c r="G40" s="37" t="s">
        <v>292</v>
      </c>
      <c r="H40" s="37" t="s">
        <v>293</v>
      </c>
      <c r="I40" s="37" t="s">
        <v>294</v>
      </c>
      <c r="J40" s="37" t="s">
        <v>295</v>
      </c>
      <c r="O40" s="2"/>
    </row>
    <row r="41" spans="1:15" x14ac:dyDescent="0.2">
      <c r="B41" s="661" t="s">
        <v>296</v>
      </c>
      <c r="C41" s="662"/>
      <c r="D41" s="39" t="s">
        <v>91</v>
      </c>
      <c r="E41" s="39">
        <v>12</v>
      </c>
      <c r="F41" s="39"/>
      <c r="G41" s="39"/>
      <c r="H41" s="40"/>
      <c r="I41" s="40"/>
      <c r="J41" s="53">
        <f>E41</f>
        <v>12</v>
      </c>
    </row>
    <row r="42" spans="1:15" s="35" customFormat="1" ht="33" x14ac:dyDescent="0.15">
      <c r="A42" s="50"/>
      <c r="B42" s="41">
        <v>1</v>
      </c>
      <c r="C42" s="51" t="s">
        <v>286</v>
      </c>
      <c r="D42" s="52" t="s">
        <v>88</v>
      </c>
      <c r="E42" s="52">
        <f>17*2</f>
        <v>34</v>
      </c>
      <c r="F42" s="42"/>
      <c r="G42" s="42"/>
      <c r="H42" s="42"/>
      <c r="I42" s="42"/>
      <c r="J42" s="52">
        <f>E42</f>
        <v>34</v>
      </c>
    </row>
    <row r="43" spans="1:15" x14ac:dyDescent="0.15">
      <c r="B43" s="42">
        <v>2</v>
      </c>
      <c r="C43" s="43" t="s">
        <v>237</v>
      </c>
      <c r="D43" s="44" t="s">
        <v>91</v>
      </c>
      <c r="E43" s="45">
        <f>E41*8</f>
        <v>96</v>
      </c>
      <c r="F43" s="45">
        <v>150</v>
      </c>
      <c r="G43" s="45">
        <f>F43*E43/1000</f>
        <v>14.4</v>
      </c>
      <c r="H43" s="46">
        <v>4.79</v>
      </c>
      <c r="I43" s="46">
        <f>F43*H43/1000</f>
        <v>0.71850000000000003</v>
      </c>
      <c r="J43" s="52">
        <f>H43*G43</f>
        <v>68.975999999999999</v>
      </c>
    </row>
    <row r="44" spans="1:15" x14ac:dyDescent="0.15">
      <c r="B44" s="42">
        <v>3</v>
      </c>
      <c r="C44" s="43" t="s">
        <v>238</v>
      </c>
      <c r="D44" s="44" t="s">
        <v>91</v>
      </c>
      <c r="E44" s="45">
        <f>8*E41</f>
        <v>96</v>
      </c>
      <c r="F44" s="45"/>
      <c r="G44" s="45"/>
      <c r="H44" s="46"/>
      <c r="I44" s="46"/>
      <c r="J44" s="54">
        <f>E44</f>
        <v>96</v>
      </c>
    </row>
    <row r="45" spans="1:15" x14ac:dyDescent="0.15">
      <c r="B45" s="41">
        <v>4</v>
      </c>
      <c r="C45" s="43" t="s">
        <v>239</v>
      </c>
      <c r="D45" s="44" t="s">
        <v>88</v>
      </c>
      <c r="E45" s="47">
        <f>E41*7.8208</f>
        <v>93.849600000000009</v>
      </c>
      <c r="F45" s="47"/>
      <c r="G45" s="47"/>
      <c r="H45" s="48">
        <v>0.39500000000000002</v>
      </c>
      <c r="I45" s="48"/>
      <c r="J45" s="55">
        <f>H45*E45</f>
        <v>37.070592000000005</v>
      </c>
    </row>
    <row r="46" spans="1:15" x14ac:dyDescent="0.15">
      <c r="B46" s="42">
        <v>5</v>
      </c>
      <c r="C46" s="49" t="s">
        <v>240</v>
      </c>
      <c r="D46" s="42" t="s">
        <v>88</v>
      </c>
      <c r="E46" s="46">
        <f>E41*4.032</f>
        <v>48.384</v>
      </c>
      <c r="F46" s="46"/>
      <c r="G46" s="46"/>
      <c r="H46" s="48">
        <v>0.222</v>
      </c>
      <c r="I46" s="48"/>
      <c r="J46" s="55">
        <f>E46*H46</f>
        <v>10.741248000000001</v>
      </c>
    </row>
    <row r="47" spans="1:15" x14ac:dyDescent="0.15">
      <c r="B47" s="42">
        <v>6</v>
      </c>
      <c r="C47" s="49" t="s">
        <v>241</v>
      </c>
      <c r="D47" s="42" t="s">
        <v>56</v>
      </c>
      <c r="E47" s="46">
        <f>(2*0.003*3.14*E46)+(3.14*0.003^2*2*10)+(2*0.004*3.14*E45)+(3.14*0.004^2*2*14)+(0.04025*8)</f>
        <v>3.5930284320000001</v>
      </c>
      <c r="F47" s="46"/>
      <c r="G47" s="46"/>
      <c r="H47" s="42"/>
      <c r="I47" s="42"/>
      <c r="J47" s="55">
        <f>E47</f>
        <v>3.5930284320000001</v>
      </c>
    </row>
    <row r="48" spans="1:15" x14ac:dyDescent="0.15">
      <c r="B48" s="41">
        <v>7</v>
      </c>
      <c r="C48" s="43" t="s">
        <v>242</v>
      </c>
      <c r="D48" s="44" t="s">
        <v>297</v>
      </c>
      <c r="E48" s="48">
        <f>0.15*(3.14*0.25^2)*E41</f>
        <v>0.35324999999999995</v>
      </c>
      <c r="F48" s="49"/>
      <c r="G48" s="49"/>
      <c r="H48" s="49"/>
      <c r="I48" s="49"/>
      <c r="J48" s="56">
        <f>E48</f>
        <v>0.35324999999999995</v>
      </c>
    </row>
  </sheetData>
  <mergeCells count="16">
    <mergeCell ref="B41:C41"/>
    <mergeCell ref="C29:F29"/>
    <mergeCell ref="G29:J29"/>
    <mergeCell ref="R2:R3"/>
    <mergeCell ref="B2:B3"/>
    <mergeCell ref="C2:E2"/>
    <mergeCell ref="F2:G2"/>
    <mergeCell ref="H2:J2"/>
    <mergeCell ref="S2:S3"/>
    <mergeCell ref="T2:T3"/>
    <mergeCell ref="L1:M1"/>
    <mergeCell ref="N1:O1"/>
    <mergeCell ref="R1:V1"/>
    <mergeCell ref="U2:U3"/>
    <mergeCell ref="V2:V3"/>
    <mergeCell ref="P1:Q1"/>
  </mergeCells>
  <phoneticPr fontId="22" type="noConversion"/>
  <pageMargins left="0.19685039370078741" right="0.19685039370078741" top="0.75196850393700787" bottom="0.39370078740157483" header="0.51181102362204722" footer="0.51181102362204722"/>
  <pageSetup paperSize="9" scale="62" orientation="landscape" r:id="rId1"/>
  <ignoredErrors>
    <ignoredError sqref="T26:T27 T24 T4:T13 T19:T20 K26:K28 K19:K20 K24 K18 K25 K21:K23 T14:T17"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P36"/>
  <sheetViews>
    <sheetView view="pageBreakPreview" topLeftCell="A7" zoomScale="115" zoomScaleNormal="100" zoomScaleSheetLayoutView="115" workbookViewId="0">
      <selection activeCell="P21" sqref="P21"/>
    </sheetView>
  </sheetViews>
  <sheetFormatPr defaultColWidth="8.6640625" defaultRowHeight="11.25" x14ac:dyDescent="0.2"/>
  <cols>
    <col min="1" max="1" width="4.5" style="159" customWidth="1"/>
    <col min="2" max="2" width="5.83203125" style="159" customWidth="1"/>
    <col min="3" max="3" width="38.33203125" style="159" customWidth="1"/>
    <col min="4" max="4" width="5.83203125" style="159" customWidth="1"/>
    <col min="5" max="5" width="8.6640625" style="159" customWidth="1"/>
    <col min="6" max="6" width="5.33203125" style="159" customWidth="1"/>
    <col min="7" max="7" width="4.83203125" style="159" customWidth="1"/>
    <col min="8" max="10" width="6.6640625" style="159" customWidth="1"/>
    <col min="11" max="11" width="6.83203125" style="159" customWidth="1"/>
    <col min="12" max="13" width="7.6640625" style="159" customWidth="1"/>
    <col min="14" max="14" width="8.6640625" style="159" customWidth="1"/>
    <col min="15" max="15" width="7.6640625" style="159" customWidth="1"/>
    <col min="16" max="16" width="8.83203125" style="159" customWidth="1"/>
    <col min="17" max="1024" width="9.1640625" style="159" customWidth="1"/>
    <col min="1025" max="16384" width="8.6640625" style="159"/>
  </cols>
  <sheetData>
    <row r="1" spans="1:16" x14ac:dyDescent="0.2">
      <c r="A1" s="156"/>
      <c r="B1" s="156"/>
      <c r="C1" s="157" t="s">
        <v>39</v>
      </c>
      <c r="D1" s="158">
        <f>'Kops a'!A18</f>
        <v>4</v>
      </c>
      <c r="E1" s="156"/>
      <c r="F1" s="156"/>
      <c r="G1" s="156"/>
      <c r="H1" s="156"/>
      <c r="I1" s="156"/>
      <c r="J1" s="156"/>
      <c r="N1" s="160"/>
      <c r="O1" s="157"/>
      <c r="P1" s="161"/>
    </row>
    <row r="2" spans="1:16" x14ac:dyDescent="0.2">
      <c r="A2" s="162"/>
      <c r="B2" s="162"/>
      <c r="C2" s="630" t="s">
        <v>128</v>
      </c>
      <c r="D2" s="630"/>
      <c r="E2" s="630"/>
      <c r="F2" s="630"/>
      <c r="G2" s="630"/>
      <c r="H2" s="630"/>
      <c r="I2" s="630"/>
      <c r="J2" s="162"/>
    </row>
    <row r="3" spans="1:16" x14ac:dyDescent="0.2">
      <c r="A3" s="163"/>
      <c r="B3" s="163"/>
      <c r="C3" s="604" t="s">
        <v>18</v>
      </c>
      <c r="D3" s="604"/>
      <c r="E3" s="604"/>
      <c r="F3" s="604"/>
      <c r="G3" s="604"/>
      <c r="H3" s="604"/>
      <c r="I3" s="604"/>
      <c r="J3" s="163"/>
    </row>
    <row r="4" spans="1:16" x14ac:dyDescent="0.2">
      <c r="A4" s="163"/>
      <c r="B4" s="163"/>
      <c r="C4" s="631" t="s">
        <v>4</v>
      </c>
      <c r="D4" s="631"/>
      <c r="E4" s="631"/>
      <c r="F4" s="631"/>
      <c r="G4" s="631"/>
      <c r="H4" s="631"/>
      <c r="I4" s="631"/>
      <c r="J4" s="163"/>
    </row>
    <row r="5" spans="1:16" x14ac:dyDescent="0.2">
      <c r="A5" s="156"/>
      <c r="B5" s="156"/>
      <c r="C5" s="157" t="s">
        <v>5</v>
      </c>
      <c r="D5" s="626" t="str">
        <f>'Kops a'!D6</f>
        <v>Daudzīvokļu dzīvojamā māja</v>
      </c>
      <c r="E5" s="626"/>
      <c r="F5" s="626"/>
      <c r="G5" s="626"/>
      <c r="H5" s="626"/>
      <c r="I5" s="626"/>
      <c r="J5" s="626"/>
      <c r="K5" s="626"/>
      <c r="L5" s="626"/>
      <c r="M5" s="202"/>
      <c r="N5" s="202"/>
      <c r="O5" s="202"/>
      <c r="P5" s="202"/>
    </row>
    <row r="6" spans="1:16" x14ac:dyDescent="0.2">
      <c r="A6" s="156"/>
      <c r="B6" s="156"/>
      <c r="C6" s="157" t="s">
        <v>6</v>
      </c>
      <c r="D6" s="626" t="str">
        <f>'Kops a'!D7</f>
        <v>fasādes vienkāršotā atjaunošana</v>
      </c>
      <c r="E6" s="626"/>
      <c r="F6" s="626"/>
      <c r="G6" s="626"/>
      <c r="H6" s="626"/>
      <c r="I6" s="626"/>
      <c r="J6" s="626"/>
      <c r="K6" s="626"/>
      <c r="L6" s="626"/>
      <c r="M6" s="202"/>
      <c r="N6" s="202"/>
      <c r="O6" s="202"/>
      <c r="P6" s="202"/>
    </row>
    <row r="7" spans="1:16" x14ac:dyDescent="0.2">
      <c r="A7" s="156"/>
      <c r="B7" s="156"/>
      <c r="C7" s="157" t="s">
        <v>7</v>
      </c>
      <c r="D7" s="626" t="str">
        <f>'Kops a'!D8</f>
        <v>Lēņu iela 2, Liepājā</v>
      </c>
      <c r="E7" s="626"/>
      <c r="F7" s="626"/>
      <c r="G7" s="626"/>
      <c r="H7" s="626"/>
      <c r="I7" s="626"/>
      <c r="J7" s="626"/>
      <c r="K7" s="626"/>
      <c r="L7" s="626"/>
      <c r="M7" s="202"/>
      <c r="N7" s="202"/>
      <c r="O7" s="202"/>
      <c r="P7" s="202"/>
    </row>
    <row r="8" spans="1:16" x14ac:dyDescent="0.2">
      <c r="A8" s="156"/>
      <c r="B8" s="156"/>
      <c r="C8" s="164" t="s">
        <v>21</v>
      </c>
      <c r="D8" s="626" t="str">
        <f>'Kops a'!D9</f>
        <v>WS-90-17 Līg.Nr. 2017/3-62/479</v>
      </c>
      <c r="E8" s="626"/>
      <c r="F8" s="626"/>
      <c r="G8" s="626"/>
      <c r="H8" s="626"/>
      <c r="I8" s="626"/>
      <c r="J8" s="626"/>
      <c r="K8" s="626"/>
      <c r="L8" s="626"/>
      <c r="M8" s="202"/>
      <c r="N8" s="202"/>
      <c r="O8" s="202"/>
      <c r="P8" s="202"/>
    </row>
    <row r="9" spans="1:16" x14ac:dyDescent="0.2">
      <c r="A9" s="627" t="s">
        <v>607</v>
      </c>
      <c r="B9" s="627"/>
      <c r="C9" s="627"/>
      <c r="D9" s="627"/>
      <c r="E9" s="627"/>
      <c r="F9" s="627"/>
      <c r="G9" s="165"/>
      <c r="H9" s="165"/>
      <c r="I9" s="165"/>
      <c r="J9" s="628" t="s">
        <v>40</v>
      </c>
      <c r="K9" s="628"/>
      <c r="L9" s="628"/>
      <c r="M9" s="628"/>
      <c r="N9" s="629">
        <f>P21</f>
        <v>0</v>
      </c>
      <c r="O9" s="629"/>
      <c r="P9" s="165"/>
    </row>
    <row r="10" spans="1:16" x14ac:dyDescent="0.2">
      <c r="A10" s="166"/>
      <c r="B10" s="167"/>
      <c r="C10" s="164"/>
      <c r="D10" s="156"/>
      <c r="E10" s="156"/>
      <c r="F10" s="156"/>
      <c r="G10" s="156"/>
      <c r="H10" s="156"/>
      <c r="I10" s="156"/>
      <c r="J10" s="156"/>
      <c r="K10" s="156"/>
      <c r="L10" s="162"/>
      <c r="M10" s="162"/>
      <c r="O10" s="168"/>
      <c r="P10" s="169" t="str">
        <f>A27</f>
        <v>Tāme sastādīta 2021. gada</v>
      </c>
    </row>
    <row r="11" spans="1:16" ht="12" thickBot="1" x14ac:dyDescent="0.25">
      <c r="A11" s="166"/>
      <c r="B11" s="167"/>
      <c r="C11" s="164"/>
      <c r="D11" s="156"/>
      <c r="E11" s="156"/>
      <c r="F11" s="156"/>
      <c r="G11" s="156"/>
      <c r="H11" s="156"/>
      <c r="I11" s="156"/>
      <c r="J11" s="156"/>
      <c r="K11" s="156"/>
      <c r="L11" s="170"/>
      <c r="M11" s="170"/>
      <c r="N11" s="171"/>
      <c r="O11" s="160"/>
      <c r="P11" s="156"/>
    </row>
    <row r="12" spans="1:16" ht="12" thickBot="1" x14ac:dyDescent="0.25">
      <c r="A12" s="621" t="s">
        <v>24</v>
      </c>
      <c r="B12" s="622" t="s">
        <v>41</v>
      </c>
      <c r="C12" s="623" t="s">
        <v>42</v>
      </c>
      <c r="D12" s="624" t="s">
        <v>43</v>
      </c>
      <c r="E12" s="625" t="s">
        <v>44</v>
      </c>
      <c r="F12" s="618" t="s">
        <v>45</v>
      </c>
      <c r="G12" s="618"/>
      <c r="H12" s="618"/>
      <c r="I12" s="618"/>
      <c r="J12" s="618"/>
      <c r="K12" s="618"/>
      <c r="L12" s="618" t="s">
        <v>46</v>
      </c>
      <c r="M12" s="618"/>
      <c r="N12" s="618"/>
      <c r="O12" s="618"/>
      <c r="P12" s="618"/>
    </row>
    <row r="13" spans="1:16" ht="118.5" thickBot="1" x14ac:dyDescent="0.25">
      <c r="A13" s="621"/>
      <c r="B13" s="622"/>
      <c r="C13" s="623"/>
      <c r="D13" s="624"/>
      <c r="E13" s="625"/>
      <c r="F13" s="206" t="s">
        <v>47</v>
      </c>
      <c r="G13" s="207" t="s">
        <v>48</v>
      </c>
      <c r="H13" s="207" t="s">
        <v>49</v>
      </c>
      <c r="I13" s="207" t="s">
        <v>50</v>
      </c>
      <c r="J13" s="207" t="s">
        <v>51</v>
      </c>
      <c r="K13" s="208" t="s">
        <v>52</v>
      </c>
      <c r="L13" s="206" t="s">
        <v>47</v>
      </c>
      <c r="M13" s="207" t="s">
        <v>49</v>
      </c>
      <c r="N13" s="207" t="s">
        <v>50</v>
      </c>
      <c r="O13" s="207" t="s">
        <v>51</v>
      </c>
      <c r="P13" s="208" t="s">
        <v>52</v>
      </c>
    </row>
    <row r="14" spans="1:16" ht="22.5" x14ac:dyDescent="0.2">
      <c r="A14" s="361">
        <f>IF(COUNTBLANK(B14)=1," ",COUNTA(B$14:B14))</f>
        <v>1</v>
      </c>
      <c r="B14" s="369" t="s">
        <v>86</v>
      </c>
      <c r="C14" s="386" t="s">
        <v>194</v>
      </c>
      <c r="D14" s="361" t="s">
        <v>56</v>
      </c>
      <c r="E14" s="387">
        <v>298</v>
      </c>
      <c r="F14" s="576"/>
      <c r="G14" s="577"/>
      <c r="H14" s="577">
        <f>ROUND(F14*G14,2)</f>
        <v>0</v>
      </c>
      <c r="I14" s="577"/>
      <c r="J14" s="577"/>
      <c r="K14" s="578">
        <f>SUM(H14:J14)</f>
        <v>0</v>
      </c>
      <c r="L14" s="576">
        <f>ROUND(E14*F14,2)</f>
        <v>0</v>
      </c>
      <c r="M14" s="577">
        <f>ROUND(H14*E14,2)</f>
        <v>0</v>
      </c>
      <c r="N14" s="577">
        <f>ROUND(I14*E14,2)</f>
        <v>0</v>
      </c>
      <c r="O14" s="577">
        <f>ROUND(J14*E14,2)</f>
        <v>0</v>
      </c>
      <c r="P14" s="578">
        <f>SUM(M14:O14)</f>
        <v>0</v>
      </c>
    </row>
    <row r="15" spans="1:16" x14ac:dyDescent="0.2">
      <c r="A15" s="361">
        <f>IF(COUNTBLANK(B15)=1," ",COUNTA(B$14:B15))</f>
        <v>2</v>
      </c>
      <c r="B15" s="369" t="s">
        <v>86</v>
      </c>
      <c r="C15" s="388" t="s">
        <v>173</v>
      </c>
      <c r="D15" s="389" t="s">
        <v>90</v>
      </c>
      <c r="E15" s="390">
        <f>E14*0.3</f>
        <v>89.399999999999991</v>
      </c>
      <c r="F15" s="576"/>
      <c r="G15" s="577"/>
      <c r="H15" s="572">
        <f t="shared" ref="H15:H16" si="0">ROUND(F15*G15,2)</f>
        <v>0</v>
      </c>
      <c r="I15" s="577"/>
      <c r="J15" s="577"/>
      <c r="K15" s="573">
        <f t="shared" ref="K15:K16" si="1">SUM(H15:J15)</f>
        <v>0</v>
      </c>
      <c r="L15" s="574">
        <f t="shared" ref="L15:L16" si="2">ROUND(E15*F15,2)</f>
        <v>0</v>
      </c>
      <c r="M15" s="572">
        <f t="shared" ref="M15:M16" si="3">ROUND(H15*E15,2)</f>
        <v>0</v>
      </c>
      <c r="N15" s="572">
        <f t="shared" ref="N15:N16" si="4">ROUND(I15*E15,2)</f>
        <v>0</v>
      </c>
      <c r="O15" s="572">
        <f t="shared" ref="O15:O16" si="5">ROUND(J15*E15,2)</f>
        <v>0</v>
      </c>
      <c r="P15" s="573">
        <f t="shared" ref="P15:P16" si="6">SUM(M15:O15)</f>
        <v>0</v>
      </c>
    </row>
    <row r="16" spans="1:16" ht="56.25" x14ac:dyDescent="0.2">
      <c r="A16" s="361">
        <f>IF(COUNTBLANK(B16)=1," ",COUNTA(B$14:B16))</f>
        <v>3</v>
      </c>
      <c r="B16" s="369" t="s">
        <v>86</v>
      </c>
      <c r="C16" s="386" t="s">
        <v>420</v>
      </c>
      <c r="D16" s="361" t="s">
        <v>56</v>
      </c>
      <c r="E16" s="387">
        <f>E14</f>
        <v>298</v>
      </c>
      <c r="F16" s="576"/>
      <c r="G16" s="577"/>
      <c r="H16" s="577">
        <f t="shared" si="0"/>
        <v>0</v>
      </c>
      <c r="I16" s="577"/>
      <c r="J16" s="577"/>
      <c r="K16" s="578">
        <f t="shared" si="1"/>
        <v>0</v>
      </c>
      <c r="L16" s="576">
        <f t="shared" si="2"/>
        <v>0</v>
      </c>
      <c r="M16" s="577">
        <f t="shared" si="3"/>
        <v>0</v>
      </c>
      <c r="N16" s="577">
        <f t="shared" si="4"/>
        <v>0</v>
      </c>
      <c r="O16" s="577">
        <f t="shared" si="5"/>
        <v>0</v>
      </c>
      <c r="P16" s="578">
        <f t="shared" si="6"/>
        <v>0</v>
      </c>
    </row>
    <row r="17" spans="1:16" x14ac:dyDescent="0.2">
      <c r="A17" s="361">
        <f>IF(COUNTBLANK(B17)=1," ",COUNTA(B$14:B17))</f>
        <v>4</v>
      </c>
      <c r="B17" s="369" t="s">
        <v>86</v>
      </c>
      <c r="C17" s="391" t="s">
        <v>130</v>
      </c>
      <c r="D17" s="361" t="s">
        <v>56</v>
      </c>
      <c r="E17" s="390">
        <f>E16*1.15</f>
        <v>342.7</v>
      </c>
      <c r="F17" s="576"/>
      <c r="G17" s="577"/>
      <c r="H17" s="572">
        <f t="shared" ref="H17:H20" si="7">ROUND(F17*G17,2)</f>
        <v>0</v>
      </c>
      <c r="I17" s="577"/>
      <c r="J17" s="577"/>
      <c r="K17" s="573">
        <f t="shared" ref="K17:K20" si="8">SUM(H17:J17)</f>
        <v>0</v>
      </c>
      <c r="L17" s="574">
        <f t="shared" ref="L17:L20" si="9">ROUND(E17*F17,2)</f>
        <v>0</v>
      </c>
      <c r="M17" s="572">
        <f t="shared" ref="M17:M20" si="10">ROUND(H17*E17,2)</f>
        <v>0</v>
      </c>
      <c r="N17" s="572">
        <f t="shared" ref="N17:N20" si="11">ROUND(I17*E17,2)</f>
        <v>0</v>
      </c>
      <c r="O17" s="572">
        <f t="shared" ref="O17:O20" si="12">ROUND(J17*E17,2)</f>
        <v>0</v>
      </c>
      <c r="P17" s="573">
        <f t="shared" ref="P17:P20" si="13">SUM(M17:O17)</f>
        <v>0</v>
      </c>
    </row>
    <row r="18" spans="1:16" x14ac:dyDescent="0.2">
      <c r="A18" s="361">
        <f>IF(COUNTBLANK(B18)=1," ",COUNTA(B$14:B18))</f>
        <v>5</v>
      </c>
      <c r="B18" s="369" t="s">
        <v>86</v>
      </c>
      <c r="C18" s="388" t="s">
        <v>421</v>
      </c>
      <c r="D18" s="389" t="str">
        <f>D17</f>
        <v>m²</v>
      </c>
      <c r="E18" s="390">
        <f>E16*5</f>
        <v>1490</v>
      </c>
      <c r="F18" s="576"/>
      <c r="G18" s="577"/>
      <c r="H18" s="577">
        <f t="shared" si="7"/>
        <v>0</v>
      </c>
      <c r="I18" s="577"/>
      <c r="J18" s="577"/>
      <c r="K18" s="578">
        <f t="shared" si="8"/>
        <v>0</v>
      </c>
      <c r="L18" s="576">
        <f t="shared" si="9"/>
        <v>0</v>
      </c>
      <c r="M18" s="577">
        <f t="shared" si="10"/>
        <v>0</v>
      </c>
      <c r="N18" s="577">
        <f t="shared" si="11"/>
        <v>0</v>
      </c>
      <c r="O18" s="577">
        <f t="shared" si="12"/>
        <v>0</v>
      </c>
      <c r="P18" s="578">
        <f t="shared" si="13"/>
        <v>0</v>
      </c>
    </row>
    <row r="19" spans="1:16" x14ac:dyDescent="0.2">
      <c r="A19" s="361">
        <f>IF(COUNTBLANK(B19)=1," ",COUNTA(B$14:B19))</f>
        <v>6</v>
      </c>
      <c r="B19" s="369" t="s">
        <v>86</v>
      </c>
      <c r="C19" s="391" t="s">
        <v>85</v>
      </c>
      <c r="D19" s="389" t="s">
        <v>84</v>
      </c>
      <c r="E19" s="390">
        <v>1</v>
      </c>
      <c r="F19" s="576"/>
      <c r="G19" s="577"/>
      <c r="H19" s="572">
        <f t="shared" si="7"/>
        <v>0</v>
      </c>
      <c r="I19" s="577"/>
      <c r="J19" s="577"/>
      <c r="K19" s="573">
        <f t="shared" si="8"/>
        <v>0</v>
      </c>
      <c r="L19" s="574">
        <f t="shared" si="9"/>
        <v>0</v>
      </c>
      <c r="M19" s="572">
        <f t="shared" si="10"/>
        <v>0</v>
      </c>
      <c r="N19" s="572">
        <f t="shared" si="11"/>
        <v>0</v>
      </c>
      <c r="O19" s="572">
        <f t="shared" si="12"/>
        <v>0</v>
      </c>
      <c r="P19" s="573">
        <f t="shared" si="13"/>
        <v>0</v>
      </c>
    </row>
    <row r="20" spans="1:16" ht="12" thickBot="1" x14ac:dyDescent="0.25">
      <c r="A20" s="361">
        <f>IF(COUNTBLANK(B20)=1," ",COUNTA(B$14:B20))</f>
        <v>7</v>
      </c>
      <c r="B20" s="369" t="s">
        <v>86</v>
      </c>
      <c r="C20" s="391" t="s">
        <v>195</v>
      </c>
      <c r="D20" s="389" t="s">
        <v>82</v>
      </c>
      <c r="E20" s="330">
        <f>ROUNDUP(E19*0.14,0)</f>
        <v>1</v>
      </c>
      <c r="F20" s="576"/>
      <c r="G20" s="577"/>
      <c r="H20" s="577">
        <f t="shared" si="7"/>
        <v>0</v>
      </c>
      <c r="I20" s="577"/>
      <c r="J20" s="577"/>
      <c r="K20" s="578">
        <f t="shared" si="8"/>
        <v>0</v>
      </c>
      <c r="L20" s="576">
        <f t="shared" si="9"/>
        <v>0</v>
      </c>
      <c r="M20" s="577">
        <f t="shared" si="10"/>
        <v>0</v>
      </c>
      <c r="N20" s="577">
        <f t="shared" si="11"/>
        <v>0</v>
      </c>
      <c r="O20" s="577">
        <f t="shared" si="12"/>
        <v>0</v>
      </c>
      <c r="P20" s="578">
        <f t="shared" si="13"/>
        <v>0</v>
      </c>
    </row>
    <row r="21" spans="1:16" ht="12" thickBot="1" x14ac:dyDescent="0.25">
      <c r="A21" s="656" t="s">
        <v>612</v>
      </c>
      <c r="B21" s="656"/>
      <c r="C21" s="656"/>
      <c r="D21" s="656"/>
      <c r="E21" s="656"/>
      <c r="F21" s="656"/>
      <c r="G21" s="656"/>
      <c r="H21" s="656"/>
      <c r="I21" s="656"/>
      <c r="J21" s="656"/>
      <c r="K21" s="656"/>
      <c r="L21" s="582">
        <f>SUM(L14:L20)</f>
        <v>0</v>
      </c>
      <c r="M21" s="582">
        <f t="shared" ref="M21:P21" si="14">SUM(M14:M20)</f>
        <v>0</v>
      </c>
      <c r="N21" s="582">
        <f t="shared" si="14"/>
        <v>0</v>
      </c>
      <c r="O21" s="582">
        <f t="shared" si="14"/>
        <v>0</v>
      </c>
      <c r="P21" s="582">
        <f t="shared" si="14"/>
        <v>0</v>
      </c>
    </row>
    <row r="22" spans="1:16" x14ac:dyDescent="0.2">
      <c r="A22" s="202"/>
      <c r="B22" s="202"/>
      <c r="C22" s="202"/>
      <c r="D22" s="202"/>
      <c r="E22" s="202"/>
      <c r="F22" s="202"/>
      <c r="G22" s="202"/>
      <c r="H22" s="202"/>
      <c r="I22" s="202"/>
      <c r="J22" s="202"/>
      <c r="K22" s="202"/>
      <c r="L22" s="202"/>
      <c r="M22" s="202"/>
      <c r="N22" s="202"/>
      <c r="O22" s="202"/>
      <c r="P22" s="202"/>
    </row>
    <row r="23" spans="1:16" x14ac:dyDescent="0.2">
      <c r="A23" s="202"/>
      <c r="B23" s="202"/>
      <c r="C23" s="202"/>
      <c r="D23" s="202"/>
      <c r="E23" s="202"/>
      <c r="F23" s="202"/>
      <c r="G23" s="202"/>
      <c r="H23" s="202"/>
      <c r="I23" s="202"/>
      <c r="J23" s="202"/>
      <c r="K23" s="202"/>
      <c r="L23" s="202"/>
      <c r="M23" s="202"/>
      <c r="N23" s="202"/>
      <c r="O23" s="202"/>
      <c r="P23" s="202"/>
    </row>
    <row r="24" spans="1:16" x14ac:dyDescent="0.2">
      <c r="A24" s="159" t="s">
        <v>14</v>
      </c>
      <c r="B24" s="202"/>
      <c r="C24" s="617">
        <f>'Kops a'!C36:H36</f>
        <v>0</v>
      </c>
      <c r="D24" s="617"/>
      <c r="E24" s="617"/>
      <c r="F24" s="617"/>
      <c r="G24" s="617"/>
      <c r="H24" s="617"/>
      <c r="I24" s="202"/>
      <c r="J24" s="202"/>
      <c r="K24" s="202"/>
      <c r="L24" s="202"/>
      <c r="M24" s="202"/>
      <c r="N24" s="202"/>
      <c r="O24" s="202"/>
      <c r="P24" s="202"/>
    </row>
    <row r="25" spans="1:16" x14ac:dyDescent="0.2">
      <c r="A25" s="202"/>
      <c r="B25" s="202"/>
      <c r="C25" s="655" t="s">
        <v>15</v>
      </c>
      <c r="D25" s="655"/>
      <c r="E25" s="655"/>
      <c r="F25" s="655"/>
      <c r="G25" s="655"/>
      <c r="H25" s="655"/>
      <c r="I25" s="202"/>
      <c r="J25" s="202"/>
      <c r="K25" s="202"/>
      <c r="L25" s="202"/>
      <c r="M25" s="202"/>
      <c r="N25" s="202"/>
      <c r="O25" s="202"/>
      <c r="P25" s="202"/>
    </row>
    <row r="26" spans="1:16" x14ac:dyDescent="0.2">
      <c r="A26" s="202"/>
      <c r="B26" s="202"/>
      <c r="C26" s="381"/>
      <c r="D26" s="381"/>
      <c r="E26" s="381"/>
      <c r="F26" s="381"/>
      <c r="G26" s="381"/>
      <c r="H26" s="381"/>
      <c r="I26" s="202"/>
      <c r="J26" s="202"/>
      <c r="K26" s="202"/>
      <c r="L26" s="202"/>
      <c r="M26" s="202"/>
      <c r="N26" s="202"/>
      <c r="O26" s="202"/>
      <c r="P26" s="202"/>
    </row>
    <row r="27" spans="1:16" x14ac:dyDescent="0.2">
      <c r="A27" s="203" t="str">
        <f>'Kops a'!A39</f>
        <v>Tāme sastādīta 2021. gada</v>
      </c>
      <c r="B27" s="204"/>
      <c r="C27" s="382"/>
      <c r="D27" s="382"/>
      <c r="E27" s="381"/>
      <c r="F27" s="381"/>
      <c r="G27" s="381"/>
      <c r="H27" s="381"/>
      <c r="I27" s="202"/>
      <c r="J27" s="202"/>
      <c r="K27" s="202"/>
      <c r="L27" s="202"/>
      <c r="M27" s="202"/>
      <c r="N27" s="202"/>
      <c r="O27" s="202"/>
      <c r="P27" s="202"/>
    </row>
    <row r="28" spans="1:16" x14ac:dyDescent="0.2">
      <c r="A28" s="202"/>
      <c r="B28" s="202"/>
      <c r="C28" s="381"/>
      <c r="D28" s="381"/>
      <c r="E28" s="381"/>
      <c r="F28" s="381"/>
      <c r="G28" s="381"/>
      <c r="H28" s="381"/>
      <c r="I28" s="202"/>
      <c r="J28" s="202"/>
      <c r="K28" s="202"/>
      <c r="L28" s="202"/>
      <c r="M28" s="202"/>
      <c r="N28" s="202"/>
      <c r="O28" s="202"/>
      <c r="P28" s="202"/>
    </row>
    <row r="29" spans="1:16" x14ac:dyDescent="0.2">
      <c r="A29" s="159" t="s">
        <v>38</v>
      </c>
      <c r="B29" s="202"/>
      <c r="C29" s="617">
        <f>'Kops a'!C41:H41</f>
        <v>0</v>
      </c>
      <c r="D29" s="617"/>
      <c r="E29" s="617"/>
      <c r="F29" s="617"/>
      <c r="G29" s="617"/>
      <c r="H29" s="617"/>
      <c r="I29" s="202"/>
      <c r="J29" s="202"/>
      <c r="K29" s="202"/>
      <c r="L29" s="202"/>
      <c r="M29" s="202"/>
      <c r="N29" s="202"/>
      <c r="O29" s="202"/>
      <c r="P29" s="202"/>
    </row>
    <row r="30" spans="1:16" x14ac:dyDescent="0.2">
      <c r="A30" s="202"/>
      <c r="B30" s="202"/>
      <c r="C30" s="655" t="s">
        <v>15</v>
      </c>
      <c r="D30" s="655"/>
      <c r="E30" s="655"/>
      <c r="F30" s="655"/>
      <c r="G30" s="655"/>
      <c r="H30" s="655"/>
      <c r="I30" s="202"/>
      <c r="J30" s="202"/>
      <c r="K30" s="202"/>
      <c r="L30" s="202"/>
      <c r="M30" s="202"/>
      <c r="N30" s="202"/>
      <c r="O30" s="202"/>
      <c r="P30" s="202"/>
    </row>
    <row r="31" spans="1:16" x14ac:dyDescent="0.2">
      <c r="A31" s="202"/>
      <c r="B31" s="202"/>
      <c r="C31" s="383"/>
      <c r="D31" s="383"/>
      <c r="E31" s="383"/>
      <c r="F31" s="383"/>
      <c r="G31" s="383"/>
      <c r="H31" s="383"/>
      <c r="I31" s="202"/>
      <c r="J31" s="202"/>
      <c r="K31" s="202"/>
      <c r="L31" s="202"/>
      <c r="M31" s="202"/>
      <c r="N31" s="202"/>
      <c r="O31" s="202"/>
      <c r="P31" s="202"/>
    </row>
    <row r="32" spans="1:16" x14ac:dyDescent="0.2">
      <c r="A32" s="203" t="s">
        <v>53</v>
      </c>
      <c r="B32" s="204"/>
      <c r="C32" s="384">
        <f>'Kops a'!C44</f>
        <v>0</v>
      </c>
      <c r="D32" s="385"/>
      <c r="E32" s="383"/>
      <c r="F32" s="383"/>
      <c r="G32" s="383"/>
      <c r="H32" s="383"/>
      <c r="I32" s="202"/>
      <c r="J32" s="202"/>
      <c r="K32" s="202"/>
      <c r="L32" s="202"/>
      <c r="M32" s="202"/>
      <c r="N32" s="202"/>
      <c r="O32" s="202"/>
      <c r="P32" s="202"/>
    </row>
    <row r="34" spans="1:15" x14ac:dyDescent="0.2">
      <c r="A34" s="687" t="s">
        <v>687</v>
      </c>
      <c r="B34" s="688"/>
      <c r="C34" s="689"/>
      <c r="D34" s="689"/>
      <c r="E34" s="690"/>
      <c r="F34" s="691"/>
      <c r="G34" s="690"/>
      <c r="H34" s="692"/>
      <c r="I34" s="692"/>
      <c r="J34" s="693"/>
      <c r="K34" s="694"/>
      <c r="L34" s="694"/>
      <c r="M34" s="694"/>
      <c r="N34" s="694"/>
      <c r="O34" s="694"/>
    </row>
    <row r="35" spans="1:15" x14ac:dyDescent="0.2">
      <c r="A35" s="695" t="s">
        <v>688</v>
      </c>
      <c r="B35" s="695"/>
      <c r="C35" s="695"/>
      <c r="D35" s="695"/>
      <c r="E35" s="695"/>
      <c r="F35" s="695"/>
      <c r="G35" s="695"/>
      <c r="H35" s="695"/>
      <c r="I35" s="695"/>
      <c r="J35" s="695"/>
      <c r="K35" s="695"/>
      <c r="L35" s="695"/>
      <c r="M35" s="695"/>
      <c r="N35" s="695"/>
      <c r="O35" s="695"/>
    </row>
    <row r="36" spans="1:15" x14ac:dyDescent="0.2">
      <c r="A36" s="695" t="s">
        <v>689</v>
      </c>
      <c r="B36" s="695"/>
      <c r="C36" s="695"/>
      <c r="D36" s="695"/>
      <c r="E36" s="695"/>
      <c r="F36" s="695"/>
      <c r="G36" s="695"/>
      <c r="H36" s="695"/>
      <c r="I36" s="695"/>
      <c r="J36" s="695"/>
      <c r="K36" s="695"/>
      <c r="L36" s="695"/>
      <c r="M36" s="695"/>
      <c r="N36" s="695"/>
      <c r="O36" s="695"/>
    </row>
  </sheetData>
  <mergeCells count="24">
    <mergeCell ref="A35:O35"/>
    <mergeCell ref="A36:O36"/>
    <mergeCell ref="C2:I2"/>
    <mergeCell ref="C3:I3"/>
    <mergeCell ref="C4:I4"/>
    <mergeCell ref="D5:L5"/>
    <mergeCell ref="D6:L6"/>
    <mergeCell ref="D7:L7"/>
    <mergeCell ref="D8:L8"/>
    <mergeCell ref="A9:F9"/>
    <mergeCell ref="J9:M9"/>
    <mergeCell ref="N9:O9"/>
    <mergeCell ref="C29:H29"/>
    <mergeCell ref="C30:H30"/>
    <mergeCell ref="F12:K12"/>
    <mergeCell ref="L12:P12"/>
    <mergeCell ref="A21:K21"/>
    <mergeCell ref="C24:H24"/>
    <mergeCell ref="C25:H25"/>
    <mergeCell ref="A12:A13"/>
    <mergeCell ref="B12:B13"/>
    <mergeCell ref="C12:C13"/>
    <mergeCell ref="D12:D13"/>
    <mergeCell ref="E12:E13"/>
  </mergeCells>
  <phoneticPr fontId="22" type="noConversion"/>
  <conditionalFormatting sqref="C4:I4 D5:L8 C29:H29 C24:H24 B14:E20">
    <cfRule type="cellIs" dxfId="132" priority="12" operator="equal">
      <formula>0</formula>
    </cfRule>
  </conditionalFormatting>
  <conditionalFormatting sqref="N9:O9 C2:I2 C29:H29 C24:H24 A14:A20">
    <cfRule type="cellIs" dxfId="131" priority="13" operator="equal">
      <formula>0</formula>
    </cfRule>
  </conditionalFormatting>
  <conditionalFormatting sqref="A9:F9 A21:K21">
    <cfRule type="containsText" dxfId="130" priority="14" operator="containsText" text="Tāme sastādīta  20__. gada tirgus cenās, pamatojoties uz ___ daļas rasējumiem"/>
  </conditionalFormatting>
  <conditionalFormatting sqref="O10">
    <cfRule type="cellIs" dxfId="129" priority="16" operator="equal">
      <formula>"20__. gada __. _________"</formula>
    </cfRule>
  </conditionalFormatting>
  <conditionalFormatting sqref="P10">
    <cfRule type="cellIs" dxfId="128" priority="25" operator="equal">
      <formula>"20__. gada __. _________"</formula>
    </cfRule>
  </conditionalFormatting>
  <conditionalFormatting sqref="C32">
    <cfRule type="cellIs" dxfId="127" priority="28" operator="equal">
      <formula>0</formula>
    </cfRule>
  </conditionalFormatting>
  <conditionalFormatting sqref="D1">
    <cfRule type="cellIs" dxfId="126" priority="29" operator="equal">
      <formula>0</formula>
    </cfRule>
  </conditionalFormatting>
  <conditionalFormatting sqref="I14:J20 F14:G20">
    <cfRule type="cellIs" dxfId="125" priority="3" operator="equal">
      <formula>0</formula>
    </cfRule>
  </conditionalFormatting>
  <conditionalFormatting sqref="H14:H20 K14:P20">
    <cfRule type="cellIs" dxfId="124" priority="2" operator="equal">
      <formula>0</formula>
    </cfRule>
  </conditionalFormatting>
  <conditionalFormatting sqref="L21:P21">
    <cfRule type="cellIs" dxfId="123" priority="1" operator="equal">
      <formula>0</formula>
    </cfRule>
  </conditionalFormatting>
  <pageMargins left="0.19685039370078741" right="0.19685039370078741" top="0.75196850393700787" bottom="0.39370078740157483" header="0.51181102362204722" footer="0.51181102362204722"/>
  <pageSetup paperSize="9" scale="69" firstPageNumber="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P56"/>
  <sheetViews>
    <sheetView view="pageBreakPreview" topLeftCell="A28" zoomScale="115" zoomScaleNormal="100" zoomScaleSheetLayoutView="115" workbookViewId="0">
      <selection activeCell="P41" sqref="P41"/>
    </sheetView>
  </sheetViews>
  <sheetFormatPr defaultColWidth="9.1640625" defaultRowHeight="11.25" x14ac:dyDescent="0.2"/>
  <cols>
    <col min="1" max="1" width="4.5" style="159" customWidth="1"/>
    <col min="2" max="2" width="5.33203125" style="159" customWidth="1"/>
    <col min="3" max="3" width="46.33203125" style="159" customWidth="1"/>
    <col min="4" max="4" width="5.83203125" style="159" customWidth="1"/>
    <col min="5" max="5" width="8.6640625" style="159" customWidth="1"/>
    <col min="6" max="6" width="5.33203125" style="159" customWidth="1"/>
    <col min="7" max="7" width="7.6640625" style="159" customWidth="1"/>
    <col min="8" max="10" width="6.6640625" style="159" customWidth="1"/>
    <col min="11" max="11" width="6.83203125" style="159" customWidth="1"/>
    <col min="12" max="15" width="7.6640625" style="159" customWidth="1"/>
    <col min="16" max="16" width="8.83203125" style="159" customWidth="1"/>
    <col min="17" max="1017" width="9.1640625" style="159" customWidth="1"/>
    <col min="1018" max="16384" width="9.1640625" style="159"/>
  </cols>
  <sheetData>
    <row r="1" spans="1:16" x14ac:dyDescent="0.2">
      <c r="A1" s="156"/>
      <c r="B1" s="156"/>
      <c r="C1" s="157" t="s">
        <v>39</v>
      </c>
      <c r="D1" s="158">
        <f>'Kops a'!A19</f>
        <v>5</v>
      </c>
      <c r="E1" s="156"/>
      <c r="F1" s="156"/>
      <c r="G1" s="156"/>
      <c r="H1" s="156"/>
      <c r="I1" s="156"/>
      <c r="J1" s="156"/>
      <c r="N1" s="160"/>
      <c r="O1" s="157"/>
      <c r="P1" s="161"/>
    </row>
    <row r="2" spans="1:16" x14ac:dyDescent="0.2">
      <c r="A2" s="162"/>
      <c r="B2" s="162"/>
      <c r="C2" s="630" t="s">
        <v>129</v>
      </c>
      <c r="D2" s="630"/>
      <c r="E2" s="630"/>
      <c r="F2" s="630"/>
      <c r="G2" s="630"/>
      <c r="H2" s="630"/>
      <c r="I2" s="630"/>
      <c r="J2" s="162"/>
    </row>
    <row r="3" spans="1:16" x14ac:dyDescent="0.2">
      <c r="A3" s="163"/>
      <c r="B3" s="163"/>
      <c r="C3" s="604" t="s">
        <v>18</v>
      </c>
      <c r="D3" s="604"/>
      <c r="E3" s="604"/>
      <c r="F3" s="604"/>
      <c r="G3" s="604"/>
      <c r="H3" s="604"/>
      <c r="I3" s="604"/>
      <c r="J3" s="163"/>
    </row>
    <row r="4" spans="1:16" x14ac:dyDescent="0.2">
      <c r="A4" s="163"/>
      <c r="B4" s="163"/>
      <c r="C4" s="631" t="s">
        <v>4</v>
      </c>
      <c r="D4" s="631"/>
      <c r="E4" s="631"/>
      <c r="F4" s="631"/>
      <c r="G4" s="631"/>
      <c r="H4" s="631"/>
      <c r="I4" s="631"/>
      <c r="J4" s="163"/>
    </row>
    <row r="5" spans="1:16" x14ac:dyDescent="0.2">
      <c r="A5" s="156"/>
      <c r="B5" s="156"/>
      <c r="C5" s="157" t="s">
        <v>5</v>
      </c>
      <c r="D5" s="626" t="str">
        <f>'Kops a'!D6</f>
        <v>Daudzīvokļu dzīvojamā māja</v>
      </c>
      <c r="E5" s="626"/>
      <c r="F5" s="626"/>
      <c r="G5" s="626"/>
      <c r="H5" s="626"/>
      <c r="I5" s="626"/>
      <c r="J5" s="626"/>
      <c r="K5" s="626"/>
      <c r="L5" s="626"/>
      <c r="M5" s="202"/>
      <c r="N5" s="202"/>
      <c r="O5" s="202"/>
      <c r="P5" s="202"/>
    </row>
    <row r="6" spans="1:16" x14ac:dyDescent="0.2">
      <c r="A6" s="156"/>
      <c r="B6" s="156"/>
      <c r="C6" s="157" t="s">
        <v>6</v>
      </c>
      <c r="D6" s="626" t="str">
        <f>'Kops a'!D7</f>
        <v>fasādes vienkāršotā atjaunošana</v>
      </c>
      <c r="E6" s="626"/>
      <c r="F6" s="626"/>
      <c r="G6" s="626"/>
      <c r="H6" s="626"/>
      <c r="I6" s="626"/>
      <c r="J6" s="626"/>
      <c r="K6" s="626"/>
      <c r="L6" s="626"/>
      <c r="M6" s="202"/>
      <c r="N6" s="202"/>
      <c r="O6" s="202"/>
      <c r="P6" s="202"/>
    </row>
    <row r="7" spans="1:16" x14ac:dyDescent="0.2">
      <c r="A7" s="156"/>
      <c r="B7" s="156"/>
      <c r="C7" s="157" t="s">
        <v>7</v>
      </c>
      <c r="D7" s="626" t="str">
        <f>'Kops a'!D8</f>
        <v>Lēņu iela 2, Liepājā</v>
      </c>
      <c r="E7" s="626"/>
      <c r="F7" s="626"/>
      <c r="G7" s="626"/>
      <c r="H7" s="626"/>
      <c r="I7" s="626"/>
      <c r="J7" s="626"/>
      <c r="K7" s="626"/>
      <c r="L7" s="626"/>
      <c r="M7" s="202"/>
      <c r="N7" s="202"/>
      <c r="O7" s="202"/>
      <c r="P7" s="202"/>
    </row>
    <row r="8" spans="1:16" x14ac:dyDescent="0.2">
      <c r="A8" s="156"/>
      <c r="B8" s="156"/>
      <c r="C8" s="164" t="s">
        <v>21</v>
      </c>
      <c r="D8" s="626" t="str">
        <f>'Kops a'!D9</f>
        <v>WS-90-17 Līg.Nr. 2017/3-62/479</v>
      </c>
      <c r="E8" s="626"/>
      <c r="F8" s="626"/>
      <c r="G8" s="626"/>
      <c r="H8" s="626"/>
      <c r="I8" s="626"/>
      <c r="J8" s="626"/>
      <c r="K8" s="626"/>
      <c r="L8" s="626"/>
      <c r="M8" s="202"/>
      <c r="N8" s="202"/>
      <c r="O8" s="202"/>
      <c r="P8" s="202"/>
    </row>
    <row r="9" spans="1:16" x14ac:dyDescent="0.2">
      <c r="A9" s="627" t="s">
        <v>607</v>
      </c>
      <c r="B9" s="627"/>
      <c r="C9" s="627"/>
      <c r="D9" s="627"/>
      <c r="E9" s="627"/>
      <c r="F9" s="627"/>
      <c r="G9" s="165"/>
      <c r="H9" s="165"/>
      <c r="I9" s="165"/>
      <c r="J9" s="628" t="s">
        <v>40</v>
      </c>
      <c r="K9" s="628"/>
      <c r="L9" s="628"/>
      <c r="M9" s="628"/>
      <c r="N9" s="629">
        <f>P41</f>
        <v>0</v>
      </c>
      <c r="O9" s="629"/>
      <c r="P9" s="165"/>
    </row>
    <row r="10" spans="1:16" x14ac:dyDescent="0.2">
      <c r="A10" s="166"/>
      <c r="B10" s="167"/>
      <c r="C10" s="164"/>
      <c r="D10" s="156"/>
      <c r="E10" s="156"/>
      <c r="F10" s="156"/>
      <c r="G10" s="156"/>
      <c r="H10" s="156"/>
      <c r="I10" s="156"/>
      <c r="J10" s="156"/>
      <c r="K10" s="156"/>
      <c r="L10" s="162"/>
      <c r="M10" s="162"/>
      <c r="O10" s="168"/>
      <c r="P10" s="169" t="str">
        <f>A47</f>
        <v>Tāme sastādīta 2021. gada</v>
      </c>
    </row>
    <row r="11" spans="1:16" ht="12" thickBot="1" x14ac:dyDescent="0.25">
      <c r="A11" s="166"/>
      <c r="B11" s="167"/>
      <c r="C11" s="164"/>
      <c r="D11" s="156"/>
      <c r="E11" s="156"/>
      <c r="F11" s="156"/>
      <c r="G11" s="156"/>
      <c r="H11" s="156"/>
      <c r="I11" s="156"/>
      <c r="J11" s="156"/>
      <c r="K11" s="156"/>
      <c r="L11" s="170"/>
      <c r="M11" s="170"/>
      <c r="N11" s="171"/>
      <c r="O11" s="160"/>
      <c r="P11" s="156"/>
    </row>
    <row r="12" spans="1:16" ht="12" thickBot="1" x14ac:dyDescent="0.25">
      <c r="A12" s="621" t="s">
        <v>24</v>
      </c>
      <c r="B12" s="622" t="s">
        <v>41</v>
      </c>
      <c r="C12" s="623" t="s">
        <v>42</v>
      </c>
      <c r="D12" s="624" t="s">
        <v>43</v>
      </c>
      <c r="E12" s="625" t="s">
        <v>44</v>
      </c>
      <c r="F12" s="618" t="s">
        <v>45</v>
      </c>
      <c r="G12" s="618"/>
      <c r="H12" s="618"/>
      <c r="I12" s="618"/>
      <c r="J12" s="618"/>
      <c r="K12" s="618"/>
      <c r="L12" s="618" t="s">
        <v>46</v>
      </c>
      <c r="M12" s="618"/>
      <c r="N12" s="618"/>
      <c r="O12" s="618"/>
      <c r="P12" s="618"/>
    </row>
    <row r="13" spans="1:16" ht="69" x14ac:dyDescent="0.2">
      <c r="A13" s="609"/>
      <c r="B13" s="666"/>
      <c r="C13" s="667"/>
      <c r="D13" s="668"/>
      <c r="E13" s="669"/>
      <c r="F13" s="352" t="s">
        <v>47</v>
      </c>
      <c r="G13" s="353" t="s">
        <v>48</v>
      </c>
      <c r="H13" s="353" t="s">
        <v>49</v>
      </c>
      <c r="I13" s="353" t="s">
        <v>50</v>
      </c>
      <c r="J13" s="353" t="s">
        <v>51</v>
      </c>
      <c r="K13" s="354" t="s">
        <v>52</v>
      </c>
      <c r="L13" s="352" t="s">
        <v>47</v>
      </c>
      <c r="M13" s="353" t="s">
        <v>49</v>
      </c>
      <c r="N13" s="353" t="s">
        <v>50</v>
      </c>
      <c r="O13" s="353" t="s">
        <v>51</v>
      </c>
      <c r="P13" s="354" t="s">
        <v>52</v>
      </c>
    </row>
    <row r="14" spans="1:16" ht="12" thickBot="1" x14ac:dyDescent="0.25">
      <c r="A14" s="355"/>
      <c r="B14" s="355"/>
      <c r="C14" s="356" t="s">
        <v>129</v>
      </c>
      <c r="D14" s="357"/>
      <c r="E14" s="355"/>
      <c r="F14" s="355"/>
      <c r="G14" s="355"/>
      <c r="H14" s="355"/>
      <c r="I14" s="355"/>
      <c r="J14" s="355"/>
      <c r="K14" s="358"/>
      <c r="L14" s="355"/>
      <c r="M14" s="355"/>
      <c r="N14" s="355"/>
      <c r="O14" s="355"/>
      <c r="P14" s="358"/>
    </row>
    <row r="15" spans="1:16" x14ac:dyDescent="0.2">
      <c r="A15" s="141">
        <f>IF(COUNTBLANK(B15)=1," ",COUNTA(B$15:B15))</f>
        <v>1</v>
      </c>
      <c r="B15" s="359" t="s">
        <v>86</v>
      </c>
      <c r="C15" s="360" t="s">
        <v>131</v>
      </c>
      <c r="D15" s="141" t="s">
        <v>56</v>
      </c>
      <c r="E15" s="60">
        <v>360.8</v>
      </c>
      <c r="F15" s="576"/>
      <c r="G15" s="577"/>
      <c r="H15" s="577">
        <f>ROUND(F15*G15,2)</f>
        <v>0</v>
      </c>
      <c r="I15" s="577"/>
      <c r="J15" s="577"/>
      <c r="K15" s="578">
        <f>SUM(H15:J15)</f>
        <v>0</v>
      </c>
      <c r="L15" s="576">
        <f>ROUND(E15*F15,2)</f>
        <v>0</v>
      </c>
      <c r="M15" s="577">
        <f>ROUND(H15*E15,2)</f>
        <v>0</v>
      </c>
      <c r="N15" s="577">
        <f>ROUND(I15*E15,2)</f>
        <v>0</v>
      </c>
      <c r="O15" s="577">
        <f>ROUND(J15*E15,2)</f>
        <v>0</v>
      </c>
      <c r="P15" s="578">
        <f>SUM(M15:O15)</f>
        <v>0</v>
      </c>
    </row>
    <row r="16" spans="1:16" x14ac:dyDescent="0.2">
      <c r="A16" s="141">
        <f>IF(COUNTBLANK(B16)=1," ",COUNTA(B$15:B16))</f>
        <v>2</v>
      </c>
      <c r="B16" s="359" t="s">
        <v>86</v>
      </c>
      <c r="C16" s="335" t="s">
        <v>132</v>
      </c>
      <c r="D16" s="361" t="s">
        <v>56</v>
      </c>
      <c r="E16" s="336">
        <f>E15*1.1</f>
        <v>396.88000000000005</v>
      </c>
      <c r="F16" s="576"/>
      <c r="G16" s="577"/>
      <c r="H16" s="572">
        <f t="shared" ref="H16:H17" si="0">ROUND(F16*G16,2)</f>
        <v>0</v>
      </c>
      <c r="I16" s="577"/>
      <c r="J16" s="577"/>
      <c r="K16" s="573">
        <f t="shared" ref="K16:K17" si="1">SUM(H16:J16)</f>
        <v>0</v>
      </c>
      <c r="L16" s="574">
        <f t="shared" ref="L16:L17" si="2">ROUND(E16*F16,2)</f>
        <v>0</v>
      </c>
      <c r="M16" s="572">
        <f t="shared" ref="M16:M17" si="3">ROUND(H16*E16,2)</f>
        <v>0</v>
      </c>
      <c r="N16" s="572">
        <f t="shared" ref="N16:N17" si="4">ROUND(I16*E16,2)</f>
        <v>0</v>
      </c>
      <c r="O16" s="572">
        <f t="shared" ref="O16:O17" si="5">ROUND(J16*E16,2)</f>
        <v>0</v>
      </c>
      <c r="P16" s="573">
        <f t="shared" ref="P16:P17" si="6">SUM(M16:O16)</f>
        <v>0</v>
      </c>
    </row>
    <row r="17" spans="1:16" x14ac:dyDescent="0.2">
      <c r="A17" s="141">
        <f>IF(COUNTBLANK(B17)=1," ",COUNTA(B$15:B17))</f>
        <v>3</v>
      </c>
      <c r="B17" s="359" t="s">
        <v>86</v>
      </c>
      <c r="C17" s="335" t="s">
        <v>94</v>
      </c>
      <c r="D17" s="299" t="s">
        <v>93</v>
      </c>
      <c r="E17" s="336">
        <f>E15*0.1</f>
        <v>36.080000000000005</v>
      </c>
      <c r="F17" s="576"/>
      <c r="G17" s="577"/>
      <c r="H17" s="577">
        <f t="shared" si="0"/>
        <v>0</v>
      </c>
      <c r="I17" s="577"/>
      <c r="J17" s="577"/>
      <c r="K17" s="578">
        <f t="shared" si="1"/>
        <v>0</v>
      </c>
      <c r="L17" s="576">
        <f t="shared" si="2"/>
        <v>0</v>
      </c>
      <c r="M17" s="577">
        <f t="shared" si="3"/>
        <v>0</v>
      </c>
      <c r="N17" s="577">
        <f t="shared" si="4"/>
        <v>0</v>
      </c>
      <c r="O17" s="577">
        <f t="shared" si="5"/>
        <v>0</v>
      </c>
      <c r="P17" s="578">
        <f t="shared" si="6"/>
        <v>0</v>
      </c>
    </row>
    <row r="18" spans="1:16" ht="22.5" x14ac:dyDescent="0.2">
      <c r="A18" s="141">
        <f>IF(COUNTBLANK(B18)=1," ",COUNTA(B$15:B18))</f>
        <v>4</v>
      </c>
      <c r="B18" s="332" t="s">
        <v>86</v>
      </c>
      <c r="C18" s="335" t="s">
        <v>440</v>
      </c>
      <c r="D18" s="362" t="s">
        <v>56</v>
      </c>
      <c r="E18" s="363">
        <f>E15</f>
        <v>360.8</v>
      </c>
      <c r="F18" s="576"/>
      <c r="G18" s="577"/>
      <c r="H18" s="572">
        <f t="shared" ref="H18:H40" si="7">ROUND(F18*G18,2)</f>
        <v>0</v>
      </c>
      <c r="I18" s="577"/>
      <c r="J18" s="577"/>
      <c r="K18" s="573">
        <f t="shared" ref="K18:K40" si="8">SUM(H18:J18)</f>
        <v>0</v>
      </c>
      <c r="L18" s="574">
        <f t="shared" ref="L18:L40" si="9">ROUND(E18*F18,2)</f>
        <v>0</v>
      </c>
      <c r="M18" s="572">
        <f t="shared" ref="M18:M40" si="10">ROUND(H18*E18,2)</f>
        <v>0</v>
      </c>
      <c r="N18" s="572">
        <f t="shared" ref="N18:N40" si="11">ROUND(I18*E18,2)</f>
        <v>0</v>
      </c>
      <c r="O18" s="572">
        <f t="shared" ref="O18:O40" si="12">ROUND(J18*E18,2)</f>
        <v>0</v>
      </c>
      <c r="P18" s="573">
        <f t="shared" ref="P18:P40" si="13">SUM(M18:O18)</f>
        <v>0</v>
      </c>
    </row>
    <row r="19" spans="1:16" x14ac:dyDescent="0.2">
      <c r="A19" s="141">
        <f>IF(COUNTBLANK(B19)=1," ",COUNTA(B$15:B19))</f>
        <v>5</v>
      </c>
      <c r="B19" s="332" t="s">
        <v>86</v>
      </c>
      <c r="C19" s="298" t="s">
        <v>133</v>
      </c>
      <c r="D19" s="299" t="s">
        <v>84</v>
      </c>
      <c r="E19" s="336">
        <f>E18*0.4*1.1</f>
        <v>158.75200000000004</v>
      </c>
      <c r="F19" s="576"/>
      <c r="G19" s="577"/>
      <c r="H19" s="577">
        <f t="shared" si="7"/>
        <v>0</v>
      </c>
      <c r="I19" s="577"/>
      <c r="J19" s="577"/>
      <c r="K19" s="578">
        <f t="shared" si="8"/>
        <v>0</v>
      </c>
      <c r="L19" s="576">
        <f t="shared" si="9"/>
        <v>0</v>
      </c>
      <c r="M19" s="577">
        <f t="shared" si="10"/>
        <v>0</v>
      </c>
      <c r="N19" s="577">
        <f t="shared" si="11"/>
        <v>0</v>
      </c>
      <c r="O19" s="577">
        <f t="shared" si="12"/>
        <v>0</v>
      </c>
      <c r="P19" s="578">
        <f t="shared" si="13"/>
        <v>0</v>
      </c>
    </row>
    <row r="20" spans="1:16" ht="33.75" x14ac:dyDescent="0.2">
      <c r="A20" s="141">
        <f>IF(COUNTBLANK(B20)=1," ",COUNTA(B$15:B20))</f>
        <v>6</v>
      </c>
      <c r="B20" s="114" t="s">
        <v>86</v>
      </c>
      <c r="C20" s="113" t="s">
        <v>439</v>
      </c>
      <c r="D20" s="114" t="s">
        <v>176</v>
      </c>
      <c r="E20" s="116">
        <v>46.7</v>
      </c>
      <c r="F20" s="576"/>
      <c r="G20" s="577"/>
      <c r="H20" s="572">
        <f t="shared" si="7"/>
        <v>0</v>
      </c>
      <c r="I20" s="577"/>
      <c r="J20" s="577"/>
      <c r="K20" s="573">
        <f t="shared" si="8"/>
        <v>0</v>
      </c>
      <c r="L20" s="574">
        <f t="shared" si="9"/>
        <v>0</v>
      </c>
      <c r="M20" s="572">
        <f t="shared" si="10"/>
        <v>0</v>
      </c>
      <c r="N20" s="572">
        <f t="shared" si="11"/>
        <v>0</v>
      </c>
      <c r="O20" s="572">
        <f t="shared" si="12"/>
        <v>0</v>
      </c>
      <c r="P20" s="573">
        <f t="shared" si="13"/>
        <v>0</v>
      </c>
    </row>
    <row r="21" spans="1:16" x14ac:dyDescent="0.2">
      <c r="A21" s="141">
        <f>IF(COUNTBLANK(B21)=1," ",COUNTA(B$15:B21))</f>
        <v>7</v>
      </c>
      <c r="B21" s="114" t="s">
        <v>86</v>
      </c>
      <c r="C21" s="113" t="s">
        <v>173</v>
      </c>
      <c r="D21" s="114" t="s">
        <v>90</v>
      </c>
      <c r="E21" s="60">
        <f>E20*0.3</f>
        <v>14.01</v>
      </c>
      <c r="F21" s="576"/>
      <c r="G21" s="577"/>
      <c r="H21" s="577">
        <f t="shared" si="7"/>
        <v>0</v>
      </c>
      <c r="I21" s="577"/>
      <c r="J21" s="577"/>
      <c r="K21" s="578">
        <f t="shared" si="8"/>
        <v>0</v>
      </c>
      <c r="L21" s="576">
        <f t="shared" si="9"/>
        <v>0</v>
      </c>
      <c r="M21" s="577">
        <f t="shared" si="10"/>
        <v>0</v>
      </c>
      <c r="N21" s="577">
        <f t="shared" si="11"/>
        <v>0</v>
      </c>
      <c r="O21" s="577">
        <f t="shared" si="12"/>
        <v>0</v>
      </c>
      <c r="P21" s="578">
        <f t="shared" si="13"/>
        <v>0</v>
      </c>
    </row>
    <row r="22" spans="1:16" x14ac:dyDescent="0.2">
      <c r="A22" s="141">
        <f>IF(COUNTBLANK(B22)=1," ",COUNTA(B$15:B22))</f>
        <v>8</v>
      </c>
      <c r="B22" s="114" t="s">
        <v>86</v>
      </c>
      <c r="C22" s="113" t="s">
        <v>133</v>
      </c>
      <c r="D22" s="114" t="s">
        <v>176</v>
      </c>
      <c r="E22" s="116">
        <f>E20*1.15</f>
        <v>53.704999999999998</v>
      </c>
      <c r="F22" s="576"/>
      <c r="G22" s="577"/>
      <c r="H22" s="572">
        <f t="shared" si="7"/>
        <v>0</v>
      </c>
      <c r="I22" s="577"/>
      <c r="J22" s="577"/>
      <c r="K22" s="573">
        <f t="shared" si="8"/>
        <v>0</v>
      </c>
      <c r="L22" s="574">
        <f t="shared" si="9"/>
        <v>0</v>
      </c>
      <c r="M22" s="572">
        <f t="shared" si="10"/>
        <v>0</v>
      </c>
      <c r="N22" s="572">
        <f t="shared" si="11"/>
        <v>0</v>
      </c>
      <c r="O22" s="572">
        <f t="shared" si="12"/>
        <v>0</v>
      </c>
      <c r="P22" s="573">
        <f t="shared" si="13"/>
        <v>0</v>
      </c>
    </row>
    <row r="23" spans="1:16" x14ac:dyDescent="0.2">
      <c r="A23" s="141">
        <f>IF(COUNTBLANK(B23)=1," ",COUNTA(B$15:B23))</f>
        <v>9</v>
      </c>
      <c r="B23" s="114" t="s">
        <v>86</v>
      </c>
      <c r="C23" s="120" t="s">
        <v>175</v>
      </c>
      <c r="D23" s="121" t="s">
        <v>90</v>
      </c>
      <c r="E23" s="81">
        <f>ROUNDUP(E21*5,2)</f>
        <v>70.05</v>
      </c>
      <c r="F23" s="576"/>
      <c r="G23" s="577"/>
      <c r="H23" s="577">
        <f t="shared" si="7"/>
        <v>0</v>
      </c>
      <c r="I23" s="577"/>
      <c r="J23" s="577"/>
      <c r="K23" s="578">
        <f t="shared" si="8"/>
        <v>0</v>
      </c>
      <c r="L23" s="576">
        <f t="shared" si="9"/>
        <v>0</v>
      </c>
      <c r="M23" s="577">
        <f t="shared" si="10"/>
        <v>0</v>
      </c>
      <c r="N23" s="577">
        <f t="shared" si="11"/>
        <v>0</v>
      </c>
      <c r="O23" s="577">
        <f t="shared" si="12"/>
        <v>0</v>
      </c>
      <c r="P23" s="578">
        <f t="shared" si="13"/>
        <v>0</v>
      </c>
    </row>
    <row r="24" spans="1:16" ht="45" x14ac:dyDescent="0.2">
      <c r="A24" s="141">
        <f>IF(COUNTBLANK(B24)=1," ",COUNTA(B$15:B24))</f>
        <v>10</v>
      </c>
      <c r="B24" s="114" t="s">
        <v>86</v>
      </c>
      <c r="C24" s="364" t="s">
        <v>444</v>
      </c>
      <c r="D24" s="102" t="s">
        <v>57</v>
      </c>
      <c r="E24" s="132">
        <f>E20*7</f>
        <v>326.90000000000003</v>
      </c>
      <c r="F24" s="576"/>
      <c r="G24" s="577"/>
      <c r="H24" s="572">
        <f t="shared" si="7"/>
        <v>0</v>
      </c>
      <c r="I24" s="577"/>
      <c r="J24" s="577"/>
      <c r="K24" s="573">
        <f t="shared" si="8"/>
        <v>0</v>
      </c>
      <c r="L24" s="574">
        <f t="shared" si="9"/>
        <v>0</v>
      </c>
      <c r="M24" s="572">
        <f t="shared" si="10"/>
        <v>0</v>
      </c>
      <c r="N24" s="572">
        <f t="shared" si="11"/>
        <v>0</v>
      </c>
      <c r="O24" s="572">
        <f t="shared" si="12"/>
        <v>0</v>
      </c>
      <c r="P24" s="573">
        <f t="shared" si="13"/>
        <v>0</v>
      </c>
    </row>
    <row r="25" spans="1:16" ht="32.25" thickBot="1" x14ac:dyDescent="0.25">
      <c r="A25" s="141" t="str">
        <f>IF(COUNTBLANK(B25)=1," ",COUNTA(B$15:B25))</f>
        <v xml:space="preserve"> </v>
      </c>
      <c r="B25" s="118"/>
      <c r="C25" s="365" t="s">
        <v>442</v>
      </c>
      <c r="D25" s="118"/>
      <c r="E25" s="366"/>
      <c r="F25" s="576"/>
      <c r="G25" s="577"/>
      <c r="H25" s="577">
        <f t="shared" si="7"/>
        <v>0</v>
      </c>
      <c r="I25" s="577"/>
      <c r="J25" s="577"/>
      <c r="K25" s="578">
        <f t="shared" si="8"/>
        <v>0</v>
      </c>
      <c r="L25" s="576">
        <f t="shared" si="9"/>
        <v>0</v>
      </c>
      <c r="M25" s="577">
        <f t="shared" si="10"/>
        <v>0</v>
      </c>
      <c r="N25" s="577">
        <f t="shared" si="11"/>
        <v>0</v>
      </c>
      <c r="O25" s="577">
        <f t="shared" si="12"/>
        <v>0</v>
      </c>
      <c r="P25" s="578">
        <f t="shared" si="13"/>
        <v>0</v>
      </c>
    </row>
    <row r="26" spans="1:16" ht="22.5" x14ac:dyDescent="0.2">
      <c r="A26" s="141">
        <f>IF(COUNTBLANK(B26)=1," ",COUNTA(B$15:B26))</f>
        <v>11</v>
      </c>
      <c r="B26" s="332" t="s">
        <v>86</v>
      </c>
      <c r="C26" s="333" t="s">
        <v>441</v>
      </c>
      <c r="D26" s="362" t="s">
        <v>56</v>
      </c>
      <c r="E26" s="363">
        <v>29</v>
      </c>
      <c r="F26" s="576"/>
      <c r="G26" s="577"/>
      <c r="H26" s="572">
        <f t="shared" si="7"/>
        <v>0</v>
      </c>
      <c r="I26" s="577"/>
      <c r="J26" s="577"/>
      <c r="K26" s="573">
        <f t="shared" si="8"/>
        <v>0</v>
      </c>
      <c r="L26" s="574">
        <f t="shared" si="9"/>
        <v>0</v>
      </c>
      <c r="M26" s="572">
        <f t="shared" si="10"/>
        <v>0</v>
      </c>
      <c r="N26" s="572">
        <f t="shared" si="11"/>
        <v>0</v>
      </c>
      <c r="O26" s="572">
        <f t="shared" si="12"/>
        <v>0</v>
      </c>
      <c r="P26" s="573">
        <f t="shared" si="13"/>
        <v>0</v>
      </c>
    </row>
    <row r="27" spans="1:16" x14ac:dyDescent="0.2">
      <c r="A27" s="141">
        <f>IF(COUNTBLANK(B27)=1," ",COUNTA(B$15:B27))</f>
        <v>12</v>
      </c>
      <c r="B27" s="332" t="s">
        <v>86</v>
      </c>
      <c r="C27" s="333" t="s">
        <v>173</v>
      </c>
      <c r="D27" s="367" t="s">
        <v>90</v>
      </c>
      <c r="E27" s="60">
        <f>E26*0.3</f>
        <v>8.6999999999999993</v>
      </c>
      <c r="F27" s="576"/>
      <c r="G27" s="577"/>
      <c r="H27" s="577">
        <f t="shared" si="7"/>
        <v>0</v>
      </c>
      <c r="I27" s="577"/>
      <c r="J27" s="577"/>
      <c r="K27" s="578">
        <f t="shared" si="8"/>
        <v>0</v>
      </c>
      <c r="L27" s="576">
        <f t="shared" si="9"/>
        <v>0</v>
      </c>
      <c r="M27" s="577">
        <f t="shared" si="10"/>
        <v>0</v>
      </c>
      <c r="N27" s="577">
        <f t="shared" si="11"/>
        <v>0</v>
      </c>
      <c r="O27" s="577">
        <f t="shared" si="12"/>
        <v>0</v>
      </c>
      <c r="P27" s="578">
        <f t="shared" si="13"/>
        <v>0</v>
      </c>
    </row>
    <row r="28" spans="1:16" x14ac:dyDescent="0.2">
      <c r="A28" s="141">
        <f>IF(COUNTBLANK(B28)=1," ",COUNTA(B$15:B28))</f>
        <v>13</v>
      </c>
      <c r="B28" s="332" t="s">
        <v>86</v>
      </c>
      <c r="C28" s="368" t="s">
        <v>175</v>
      </c>
      <c r="D28" s="367" t="s">
        <v>90</v>
      </c>
      <c r="E28" s="81">
        <f>ROUNDUP(E26*5,2)</f>
        <v>145</v>
      </c>
      <c r="F28" s="576"/>
      <c r="G28" s="577"/>
      <c r="H28" s="572">
        <f t="shared" si="7"/>
        <v>0</v>
      </c>
      <c r="I28" s="577"/>
      <c r="J28" s="577"/>
      <c r="K28" s="573">
        <f t="shared" si="8"/>
        <v>0</v>
      </c>
      <c r="L28" s="574">
        <f t="shared" si="9"/>
        <v>0</v>
      </c>
      <c r="M28" s="572">
        <f t="shared" si="10"/>
        <v>0</v>
      </c>
      <c r="N28" s="572">
        <f t="shared" si="11"/>
        <v>0</v>
      </c>
      <c r="O28" s="572">
        <f t="shared" si="12"/>
        <v>0</v>
      </c>
      <c r="P28" s="573">
        <f t="shared" si="13"/>
        <v>0</v>
      </c>
    </row>
    <row r="29" spans="1:16" x14ac:dyDescent="0.2">
      <c r="A29" s="141">
        <f>IF(COUNTBLANK(B29)=1," ",COUNTA(B$15:B29))</f>
        <v>14</v>
      </c>
      <c r="B29" s="332" t="s">
        <v>86</v>
      </c>
      <c r="C29" s="298" t="s">
        <v>133</v>
      </c>
      <c r="D29" s="299" t="s">
        <v>176</v>
      </c>
      <c r="E29" s="336">
        <f>E26*1.15</f>
        <v>33.349999999999994</v>
      </c>
      <c r="F29" s="576"/>
      <c r="G29" s="577"/>
      <c r="H29" s="577">
        <f t="shared" si="7"/>
        <v>0</v>
      </c>
      <c r="I29" s="577"/>
      <c r="J29" s="577"/>
      <c r="K29" s="578">
        <f t="shared" si="8"/>
        <v>0</v>
      </c>
      <c r="L29" s="576">
        <f t="shared" si="9"/>
        <v>0</v>
      </c>
      <c r="M29" s="577">
        <f t="shared" si="10"/>
        <v>0</v>
      </c>
      <c r="N29" s="577">
        <f t="shared" si="11"/>
        <v>0</v>
      </c>
      <c r="O29" s="577">
        <f t="shared" si="12"/>
        <v>0</v>
      </c>
      <c r="P29" s="578">
        <f t="shared" si="13"/>
        <v>0</v>
      </c>
    </row>
    <row r="30" spans="1:16" ht="22.5" x14ac:dyDescent="0.2">
      <c r="A30" s="141">
        <f>IF(COUNTBLANK(B30)=1," ",COUNTA(B$15:B30))</f>
        <v>15</v>
      </c>
      <c r="B30" s="369" t="s">
        <v>86</v>
      </c>
      <c r="C30" s="370" t="s">
        <v>443</v>
      </c>
      <c r="D30" s="361" t="s">
        <v>56</v>
      </c>
      <c r="E30" s="371">
        <v>41</v>
      </c>
      <c r="F30" s="576"/>
      <c r="G30" s="577"/>
      <c r="H30" s="572">
        <f t="shared" si="7"/>
        <v>0</v>
      </c>
      <c r="I30" s="577"/>
      <c r="J30" s="577"/>
      <c r="K30" s="573">
        <f t="shared" si="8"/>
        <v>0</v>
      </c>
      <c r="L30" s="574">
        <f t="shared" si="9"/>
        <v>0</v>
      </c>
      <c r="M30" s="572">
        <f t="shared" si="10"/>
        <v>0</v>
      </c>
      <c r="N30" s="572">
        <f t="shared" si="11"/>
        <v>0</v>
      </c>
      <c r="O30" s="572">
        <f t="shared" si="12"/>
        <v>0</v>
      </c>
      <c r="P30" s="573">
        <f t="shared" si="13"/>
        <v>0</v>
      </c>
    </row>
    <row r="31" spans="1:16" x14ac:dyDescent="0.2">
      <c r="A31" s="141">
        <f>IF(COUNTBLANK(B31)=1," ",COUNTA(B$15:B31))</f>
        <v>16</v>
      </c>
      <c r="B31" s="369" t="s">
        <v>86</v>
      </c>
      <c r="C31" s="318" t="s">
        <v>133</v>
      </c>
      <c r="D31" s="372" t="s">
        <v>176</v>
      </c>
      <c r="E31" s="344">
        <f>E30*1.15</f>
        <v>47.15</v>
      </c>
      <c r="F31" s="576"/>
      <c r="G31" s="577"/>
      <c r="H31" s="577">
        <f t="shared" si="7"/>
        <v>0</v>
      </c>
      <c r="I31" s="577"/>
      <c r="J31" s="577"/>
      <c r="K31" s="578">
        <f t="shared" si="8"/>
        <v>0</v>
      </c>
      <c r="L31" s="576">
        <f t="shared" si="9"/>
        <v>0</v>
      </c>
      <c r="M31" s="577">
        <f t="shared" si="10"/>
        <v>0</v>
      </c>
      <c r="N31" s="577">
        <f t="shared" si="11"/>
        <v>0</v>
      </c>
      <c r="O31" s="577">
        <f t="shared" si="12"/>
        <v>0</v>
      </c>
      <c r="P31" s="578">
        <f t="shared" si="13"/>
        <v>0</v>
      </c>
    </row>
    <row r="32" spans="1:16" x14ac:dyDescent="0.2">
      <c r="A32" s="141">
        <f>IF(COUNTBLANK(B32)=1," ",COUNTA(B$15:B32))</f>
        <v>17</v>
      </c>
      <c r="B32" s="369" t="s">
        <v>86</v>
      </c>
      <c r="C32" s="373" t="s">
        <v>173</v>
      </c>
      <c r="D32" s="374" t="s">
        <v>90</v>
      </c>
      <c r="E32" s="60">
        <f>E30*0.3</f>
        <v>12.299999999999999</v>
      </c>
      <c r="F32" s="576"/>
      <c r="G32" s="577"/>
      <c r="H32" s="572">
        <f t="shared" si="7"/>
        <v>0</v>
      </c>
      <c r="I32" s="577"/>
      <c r="J32" s="577"/>
      <c r="K32" s="573">
        <f t="shared" si="8"/>
        <v>0</v>
      </c>
      <c r="L32" s="574">
        <f t="shared" si="9"/>
        <v>0</v>
      </c>
      <c r="M32" s="572">
        <f t="shared" si="10"/>
        <v>0</v>
      </c>
      <c r="N32" s="572">
        <f t="shared" si="11"/>
        <v>0</v>
      </c>
      <c r="O32" s="572">
        <f t="shared" si="12"/>
        <v>0</v>
      </c>
      <c r="P32" s="573">
        <f t="shared" si="13"/>
        <v>0</v>
      </c>
    </row>
    <row r="33" spans="1:16" x14ac:dyDescent="0.2">
      <c r="A33" s="141">
        <f>IF(COUNTBLANK(B33)=1," ",COUNTA(B$15:B33))</f>
        <v>18</v>
      </c>
      <c r="B33" s="369" t="s">
        <v>86</v>
      </c>
      <c r="C33" s="364" t="s">
        <v>174</v>
      </c>
      <c r="D33" s="375" t="s">
        <v>90</v>
      </c>
      <c r="E33" s="81">
        <f>ROUNDUP(E31*5,2)</f>
        <v>235.75</v>
      </c>
      <c r="F33" s="576"/>
      <c r="G33" s="577"/>
      <c r="H33" s="577">
        <f t="shared" si="7"/>
        <v>0</v>
      </c>
      <c r="I33" s="577"/>
      <c r="J33" s="577"/>
      <c r="K33" s="578">
        <f t="shared" si="8"/>
        <v>0</v>
      </c>
      <c r="L33" s="576">
        <f t="shared" si="9"/>
        <v>0</v>
      </c>
      <c r="M33" s="577">
        <f t="shared" si="10"/>
        <v>0</v>
      </c>
      <c r="N33" s="577">
        <f t="shared" si="11"/>
        <v>0</v>
      </c>
      <c r="O33" s="577">
        <f t="shared" si="12"/>
        <v>0</v>
      </c>
      <c r="P33" s="578">
        <f t="shared" si="13"/>
        <v>0</v>
      </c>
    </row>
    <row r="34" spans="1:16" ht="45" x14ac:dyDescent="0.2">
      <c r="A34" s="141">
        <f>IF(COUNTBLANK(B34)=1," ",COUNTA(B$15:B34))</f>
        <v>19</v>
      </c>
      <c r="B34" s="369" t="s">
        <v>86</v>
      </c>
      <c r="C34" s="364" t="s">
        <v>445</v>
      </c>
      <c r="D34" s="361" t="s">
        <v>57</v>
      </c>
      <c r="E34" s="132">
        <f>E30*7</f>
        <v>287</v>
      </c>
      <c r="F34" s="576"/>
      <c r="G34" s="577"/>
      <c r="H34" s="572">
        <f t="shared" si="7"/>
        <v>0</v>
      </c>
      <c r="I34" s="577"/>
      <c r="J34" s="577"/>
      <c r="K34" s="573">
        <f t="shared" si="8"/>
        <v>0</v>
      </c>
      <c r="L34" s="574">
        <f t="shared" si="9"/>
        <v>0</v>
      </c>
      <c r="M34" s="572">
        <f t="shared" si="10"/>
        <v>0</v>
      </c>
      <c r="N34" s="572">
        <f t="shared" si="11"/>
        <v>0</v>
      </c>
      <c r="O34" s="572">
        <f t="shared" si="12"/>
        <v>0</v>
      </c>
      <c r="P34" s="573">
        <f t="shared" si="13"/>
        <v>0</v>
      </c>
    </row>
    <row r="35" spans="1:16" ht="12" thickBot="1" x14ac:dyDescent="0.25">
      <c r="A35" s="141" t="str">
        <f>IF(COUNTBLANK(B35)=1," ",COUNTA(B$15:B35))</f>
        <v xml:space="preserve"> </v>
      </c>
      <c r="B35" s="332"/>
      <c r="C35" s="376" t="s">
        <v>446</v>
      </c>
      <c r="D35" s="377"/>
      <c r="E35" s="377"/>
      <c r="F35" s="576"/>
      <c r="G35" s="577"/>
      <c r="H35" s="577">
        <f t="shared" si="7"/>
        <v>0</v>
      </c>
      <c r="I35" s="577"/>
      <c r="J35" s="577"/>
      <c r="K35" s="578">
        <f t="shared" si="8"/>
        <v>0</v>
      </c>
      <c r="L35" s="576">
        <f t="shared" si="9"/>
        <v>0</v>
      </c>
      <c r="M35" s="577">
        <f t="shared" si="10"/>
        <v>0</v>
      </c>
      <c r="N35" s="577">
        <f t="shared" si="11"/>
        <v>0</v>
      </c>
      <c r="O35" s="577">
        <f t="shared" si="12"/>
        <v>0</v>
      </c>
      <c r="P35" s="578">
        <f t="shared" si="13"/>
        <v>0</v>
      </c>
    </row>
    <row r="36" spans="1:16" ht="33.75" x14ac:dyDescent="0.2">
      <c r="A36" s="141">
        <f>IF(COUNTBLANK(B36)=1," ",COUNTA(B$15:B36))</f>
        <v>20</v>
      </c>
      <c r="B36" s="332" t="s">
        <v>86</v>
      </c>
      <c r="C36" s="360" t="s">
        <v>196</v>
      </c>
      <c r="D36" s="377" t="s">
        <v>57</v>
      </c>
      <c r="E36" s="378">
        <v>62</v>
      </c>
      <c r="F36" s="576"/>
      <c r="G36" s="577"/>
      <c r="H36" s="572">
        <f t="shared" si="7"/>
        <v>0</v>
      </c>
      <c r="I36" s="577"/>
      <c r="J36" s="577"/>
      <c r="K36" s="573">
        <f t="shared" si="8"/>
        <v>0</v>
      </c>
      <c r="L36" s="574">
        <f t="shared" si="9"/>
        <v>0</v>
      </c>
      <c r="M36" s="572">
        <f t="shared" si="10"/>
        <v>0</v>
      </c>
      <c r="N36" s="572">
        <f t="shared" si="11"/>
        <v>0</v>
      </c>
      <c r="O36" s="572">
        <f t="shared" si="12"/>
        <v>0</v>
      </c>
      <c r="P36" s="573">
        <f t="shared" si="13"/>
        <v>0</v>
      </c>
    </row>
    <row r="37" spans="1:16" ht="22.5" x14ac:dyDescent="0.2">
      <c r="A37" s="141">
        <f>IF(COUNTBLANK(B37)=1," ",COUNTA(B$15:B37))</f>
        <v>21</v>
      </c>
      <c r="B37" s="332" t="s">
        <v>86</v>
      </c>
      <c r="C37" s="343" t="s">
        <v>155</v>
      </c>
      <c r="D37" s="377" t="s">
        <v>84</v>
      </c>
      <c r="E37" s="379">
        <v>2.5</v>
      </c>
      <c r="F37" s="576"/>
      <c r="G37" s="577"/>
      <c r="H37" s="577">
        <f t="shared" si="7"/>
        <v>0</v>
      </c>
      <c r="I37" s="577"/>
      <c r="J37" s="577"/>
      <c r="K37" s="578">
        <f t="shared" si="8"/>
        <v>0</v>
      </c>
      <c r="L37" s="576">
        <f t="shared" si="9"/>
        <v>0</v>
      </c>
      <c r="M37" s="577">
        <f t="shared" si="10"/>
        <v>0</v>
      </c>
      <c r="N37" s="577">
        <f t="shared" si="11"/>
        <v>0</v>
      </c>
      <c r="O37" s="577">
        <f t="shared" si="12"/>
        <v>0</v>
      </c>
      <c r="P37" s="578">
        <f t="shared" si="13"/>
        <v>0</v>
      </c>
    </row>
    <row r="38" spans="1:16" x14ac:dyDescent="0.2">
      <c r="A38" s="141">
        <f>IF(COUNTBLANK(B38)=1," ",COUNTA(B$15:B38))</f>
        <v>22</v>
      </c>
      <c r="B38" s="332" t="s">
        <v>86</v>
      </c>
      <c r="C38" s="343" t="s">
        <v>156</v>
      </c>
      <c r="D38" s="377" t="str">
        <f>D37</f>
        <v>m³</v>
      </c>
      <c r="E38" s="378">
        <v>1.86</v>
      </c>
      <c r="F38" s="576"/>
      <c r="G38" s="577"/>
      <c r="H38" s="572">
        <f t="shared" si="7"/>
        <v>0</v>
      </c>
      <c r="I38" s="577"/>
      <c r="J38" s="577"/>
      <c r="K38" s="573">
        <f t="shared" si="8"/>
        <v>0</v>
      </c>
      <c r="L38" s="574">
        <f t="shared" si="9"/>
        <v>0</v>
      </c>
      <c r="M38" s="572">
        <f t="shared" si="10"/>
        <v>0</v>
      </c>
      <c r="N38" s="572">
        <f t="shared" si="11"/>
        <v>0</v>
      </c>
      <c r="O38" s="572">
        <f t="shared" si="12"/>
        <v>0</v>
      </c>
      <c r="P38" s="573">
        <f t="shared" si="13"/>
        <v>0</v>
      </c>
    </row>
    <row r="39" spans="1:16" ht="33.75" x14ac:dyDescent="0.2">
      <c r="A39" s="141">
        <f>IF(COUNTBLANK(B39)=1," ",COUNTA(B$15:B39))</f>
        <v>23</v>
      </c>
      <c r="B39" s="332" t="s">
        <v>86</v>
      </c>
      <c r="C39" s="343" t="s">
        <v>617</v>
      </c>
      <c r="D39" s="377" t="str">
        <f>D38</f>
        <v>m³</v>
      </c>
      <c r="E39" s="378">
        <v>4.96</v>
      </c>
      <c r="F39" s="576"/>
      <c r="G39" s="577"/>
      <c r="H39" s="577">
        <f t="shared" si="7"/>
        <v>0</v>
      </c>
      <c r="I39" s="577"/>
      <c r="J39" s="577"/>
      <c r="K39" s="578">
        <f t="shared" si="8"/>
        <v>0</v>
      </c>
      <c r="L39" s="576">
        <f t="shared" si="9"/>
        <v>0</v>
      </c>
      <c r="M39" s="577">
        <f t="shared" si="10"/>
        <v>0</v>
      </c>
      <c r="N39" s="577">
        <f t="shared" si="11"/>
        <v>0</v>
      </c>
      <c r="O39" s="577">
        <f t="shared" si="12"/>
        <v>0</v>
      </c>
      <c r="P39" s="578">
        <f t="shared" si="13"/>
        <v>0</v>
      </c>
    </row>
    <row r="40" spans="1:16" ht="12" thickBot="1" x14ac:dyDescent="0.25">
      <c r="A40" s="141">
        <f>IF(COUNTBLANK(B40)=1," ",COUNTA(B$15:B40))</f>
        <v>24</v>
      </c>
      <c r="B40" s="332" t="s">
        <v>86</v>
      </c>
      <c r="C40" s="380" t="s">
        <v>447</v>
      </c>
      <c r="D40" s="377" t="s">
        <v>56</v>
      </c>
      <c r="E40" s="378">
        <f>0.24*E36</f>
        <v>14.879999999999999</v>
      </c>
      <c r="F40" s="576"/>
      <c r="G40" s="577"/>
      <c r="H40" s="572">
        <f t="shared" si="7"/>
        <v>0</v>
      </c>
      <c r="I40" s="577"/>
      <c r="J40" s="577"/>
      <c r="K40" s="573">
        <f t="shared" si="8"/>
        <v>0</v>
      </c>
      <c r="L40" s="574">
        <f t="shared" si="9"/>
        <v>0</v>
      </c>
      <c r="M40" s="572">
        <f t="shared" si="10"/>
        <v>0</v>
      </c>
      <c r="N40" s="572">
        <f t="shared" si="11"/>
        <v>0</v>
      </c>
      <c r="O40" s="572">
        <f t="shared" si="12"/>
        <v>0</v>
      </c>
      <c r="P40" s="573">
        <f t="shared" si="13"/>
        <v>0</v>
      </c>
    </row>
    <row r="41" spans="1:16" ht="12" thickBot="1" x14ac:dyDescent="0.25">
      <c r="A41" s="656" t="s">
        <v>612</v>
      </c>
      <c r="B41" s="656"/>
      <c r="C41" s="656"/>
      <c r="D41" s="656"/>
      <c r="E41" s="656"/>
      <c r="F41" s="656"/>
      <c r="G41" s="656"/>
      <c r="H41" s="656"/>
      <c r="I41" s="656"/>
      <c r="J41" s="656"/>
      <c r="K41" s="656"/>
      <c r="L41" s="582">
        <f>SUM(L14:L40)</f>
        <v>0</v>
      </c>
      <c r="M41" s="582">
        <f t="shared" ref="M41:P41" si="14">SUM(M14:M40)</f>
        <v>0</v>
      </c>
      <c r="N41" s="582">
        <f t="shared" si="14"/>
        <v>0</v>
      </c>
      <c r="O41" s="582">
        <f t="shared" si="14"/>
        <v>0</v>
      </c>
      <c r="P41" s="582">
        <f t="shared" si="14"/>
        <v>0</v>
      </c>
    </row>
    <row r="42" spans="1:16" x14ac:dyDescent="0.2">
      <c r="A42" s="202"/>
      <c r="B42" s="202"/>
      <c r="C42" s="202"/>
      <c r="D42" s="202"/>
      <c r="E42" s="202"/>
      <c r="F42" s="202"/>
      <c r="G42" s="202"/>
      <c r="H42" s="202"/>
      <c r="I42" s="202"/>
      <c r="J42" s="202"/>
      <c r="K42" s="202"/>
      <c r="L42" s="202"/>
      <c r="M42" s="202"/>
      <c r="N42" s="202"/>
      <c r="O42" s="202"/>
      <c r="P42" s="202"/>
    </row>
    <row r="43" spans="1:16" x14ac:dyDescent="0.2">
      <c r="A43" s="202"/>
      <c r="B43" s="202"/>
      <c r="C43" s="202"/>
      <c r="D43" s="202"/>
      <c r="E43" s="202"/>
      <c r="F43" s="202"/>
      <c r="G43" s="202"/>
      <c r="H43" s="202"/>
      <c r="I43" s="202"/>
      <c r="J43" s="202"/>
      <c r="K43" s="202"/>
      <c r="L43" s="202"/>
      <c r="M43" s="202"/>
      <c r="N43" s="202"/>
      <c r="O43" s="202"/>
      <c r="P43" s="202"/>
    </row>
    <row r="44" spans="1:16" x14ac:dyDescent="0.2">
      <c r="A44" s="159" t="s">
        <v>14</v>
      </c>
      <c r="B44" s="202"/>
      <c r="C44" s="617">
        <f>'Kops a'!C36:H36</f>
        <v>0</v>
      </c>
      <c r="D44" s="617"/>
      <c r="E44" s="617"/>
      <c r="F44" s="617"/>
      <c r="G44" s="617"/>
      <c r="H44" s="617"/>
      <c r="I44" s="202"/>
      <c r="J44" s="202"/>
      <c r="K44" s="202"/>
      <c r="L44" s="202"/>
      <c r="M44" s="202"/>
      <c r="N44" s="202"/>
      <c r="O44" s="202"/>
      <c r="P44" s="202"/>
    </row>
    <row r="45" spans="1:16" x14ac:dyDescent="0.2">
      <c r="A45" s="202"/>
      <c r="B45" s="202"/>
      <c r="C45" s="655" t="s">
        <v>15</v>
      </c>
      <c r="D45" s="655"/>
      <c r="E45" s="655"/>
      <c r="F45" s="655"/>
      <c r="G45" s="655"/>
      <c r="H45" s="655"/>
      <c r="I45" s="202"/>
      <c r="J45" s="202"/>
      <c r="K45" s="202"/>
      <c r="L45" s="202"/>
      <c r="M45" s="202"/>
      <c r="N45" s="202"/>
      <c r="O45" s="202"/>
      <c r="P45" s="202"/>
    </row>
    <row r="46" spans="1:16" x14ac:dyDescent="0.2">
      <c r="A46" s="202"/>
      <c r="B46" s="202"/>
      <c r="C46" s="381"/>
      <c r="D46" s="381"/>
      <c r="E46" s="381"/>
      <c r="F46" s="381"/>
      <c r="G46" s="381"/>
      <c r="H46" s="381"/>
      <c r="I46" s="202"/>
      <c r="J46" s="202"/>
      <c r="K46" s="202"/>
      <c r="L46" s="202"/>
      <c r="M46" s="202"/>
      <c r="N46" s="202"/>
      <c r="O46" s="202"/>
      <c r="P46" s="202"/>
    </row>
    <row r="47" spans="1:16" x14ac:dyDescent="0.2">
      <c r="A47" s="203" t="str">
        <f>'Kops a'!A39</f>
        <v>Tāme sastādīta 2021. gada</v>
      </c>
      <c r="B47" s="204"/>
      <c r="C47" s="382"/>
      <c r="D47" s="382"/>
      <c r="E47" s="381"/>
      <c r="F47" s="381"/>
      <c r="G47" s="381"/>
      <c r="H47" s="381"/>
      <c r="I47" s="202"/>
      <c r="J47" s="202"/>
      <c r="K47" s="202"/>
      <c r="L47" s="202"/>
      <c r="M47" s="202"/>
      <c r="N47" s="202"/>
      <c r="O47" s="202"/>
      <c r="P47" s="202"/>
    </row>
    <row r="48" spans="1:16" x14ac:dyDescent="0.2">
      <c r="A48" s="202"/>
      <c r="B48" s="202"/>
      <c r="C48" s="381"/>
      <c r="D48" s="381"/>
      <c r="E48" s="381"/>
      <c r="F48" s="381"/>
      <c r="G48" s="381"/>
      <c r="H48" s="381"/>
      <c r="I48" s="202"/>
      <c r="J48" s="202"/>
      <c r="K48" s="202"/>
      <c r="L48" s="202"/>
      <c r="M48" s="202"/>
      <c r="N48" s="202"/>
      <c r="O48" s="202"/>
      <c r="P48" s="202"/>
    </row>
    <row r="49" spans="1:16" x14ac:dyDescent="0.2">
      <c r="A49" s="159" t="s">
        <v>38</v>
      </c>
      <c r="B49" s="202"/>
      <c r="C49" s="617">
        <f>'Kops a'!C41:H41</f>
        <v>0</v>
      </c>
      <c r="D49" s="617"/>
      <c r="E49" s="617"/>
      <c r="F49" s="617"/>
      <c r="G49" s="617"/>
      <c r="H49" s="617"/>
      <c r="I49" s="202"/>
      <c r="J49" s="202"/>
      <c r="K49" s="202"/>
      <c r="L49" s="202"/>
      <c r="M49" s="202"/>
      <c r="N49" s="202"/>
      <c r="O49" s="202"/>
      <c r="P49" s="202"/>
    </row>
    <row r="50" spans="1:16" x14ac:dyDescent="0.2">
      <c r="A50" s="202"/>
      <c r="B50" s="202"/>
      <c r="C50" s="655" t="s">
        <v>15</v>
      </c>
      <c r="D50" s="655"/>
      <c r="E50" s="655"/>
      <c r="F50" s="655"/>
      <c r="G50" s="655"/>
      <c r="H50" s="655"/>
      <c r="I50" s="202"/>
      <c r="J50" s="202"/>
      <c r="K50" s="202"/>
      <c r="L50" s="202"/>
      <c r="M50" s="202"/>
      <c r="N50" s="202"/>
      <c r="O50" s="202"/>
      <c r="P50" s="202"/>
    </row>
    <row r="51" spans="1:16" x14ac:dyDescent="0.2">
      <c r="A51" s="202"/>
      <c r="B51" s="202"/>
      <c r="C51" s="383"/>
      <c r="D51" s="383"/>
      <c r="E51" s="383"/>
      <c r="F51" s="383"/>
      <c r="G51" s="383"/>
      <c r="H51" s="383"/>
      <c r="I51" s="202"/>
      <c r="J51" s="202"/>
      <c r="K51" s="202"/>
      <c r="L51" s="202"/>
      <c r="M51" s="202"/>
      <c r="N51" s="202"/>
      <c r="O51" s="202"/>
      <c r="P51" s="202"/>
    </row>
    <row r="52" spans="1:16" x14ac:dyDescent="0.2">
      <c r="A52" s="203" t="s">
        <v>53</v>
      </c>
      <c r="B52" s="204"/>
      <c r="C52" s="384">
        <f>'Kops a'!C44</f>
        <v>0</v>
      </c>
      <c r="D52" s="385"/>
      <c r="E52" s="383"/>
      <c r="F52" s="383"/>
      <c r="G52" s="383"/>
      <c r="H52" s="383"/>
      <c r="I52" s="202"/>
      <c r="J52" s="202"/>
      <c r="K52" s="202"/>
      <c r="L52" s="202"/>
      <c r="M52" s="202"/>
      <c r="N52" s="202"/>
      <c r="O52" s="202"/>
      <c r="P52" s="202"/>
    </row>
    <row r="54" spans="1:16" x14ac:dyDescent="0.2">
      <c r="A54" s="687" t="s">
        <v>687</v>
      </c>
      <c r="B54" s="688"/>
      <c r="C54" s="689"/>
      <c r="D54" s="689"/>
      <c r="E54" s="690"/>
      <c r="F54" s="691"/>
      <c r="G54" s="690"/>
      <c r="H54" s="692"/>
      <c r="I54" s="692"/>
      <c r="J54" s="693"/>
      <c r="K54" s="694"/>
      <c r="L54" s="694"/>
      <c r="M54" s="694"/>
      <c r="N54" s="694"/>
      <c r="O54" s="694"/>
    </row>
    <row r="55" spans="1:16" x14ac:dyDescent="0.2">
      <c r="A55" s="695" t="s">
        <v>688</v>
      </c>
      <c r="B55" s="695"/>
      <c r="C55" s="695"/>
      <c r="D55" s="695"/>
      <c r="E55" s="695"/>
      <c r="F55" s="695"/>
      <c r="G55" s="695"/>
      <c r="H55" s="695"/>
      <c r="I55" s="695"/>
      <c r="J55" s="695"/>
      <c r="K55" s="695"/>
      <c r="L55" s="695"/>
      <c r="M55" s="695"/>
      <c r="N55" s="695"/>
      <c r="O55" s="695"/>
    </row>
    <row r="56" spans="1:16" x14ac:dyDescent="0.2">
      <c r="A56" s="695" t="s">
        <v>689</v>
      </c>
      <c r="B56" s="695"/>
      <c r="C56" s="695"/>
      <c r="D56" s="695"/>
      <c r="E56" s="695"/>
      <c r="F56" s="695"/>
      <c r="G56" s="695"/>
      <c r="H56" s="695"/>
      <c r="I56" s="695"/>
      <c r="J56" s="695"/>
      <c r="K56" s="695"/>
      <c r="L56" s="695"/>
      <c r="M56" s="695"/>
      <c r="N56" s="695"/>
      <c r="O56" s="695"/>
    </row>
  </sheetData>
  <mergeCells count="24">
    <mergeCell ref="A56:O56"/>
    <mergeCell ref="A55:O55"/>
    <mergeCell ref="C2:I2"/>
    <mergeCell ref="C3:I3"/>
    <mergeCell ref="C4:I4"/>
    <mergeCell ref="D5:L5"/>
    <mergeCell ref="D6:L6"/>
    <mergeCell ref="D7:L7"/>
    <mergeCell ref="D8:L8"/>
    <mergeCell ref="A9:F9"/>
    <mergeCell ref="J9:M9"/>
    <mergeCell ref="N9:O9"/>
    <mergeCell ref="C49:H49"/>
    <mergeCell ref="C50:H50"/>
    <mergeCell ref="F12:K12"/>
    <mergeCell ref="L12:P12"/>
    <mergeCell ref="A41:K41"/>
    <mergeCell ref="C44:H44"/>
    <mergeCell ref="C45:H45"/>
    <mergeCell ref="A12:A13"/>
    <mergeCell ref="B12:B13"/>
    <mergeCell ref="C12:C13"/>
    <mergeCell ref="D12:D13"/>
    <mergeCell ref="E12:E13"/>
  </mergeCells>
  <conditionalFormatting sqref="C4:I4 D5:L8 D1 C22:E22 C21:D21 B30:E30 B25:E26 C27:D28 C23:D24 B21:B24 C29:E29 B27:B29 C32:D34 C31:E31 B31:B34 B35:E40 B15:E20">
    <cfRule type="cellIs" dxfId="122" priority="22" operator="equal">
      <formula>0</formula>
    </cfRule>
  </conditionalFormatting>
  <conditionalFormatting sqref="N9:O9 C2:I2 A15:A40">
    <cfRule type="cellIs" dxfId="121" priority="23" operator="equal">
      <formula>0</formula>
    </cfRule>
  </conditionalFormatting>
  <conditionalFormatting sqref="A41:K41 A9:F9">
    <cfRule type="containsText" dxfId="120" priority="24" operator="containsText" text="Tāme sastādīta  20__. gada tirgus cenās, pamatojoties uz ___ daļas rasējumiem"/>
  </conditionalFormatting>
  <conditionalFormatting sqref="O10">
    <cfRule type="cellIs" dxfId="119" priority="26" operator="equal">
      <formula>"20__. gada __. _________"</formula>
    </cfRule>
  </conditionalFormatting>
  <conditionalFormatting sqref="P10">
    <cfRule type="cellIs" dxfId="118" priority="35" operator="equal">
      <formula>"20__. gada __. _________"</formula>
    </cfRule>
  </conditionalFormatting>
  <conditionalFormatting sqref="C49:H49 C44:H44">
    <cfRule type="cellIs" dxfId="117" priority="14" operator="equal">
      <formula>0</formula>
    </cfRule>
  </conditionalFormatting>
  <conditionalFormatting sqref="C49:H49 C44:H44">
    <cfRule type="cellIs" dxfId="116" priority="15" operator="equal">
      <formula>0</formula>
    </cfRule>
  </conditionalFormatting>
  <conditionalFormatting sqref="C52">
    <cfRule type="cellIs" dxfId="115" priority="16" operator="equal">
      <formula>0</formula>
    </cfRule>
  </conditionalFormatting>
  <conditionalFormatting sqref="E21">
    <cfRule type="cellIs" dxfId="114" priority="12" operator="equal">
      <formula>0</formula>
    </cfRule>
  </conditionalFormatting>
  <conditionalFormatting sqref="E27">
    <cfRule type="cellIs" dxfId="113" priority="11" operator="equal">
      <formula>0</formula>
    </cfRule>
  </conditionalFormatting>
  <conditionalFormatting sqref="E32">
    <cfRule type="cellIs" dxfId="112" priority="10" operator="equal">
      <formula>0</formula>
    </cfRule>
  </conditionalFormatting>
  <conditionalFormatting sqref="E23">
    <cfRule type="cellIs" dxfId="111" priority="9" operator="equal">
      <formula>0</formula>
    </cfRule>
  </conditionalFormatting>
  <conditionalFormatting sqref="E28">
    <cfRule type="cellIs" dxfId="110" priority="8" operator="equal">
      <formula>0</formula>
    </cfRule>
  </conditionalFormatting>
  <conditionalFormatting sqref="E33">
    <cfRule type="cellIs" dxfId="109" priority="7" operator="equal">
      <formula>0</formula>
    </cfRule>
  </conditionalFormatting>
  <conditionalFormatting sqref="E24">
    <cfRule type="cellIs" dxfId="108" priority="6" operator="equal">
      <formula>0</formula>
    </cfRule>
  </conditionalFormatting>
  <conditionalFormatting sqref="E34">
    <cfRule type="cellIs" dxfId="107" priority="5" operator="equal">
      <formula>0</formula>
    </cfRule>
  </conditionalFormatting>
  <conditionalFormatting sqref="I15:J40 F15:G40">
    <cfRule type="cellIs" dxfId="106" priority="3" operator="equal">
      <formula>0</formula>
    </cfRule>
  </conditionalFormatting>
  <conditionalFormatting sqref="H15:H40 K15:P40">
    <cfRule type="cellIs" dxfId="105" priority="2" operator="equal">
      <formula>0</formula>
    </cfRule>
  </conditionalFormatting>
  <conditionalFormatting sqref="L41:P41">
    <cfRule type="cellIs" dxfId="104" priority="1" operator="equal">
      <formula>0</formula>
    </cfRule>
  </conditionalFormatting>
  <pageMargins left="0.19685039370078741" right="0.19685039370078741" top="0.75196850393700787" bottom="0.39370078740157483" header="0.51181102362204722" footer="0.51181102362204722"/>
  <pageSetup paperSize="9" scale="90" firstPageNumber="0" orientation="landscape" r:id="rId1"/>
  <rowBreaks count="2" manualBreakCount="2">
    <brk id="24" max="15" man="1"/>
    <brk id="40"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P109"/>
  <sheetViews>
    <sheetView view="pageBreakPreview" topLeftCell="A79" zoomScale="115" zoomScaleNormal="100" zoomScaleSheetLayoutView="115" workbookViewId="0">
      <selection activeCell="P94" sqref="P94"/>
    </sheetView>
  </sheetViews>
  <sheetFormatPr defaultColWidth="8.6640625" defaultRowHeight="11.25" x14ac:dyDescent="0.2"/>
  <cols>
    <col min="1" max="1" width="5.83203125" style="159" customWidth="1"/>
    <col min="2" max="2" width="5.33203125" style="159" customWidth="1"/>
    <col min="3" max="3" width="38.33203125" style="159" customWidth="1"/>
    <col min="4" max="4" width="5.83203125" style="159" customWidth="1"/>
    <col min="5" max="5" width="8.6640625" style="159" customWidth="1"/>
    <col min="6" max="6" width="5.33203125" style="159" customWidth="1"/>
    <col min="7" max="7" width="7.6640625" style="159" customWidth="1"/>
    <col min="8" max="10" width="6.6640625" style="159" customWidth="1"/>
    <col min="11" max="11" width="6.83203125" style="159" customWidth="1"/>
    <col min="12" max="15" width="7.6640625" style="159" customWidth="1"/>
    <col min="16" max="16" width="8.83203125" style="159" customWidth="1"/>
    <col min="17" max="1025" width="9.1640625" style="159" customWidth="1"/>
    <col min="1026" max="16384" width="8.6640625" style="159"/>
  </cols>
  <sheetData>
    <row r="1" spans="1:16" x14ac:dyDescent="0.2">
      <c r="A1" s="156"/>
      <c r="B1" s="156"/>
      <c r="C1" s="157" t="s">
        <v>39</v>
      </c>
      <c r="D1" s="158">
        <f>'Kops a'!A20</f>
        <v>6</v>
      </c>
      <c r="E1" s="156"/>
      <c r="F1" s="156"/>
      <c r="G1" s="156"/>
      <c r="H1" s="156"/>
      <c r="I1" s="156"/>
      <c r="J1" s="156"/>
      <c r="N1" s="160"/>
      <c r="O1" s="157"/>
      <c r="P1" s="161"/>
    </row>
    <row r="2" spans="1:16" x14ac:dyDescent="0.2">
      <c r="A2" s="162"/>
      <c r="B2" s="162"/>
      <c r="C2" s="630" t="s">
        <v>448</v>
      </c>
      <c r="D2" s="630"/>
      <c r="E2" s="630"/>
      <c r="F2" s="630"/>
      <c r="G2" s="630"/>
      <c r="H2" s="630"/>
      <c r="I2" s="630"/>
      <c r="J2" s="162"/>
    </row>
    <row r="3" spans="1:16" x14ac:dyDescent="0.2">
      <c r="A3" s="163"/>
      <c r="B3" s="163"/>
      <c r="C3" s="604" t="s">
        <v>18</v>
      </c>
      <c r="D3" s="604"/>
      <c r="E3" s="604"/>
      <c r="F3" s="604"/>
      <c r="G3" s="604"/>
      <c r="H3" s="604"/>
      <c r="I3" s="604"/>
      <c r="J3" s="163"/>
    </row>
    <row r="4" spans="1:16" x14ac:dyDescent="0.2">
      <c r="A4" s="163"/>
      <c r="B4" s="163"/>
      <c r="C4" s="631" t="s">
        <v>4</v>
      </c>
      <c r="D4" s="631"/>
      <c r="E4" s="631"/>
      <c r="F4" s="631"/>
      <c r="G4" s="631"/>
      <c r="H4" s="631"/>
      <c r="I4" s="631"/>
      <c r="J4" s="163"/>
    </row>
    <row r="5" spans="1:16" x14ac:dyDescent="0.2">
      <c r="A5" s="156"/>
      <c r="B5" s="156"/>
      <c r="C5" s="157" t="s">
        <v>5</v>
      </c>
      <c r="D5" s="626" t="str">
        <f>'Kops a'!D6</f>
        <v>Daudzīvokļu dzīvojamā māja</v>
      </c>
      <c r="E5" s="626"/>
      <c r="F5" s="626"/>
      <c r="G5" s="626"/>
      <c r="H5" s="626"/>
      <c r="I5" s="626"/>
      <c r="J5" s="626"/>
      <c r="K5" s="626"/>
      <c r="L5" s="626"/>
      <c r="M5" s="202"/>
      <c r="N5" s="202"/>
      <c r="O5" s="202"/>
      <c r="P5" s="202"/>
    </row>
    <row r="6" spans="1:16" x14ac:dyDescent="0.2">
      <c r="A6" s="156"/>
      <c r="B6" s="156"/>
      <c r="C6" s="157" t="s">
        <v>6</v>
      </c>
      <c r="D6" s="626" t="str">
        <f>'Kops a'!D7</f>
        <v>fasādes vienkāršotā atjaunošana</v>
      </c>
      <c r="E6" s="626"/>
      <c r="F6" s="626"/>
      <c r="G6" s="626"/>
      <c r="H6" s="626"/>
      <c r="I6" s="626"/>
      <c r="J6" s="626"/>
      <c r="K6" s="626"/>
      <c r="L6" s="626"/>
      <c r="M6" s="202"/>
      <c r="N6" s="202"/>
      <c r="O6" s="202"/>
      <c r="P6" s="202"/>
    </row>
    <row r="7" spans="1:16" x14ac:dyDescent="0.2">
      <c r="A7" s="156"/>
      <c r="B7" s="156"/>
      <c r="C7" s="157" t="s">
        <v>7</v>
      </c>
      <c r="D7" s="626" t="str">
        <f>'Kops a'!D8</f>
        <v>Lēņu iela 2, Liepājā</v>
      </c>
      <c r="E7" s="626"/>
      <c r="F7" s="626"/>
      <c r="G7" s="626"/>
      <c r="H7" s="626"/>
      <c r="I7" s="626"/>
      <c r="J7" s="626"/>
      <c r="K7" s="626"/>
      <c r="L7" s="626"/>
      <c r="M7" s="202"/>
      <c r="N7" s="202"/>
      <c r="O7" s="202"/>
      <c r="P7" s="202"/>
    </row>
    <row r="8" spans="1:16" x14ac:dyDescent="0.2">
      <c r="A8" s="156"/>
      <c r="B8" s="156"/>
      <c r="C8" s="164" t="s">
        <v>21</v>
      </c>
      <c r="D8" s="626" t="str">
        <f>'Kops a'!D9</f>
        <v>WS-90-17 Līg.Nr. 2017/3-62/479</v>
      </c>
      <c r="E8" s="626"/>
      <c r="F8" s="626"/>
      <c r="G8" s="626"/>
      <c r="H8" s="626"/>
      <c r="I8" s="626"/>
      <c r="J8" s="626"/>
      <c r="K8" s="626"/>
      <c r="L8" s="626"/>
      <c r="M8" s="202"/>
      <c r="N8" s="202"/>
      <c r="O8" s="202"/>
      <c r="P8" s="202"/>
    </row>
    <row r="9" spans="1:16" x14ac:dyDescent="0.2">
      <c r="A9" s="627" t="s">
        <v>607</v>
      </c>
      <c r="B9" s="627"/>
      <c r="C9" s="627"/>
      <c r="D9" s="627"/>
      <c r="E9" s="627"/>
      <c r="F9" s="627"/>
      <c r="G9" s="165"/>
      <c r="H9" s="165"/>
      <c r="I9" s="165"/>
      <c r="J9" s="628" t="s">
        <v>40</v>
      </c>
      <c r="K9" s="628"/>
      <c r="L9" s="628"/>
      <c r="M9" s="628"/>
      <c r="N9" s="629">
        <f>P94</f>
        <v>0</v>
      </c>
      <c r="O9" s="629"/>
      <c r="P9" s="165"/>
    </row>
    <row r="10" spans="1:16" x14ac:dyDescent="0.2">
      <c r="A10" s="166"/>
      <c r="B10" s="167"/>
      <c r="C10" s="164"/>
      <c r="D10" s="156"/>
      <c r="E10" s="156"/>
      <c r="F10" s="156"/>
      <c r="G10" s="156"/>
      <c r="H10" s="156"/>
      <c r="I10" s="156"/>
      <c r="J10" s="156"/>
      <c r="K10" s="156"/>
      <c r="L10" s="162"/>
      <c r="M10" s="162"/>
      <c r="O10" s="168"/>
      <c r="P10" s="169" t="str">
        <f>A100</f>
        <v>Tāme sastādīta 2021. gada</v>
      </c>
    </row>
    <row r="11" spans="1:16" ht="12" thickBot="1" x14ac:dyDescent="0.25">
      <c r="A11" s="166"/>
      <c r="B11" s="167"/>
      <c r="C11" s="164"/>
      <c r="D11" s="156"/>
      <c r="E11" s="156"/>
      <c r="F11" s="156"/>
      <c r="G11" s="156"/>
      <c r="H11" s="156"/>
      <c r="I11" s="156"/>
      <c r="J11" s="156"/>
      <c r="K11" s="156"/>
      <c r="L11" s="170"/>
      <c r="M11" s="170"/>
      <c r="N11" s="171"/>
      <c r="O11" s="160"/>
      <c r="P11" s="156"/>
    </row>
    <row r="12" spans="1:16" ht="15.75" customHeight="1" thickBot="1" x14ac:dyDescent="0.25">
      <c r="A12" s="609" t="s">
        <v>24</v>
      </c>
      <c r="B12" s="622" t="s">
        <v>41</v>
      </c>
      <c r="C12" s="623" t="s">
        <v>42</v>
      </c>
      <c r="D12" s="624" t="s">
        <v>43</v>
      </c>
      <c r="E12" s="625" t="s">
        <v>44</v>
      </c>
      <c r="F12" s="618" t="s">
        <v>45</v>
      </c>
      <c r="G12" s="618"/>
      <c r="H12" s="618"/>
      <c r="I12" s="618"/>
      <c r="J12" s="618"/>
      <c r="K12" s="618"/>
      <c r="L12" s="618" t="s">
        <v>46</v>
      </c>
      <c r="M12" s="618"/>
      <c r="N12" s="618"/>
      <c r="O12" s="618"/>
      <c r="P12" s="618"/>
    </row>
    <row r="13" spans="1:16" ht="69.75" thickBot="1" x14ac:dyDescent="0.25">
      <c r="A13" s="670"/>
      <c r="B13" s="622"/>
      <c r="C13" s="623"/>
      <c r="D13" s="624"/>
      <c r="E13" s="625"/>
      <c r="F13" s="206" t="s">
        <v>47</v>
      </c>
      <c r="G13" s="207" t="s">
        <v>48</v>
      </c>
      <c r="H13" s="207" t="s">
        <v>49</v>
      </c>
      <c r="I13" s="207" t="s">
        <v>50</v>
      </c>
      <c r="J13" s="207" t="s">
        <v>51</v>
      </c>
      <c r="K13" s="208" t="s">
        <v>52</v>
      </c>
      <c r="L13" s="206" t="s">
        <v>47</v>
      </c>
      <c r="M13" s="207" t="s">
        <v>49</v>
      </c>
      <c r="N13" s="207" t="s">
        <v>50</v>
      </c>
      <c r="O13" s="207" t="s">
        <v>51</v>
      </c>
      <c r="P13" s="208" t="s">
        <v>52</v>
      </c>
    </row>
    <row r="14" spans="1:16" x14ac:dyDescent="0.2">
      <c r="A14" s="141">
        <f>IF(COUNTBLANK(B14)=1," ",COUNTA(B$14:B14))</f>
        <v>1</v>
      </c>
      <c r="B14" s="317" t="s">
        <v>86</v>
      </c>
      <c r="C14" s="318" t="s">
        <v>197</v>
      </c>
      <c r="D14" s="319" t="s">
        <v>356</v>
      </c>
      <c r="E14" s="320">
        <v>1.1599999999999999</v>
      </c>
      <c r="F14" s="576"/>
      <c r="G14" s="577"/>
      <c r="H14" s="577">
        <f>ROUND(F14*G14,2)</f>
        <v>0</v>
      </c>
      <c r="I14" s="577"/>
      <c r="J14" s="577"/>
      <c r="K14" s="578">
        <f>SUM(H14:J14)</f>
        <v>0</v>
      </c>
      <c r="L14" s="576">
        <f>ROUND(E14*F14,2)</f>
        <v>0</v>
      </c>
      <c r="M14" s="577">
        <f>ROUND(H14*E14,2)</f>
        <v>0</v>
      </c>
      <c r="N14" s="577">
        <f>ROUND(I14*E14,2)</f>
        <v>0</v>
      </c>
      <c r="O14" s="577">
        <f>ROUND(J14*E14,2)</f>
        <v>0</v>
      </c>
      <c r="P14" s="578">
        <f>SUM(M14:O14)</f>
        <v>0</v>
      </c>
    </row>
    <row r="15" spans="1:16" x14ac:dyDescent="0.2">
      <c r="A15" s="141">
        <f>IF(COUNTBLANK(B15)=1," ",COUNTA(B$14:B15))</f>
        <v>2</v>
      </c>
      <c r="B15" s="317" t="s">
        <v>86</v>
      </c>
      <c r="C15" s="318" t="s">
        <v>449</v>
      </c>
      <c r="D15" s="319" t="s">
        <v>356</v>
      </c>
      <c r="E15" s="320">
        <v>9.75</v>
      </c>
      <c r="F15" s="576"/>
      <c r="G15" s="577"/>
      <c r="H15" s="572">
        <f t="shared" ref="H15:H16" si="0">ROUND(F15*G15,2)</f>
        <v>0</v>
      </c>
      <c r="I15" s="577"/>
      <c r="J15" s="577"/>
      <c r="K15" s="573">
        <f t="shared" ref="K15:K16" si="1">SUM(H15:J15)</f>
        <v>0</v>
      </c>
      <c r="L15" s="574">
        <f t="shared" ref="L15:L16" si="2">ROUND(E15*F15,2)</f>
        <v>0</v>
      </c>
      <c r="M15" s="572">
        <f t="shared" ref="M15:M16" si="3">ROUND(H15*E15,2)</f>
        <v>0</v>
      </c>
      <c r="N15" s="572">
        <f t="shared" ref="N15:N16" si="4">ROUND(I15*E15,2)</f>
        <v>0</v>
      </c>
      <c r="O15" s="572">
        <f t="shared" ref="O15:O16" si="5">ROUND(J15*E15,2)</f>
        <v>0</v>
      </c>
      <c r="P15" s="573">
        <f t="shared" ref="P15:P16" si="6">SUM(M15:O15)</f>
        <v>0</v>
      </c>
    </row>
    <row r="16" spans="1:16" x14ac:dyDescent="0.2">
      <c r="A16" s="141">
        <f>IF(COUNTBLANK(B16)=1," ",COUNTA(B$14:B16))</f>
        <v>3</v>
      </c>
      <c r="B16" s="321" t="s">
        <v>86</v>
      </c>
      <c r="C16" s="322" t="s">
        <v>450</v>
      </c>
      <c r="D16" s="323" t="s">
        <v>356</v>
      </c>
      <c r="E16" s="324">
        <v>17.8</v>
      </c>
      <c r="F16" s="576"/>
      <c r="G16" s="577"/>
      <c r="H16" s="577">
        <f t="shared" si="0"/>
        <v>0</v>
      </c>
      <c r="I16" s="577"/>
      <c r="J16" s="577"/>
      <c r="K16" s="578">
        <f t="shared" si="1"/>
        <v>0</v>
      </c>
      <c r="L16" s="576">
        <f t="shared" si="2"/>
        <v>0</v>
      </c>
      <c r="M16" s="577">
        <f t="shared" si="3"/>
        <v>0</v>
      </c>
      <c r="N16" s="577">
        <f t="shared" si="4"/>
        <v>0</v>
      </c>
      <c r="O16" s="577">
        <f t="shared" si="5"/>
        <v>0</v>
      </c>
      <c r="P16" s="578">
        <f t="shared" si="6"/>
        <v>0</v>
      </c>
    </row>
    <row r="17" spans="1:16" ht="22.5" x14ac:dyDescent="0.2">
      <c r="A17" s="141">
        <f>IF(COUNTBLANK(B17)=1," ",COUNTA(B$14:B17))</f>
        <v>4</v>
      </c>
      <c r="B17" s="321" t="s">
        <v>86</v>
      </c>
      <c r="C17" s="325" t="s">
        <v>451</v>
      </c>
      <c r="D17" s="323" t="s">
        <v>56</v>
      </c>
      <c r="E17" s="324">
        <v>16.5</v>
      </c>
      <c r="F17" s="576"/>
      <c r="G17" s="577"/>
      <c r="H17" s="572">
        <f t="shared" ref="H17:H80" si="7">ROUND(F17*G17,2)</f>
        <v>0</v>
      </c>
      <c r="I17" s="577"/>
      <c r="J17" s="577"/>
      <c r="K17" s="573">
        <f t="shared" ref="K17:K80" si="8">SUM(H17:J17)</f>
        <v>0</v>
      </c>
      <c r="L17" s="574">
        <f t="shared" ref="L17:L80" si="9">ROUND(E17*F17,2)</f>
        <v>0</v>
      </c>
      <c r="M17" s="572">
        <f t="shared" ref="M17:M80" si="10">ROUND(H17*E17,2)</f>
        <v>0</v>
      </c>
      <c r="N17" s="572">
        <f t="shared" ref="N17:N80" si="11">ROUND(I17*E17,2)</f>
        <v>0</v>
      </c>
      <c r="O17" s="572">
        <f t="shared" ref="O17:O80" si="12">ROUND(J17*E17,2)</f>
        <v>0</v>
      </c>
      <c r="P17" s="573">
        <f t="shared" ref="P17:P80" si="13">SUM(M17:O17)</f>
        <v>0</v>
      </c>
    </row>
    <row r="18" spans="1:16" x14ac:dyDescent="0.2">
      <c r="A18" s="141">
        <f>IF(COUNTBLANK(B18)=1," ",COUNTA(B$14:B18))</f>
        <v>5</v>
      </c>
      <c r="B18" s="321" t="s">
        <v>86</v>
      </c>
      <c r="C18" s="318" t="s">
        <v>453</v>
      </c>
      <c r="D18" s="319" t="s">
        <v>356</v>
      </c>
      <c r="E18" s="326">
        <f>E17*0.03</f>
        <v>0.495</v>
      </c>
      <c r="F18" s="576"/>
      <c r="G18" s="577"/>
      <c r="H18" s="577">
        <f t="shared" si="7"/>
        <v>0</v>
      </c>
      <c r="I18" s="577"/>
      <c r="J18" s="577"/>
      <c r="K18" s="578">
        <f t="shared" si="8"/>
        <v>0</v>
      </c>
      <c r="L18" s="576">
        <f t="shared" si="9"/>
        <v>0</v>
      </c>
      <c r="M18" s="577">
        <f t="shared" si="10"/>
        <v>0</v>
      </c>
      <c r="N18" s="577">
        <f t="shared" si="11"/>
        <v>0</v>
      </c>
      <c r="O18" s="577">
        <f t="shared" si="12"/>
        <v>0</v>
      </c>
      <c r="P18" s="578">
        <f t="shared" si="13"/>
        <v>0</v>
      </c>
    </row>
    <row r="19" spans="1:16" ht="22.5" x14ac:dyDescent="0.2">
      <c r="A19" s="141">
        <f>IF(COUNTBLANK(B19)=1," ",COUNTA(B$14:B19))</f>
        <v>6</v>
      </c>
      <c r="B19" s="321" t="s">
        <v>86</v>
      </c>
      <c r="C19" s="318" t="s">
        <v>454</v>
      </c>
      <c r="D19" s="319" t="s">
        <v>356</v>
      </c>
      <c r="E19" s="326">
        <f>E17*0.05</f>
        <v>0.82500000000000007</v>
      </c>
      <c r="F19" s="576"/>
      <c r="G19" s="577"/>
      <c r="H19" s="572">
        <f t="shared" si="7"/>
        <v>0</v>
      </c>
      <c r="I19" s="577"/>
      <c r="J19" s="577"/>
      <c r="K19" s="573">
        <f t="shared" si="8"/>
        <v>0</v>
      </c>
      <c r="L19" s="574">
        <f t="shared" si="9"/>
        <v>0</v>
      </c>
      <c r="M19" s="572">
        <f t="shared" si="10"/>
        <v>0</v>
      </c>
      <c r="N19" s="572">
        <f t="shared" si="11"/>
        <v>0</v>
      </c>
      <c r="O19" s="572">
        <f t="shared" si="12"/>
        <v>0</v>
      </c>
      <c r="P19" s="573">
        <f t="shared" si="13"/>
        <v>0</v>
      </c>
    </row>
    <row r="20" spans="1:16" x14ac:dyDescent="0.2">
      <c r="A20" s="141">
        <f>IF(COUNTBLANK(B20)=1," ",COUNTA(B$14:B20))</f>
        <v>7</v>
      </c>
      <c r="B20" s="321" t="s">
        <v>86</v>
      </c>
      <c r="C20" s="318" t="s">
        <v>465</v>
      </c>
      <c r="D20" s="319" t="s">
        <v>90</v>
      </c>
      <c r="E20" s="326">
        <v>39.299999999999997</v>
      </c>
      <c r="F20" s="576"/>
      <c r="G20" s="577"/>
      <c r="H20" s="577">
        <f t="shared" si="7"/>
        <v>0</v>
      </c>
      <c r="I20" s="577"/>
      <c r="J20" s="577"/>
      <c r="K20" s="578">
        <f t="shared" si="8"/>
        <v>0</v>
      </c>
      <c r="L20" s="576">
        <f t="shared" si="9"/>
        <v>0</v>
      </c>
      <c r="M20" s="577">
        <f t="shared" si="10"/>
        <v>0</v>
      </c>
      <c r="N20" s="577">
        <f t="shared" si="11"/>
        <v>0</v>
      </c>
      <c r="O20" s="577">
        <f t="shared" si="12"/>
        <v>0</v>
      </c>
      <c r="P20" s="578">
        <f t="shared" si="13"/>
        <v>0</v>
      </c>
    </row>
    <row r="21" spans="1:16" x14ac:dyDescent="0.2">
      <c r="A21" s="141">
        <f>IF(COUNTBLANK(B21)=1," ",COUNTA(B$14:B21))</f>
        <v>8</v>
      </c>
      <c r="B21" s="317" t="s">
        <v>86</v>
      </c>
      <c r="C21" s="318" t="s">
        <v>452</v>
      </c>
      <c r="D21" s="319" t="s">
        <v>176</v>
      </c>
      <c r="E21" s="326">
        <f>E17</f>
        <v>16.5</v>
      </c>
      <c r="F21" s="576"/>
      <c r="G21" s="577"/>
      <c r="H21" s="572">
        <f t="shared" si="7"/>
        <v>0</v>
      </c>
      <c r="I21" s="577"/>
      <c r="J21" s="577"/>
      <c r="K21" s="573">
        <f t="shared" si="8"/>
        <v>0</v>
      </c>
      <c r="L21" s="574">
        <f t="shared" si="9"/>
        <v>0</v>
      </c>
      <c r="M21" s="572">
        <f t="shared" si="10"/>
        <v>0</v>
      </c>
      <c r="N21" s="572">
        <f t="shared" si="11"/>
        <v>0</v>
      </c>
      <c r="O21" s="572">
        <f t="shared" si="12"/>
        <v>0</v>
      </c>
      <c r="P21" s="573">
        <f t="shared" si="13"/>
        <v>0</v>
      </c>
    </row>
    <row r="22" spans="1:16" ht="21.75" thickBot="1" x14ac:dyDescent="0.25">
      <c r="A22" s="141" t="str">
        <f>IF(COUNTBLANK(B22)=1," ",COUNTA(B$14:B22))</f>
        <v xml:space="preserve"> </v>
      </c>
      <c r="B22" s="317"/>
      <c r="C22" s="327" t="s">
        <v>455</v>
      </c>
      <c r="D22" s="319"/>
      <c r="E22" s="326"/>
      <c r="F22" s="576"/>
      <c r="G22" s="577"/>
      <c r="H22" s="577">
        <f t="shared" si="7"/>
        <v>0</v>
      </c>
      <c r="I22" s="577"/>
      <c r="J22" s="577"/>
      <c r="K22" s="578">
        <f t="shared" si="8"/>
        <v>0</v>
      </c>
      <c r="L22" s="576">
        <f t="shared" si="9"/>
        <v>0</v>
      </c>
      <c r="M22" s="577">
        <f t="shared" si="10"/>
        <v>0</v>
      </c>
      <c r="N22" s="577">
        <f t="shared" si="11"/>
        <v>0</v>
      </c>
      <c r="O22" s="577">
        <f t="shared" si="12"/>
        <v>0</v>
      </c>
      <c r="P22" s="578">
        <f t="shared" si="13"/>
        <v>0</v>
      </c>
    </row>
    <row r="23" spans="1:16" x14ac:dyDescent="0.2">
      <c r="A23" s="141">
        <f>IF(COUNTBLANK(B23)=1," ",COUNTA(B$14:B23))</f>
        <v>9</v>
      </c>
      <c r="B23" s="317" t="s">
        <v>86</v>
      </c>
      <c r="C23" s="328" t="s">
        <v>199</v>
      </c>
      <c r="D23" s="319" t="s">
        <v>356</v>
      </c>
      <c r="E23" s="326">
        <v>1.2</v>
      </c>
      <c r="F23" s="576"/>
      <c r="G23" s="577"/>
      <c r="H23" s="572">
        <f t="shared" si="7"/>
        <v>0</v>
      </c>
      <c r="I23" s="577"/>
      <c r="J23" s="577"/>
      <c r="K23" s="573">
        <f t="shared" si="8"/>
        <v>0</v>
      </c>
      <c r="L23" s="574">
        <f t="shared" si="9"/>
        <v>0</v>
      </c>
      <c r="M23" s="572">
        <f t="shared" si="10"/>
        <v>0</v>
      </c>
      <c r="N23" s="572">
        <f t="shared" si="11"/>
        <v>0</v>
      </c>
      <c r="O23" s="572">
        <f t="shared" si="12"/>
        <v>0</v>
      </c>
      <c r="P23" s="573">
        <f t="shared" si="13"/>
        <v>0</v>
      </c>
    </row>
    <row r="24" spans="1:16" ht="22.5" x14ac:dyDescent="0.2">
      <c r="A24" s="141">
        <f>IF(COUNTBLANK(B24)=1," ",COUNTA(B$14:B24))</f>
        <v>10</v>
      </c>
      <c r="B24" s="321" t="s">
        <v>86</v>
      </c>
      <c r="C24" s="318" t="s">
        <v>456</v>
      </c>
      <c r="D24" s="323" t="s">
        <v>356</v>
      </c>
      <c r="E24" s="329">
        <v>3.64</v>
      </c>
      <c r="F24" s="576"/>
      <c r="G24" s="577"/>
      <c r="H24" s="577">
        <f t="shared" si="7"/>
        <v>0</v>
      </c>
      <c r="I24" s="577"/>
      <c r="J24" s="577"/>
      <c r="K24" s="578">
        <f t="shared" si="8"/>
        <v>0</v>
      </c>
      <c r="L24" s="576">
        <f t="shared" si="9"/>
        <v>0</v>
      </c>
      <c r="M24" s="577">
        <f t="shared" si="10"/>
        <v>0</v>
      </c>
      <c r="N24" s="577">
        <f t="shared" si="11"/>
        <v>0</v>
      </c>
      <c r="O24" s="577">
        <f t="shared" si="12"/>
        <v>0</v>
      </c>
      <c r="P24" s="578">
        <f t="shared" si="13"/>
        <v>0</v>
      </c>
    </row>
    <row r="25" spans="1:16" x14ac:dyDescent="0.2">
      <c r="A25" s="141">
        <f>IF(COUNTBLANK(B25)=1," ",COUNTA(B$14:B25))</f>
        <v>11</v>
      </c>
      <c r="B25" s="321" t="s">
        <v>86</v>
      </c>
      <c r="C25" s="325" t="s">
        <v>459</v>
      </c>
      <c r="D25" s="330" t="s">
        <v>84</v>
      </c>
      <c r="E25" s="330">
        <f>(E23+E24)</f>
        <v>4.84</v>
      </c>
      <c r="F25" s="576"/>
      <c r="G25" s="577"/>
      <c r="H25" s="572">
        <f t="shared" si="7"/>
        <v>0</v>
      </c>
      <c r="I25" s="577"/>
      <c r="J25" s="577"/>
      <c r="K25" s="573">
        <f t="shared" si="8"/>
        <v>0</v>
      </c>
      <c r="L25" s="574">
        <f t="shared" si="9"/>
        <v>0</v>
      </c>
      <c r="M25" s="572">
        <f t="shared" si="10"/>
        <v>0</v>
      </c>
      <c r="N25" s="572">
        <f t="shared" si="11"/>
        <v>0</v>
      </c>
      <c r="O25" s="572">
        <f t="shared" si="12"/>
        <v>0</v>
      </c>
      <c r="P25" s="573">
        <f t="shared" si="13"/>
        <v>0</v>
      </c>
    </row>
    <row r="26" spans="1:16" ht="22.5" x14ac:dyDescent="0.2">
      <c r="A26" s="141">
        <f>IF(COUNTBLANK(B26)=1," ",COUNTA(B$14:B26))</f>
        <v>12</v>
      </c>
      <c r="B26" s="321" t="s">
        <v>86</v>
      </c>
      <c r="C26" s="325" t="s">
        <v>458</v>
      </c>
      <c r="D26" s="323" t="s">
        <v>356</v>
      </c>
      <c r="E26" s="324">
        <v>4.8</v>
      </c>
      <c r="F26" s="576"/>
      <c r="G26" s="577"/>
      <c r="H26" s="577">
        <f t="shared" si="7"/>
        <v>0</v>
      </c>
      <c r="I26" s="577"/>
      <c r="J26" s="577"/>
      <c r="K26" s="578">
        <f t="shared" si="8"/>
        <v>0</v>
      </c>
      <c r="L26" s="576">
        <f t="shared" si="9"/>
        <v>0</v>
      </c>
      <c r="M26" s="577">
        <f t="shared" si="10"/>
        <v>0</v>
      </c>
      <c r="N26" s="577">
        <f t="shared" si="11"/>
        <v>0</v>
      </c>
      <c r="O26" s="577">
        <f t="shared" si="12"/>
        <v>0</v>
      </c>
      <c r="P26" s="578">
        <f t="shared" si="13"/>
        <v>0</v>
      </c>
    </row>
    <row r="27" spans="1:16" x14ac:dyDescent="0.2">
      <c r="A27" s="141">
        <f>IF(COUNTBLANK(B27)=1," ",COUNTA(B$14:B27))</f>
        <v>13</v>
      </c>
      <c r="B27" s="321" t="s">
        <v>86</v>
      </c>
      <c r="C27" s="322" t="s">
        <v>457</v>
      </c>
      <c r="D27" s="323" t="s">
        <v>84</v>
      </c>
      <c r="E27" s="331">
        <v>6.4</v>
      </c>
      <c r="F27" s="576"/>
      <c r="G27" s="577"/>
      <c r="H27" s="572">
        <f t="shared" si="7"/>
        <v>0</v>
      </c>
      <c r="I27" s="577"/>
      <c r="J27" s="577"/>
      <c r="K27" s="573">
        <f t="shared" si="8"/>
        <v>0</v>
      </c>
      <c r="L27" s="574">
        <f t="shared" si="9"/>
        <v>0</v>
      </c>
      <c r="M27" s="572">
        <f t="shared" si="10"/>
        <v>0</v>
      </c>
      <c r="N27" s="572">
        <f t="shared" si="11"/>
        <v>0</v>
      </c>
      <c r="O27" s="572">
        <f t="shared" si="12"/>
        <v>0</v>
      </c>
      <c r="P27" s="573">
        <f t="shared" si="13"/>
        <v>0</v>
      </c>
    </row>
    <row r="28" spans="1:16" x14ac:dyDescent="0.2">
      <c r="A28" s="141">
        <f>IF(COUNTBLANK(B28)=1," ",COUNTA(B$14:B28))</f>
        <v>14</v>
      </c>
      <c r="B28" s="321" t="s">
        <v>86</v>
      </c>
      <c r="C28" s="325" t="s">
        <v>460</v>
      </c>
      <c r="D28" s="323" t="s">
        <v>84</v>
      </c>
      <c r="E28" s="329">
        <v>1.84</v>
      </c>
      <c r="F28" s="576"/>
      <c r="G28" s="577"/>
      <c r="H28" s="577">
        <f t="shared" si="7"/>
        <v>0</v>
      </c>
      <c r="I28" s="577"/>
      <c r="J28" s="577"/>
      <c r="K28" s="578">
        <f t="shared" si="8"/>
        <v>0</v>
      </c>
      <c r="L28" s="576">
        <f t="shared" si="9"/>
        <v>0</v>
      </c>
      <c r="M28" s="577">
        <f t="shared" si="10"/>
        <v>0</v>
      </c>
      <c r="N28" s="577">
        <f t="shared" si="11"/>
        <v>0</v>
      </c>
      <c r="O28" s="577">
        <f t="shared" si="12"/>
        <v>0</v>
      </c>
      <c r="P28" s="578">
        <f t="shared" si="13"/>
        <v>0</v>
      </c>
    </row>
    <row r="29" spans="1:16" x14ac:dyDescent="0.2">
      <c r="A29" s="141">
        <f>IF(COUNTBLANK(B29)=1," ",COUNTA(B$14:B29))</f>
        <v>15</v>
      </c>
      <c r="B29" s="321" t="s">
        <v>86</v>
      </c>
      <c r="C29" s="322" t="s">
        <v>461</v>
      </c>
      <c r="D29" s="323" t="s">
        <v>90</v>
      </c>
      <c r="E29" s="324">
        <v>91.284999999999997</v>
      </c>
      <c r="F29" s="576"/>
      <c r="G29" s="577"/>
      <c r="H29" s="572">
        <f t="shared" si="7"/>
        <v>0</v>
      </c>
      <c r="I29" s="577"/>
      <c r="J29" s="577"/>
      <c r="K29" s="573">
        <f t="shared" si="8"/>
        <v>0</v>
      </c>
      <c r="L29" s="574">
        <f t="shared" si="9"/>
        <v>0</v>
      </c>
      <c r="M29" s="572">
        <f t="shared" si="10"/>
        <v>0</v>
      </c>
      <c r="N29" s="572">
        <f t="shared" si="11"/>
        <v>0</v>
      </c>
      <c r="O29" s="572">
        <f t="shared" si="12"/>
        <v>0</v>
      </c>
      <c r="P29" s="573">
        <f t="shared" si="13"/>
        <v>0</v>
      </c>
    </row>
    <row r="30" spans="1:16" ht="33.75" x14ac:dyDescent="0.2">
      <c r="A30" s="141">
        <f>IF(COUNTBLANK(B30)=1," ",COUNTA(B$14:B30))</f>
        <v>16</v>
      </c>
      <c r="B30" s="321" t="s">
        <v>86</v>
      </c>
      <c r="C30" s="325" t="s">
        <v>462</v>
      </c>
      <c r="D30" s="323" t="s">
        <v>90</v>
      </c>
      <c r="E30" s="324">
        <f>1.6*2.466</f>
        <v>3.9456000000000007</v>
      </c>
      <c r="F30" s="576"/>
      <c r="G30" s="577"/>
      <c r="H30" s="577">
        <f t="shared" si="7"/>
        <v>0</v>
      </c>
      <c r="I30" s="577"/>
      <c r="J30" s="577"/>
      <c r="K30" s="578">
        <f t="shared" si="8"/>
        <v>0</v>
      </c>
      <c r="L30" s="576">
        <f t="shared" si="9"/>
        <v>0</v>
      </c>
      <c r="M30" s="577">
        <f t="shared" si="10"/>
        <v>0</v>
      </c>
      <c r="N30" s="577">
        <f t="shared" si="11"/>
        <v>0</v>
      </c>
      <c r="O30" s="577">
        <f t="shared" si="12"/>
        <v>0</v>
      </c>
      <c r="P30" s="578">
        <f t="shared" si="13"/>
        <v>0</v>
      </c>
    </row>
    <row r="31" spans="1:16" ht="33.75" x14ac:dyDescent="0.2">
      <c r="A31" s="141">
        <f>IF(COUNTBLANK(B31)=1," ",COUNTA(B$14:B31))</f>
        <v>17</v>
      </c>
      <c r="B31" s="321" t="s">
        <v>86</v>
      </c>
      <c r="C31" s="325" t="s">
        <v>463</v>
      </c>
      <c r="D31" s="323" t="s">
        <v>82</v>
      </c>
      <c r="E31" s="324">
        <v>5</v>
      </c>
      <c r="F31" s="576"/>
      <c r="G31" s="577"/>
      <c r="H31" s="572">
        <f t="shared" si="7"/>
        <v>0</v>
      </c>
      <c r="I31" s="577"/>
      <c r="J31" s="577"/>
      <c r="K31" s="573">
        <f t="shared" si="8"/>
        <v>0</v>
      </c>
      <c r="L31" s="574">
        <f t="shared" si="9"/>
        <v>0</v>
      </c>
      <c r="M31" s="572">
        <f t="shared" si="10"/>
        <v>0</v>
      </c>
      <c r="N31" s="572">
        <f t="shared" si="11"/>
        <v>0</v>
      </c>
      <c r="O31" s="572">
        <f t="shared" si="12"/>
        <v>0</v>
      </c>
      <c r="P31" s="573">
        <f t="shared" si="13"/>
        <v>0</v>
      </c>
    </row>
    <row r="32" spans="1:16" ht="33.75" x14ac:dyDescent="0.2">
      <c r="A32" s="141">
        <f>IF(COUNTBLANK(B32)=1," ",COUNTA(B$14:B32))</f>
        <v>18</v>
      </c>
      <c r="B32" s="317" t="s">
        <v>86</v>
      </c>
      <c r="C32" s="325" t="s">
        <v>466</v>
      </c>
      <c r="D32" s="319" t="s">
        <v>88</v>
      </c>
      <c r="E32" s="326">
        <v>6.5</v>
      </c>
      <c r="F32" s="576"/>
      <c r="G32" s="577"/>
      <c r="H32" s="577">
        <f t="shared" si="7"/>
        <v>0</v>
      </c>
      <c r="I32" s="577"/>
      <c r="J32" s="577"/>
      <c r="K32" s="578">
        <f t="shared" si="8"/>
        <v>0</v>
      </c>
      <c r="L32" s="576">
        <f t="shared" si="9"/>
        <v>0</v>
      </c>
      <c r="M32" s="577">
        <f t="shared" si="10"/>
        <v>0</v>
      </c>
      <c r="N32" s="577">
        <f t="shared" si="11"/>
        <v>0</v>
      </c>
      <c r="O32" s="577">
        <f t="shared" si="12"/>
        <v>0</v>
      </c>
      <c r="P32" s="578">
        <f t="shared" si="13"/>
        <v>0</v>
      </c>
    </row>
    <row r="33" spans="1:16" ht="33.75" x14ac:dyDescent="0.2">
      <c r="A33" s="141">
        <f>IF(COUNTBLANK(B33)=1," ",COUNTA(B$14:B33))</f>
        <v>19</v>
      </c>
      <c r="B33" s="317" t="s">
        <v>86</v>
      </c>
      <c r="C33" s="325" t="s">
        <v>468</v>
      </c>
      <c r="D33" s="319" t="s">
        <v>88</v>
      </c>
      <c r="E33" s="326">
        <v>1.5</v>
      </c>
      <c r="F33" s="576"/>
      <c r="G33" s="577"/>
      <c r="H33" s="572">
        <f t="shared" si="7"/>
        <v>0</v>
      </c>
      <c r="I33" s="577"/>
      <c r="J33" s="577"/>
      <c r="K33" s="573">
        <f t="shared" si="8"/>
        <v>0</v>
      </c>
      <c r="L33" s="574">
        <f t="shared" si="9"/>
        <v>0</v>
      </c>
      <c r="M33" s="572">
        <f t="shared" si="10"/>
        <v>0</v>
      </c>
      <c r="N33" s="572">
        <f t="shared" si="11"/>
        <v>0</v>
      </c>
      <c r="O33" s="572">
        <f t="shared" si="12"/>
        <v>0</v>
      </c>
      <c r="P33" s="573">
        <f t="shared" si="13"/>
        <v>0</v>
      </c>
    </row>
    <row r="34" spans="1:16" ht="33.75" x14ac:dyDescent="0.2">
      <c r="A34" s="141">
        <f>IF(COUNTBLANK(B34)=1," ",COUNTA(B$14:B34))</f>
        <v>20</v>
      </c>
      <c r="B34" s="321" t="s">
        <v>86</v>
      </c>
      <c r="C34" s="325" t="s">
        <v>467</v>
      </c>
      <c r="D34" s="323" t="s">
        <v>88</v>
      </c>
      <c r="E34" s="331">
        <v>4.5</v>
      </c>
      <c r="F34" s="576"/>
      <c r="G34" s="577"/>
      <c r="H34" s="577">
        <f t="shared" si="7"/>
        <v>0</v>
      </c>
      <c r="I34" s="577"/>
      <c r="J34" s="577"/>
      <c r="K34" s="578">
        <f t="shared" si="8"/>
        <v>0</v>
      </c>
      <c r="L34" s="576">
        <f t="shared" si="9"/>
        <v>0</v>
      </c>
      <c r="M34" s="577">
        <f t="shared" si="10"/>
        <v>0</v>
      </c>
      <c r="N34" s="577">
        <f t="shared" si="11"/>
        <v>0</v>
      </c>
      <c r="O34" s="577">
        <f t="shared" si="12"/>
        <v>0</v>
      </c>
      <c r="P34" s="578">
        <f t="shared" si="13"/>
        <v>0</v>
      </c>
    </row>
    <row r="35" spans="1:16" ht="33.75" x14ac:dyDescent="0.2">
      <c r="A35" s="141">
        <f>IF(COUNTBLANK(B35)=1," ",COUNTA(B$14:B35))</f>
        <v>21</v>
      </c>
      <c r="B35" s="321" t="s">
        <v>86</v>
      </c>
      <c r="C35" s="325" t="s">
        <v>469</v>
      </c>
      <c r="D35" s="323" t="s">
        <v>88</v>
      </c>
      <c r="E35" s="331">
        <v>4.5</v>
      </c>
      <c r="F35" s="576"/>
      <c r="G35" s="577"/>
      <c r="H35" s="572">
        <f t="shared" si="7"/>
        <v>0</v>
      </c>
      <c r="I35" s="577"/>
      <c r="J35" s="577"/>
      <c r="K35" s="573">
        <f t="shared" si="8"/>
        <v>0</v>
      </c>
      <c r="L35" s="574">
        <f t="shared" si="9"/>
        <v>0</v>
      </c>
      <c r="M35" s="572">
        <f t="shared" si="10"/>
        <v>0</v>
      </c>
      <c r="N35" s="572">
        <f t="shared" si="11"/>
        <v>0</v>
      </c>
      <c r="O35" s="572">
        <f t="shared" si="12"/>
        <v>0</v>
      </c>
      <c r="P35" s="573">
        <f t="shared" si="13"/>
        <v>0</v>
      </c>
    </row>
    <row r="36" spans="1:16" ht="12" thickBot="1" x14ac:dyDescent="0.25">
      <c r="A36" s="141" t="str">
        <f>IF(COUNTBLANK(B36)=1," ",COUNTA(B$14:B36))</f>
        <v xml:space="preserve"> </v>
      </c>
      <c r="B36" s="321"/>
      <c r="C36" s="327" t="s">
        <v>470</v>
      </c>
      <c r="D36" s="323"/>
      <c r="E36" s="331"/>
      <c r="F36" s="576"/>
      <c r="G36" s="577"/>
      <c r="H36" s="577">
        <f t="shared" si="7"/>
        <v>0</v>
      </c>
      <c r="I36" s="577"/>
      <c r="J36" s="577"/>
      <c r="K36" s="578">
        <f t="shared" si="8"/>
        <v>0</v>
      </c>
      <c r="L36" s="576">
        <f t="shared" si="9"/>
        <v>0</v>
      </c>
      <c r="M36" s="577">
        <f t="shared" si="10"/>
        <v>0</v>
      </c>
      <c r="N36" s="577">
        <f t="shared" si="11"/>
        <v>0</v>
      </c>
      <c r="O36" s="577">
        <f t="shared" si="12"/>
        <v>0</v>
      </c>
      <c r="P36" s="578">
        <f t="shared" si="13"/>
        <v>0</v>
      </c>
    </row>
    <row r="37" spans="1:16" x14ac:dyDescent="0.2">
      <c r="A37" s="141">
        <f>IF(COUNTBLANK(B37)=1," ",COUNTA(B$14:B37))</f>
        <v>22</v>
      </c>
      <c r="B37" s="332" t="s">
        <v>86</v>
      </c>
      <c r="C37" s="333" t="s">
        <v>117</v>
      </c>
      <c r="D37" s="299" t="s">
        <v>56</v>
      </c>
      <c r="E37" s="334">
        <v>10.1</v>
      </c>
      <c r="F37" s="576"/>
      <c r="G37" s="577"/>
      <c r="H37" s="572">
        <f t="shared" si="7"/>
        <v>0</v>
      </c>
      <c r="I37" s="577"/>
      <c r="J37" s="577"/>
      <c r="K37" s="573">
        <f t="shared" si="8"/>
        <v>0</v>
      </c>
      <c r="L37" s="574">
        <f t="shared" si="9"/>
        <v>0</v>
      </c>
      <c r="M37" s="572">
        <f t="shared" si="10"/>
        <v>0</v>
      </c>
      <c r="N37" s="572">
        <f t="shared" si="11"/>
        <v>0</v>
      </c>
      <c r="O37" s="572">
        <f t="shared" si="12"/>
        <v>0</v>
      </c>
      <c r="P37" s="573">
        <f t="shared" si="13"/>
        <v>0</v>
      </c>
    </row>
    <row r="38" spans="1:16" ht="22.5" x14ac:dyDescent="0.2">
      <c r="A38" s="141">
        <f>IF(COUNTBLANK(B38)=1," ",COUNTA(B$14:B38))</f>
        <v>23</v>
      </c>
      <c r="B38" s="332" t="s">
        <v>86</v>
      </c>
      <c r="C38" s="335" t="s">
        <v>116</v>
      </c>
      <c r="D38" s="299" t="s">
        <v>84</v>
      </c>
      <c r="E38" s="334">
        <f>E37*0.1</f>
        <v>1.01</v>
      </c>
      <c r="F38" s="576"/>
      <c r="G38" s="577"/>
      <c r="H38" s="577">
        <f t="shared" si="7"/>
        <v>0</v>
      </c>
      <c r="I38" s="577"/>
      <c r="J38" s="577"/>
      <c r="K38" s="578">
        <f t="shared" si="8"/>
        <v>0</v>
      </c>
      <c r="L38" s="576">
        <f t="shared" si="9"/>
        <v>0</v>
      </c>
      <c r="M38" s="577">
        <f t="shared" si="10"/>
        <v>0</v>
      </c>
      <c r="N38" s="577">
        <f t="shared" si="11"/>
        <v>0</v>
      </c>
      <c r="O38" s="577">
        <f t="shared" si="12"/>
        <v>0</v>
      </c>
      <c r="P38" s="578">
        <f t="shared" si="13"/>
        <v>0</v>
      </c>
    </row>
    <row r="39" spans="1:16" x14ac:dyDescent="0.2">
      <c r="A39" s="141">
        <f>IF(COUNTBLANK(B39)=1," ",COUNTA(B$14:B39))</f>
        <v>24</v>
      </c>
      <c r="B39" s="332" t="s">
        <v>86</v>
      </c>
      <c r="C39" s="335" t="s">
        <v>115</v>
      </c>
      <c r="D39" s="299" t="s">
        <v>84</v>
      </c>
      <c r="E39" s="336">
        <f>E38*1.1</f>
        <v>1.1110000000000002</v>
      </c>
      <c r="F39" s="576"/>
      <c r="G39" s="577"/>
      <c r="H39" s="572">
        <f t="shared" si="7"/>
        <v>0</v>
      </c>
      <c r="I39" s="577"/>
      <c r="J39" s="577"/>
      <c r="K39" s="573">
        <f t="shared" si="8"/>
        <v>0</v>
      </c>
      <c r="L39" s="574">
        <f t="shared" si="9"/>
        <v>0</v>
      </c>
      <c r="M39" s="572">
        <f t="shared" si="10"/>
        <v>0</v>
      </c>
      <c r="N39" s="572">
        <f t="shared" si="11"/>
        <v>0</v>
      </c>
      <c r="O39" s="572">
        <f t="shared" si="12"/>
        <v>0</v>
      </c>
      <c r="P39" s="573">
        <f t="shared" si="13"/>
        <v>0</v>
      </c>
    </row>
    <row r="40" spans="1:16" ht="22.5" x14ac:dyDescent="0.2">
      <c r="A40" s="141">
        <f>IF(COUNTBLANK(B40)=1," ",COUNTA(B$14:B40))</f>
        <v>25</v>
      </c>
      <c r="B40" s="332" t="s">
        <v>86</v>
      </c>
      <c r="C40" s="335" t="s">
        <v>178</v>
      </c>
      <c r="D40" s="299" t="s">
        <v>84</v>
      </c>
      <c r="E40" s="334">
        <f>E37*0.05</f>
        <v>0.505</v>
      </c>
      <c r="F40" s="576"/>
      <c r="G40" s="577"/>
      <c r="H40" s="577">
        <f t="shared" si="7"/>
        <v>0</v>
      </c>
      <c r="I40" s="577"/>
      <c r="J40" s="577"/>
      <c r="K40" s="578">
        <f t="shared" si="8"/>
        <v>0</v>
      </c>
      <c r="L40" s="576">
        <f t="shared" si="9"/>
        <v>0</v>
      </c>
      <c r="M40" s="577">
        <f t="shared" si="10"/>
        <v>0</v>
      </c>
      <c r="N40" s="577">
        <f t="shared" si="11"/>
        <v>0</v>
      </c>
      <c r="O40" s="577">
        <f t="shared" si="12"/>
        <v>0</v>
      </c>
      <c r="P40" s="578">
        <f t="shared" si="13"/>
        <v>0</v>
      </c>
    </row>
    <row r="41" spans="1:16" x14ac:dyDescent="0.2">
      <c r="A41" s="141">
        <f>IF(COUNTBLANK(B41)=1," ",COUNTA(B$14:B41))</f>
        <v>26</v>
      </c>
      <c r="B41" s="332" t="s">
        <v>86</v>
      </c>
      <c r="C41" s="335" t="s">
        <v>115</v>
      </c>
      <c r="D41" s="299" t="s">
        <v>84</v>
      </c>
      <c r="E41" s="336">
        <f>E40*1.1</f>
        <v>0.5555000000000001</v>
      </c>
      <c r="F41" s="576"/>
      <c r="G41" s="577"/>
      <c r="H41" s="572">
        <f t="shared" si="7"/>
        <v>0</v>
      </c>
      <c r="I41" s="577"/>
      <c r="J41" s="577"/>
      <c r="K41" s="573">
        <f t="shared" si="8"/>
        <v>0</v>
      </c>
      <c r="L41" s="574">
        <f t="shared" si="9"/>
        <v>0</v>
      </c>
      <c r="M41" s="572">
        <f t="shared" si="10"/>
        <v>0</v>
      </c>
      <c r="N41" s="572">
        <f t="shared" si="11"/>
        <v>0</v>
      </c>
      <c r="O41" s="572">
        <f t="shared" si="12"/>
        <v>0</v>
      </c>
      <c r="P41" s="573">
        <f t="shared" si="13"/>
        <v>0</v>
      </c>
    </row>
    <row r="42" spans="1:16" x14ac:dyDescent="0.2">
      <c r="A42" s="141">
        <f>IF(COUNTBLANK(B42)=1," ",COUNTA(B$14:B42))</f>
        <v>27</v>
      </c>
      <c r="B42" s="332" t="s">
        <v>86</v>
      </c>
      <c r="C42" s="335" t="s">
        <v>179</v>
      </c>
      <c r="D42" s="299" t="s">
        <v>84</v>
      </c>
      <c r="E42" s="334">
        <f>E40</f>
        <v>0.505</v>
      </c>
      <c r="F42" s="576"/>
      <c r="G42" s="577"/>
      <c r="H42" s="577">
        <f t="shared" si="7"/>
        <v>0</v>
      </c>
      <c r="I42" s="577"/>
      <c r="J42" s="577"/>
      <c r="K42" s="578">
        <f t="shared" si="8"/>
        <v>0</v>
      </c>
      <c r="L42" s="576">
        <f t="shared" si="9"/>
        <v>0</v>
      </c>
      <c r="M42" s="577">
        <f t="shared" si="10"/>
        <v>0</v>
      </c>
      <c r="N42" s="577">
        <f t="shared" si="11"/>
        <v>0</v>
      </c>
      <c r="O42" s="577">
        <f t="shared" si="12"/>
        <v>0</v>
      </c>
      <c r="P42" s="578">
        <f t="shared" si="13"/>
        <v>0</v>
      </c>
    </row>
    <row r="43" spans="1:16" x14ac:dyDescent="0.2">
      <c r="A43" s="141">
        <f>IF(COUNTBLANK(B43)=1," ",COUNTA(B$14:B43))</f>
        <v>28</v>
      </c>
      <c r="B43" s="332" t="s">
        <v>86</v>
      </c>
      <c r="C43" s="335" t="s">
        <v>180</v>
      </c>
      <c r="D43" s="299" t="s">
        <v>84</v>
      </c>
      <c r="E43" s="336">
        <f>E42*1.1</f>
        <v>0.5555000000000001</v>
      </c>
      <c r="F43" s="576"/>
      <c r="G43" s="577"/>
      <c r="H43" s="572">
        <f t="shared" si="7"/>
        <v>0</v>
      </c>
      <c r="I43" s="577"/>
      <c r="J43" s="577"/>
      <c r="K43" s="573">
        <f t="shared" si="8"/>
        <v>0</v>
      </c>
      <c r="L43" s="574">
        <f t="shared" si="9"/>
        <v>0</v>
      </c>
      <c r="M43" s="572">
        <f t="shared" si="10"/>
        <v>0</v>
      </c>
      <c r="N43" s="572">
        <f t="shared" si="11"/>
        <v>0</v>
      </c>
      <c r="O43" s="572">
        <f t="shared" si="12"/>
        <v>0</v>
      </c>
      <c r="P43" s="573">
        <f t="shared" si="13"/>
        <v>0</v>
      </c>
    </row>
    <row r="44" spans="1:16" x14ac:dyDescent="0.2">
      <c r="A44" s="141">
        <f>IF(COUNTBLANK(B44)=1," ",COUNTA(B$14:B44))</f>
        <v>29</v>
      </c>
      <c r="B44" s="332" t="s">
        <v>86</v>
      </c>
      <c r="C44" s="335" t="s">
        <v>181</v>
      </c>
      <c r="D44" s="299" t="s">
        <v>56</v>
      </c>
      <c r="E44" s="334">
        <f>E37</f>
        <v>10.1</v>
      </c>
      <c r="F44" s="576"/>
      <c r="G44" s="577"/>
      <c r="H44" s="577">
        <f t="shared" si="7"/>
        <v>0</v>
      </c>
      <c r="I44" s="577"/>
      <c r="J44" s="577"/>
      <c r="K44" s="578">
        <f t="shared" si="8"/>
        <v>0</v>
      </c>
      <c r="L44" s="576">
        <f t="shared" si="9"/>
        <v>0</v>
      </c>
      <c r="M44" s="577">
        <f t="shared" si="10"/>
        <v>0</v>
      </c>
      <c r="N44" s="577">
        <f t="shared" si="11"/>
        <v>0</v>
      </c>
      <c r="O44" s="577">
        <f t="shared" si="12"/>
        <v>0</v>
      </c>
      <c r="P44" s="578">
        <f t="shared" si="13"/>
        <v>0</v>
      </c>
    </row>
    <row r="45" spans="1:16" x14ac:dyDescent="0.2">
      <c r="A45" s="141">
        <f>IF(COUNTBLANK(B45)=1," ",COUNTA(B$14:B45))</f>
        <v>30</v>
      </c>
      <c r="B45" s="332" t="s">
        <v>86</v>
      </c>
      <c r="C45" s="335" t="s">
        <v>182</v>
      </c>
      <c r="D45" s="336" t="s">
        <v>56</v>
      </c>
      <c r="E45" s="336">
        <f>E44*1.05</f>
        <v>10.605</v>
      </c>
      <c r="F45" s="576"/>
      <c r="G45" s="577"/>
      <c r="H45" s="572">
        <f t="shared" si="7"/>
        <v>0</v>
      </c>
      <c r="I45" s="577"/>
      <c r="J45" s="577"/>
      <c r="K45" s="573">
        <f t="shared" si="8"/>
        <v>0</v>
      </c>
      <c r="L45" s="574">
        <f t="shared" si="9"/>
        <v>0</v>
      </c>
      <c r="M45" s="572">
        <f t="shared" si="10"/>
        <v>0</v>
      </c>
      <c r="N45" s="572">
        <f t="shared" si="11"/>
        <v>0</v>
      </c>
      <c r="O45" s="572">
        <f t="shared" si="12"/>
        <v>0</v>
      </c>
      <c r="P45" s="573">
        <f t="shared" si="13"/>
        <v>0</v>
      </c>
    </row>
    <row r="46" spans="1:16" x14ac:dyDescent="0.2">
      <c r="A46" s="141">
        <f>IF(COUNTBLANK(B46)=1," ",COUNTA(B$14:B46))</f>
        <v>31</v>
      </c>
      <c r="B46" s="332" t="s">
        <v>86</v>
      </c>
      <c r="C46" s="335" t="s">
        <v>183</v>
      </c>
      <c r="D46" s="336" t="s">
        <v>84</v>
      </c>
      <c r="E46" s="336">
        <f>E44*0.05*1.1</f>
        <v>0.5555000000000001</v>
      </c>
      <c r="F46" s="576"/>
      <c r="G46" s="577"/>
      <c r="H46" s="577">
        <f t="shared" si="7"/>
        <v>0</v>
      </c>
      <c r="I46" s="577"/>
      <c r="J46" s="577"/>
      <c r="K46" s="578">
        <f t="shared" si="8"/>
        <v>0</v>
      </c>
      <c r="L46" s="576">
        <f t="shared" si="9"/>
        <v>0</v>
      </c>
      <c r="M46" s="577">
        <f t="shared" si="10"/>
        <v>0</v>
      </c>
      <c r="N46" s="577">
        <f t="shared" si="11"/>
        <v>0</v>
      </c>
      <c r="O46" s="577">
        <f t="shared" si="12"/>
        <v>0</v>
      </c>
      <c r="P46" s="578">
        <f t="shared" si="13"/>
        <v>0</v>
      </c>
    </row>
    <row r="47" spans="1:16" ht="22.5" x14ac:dyDescent="0.2">
      <c r="A47" s="141">
        <f>IF(COUNTBLANK(B47)=1," ",COUNTA(B$14:B47))</f>
        <v>32</v>
      </c>
      <c r="B47" s="332" t="s">
        <v>86</v>
      </c>
      <c r="C47" s="335" t="s">
        <v>184</v>
      </c>
      <c r="D47" s="299" t="s">
        <v>88</v>
      </c>
      <c r="E47" s="334">
        <v>8.1</v>
      </c>
      <c r="F47" s="576"/>
      <c r="G47" s="577"/>
      <c r="H47" s="572">
        <f t="shared" si="7"/>
        <v>0</v>
      </c>
      <c r="I47" s="577"/>
      <c r="J47" s="577"/>
      <c r="K47" s="573">
        <f t="shared" si="8"/>
        <v>0</v>
      </c>
      <c r="L47" s="574">
        <f t="shared" si="9"/>
        <v>0</v>
      </c>
      <c r="M47" s="572">
        <f t="shared" si="10"/>
        <v>0</v>
      </c>
      <c r="N47" s="572">
        <f t="shared" si="11"/>
        <v>0</v>
      </c>
      <c r="O47" s="572">
        <f t="shared" si="12"/>
        <v>0</v>
      </c>
      <c r="P47" s="573">
        <f t="shared" si="13"/>
        <v>0</v>
      </c>
    </row>
    <row r="48" spans="1:16" x14ac:dyDescent="0.2">
      <c r="A48" s="141">
        <f>IF(COUNTBLANK(B48)=1," ",COUNTA(B$14:B48))</f>
        <v>33</v>
      </c>
      <c r="B48" s="332" t="s">
        <v>86</v>
      </c>
      <c r="C48" s="335" t="s">
        <v>185</v>
      </c>
      <c r="D48" s="336" t="s">
        <v>84</v>
      </c>
      <c r="E48" s="336">
        <f>E47*0.3*0.2</f>
        <v>0.48599999999999999</v>
      </c>
      <c r="F48" s="576"/>
      <c r="G48" s="577"/>
      <c r="H48" s="577">
        <f t="shared" si="7"/>
        <v>0</v>
      </c>
      <c r="I48" s="577"/>
      <c r="J48" s="577"/>
      <c r="K48" s="578">
        <f t="shared" si="8"/>
        <v>0</v>
      </c>
      <c r="L48" s="576">
        <f t="shared" si="9"/>
        <v>0</v>
      </c>
      <c r="M48" s="577">
        <f t="shared" si="10"/>
        <v>0</v>
      </c>
      <c r="N48" s="577">
        <f t="shared" si="11"/>
        <v>0</v>
      </c>
      <c r="O48" s="577">
        <f t="shared" si="12"/>
        <v>0</v>
      </c>
      <c r="P48" s="578">
        <f t="shared" si="13"/>
        <v>0</v>
      </c>
    </row>
    <row r="49" spans="1:16" ht="12" thickBot="1" x14ac:dyDescent="0.25">
      <c r="A49" s="141" t="str">
        <f>IF(COUNTBLANK(B49)=1," ",COUNTA(B$14:B49))</f>
        <v xml:space="preserve"> </v>
      </c>
      <c r="B49" s="337"/>
      <c r="C49" s="338" t="s">
        <v>464</v>
      </c>
      <c r="D49" s="337"/>
      <c r="E49" s="339"/>
      <c r="F49" s="576"/>
      <c r="G49" s="577"/>
      <c r="H49" s="572">
        <f t="shared" si="7"/>
        <v>0</v>
      </c>
      <c r="I49" s="577"/>
      <c r="J49" s="577"/>
      <c r="K49" s="573">
        <f t="shared" si="8"/>
        <v>0</v>
      </c>
      <c r="L49" s="574">
        <f t="shared" si="9"/>
        <v>0</v>
      </c>
      <c r="M49" s="572">
        <f t="shared" si="10"/>
        <v>0</v>
      </c>
      <c r="N49" s="572">
        <f t="shared" si="11"/>
        <v>0</v>
      </c>
      <c r="O49" s="572">
        <f t="shared" si="12"/>
        <v>0</v>
      </c>
      <c r="P49" s="573">
        <f t="shared" si="13"/>
        <v>0</v>
      </c>
    </row>
    <row r="50" spans="1:16" ht="22.5" x14ac:dyDescent="0.2">
      <c r="A50" s="141">
        <f>IF(COUNTBLANK(B50)=1," ",COUNTA(B$14:B50))</f>
        <v>34</v>
      </c>
      <c r="B50" s="321" t="s">
        <v>86</v>
      </c>
      <c r="C50" s="340" t="s">
        <v>471</v>
      </c>
      <c r="D50" s="341" t="s">
        <v>91</v>
      </c>
      <c r="E50" s="342">
        <v>1</v>
      </c>
      <c r="F50" s="576"/>
      <c r="G50" s="577"/>
      <c r="H50" s="577">
        <f t="shared" si="7"/>
        <v>0</v>
      </c>
      <c r="I50" s="577"/>
      <c r="J50" s="577"/>
      <c r="K50" s="578">
        <f t="shared" si="8"/>
        <v>0</v>
      </c>
      <c r="L50" s="576">
        <f t="shared" si="9"/>
        <v>0</v>
      </c>
      <c r="M50" s="577">
        <f t="shared" si="10"/>
        <v>0</v>
      </c>
      <c r="N50" s="577">
        <f t="shared" si="11"/>
        <v>0</v>
      </c>
      <c r="O50" s="577">
        <f t="shared" si="12"/>
        <v>0</v>
      </c>
      <c r="P50" s="578">
        <f t="shared" si="13"/>
        <v>0</v>
      </c>
    </row>
    <row r="51" spans="1:16" x14ac:dyDescent="0.2">
      <c r="A51" s="141">
        <f>IF(COUNTBLANK(B51)=1," ",COUNTA(B$14:B51))</f>
        <v>35</v>
      </c>
      <c r="B51" s="321" t="s">
        <v>86</v>
      </c>
      <c r="C51" s="343" t="s">
        <v>472</v>
      </c>
      <c r="D51" s="341" t="s">
        <v>91</v>
      </c>
      <c r="E51" s="342">
        <v>1</v>
      </c>
      <c r="F51" s="576"/>
      <c r="G51" s="577"/>
      <c r="H51" s="572">
        <f t="shared" si="7"/>
        <v>0</v>
      </c>
      <c r="I51" s="577"/>
      <c r="J51" s="577"/>
      <c r="K51" s="573">
        <f t="shared" si="8"/>
        <v>0</v>
      </c>
      <c r="L51" s="574">
        <f t="shared" si="9"/>
        <v>0</v>
      </c>
      <c r="M51" s="572">
        <f t="shared" si="10"/>
        <v>0</v>
      </c>
      <c r="N51" s="572">
        <f t="shared" si="11"/>
        <v>0</v>
      </c>
      <c r="O51" s="572">
        <f t="shared" si="12"/>
        <v>0</v>
      </c>
      <c r="P51" s="573">
        <f t="shared" si="13"/>
        <v>0</v>
      </c>
    </row>
    <row r="52" spans="1:16" ht="22.5" x14ac:dyDescent="0.2">
      <c r="A52" s="141">
        <f>IF(COUNTBLANK(B52)=1," ",COUNTA(B$14:B52))</f>
        <v>36</v>
      </c>
      <c r="B52" s="321" t="s">
        <v>86</v>
      </c>
      <c r="C52" s="343" t="s">
        <v>474</v>
      </c>
      <c r="D52" s="341" t="s">
        <v>56</v>
      </c>
      <c r="E52" s="342">
        <v>16</v>
      </c>
      <c r="F52" s="576"/>
      <c r="G52" s="577"/>
      <c r="H52" s="577">
        <f t="shared" si="7"/>
        <v>0</v>
      </c>
      <c r="I52" s="577"/>
      <c r="J52" s="577"/>
      <c r="K52" s="578">
        <f t="shared" si="8"/>
        <v>0</v>
      </c>
      <c r="L52" s="576">
        <f t="shared" si="9"/>
        <v>0</v>
      </c>
      <c r="M52" s="577">
        <f t="shared" si="10"/>
        <v>0</v>
      </c>
      <c r="N52" s="577">
        <f t="shared" si="11"/>
        <v>0</v>
      </c>
      <c r="O52" s="577">
        <f t="shared" si="12"/>
        <v>0</v>
      </c>
      <c r="P52" s="578">
        <f t="shared" si="13"/>
        <v>0</v>
      </c>
    </row>
    <row r="53" spans="1:16" ht="22.5" x14ac:dyDescent="0.2">
      <c r="A53" s="141">
        <f>IF(COUNTBLANK(B53)=1," ",COUNTA(B$14:B53))</f>
        <v>37</v>
      </c>
      <c r="B53" s="321" t="s">
        <v>86</v>
      </c>
      <c r="C53" s="85" t="s">
        <v>483</v>
      </c>
      <c r="D53" s="138" t="s">
        <v>176</v>
      </c>
      <c r="E53" s="344">
        <v>16</v>
      </c>
      <c r="F53" s="576"/>
      <c r="G53" s="577"/>
      <c r="H53" s="572">
        <f t="shared" si="7"/>
        <v>0</v>
      </c>
      <c r="I53" s="577"/>
      <c r="J53" s="577"/>
      <c r="K53" s="573">
        <f t="shared" si="8"/>
        <v>0</v>
      </c>
      <c r="L53" s="574">
        <f t="shared" si="9"/>
        <v>0</v>
      </c>
      <c r="M53" s="572">
        <f t="shared" si="10"/>
        <v>0</v>
      </c>
      <c r="N53" s="572">
        <f t="shared" si="11"/>
        <v>0</v>
      </c>
      <c r="O53" s="572">
        <f t="shared" si="12"/>
        <v>0</v>
      </c>
      <c r="P53" s="573">
        <f t="shared" si="13"/>
        <v>0</v>
      </c>
    </row>
    <row r="54" spans="1:16" ht="22.5" x14ac:dyDescent="0.2">
      <c r="A54" s="141">
        <f>IF(COUNTBLANK(B54)=1," ",COUNTA(B$14:B54))</f>
        <v>38</v>
      </c>
      <c r="B54" s="321" t="s">
        <v>86</v>
      </c>
      <c r="C54" s="364" t="s">
        <v>618</v>
      </c>
      <c r="D54" s="138" t="s">
        <v>90</v>
      </c>
      <c r="E54" s="330">
        <f>E53*1.7</f>
        <v>27.2</v>
      </c>
      <c r="F54" s="576"/>
      <c r="G54" s="577"/>
      <c r="H54" s="577">
        <f t="shared" si="7"/>
        <v>0</v>
      </c>
      <c r="I54" s="577"/>
      <c r="J54" s="577"/>
      <c r="K54" s="578">
        <f t="shared" si="8"/>
        <v>0</v>
      </c>
      <c r="L54" s="576">
        <f t="shared" si="9"/>
        <v>0</v>
      </c>
      <c r="M54" s="577">
        <f t="shared" si="10"/>
        <v>0</v>
      </c>
      <c r="N54" s="577">
        <f t="shared" si="11"/>
        <v>0</v>
      </c>
      <c r="O54" s="577">
        <f t="shared" si="12"/>
        <v>0</v>
      </c>
      <c r="P54" s="578">
        <f t="shared" si="13"/>
        <v>0</v>
      </c>
    </row>
    <row r="55" spans="1:16" ht="22.5" x14ac:dyDescent="0.2">
      <c r="A55" s="141">
        <f>IF(COUNTBLANK(B55)=1," ",COUNTA(B$14:B55))</f>
        <v>39</v>
      </c>
      <c r="B55" s="317" t="s">
        <v>475</v>
      </c>
      <c r="C55" s="85" t="s">
        <v>476</v>
      </c>
      <c r="D55" s="138" t="s">
        <v>356</v>
      </c>
      <c r="E55" s="58">
        <v>0.06</v>
      </c>
      <c r="F55" s="576"/>
      <c r="G55" s="577"/>
      <c r="H55" s="572">
        <f t="shared" si="7"/>
        <v>0</v>
      </c>
      <c r="I55" s="577"/>
      <c r="J55" s="577"/>
      <c r="K55" s="573">
        <f t="shared" si="8"/>
        <v>0</v>
      </c>
      <c r="L55" s="574">
        <f t="shared" si="9"/>
        <v>0</v>
      </c>
      <c r="M55" s="572">
        <f t="shared" si="10"/>
        <v>0</v>
      </c>
      <c r="N55" s="572">
        <f t="shared" si="11"/>
        <v>0</v>
      </c>
      <c r="O55" s="572">
        <f t="shared" si="12"/>
        <v>0</v>
      </c>
      <c r="P55" s="573">
        <f t="shared" si="13"/>
        <v>0</v>
      </c>
    </row>
    <row r="56" spans="1:16" ht="22.5" x14ac:dyDescent="0.2">
      <c r="A56" s="141">
        <f>IF(COUNTBLANK(B56)=1," ",COUNTA(B$14:B56))</f>
        <v>40</v>
      </c>
      <c r="B56" s="317" t="s">
        <v>86</v>
      </c>
      <c r="C56" s="85" t="s">
        <v>477</v>
      </c>
      <c r="D56" s="138" t="s">
        <v>356</v>
      </c>
      <c r="E56" s="58">
        <v>0.13</v>
      </c>
      <c r="F56" s="576"/>
      <c r="G56" s="577"/>
      <c r="H56" s="577">
        <f t="shared" si="7"/>
        <v>0</v>
      </c>
      <c r="I56" s="577"/>
      <c r="J56" s="577"/>
      <c r="K56" s="578">
        <f t="shared" si="8"/>
        <v>0</v>
      </c>
      <c r="L56" s="576">
        <f t="shared" si="9"/>
        <v>0</v>
      </c>
      <c r="M56" s="577">
        <f t="shared" si="10"/>
        <v>0</v>
      </c>
      <c r="N56" s="577">
        <f t="shared" si="11"/>
        <v>0</v>
      </c>
      <c r="O56" s="577">
        <f t="shared" si="12"/>
        <v>0</v>
      </c>
      <c r="P56" s="578">
        <f t="shared" si="13"/>
        <v>0</v>
      </c>
    </row>
    <row r="57" spans="1:16" x14ac:dyDescent="0.2">
      <c r="A57" s="141">
        <f>IF(COUNTBLANK(B57)=1," ",COUNTA(B$14:B57))</f>
        <v>41</v>
      </c>
      <c r="B57" s="317" t="s">
        <v>86</v>
      </c>
      <c r="C57" s="85" t="s">
        <v>478</v>
      </c>
      <c r="D57" s="138" t="s">
        <v>356</v>
      </c>
      <c r="E57" s="344">
        <v>0.56000000000000005</v>
      </c>
      <c r="F57" s="576"/>
      <c r="G57" s="577"/>
      <c r="H57" s="572">
        <f t="shared" si="7"/>
        <v>0</v>
      </c>
      <c r="I57" s="577"/>
      <c r="J57" s="577"/>
      <c r="K57" s="573">
        <f t="shared" si="8"/>
        <v>0</v>
      </c>
      <c r="L57" s="574">
        <f t="shared" si="9"/>
        <v>0</v>
      </c>
      <c r="M57" s="572">
        <f t="shared" si="10"/>
        <v>0</v>
      </c>
      <c r="N57" s="572">
        <f t="shared" si="11"/>
        <v>0</v>
      </c>
      <c r="O57" s="572">
        <f t="shared" si="12"/>
        <v>0</v>
      </c>
      <c r="P57" s="573">
        <f t="shared" si="13"/>
        <v>0</v>
      </c>
    </row>
    <row r="58" spans="1:16" x14ac:dyDescent="0.2">
      <c r="A58" s="141">
        <f>IF(COUNTBLANK(B58)=1," ",COUNTA(B$14:B58))</f>
        <v>42</v>
      </c>
      <c r="B58" s="317" t="s">
        <v>475</v>
      </c>
      <c r="C58" s="85" t="s">
        <v>479</v>
      </c>
      <c r="D58" s="138" t="s">
        <v>176</v>
      </c>
      <c r="E58" s="344">
        <v>16</v>
      </c>
      <c r="F58" s="576"/>
      <c r="G58" s="577"/>
      <c r="H58" s="577">
        <f t="shared" si="7"/>
        <v>0</v>
      </c>
      <c r="I58" s="577"/>
      <c r="J58" s="577"/>
      <c r="K58" s="578">
        <f t="shared" si="8"/>
        <v>0</v>
      </c>
      <c r="L58" s="576">
        <f t="shared" si="9"/>
        <v>0</v>
      </c>
      <c r="M58" s="577">
        <f t="shared" si="10"/>
        <v>0</v>
      </c>
      <c r="N58" s="577">
        <f t="shared" si="11"/>
        <v>0</v>
      </c>
      <c r="O58" s="577">
        <f t="shared" si="12"/>
        <v>0</v>
      </c>
      <c r="P58" s="578">
        <f t="shared" si="13"/>
        <v>0</v>
      </c>
    </row>
    <row r="59" spans="1:16" ht="22.5" x14ac:dyDescent="0.2">
      <c r="A59" s="141">
        <f>IF(COUNTBLANK(B59)=1," ",COUNTA(B$14:B59))</f>
        <v>43</v>
      </c>
      <c r="B59" s="317" t="s">
        <v>475</v>
      </c>
      <c r="C59" s="85" t="s">
        <v>480</v>
      </c>
      <c r="D59" s="138" t="s">
        <v>176</v>
      </c>
      <c r="E59" s="344">
        <v>13.75</v>
      </c>
      <c r="F59" s="576"/>
      <c r="G59" s="577"/>
      <c r="H59" s="572">
        <f t="shared" si="7"/>
        <v>0</v>
      </c>
      <c r="I59" s="577"/>
      <c r="J59" s="577"/>
      <c r="K59" s="573">
        <f t="shared" si="8"/>
        <v>0</v>
      </c>
      <c r="L59" s="574">
        <f t="shared" si="9"/>
        <v>0</v>
      </c>
      <c r="M59" s="572">
        <f t="shared" si="10"/>
        <v>0</v>
      </c>
      <c r="N59" s="572">
        <f t="shared" si="11"/>
        <v>0</v>
      </c>
      <c r="O59" s="572">
        <f t="shared" si="12"/>
        <v>0</v>
      </c>
      <c r="P59" s="573">
        <f t="shared" si="13"/>
        <v>0</v>
      </c>
    </row>
    <row r="60" spans="1:16" ht="22.5" x14ac:dyDescent="0.2">
      <c r="A60" s="141">
        <f>IF(COUNTBLANK(B60)=1," ",COUNTA(B$14:B60))</f>
        <v>44</v>
      </c>
      <c r="B60" s="317" t="s">
        <v>86</v>
      </c>
      <c r="C60" s="85" t="s">
        <v>481</v>
      </c>
      <c r="D60" s="138" t="s">
        <v>176</v>
      </c>
      <c r="E60" s="344">
        <v>13.75</v>
      </c>
      <c r="F60" s="576"/>
      <c r="G60" s="577"/>
      <c r="H60" s="577">
        <f t="shared" si="7"/>
        <v>0</v>
      </c>
      <c r="I60" s="577"/>
      <c r="J60" s="577"/>
      <c r="K60" s="578">
        <f t="shared" si="8"/>
        <v>0</v>
      </c>
      <c r="L60" s="576">
        <f t="shared" si="9"/>
        <v>0</v>
      </c>
      <c r="M60" s="577">
        <f t="shared" si="10"/>
        <v>0</v>
      </c>
      <c r="N60" s="577">
        <f t="shared" si="11"/>
        <v>0</v>
      </c>
      <c r="O60" s="577">
        <f t="shared" si="12"/>
        <v>0</v>
      </c>
      <c r="P60" s="578">
        <f t="shared" si="13"/>
        <v>0</v>
      </c>
    </row>
    <row r="61" spans="1:16" x14ac:dyDescent="0.2">
      <c r="A61" s="141">
        <f>IF(COUNTBLANK(B61)=1," ",COUNTA(B$14:B61))</f>
        <v>45</v>
      </c>
      <c r="B61" s="317" t="s">
        <v>86</v>
      </c>
      <c r="C61" s="85" t="s">
        <v>482</v>
      </c>
      <c r="D61" s="138" t="s">
        <v>176</v>
      </c>
      <c r="E61" s="344">
        <v>16.899999999999999</v>
      </c>
      <c r="F61" s="576"/>
      <c r="G61" s="577"/>
      <c r="H61" s="572">
        <f t="shared" si="7"/>
        <v>0</v>
      </c>
      <c r="I61" s="577"/>
      <c r="J61" s="577"/>
      <c r="K61" s="573">
        <f t="shared" si="8"/>
        <v>0</v>
      </c>
      <c r="L61" s="574">
        <f t="shared" si="9"/>
        <v>0</v>
      </c>
      <c r="M61" s="572">
        <f t="shared" si="10"/>
        <v>0</v>
      </c>
      <c r="N61" s="572">
        <f t="shared" si="11"/>
        <v>0</v>
      </c>
      <c r="O61" s="572">
        <f t="shared" si="12"/>
        <v>0</v>
      </c>
      <c r="P61" s="573">
        <f t="shared" si="13"/>
        <v>0</v>
      </c>
    </row>
    <row r="62" spans="1:16" ht="12" thickBot="1" x14ac:dyDescent="0.25">
      <c r="A62" s="141" t="str">
        <f>IF(COUNTBLANK(B62)=1," ",COUNTA(B$14:B62))</f>
        <v xml:space="preserve"> </v>
      </c>
      <c r="B62" s="317"/>
      <c r="C62" s="345" t="s">
        <v>484</v>
      </c>
      <c r="D62" s="138"/>
      <c r="E62" s="344"/>
      <c r="F62" s="576"/>
      <c r="G62" s="577"/>
      <c r="H62" s="577">
        <f t="shared" si="7"/>
        <v>0</v>
      </c>
      <c r="I62" s="577"/>
      <c r="J62" s="577"/>
      <c r="K62" s="578">
        <f t="shared" si="8"/>
        <v>0</v>
      </c>
      <c r="L62" s="576">
        <f t="shared" si="9"/>
        <v>0</v>
      </c>
      <c r="M62" s="577">
        <f t="shared" si="10"/>
        <v>0</v>
      </c>
      <c r="N62" s="577">
        <f t="shared" si="11"/>
        <v>0</v>
      </c>
      <c r="O62" s="577">
        <f t="shared" si="12"/>
        <v>0</v>
      </c>
      <c r="P62" s="578">
        <f t="shared" si="13"/>
        <v>0</v>
      </c>
    </row>
    <row r="63" spans="1:16" ht="22.5" x14ac:dyDescent="0.2">
      <c r="A63" s="141">
        <f>IF(COUNTBLANK(B63)=1," ",COUNTA(B$14:B63))</f>
        <v>46</v>
      </c>
      <c r="B63" s="317" t="s">
        <v>86</v>
      </c>
      <c r="C63" s="328" t="s">
        <v>619</v>
      </c>
      <c r="D63" s="138" t="s">
        <v>176</v>
      </c>
      <c r="E63" s="344">
        <v>16.600000000000001</v>
      </c>
      <c r="F63" s="576"/>
      <c r="G63" s="577"/>
      <c r="H63" s="572">
        <f t="shared" si="7"/>
        <v>0</v>
      </c>
      <c r="I63" s="577"/>
      <c r="J63" s="577"/>
      <c r="K63" s="573">
        <f t="shared" si="8"/>
        <v>0</v>
      </c>
      <c r="L63" s="574">
        <f t="shared" si="9"/>
        <v>0</v>
      </c>
      <c r="M63" s="572">
        <f t="shared" si="10"/>
        <v>0</v>
      </c>
      <c r="N63" s="572">
        <f t="shared" si="11"/>
        <v>0</v>
      </c>
      <c r="O63" s="572">
        <f t="shared" si="12"/>
        <v>0</v>
      </c>
      <c r="P63" s="573">
        <f t="shared" si="13"/>
        <v>0</v>
      </c>
    </row>
    <row r="64" spans="1:16" ht="22.5" x14ac:dyDescent="0.2">
      <c r="A64" s="141">
        <f>IF(COUNTBLANK(B64)=1," ",COUNTA(B$14:B64))</f>
        <v>47</v>
      </c>
      <c r="B64" s="317" t="s">
        <v>86</v>
      </c>
      <c r="C64" s="325" t="s">
        <v>620</v>
      </c>
      <c r="D64" s="138" t="s">
        <v>176</v>
      </c>
      <c r="E64" s="344">
        <v>20.8</v>
      </c>
      <c r="F64" s="576"/>
      <c r="G64" s="577"/>
      <c r="H64" s="577">
        <f t="shared" si="7"/>
        <v>0</v>
      </c>
      <c r="I64" s="577"/>
      <c r="J64" s="577"/>
      <c r="K64" s="578">
        <f t="shared" si="8"/>
        <v>0</v>
      </c>
      <c r="L64" s="576">
        <f t="shared" si="9"/>
        <v>0</v>
      </c>
      <c r="M64" s="577">
        <f t="shared" si="10"/>
        <v>0</v>
      </c>
      <c r="N64" s="577">
        <f t="shared" si="11"/>
        <v>0</v>
      </c>
      <c r="O64" s="577">
        <f t="shared" si="12"/>
        <v>0</v>
      </c>
      <c r="P64" s="578">
        <f t="shared" si="13"/>
        <v>0</v>
      </c>
    </row>
    <row r="65" spans="1:16" x14ac:dyDescent="0.2">
      <c r="A65" s="141">
        <f>IF(COUNTBLANK(B65)=1," ",COUNTA(B$14:B65))</f>
        <v>48</v>
      </c>
      <c r="B65" s="317" t="s">
        <v>86</v>
      </c>
      <c r="C65" s="325" t="s">
        <v>205</v>
      </c>
      <c r="D65" s="341" t="s">
        <v>206</v>
      </c>
      <c r="E65" s="342">
        <v>0.5</v>
      </c>
      <c r="F65" s="576"/>
      <c r="G65" s="577"/>
      <c r="H65" s="572">
        <f t="shared" si="7"/>
        <v>0</v>
      </c>
      <c r="I65" s="577"/>
      <c r="J65" s="577"/>
      <c r="K65" s="573">
        <f t="shared" si="8"/>
        <v>0</v>
      </c>
      <c r="L65" s="574">
        <f t="shared" si="9"/>
        <v>0</v>
      </c>
      <c r="M65" s="572">
        <f t="shared" si="10"/>
        <v>0</v>
      </c>
      <c r="N65" s="572">
        <f t="shared" si="11"/>
        <v>0</v>
      </c>
      <c r="O65" s="572">
        <f t="shared" si="12"/>
        <v>0</v>
      </c>
      <c r="P65" s="573">
        <f t="shared" si="13"/>
        <v>0</v>
      </c>
    </row>
    <row r="66" spans="1:16" ht="33.75" x14ac:dyDescent="0.2">
      <c r="A66" s="141">
        <f>IF(COUNTBLANK(B66)=1," ",COUNTA(B$14:B66))</f>
        <v>49</v>
      </c>
      <c r="B66" s="317" t="s">
        <v>86</v>
      </c>
      <c r="C66" s="325" t="s">
        <v>621</v>
      </c>
      <c r="D66" s="341" t="s">
        <v>56</v>
      </c>
      <c r="E66" s="330">
        <v>1.6</v>
      </c>
      <c r="F66" s="576"/>
      <c r="G66" s="577"/>
      <c r="H66" s="577">
        <f t="shared" si="7"/>
        <v>0</v>
      </c>
      <c r="I66" s="577"/>
      <c r="J66" s="577"/>
      <c r="K66" s="578">
        <f t="shared" si="8"/>
        <v>0</v>
      </c>
      <c r="L66" s="576">
        <f t="shared" si="9"/>
        <v>0</v>
      </c>
      <c r="M66" s="577">
        <f t="shared" si="10"/>
        <v>0</v>
      </c>
      <c r="N66" s="577">
        <f t="shared" si="11"/>
        <v>0</v>
      </c>
      <c r="O66" s="577">
        <f t="shared" si="12"/>
        <v>0</v>
      </c>
      <c r="P66" s="578">
        <f t="shared" si="13"/>
        <v>0</v>
      </c>
    </row>
    <row r="67" spans="1:16" x14ac:dyDescent="0.2">
      <c r="A67" s="141">
        <f>IF(COUNTBLANK(B67)=1," ",COUNTA(B$14:B67))</f>
        <v>50</v>
      </c>
      <c r="B67" s="317" t="s">
        <v>86</v>
      </c>
      <c r="C67" s="325" t="s">
        <v>622</v>
      </c>
      <c r="D67" s="341" t="s">
        <v>56</v>
      </c>
      <c r="E67" s="346">
        <v>1.6</v>
      </c>
      <c r="F67" s="576"/>
      <c r="G67" s="577"/>
      <c r="H67" s="572">
        <f t="shared" si="7"/>
        <v>0</v>
      </c>
      <c r="I67" s="577"/>
      <c r="J67" s="577"/>
      <c r="K67" s="573">
        <f t="shared" si="8"/>
        <v>0</v>
      </c>
      <c r="L67" s="574">
        <f t="shared" si="9"/>
        <v>0</v>
      </c>
      <c r="M67" s="572">
        <f t="shared" si="10"/>
        <v>0</v>
      </c>
      <c r="N67" s="572">
        <f t="shared" si="11"/>
        <v>0</v>
      </c>
      <c r="O67" s="572">
        <f t="shared" si="12"/>
        <v>0</v>
      </c>
      <c r="P67" s="573">
        <f t="shared" si="13"/>
        <v>0</v>
      </c>
    </row>
    <row r="68" spans="1:16" ht="33.75" x14ac:dyDescent="0.2">
      <c r="A68" s="141">
        <f>IF(COUNTBLANK(B68)=1," ",COUNTA(B$14:B68))</f>
        <v>51</v>
      </c>
      <c r="B68" s="317" t="s">
        <v>86</v>
      </c>
      <c r="C68" s="343" t="s">
        <v>487</v>
      </c>
      <c r="D68" s="138" t="s">
        <v>176</v>
      </c>
      <c r="E68" s="347">
        <v>3.75</v>
      </c>
      <c r="F68" s="576"/>
      <c r="G68" s="577"/>
      <c r="H68" s="577">
        <f t="shared" si="7"/>
        <v>0</v>
      </c>
      <c r="I68" s="577"/>
      <c r="J68" s="577"/>
      <c r="K68" s="578">
        <f t="shared" si="8"/>
        <v>0</v>
      </c>
      <c r="L68" s="576">
        <f t="shared" si="9"/>
        <v>0</v>
      </c>
      <c r="M68" s="577">
        <f t="shared" si="10"/>
        <v>0</v>
      </c>
      <c r="N68" s="577">
        <f t="shared" si="11"/>
        <v>0</v>
      </c>
      <c r="O68" s="577">
        <f t="shared" si="12"/>
        <v>0</v>
      </c>
      <c r="P68" s="578">
        <f t="shared" si="13"/>
        <v>0</v>
      </c>
    </row>
    <row r="69" spans="1:16" ht="33.75" x14ac:dyDescent="0.2">
      <c r="A69" s="141">
        <f>IF(COUNTBLANK(B69)=1," ",COUNTA(B$14:B69))</f>
        <v>52</v>
      </c>
      <c r="B69" s="317" t="s">
        <v>86</v>
      </c>
      <c r="C69" s="343" t="s">
        <v>204</v>
      </c>
      <c r="D69" s="138" t="s">
        <v>88</v>
      </c>
      <c r="E69" s="347">
        <v>6.25</v>
      </c>
      <c r="F69" s="576"/>
      <c r="G69" s="577"/>
      <c r="H69" s="572">
        <f t="shared" si="7"/>
        <v>0</v>
      </c>
      <c r="I69" s="577"/>
      <c r="J69" s="577"/>
      <c r="K69" s="573">
        <f t="shared" si="8"/>
        <v>0</v>
      </c>
      <c r="L69" s="574">
        <f t="shared" si="9"/>
        <v>0</v>
      </c>
      <c r="M69" s="572">
        <f t="shared" si="10"/>
        <v>0</v>
      </c>
      <c r="N69" s="572">
        <f t="shared" si="11"/>
        <v>0</v>
      </c>
      <c r="O69" s="572">
        <f t="shared" si="12"/>
        <v>0</v>
      </c>
      <c r="P69" s="573">
        <f t="shared" si="13"/>
        <v>0</v>
      </c>
    </row>
    <row r="70" spans="1:16" x14ac:dyDescent="0.2">
      <c r="A70" s="141">
        <f>IF(COUNTBLANK(B70)=1," ",COUNTA(B$14:B70))</f>
        <v>53</v>
      </c>
      <c r="B70" s="317" t="s">
        <v>86</v>
      </c>
      <c r="C70" s="318" t="s">
        <v>485</v>
      </c>
      <c r="D70" s="138"/>
      <c r="E70" s="347"/>
      <c r="F70" s="576"/>
      <c r="G70" s="577"/>
      <c r="H70" s="577">
        <f t="shared" si="7"/>
        <v>0</v>
      </c>
      <c r="I70" s="577"/>
      <c r="J70" s="577"/>
      <c r="K70" s="578">
        <f t="shared" si="8"/>
        <v>0</v>
      </c>
      <c r="L70" s="576">
        <f t="shared" si="9"/>
        <v>0</v>
      </c>
      <c r="M70" s="577">
        <f t="shared" si="10"/>
        <v>0</v>
      </c>
      <c r="N70" s="577">
        <f t="shared" si="11"/>
        <v>0</v>
      </c>
      <c r="O70" s="577">
        <f t="shared" si="12"/>
        <v>0</v>
      </c>
      <c r="P70" s="578">
        <f t="shared" si="13"/>
        <v>0</v>
      </c>
    </row>
    <row r="71" spans="1:16" ht="22.5" x14ac:dyDescent="0.2">
      <c r="A71" s="141">
        <f>IF(COUNTBLANK(B71)=1," ",COUNTA(B$14:B71))</f>
        <v>54</v>
      </c>
      <c r="B71" s="317" t="s">
        <v>86</v>
      </c>
      <c r="C71" s="343" t="s">
        <v>473</v>
      </c>
      <c r="D71" s="341" t="s">
        <v>56</v>
      </c>
      <c r="E71" s="342">
        <v>8.3000000000000007</v>
      </c>
      <c r="F71" s="576"/>
      <c r="G71" s="577"/>
      <c r="H71" s="572">
        <f t="shared" si="7"/>
        <v>0</v>
      </c>
      <c r="I71" s="577"/>
      <c r="J71" s="577"/>
      <c r="K71" s="573">
        <f t="shared" si="8"/>
        <v>0</v>
      </c>
      <c r="L71" s="574">
        <f t="shared" si="9"/>
        <v>0</v>
      </c>
      <c r="M71" s="572">
        <f t="shared" si="10"/>
        <v>0</v>
      </c>
      <c r="N71" s="572">
        <f t="shared" si="11"/>
        <v>0</v>
      </c>
      <c r="O71" s="572">
        <f t="shared" si="12"/>
        <v>0</v>
      </c>
      <c r="P71" s="573">
        <f t="shared" si="13"/>
        <v>0</v>
      </c>
    </row>
    <row r="72" spans="1:16" ht="22.5" x14ac:dyDescent="0.2">
      <c r="A72" s="141">
        <f>IF(COUNTBLANK(B72)=1," ",COUNTA(B$14:B72))</f>
        <v>55</v>
      </c>
      <c r="B72" s="317" t="s">
        <v>86</v>
      </c>
      <c r="C72" s="325" t="s">
        <v>200</v>
      </c>
      <c r="D72" s="341" t="s">
        <v>56</v>
      </c>
      <c r="E72" s="342">
        <f>E71</f>
        <v>8.3000000000000007</v>
      </c>
      <c r="F72" s="576"/>
      <c r="G72" s="577"/>
      <c r="H72" s="577">
        <f t="shared" si="7"/>
        <v>0</v>
      </c>
      <c r="I72" s="577"/>
      <c r="J72" s="577"/>
      <c r="K72" s="578">
        <f t="shared" si="8"/>
        <v>0</v>
      </c>
      <c r="L72" s="576">
        <f t="shared" si="9"/>
        <v>0</v>
      </c>
      <c r="M72" s="577">
        <f t="shared" si="10"/>
        <v>0</v>
      </c>
      <c r="N72" s="577">
        <f t="shared" si="11"/>
        <v>0</v>
      </c>
      <c r="O72" s="577">
        <f t="shared" si="12"/>
        <v>0</v>
      </c>
      <c r="P72" s="578">
        <f t="shared" si="13"/>
        <v>0</v>
      </c>
    </row>
    <row r="73" spans="1:16" ht="22.5" x14ac:dyDescent="0.2">
      <c r="A73" s="141">
        <f>IF(COUNTBLANK(B73)=1," ",COUNTA(B$14:B73))</f>
        <v>56</v>
      </c>
      <c r="B73" s="317" t="s">
        <v>86</v>
      </c>
      <c r="C73" s="364" t="s">
        <v>618</v>
      </c>
      <c r="D73" s="341" t="s">
        <v>90</v>
      </c>
      <c r="E73" s="330">
        <f>E72*1.7</f>
        <v>14.110000000000001</v>
      </c>
      <c r="F73" s="576"/>
      <c r="G73" s="577"/>
      <c r="H73" s="572">
        <f t="shared" si="7"/>
        <v>0</v>
      </c>
      <c r="I73" s="577"/>
      <c r="J73" s="577"/>
      <c r="K73" s="573">
        <f t="shared" si="8"/>
        <v>0</v>
      </c>
      <c r="L73" s="574">
        <f t="shared" si="9"/>
        <v>0</v>
      </c>
      <c r="M73" s="572">
        <f t="shared" si="10"/>
        <v>0</v>
      </c>
      <c r="N73" s="572">
        <f t="shared" si="11"/>
        <v>0</v>
      </c>
      <c r="O73" s="572">
        <f t="shared" si="12"/>
        <v>0</v>
      </c>
      <c r="P73" s="573">
        <f t="shared" si="13"/>
        <v>0</v>
      </c>
    </row>
    <row r="74" spans="1:16" x14ac:dyDescent="0.2">
      <c r="A74" s="141">
        <f>IF(COUNTBLANK(B74)=1," ",COUNTA(B$14:B74))</f>
        <v>57</v>
      </c>
      <c r="B74" s="317" t="s">
        <v>86</v>
      </c>
      <c r="C74" s="325" t="s">
        <v>201</v>
      </c>
      <c r="D74" s="341" t="s">
        <v>56</v>
      </c>
      <c r="E74" s="342">
        <f>E71</f>
        <v>8.3000000000000007</v>
      </c>
      <c r="F74" s="576"/>
      <c r="G74" s="577"/>
      <c r="H74" s="577">
        <f t="shared" si="7"/>
        <v>0</v>
      </c>
      <c r="I74" s="577"/>
      <c r="J74" s="577"/>
      <c r="K74" s="578">
        <f t="shared" si="8"/>
        <v>0</v>
      </c>
      <c r="L74" s="576">
        <f t="shared" si="9"/>
        <v>0</v>
      </c>
      <c r="M74" s="577">
        <f t="shared" si="10"/>
        <v>0</v>
      </c>
      <c r="N74" s="577">
        <f t="shared" si="11"/>
        <v>0</v>
      </c>
      <c r="O74" s="577">
        <f t="shared" si="12"/>
        <v>0</v>
      </c>
      <c r="P74" s="578">
        <f t="shared" si="13"/>
        <v>0</v>
      </c>
    </row>
    <row r="75" spans="1:16" ht="33.75" x14ac:dyDescent="0.2">
      <c r="A75" s="141">
        <f>IF(COUNTBLANK(B75)=1," ",COUNTA(B$14:B75))</f>
        <v>58</v>
      </c>
      <c r="B75" s="317" t="s">
        <v>86</v>
      </c>
      <c r="C75" s="325" t="s">
        <v>623</v>
      </c>
      <c r="D75" s="341" t="s">
        <v>56</v>
      </c>
      <c r="E75" s="342">
        <f>E71</f>
        <v>8.3000000000000007</v>
      </c>
      <c r="F75" s="576"/>
      <c r="G75" s="577"/>
      <c r="H75" s="572">
        <f t="shared" si="7"/>
        <v>0</v>
      </c>
      <c r="I75" s="577"/>
      <c r="J75" s="577"/>
      <c r="K75" s="573">
        <f t="shared" si="8"/>
        <v>0</v>
      </c>
      <c r="L75" s="574">
        <f t="shared" si="9"/>
        <v>0</v>
      </c>
      <c r="M75" s="572">
        <f t="shared" si="10"/>
        <v>0</v>
      </c>
      <c r="N75" s="572">
        <f t="shared" si="11"/>
        <v>0</v>
      </c>
      <c r="O75" s="572">
        <f t="shared" si="12"/>
        <v>0</v>
      </c>
      <c r="P75" s="573">
        <f t="shared" si="13"/>
        <v>0</v>
      </c>
    </row>
    <row r="76" spans="1:16" ht="22.5" x14ac:dyDescent="0.2">
      <c r="A76" s="141">
        <f>IF(COUNTBLANK(B76)=1," ",COUNTA(B$14:B76))</f>
        <v>59</v>
      </c>
      <c r="B76" s="317" t="s">
        <v>86</v>
      </c>
      <c r="C76" s="364" t="s">
        <v>624</v>
      </c>
      <c r="D76" s="341" t="s">
        <v>90</v>
      </c>
      <c r="E76" s="330">
        <f>E75*2</f>
        <v>16.600000000000001</v>
      </c>
      <c r="F76" s="576"/>
      <c r="G76" s="577"/>
      <c r="H76" s="577">
        <f t="shared" si="7"/>
        <v>0</v>
      </c>
      <c r="I76" s="577"/>
      <c r="J76" s="577"/>
      <c r="K76" s="578">
        <f t="shared" si="8"/>
        <v>0</v>
      </c>
      <c r="L76" s="576">
        <f t="shared" si="9"/>
        <v>0</v>
      </c>
      <c r="M76" s="577">
        <f t="shared" si="10"/>
        <v>0</v>
      </c>
      <c r="N76" s="577">
        <f t="shared" si="11"/>
        <v>0</v>
      </c>
      <c r="O76" s="577">
        <f t="shared" si="12"/>
        <v>0</v>
      </c>
      <c r="P76" s="578">
        <f t="shared" si="13"/>
        <v>0</v>
      </c>
    </row>
    <row r="77" spans="1:16" ht="22.5" x14ac:dyDescent="0.2">
      <c r="A77" s="141">
        <f>IF(COUNTBLANK(B77)=1," ",COUNTA(B$14:B77))</f>
        <v>60</v>
      </c>
      <c r="B77" s="321" t="s">
        <v>86</v>
      </c>
      <c r="C77" s="325" t="s">
        <v>202</v>
      </c>
      <c r="D77" s="341" t="s">
        <v>56</v>
      </c>
      <c r="E77" s="342">
        <f>E71</f>
        <v>8.3000000000000007</v>
      </c>
      <c r="F77" s="576"/>
      <c r="G77" s="577"/>
      <c r="H77" s="572">
        <f t="shared" si="7"/>
        <v>0</v>
      </c>
      <c r="I77" s="577"/>
      <c r="J77" s="577"/>
      <c r="K77" s="573">
        <f t="shared" si="8"/>
        <v>0</v>
      </c>
      <c r="L77" s="574">
        <f t="shared" si="9"/>
        <v>0</v>
      </c>
      <c r="M77" s="572">
        <f t="shared" si="10"/>
        <v>0</v>
      </c>
      <c r="N77" s="572">
        <f t="shared" si="11"/>
        <v>0</v>
      </c>
      <c r="O77" s="572">
        <f t="shared" si="12"/>
        <v>0</v>
      </c>
      <c r="P77" s="573">
        <f t="shared" si="13"/>
        <v>0</v>
      </c>
    </row>
    <row r="78" spans="1:16" ht="33.75" x14ac:dyDescent="0.2">
      <c r="A78" s="141">
        <f>IF(COUNTBLANK(B78)=1," ",COUNTA(B$14:B78))</f>
        <v>61</v>
      </c>
      <c r="B78" s="321" t="s">
        <v>86</v>
      </c>
      <c r="C78" s="325" t="s">
        <v>203</v>
      </c>
      <c r="D78" s="341" t="s">
        <v>56</v>
      </c>
      <c r="E78" s="342">
        <f>E77</f>
        <v>8.3000000000000007</v>
      </c>
      <c r="F78" s="576"/>
      <c r="G78" s="577"/>
      <c r="H78" s="577">
        <f t="shared" si="7"/>
        <v>0</v>
      </c>
      <c r="I78" s="577"/>
      <c r="J78" s="577"/>
      <c r="K78" s="578">
        <f t="shared" si="8"/>
        <v>0</v>
      </c>
      <c r="L78" s="576">
        <f t="shared" si="9"/>
        <v>0</v>
      </c>
      <c r="M78" s="577">
        <f t="shared" si="10"/>
        <v>0</v>
      </c>
      <c r="N78" s="577">
        <f t="shared" si="11"/>
        <v>0</v>
      </c>
      <c r="O78" s="577">
        <f t="shared" si="12"/>
        <v>0</v>
      </c>
      <c r="P78" s="578">
        <f t="shared" si="13"/>
        <v>0</v>
      </c>
    </row>
    <row r="79" spans="1:16" x14ac:dyDescent="0.2">
      <c r="A79" s="141">
        <f>IF(COUNTBLANK(B79)=1," ",COUNTA(B$14:B79))</f>
        <v>62</v>
      </c>
      <c r="B79" s="321" t="s">
        <v>86</v>
      </c>
      <c r="C79" s="318" t="s">
        <v>486</v>
      </c>
      <c r="D79" s="138"/>
      <c r="E79" s="344"/>
      <c r="F79" s="576"/>
      <c r="G79" s="577"/>
      <c r="H79" s="572">
        <f t="shared" si="7"/>
        <v>0</v>
      </c>
      <c r="I79" s="577"/>
      <c r="J79" s="577"/>
      <c r="K79" s="573">
        <f t="shared" si="8"/>
        <v>0</v>
      </c>
      <c r="L79" s="574">
        <f t="shared" si="9"/>
        <v>0</v>
      </c>
      <c r="M79" s="572">
        <f t="shared" si="10"/>
        <v>0</v>
      </c>
      <c r="N79" s="572">
        <f t="shared" si="11"/>
        <v>0</v>
      </c>
      <c r="O79" s="572">
        <f t="shared" si="12"/>
        <v>0</v>
      </c>
      <c r="P79" s="573">
        <f t="shared" si="13"/>
        <v>0</v>
      </c>
    </row>
    <row r="80" spans="1:16" ht="33.75" x14ac:dyDescent="0.2">
      <c r="A80" s="141">
        <f>IF(COUNTBLANK(B80)=1," ",COUNTA(B$14:B80))</f>
        <v>63</v>
      </c>
      <c r="B80" s="321" t="s">
        <v>86</v>
      </c>
      <c r="C80" s="325" t="s">
        <v>625</v>
      </c>
      <c r="D80" s="341" t="s">
        <v>88</v>
      </c>
      <c r="E80" s="342">
        <v>10.65</v>
      </c>
      <c r="F80" s="576"/>
      <c r="G80" s="577"/>
      <c r="H80" s="577">
        <f t="shared" si="7"/>
        <v>0</v>
      </c>
      <c r="I80" s="577"/>
      <c r="J80" s="577"/>
      <c r="K80" s="578">
        <f t="shared" si="8"/>
        <v>0</v>
      </c>
      <c r="L80" s="576">
        <f t="shared" si="9"/>
        <v>0</v>
      </c>
      <c r="M80" s="577">
        <f t="shared" si="10"/>
        <v>0</v>
      </c>
      <c r="N80" s="577">
        <f t="shared" si="11"/>
        <v>0</v>
      </c>
      <c r="O80" s="577">
        <f t="shared" si="12"/>
        <v>0</v>
      </c>
      <c r="P80" s="578">
        <f t="shared" si="13"/>
        <v>0</v>
      </c>
    </row>
    <row r="81" spans="1:16" ht="33.75" x14ac:dyDescent="0.2">
      <c r="A81" s="141">
        <f>IF(COUNTBLANK(B81)=1," ",COUNTA(B$14:B81))</f>
        <v>64</v>
      </c>
      <c r="B81" s="321" t="s">
        <v>86</v>
      </c>
      <c r="C81" s="325" t="s">
        <v>488</v>
      </c>
      <c r="D81" s="341" t="s">
        <v>88</v>
      </c>
      <c r="E81" s="342">
        <f>E80</f>
        <v>10.65</v>
      </c>
      <c r="F81" s="576"/>
      <c r="G81" s="577"/>
      <c r="H81" s="572">
        <f t="shared" ref="H81:H93" si="14">ROUND(F81*G81,2)</f>
        <v>0</v>
      </c>
      <c r="I81" s="577"/>
      <c r="J81" s="577"/>
      <c r="K81" s="573">
        <f t="shared" ref="K81:K93" si="15">SUM(H81:J81)</f>
        <v>0</v>
      </c>
      <c r="L81" s="574">
        <f t="shared" ref="L81:L93" si="16">ROUND(E81*F81,2)</f>
        <v>0</v>
      </c>
      <c r="M81" s="572">
        <f t="shared" ref="M81:M93" si="17">ROUND(H81*E81,2)</f>
        <v>0</v>
      </c>
      <c r="N81" s="572">
        <f t="shared" ref="N81:N93" si="18">ROUND(I81*E81,2)</f>
        <v>0</v>
      </c>
      <c r="O81" s="572">
        <f t="shared" ref="O81:O93" si="19">ROUND(J81*E81,2)</f>
        <v>0</v>
      </c>
      <c r="P81" s="573">
        <f t="shared" ref="P81:P93" si="20">SUM(M81:O81)</f>
        <v>0</v>
      </c>
    </row>
    <row r="82" spans="1:16" ht="22.5" x14ac:dyDescent="0.2">
      <c r="A82" s="141">
        <f>IF(COUNTBLANK(B82)=1," ",COUNTA(B$14:B82))</f>
        <v>65</v>
      </c>
      <c r="B82" s="321" t="s">
        <v>86</v>
      </c>
      <c r="C82" s="325" t="s">
        <v>207</v>
      </c>
      <c r="D82" s="341" t="s">
        <v>88</v>
      </c>
      <c r="E82" s="342">
        <v>6.3</v>
      </c>
      <c r="F82" s="576"/>
      <c r="G82" s="577"/>
      <c r="H82" s="577">
        <f t="shared" si="14"/>
        <v>0</v>
      </c>
      <c r="I82" s="577"/>
      <c r="J82" s="577"/>
      <c r="K82" s="578">
        <f t="shared" si="15"/>
        <v>0</v>
      </c>
      <c r="L82" s="576">
        <f t="shared" si="16"/>
        <v>0</v>
      </c>
      <c r="M82" s="577">
        <f t="shared" si="17"/>
        <v>0</v>
      </c>
      <c r="N82" s="577">
        <f t="shared" si="18"/>
        <v>0</v>
      </c>
      <c r="O82" s="577">
        <f t="shared" si="19"/>
        <v>0</v>
      </c>
      <c r="P82" s="578">
        <f t="shared" si="20"/>
        <v>0</v>
      </c>
    </row>
    <row r="83" spans="1:16" x14ac:dyDescent="0.2">
      <c r="A83" s="141">
        <f>IF(COUNTBLANK(B83)=1," ",COUNTA(B$14:B83))</f>
        <v>66</v>
      </c>
      <c r="B83" s="321" t="s">
        <v>86</v>
      </c>
      <c r="C83" s="348" t="s">
        <v>208</v>
      </c>
      <c r="D83" s="349" t="s">
        <v>88</v>
      </c>
      <c r="E83" s="350">
        <v>6.3</v>
      </c>
      <c r="F83" s="576"/>
      <c r="G83" s="577"/>
      <c r="H83" s="572">
        <f t="shared" si="14"/>
        <v>0</v>
      </c>
      <c r="I83" s="577"/>
      <c r="J83" s="577"/>
      <c r="K83" s="573">
        <f t="shared" si="15"/>
        <v>0</v>
      </c>
      <c r="L83" s="574">
        <f t="shared" si="16"/>
        <v>0</v>
      </c>
      <c r="M83" s="572">
        <f t="shared" si="17"/>
        <v>0</v>
      </c>
      <c r="N83" s="572">
        <f t="shared" si="18"/>
        <v>0</v>
      </c>
      <c r="O83" s="572">
        <f t="shared" si="19"/>
        <v>0</v>
      </c>
      <c r="P83" s="573">
        <f t="shared" si="20"/>
        <v>0</v>
      </c>
    </row>
    <row r="84" spans="1:16" x14ac:dyDescent="0.2">
      <c r="A84" s="141">
        <f>IF(COUNTBLANK(B84)=1," ",COUNTA(B$14:B84))</f>
        <v>67</v>
      </c>
      <c r="B84" s="321" t="s">
        <v>86</v>
      </c>
      <c r="C84" s="348" t="s">
        <v>209</v>
      </c>
      <c r="D84" s="349" t="s">
        <v>82</v>
      </c>
      <c r="E84" s="350">
        <f>E83/0.4</f>
        <v>15.749999999999998</v>
      </c>
      <c r="F84" s="576"/>
      <c r="G84" s="577"/>
      <c r="H84" s="577">
        <f t="shared" si="14"/>
        <v>0</v>
      </c>
      <c r="I84" s="577"/>
      <c r="J84" s="577"/>
      <c r="K84" s="578">
        <f t="shared" si="15"/>
        <v>0</v>
      </c>
      <c r="L84" s="576">
        <f t="shared" si="16"/>
        <v>0</v>
      </c>
      <c r="M84" s="577">
        <f t="shared" si="17"/>
        <v>0</v>
      </c>
      <c r="N84" s="577">
        <f t="shared" si="18"/>
        <v>0</v>
      </c>
      <c r="O84" s="577">
        <f t="shared" si="19"/>
        <v>0</v>
      </c>
      <c r="P84" s="578">
        <f t="shared" si="20"/>
        <v>0</v>
      </c>
    </row>
    <row r="85" spans="1:16" x14ac:dyDescent="0.2">
      <c r="A85" s="141">
        <f>IF(COUNTBLANK(B85)=1," ",COUNTA(B$14:B85))</f>
        <v>68</v>
      </c>
      <c r="B85" s="321" t="s">
        <v>86</v>
      </c>
      <c r="C85" s="348" t="s">
        <v>210</v>
      </c>
      <c r="D85" s="349" t="s">
        <v>82</v>
      </c>
      <c r="E85" s="350">
        <v>1</v>
      </c>
      <c r="F85" s="576"/>
      <c r="G85" s="577"/>
      <c r="H85" s="572">
        <f t="shared" si="14"/>
        <v>0</v>
      </c>
      <c r="I85" s="577"/>
      <c r="J85" s="577"/>
      <c r="K85" s="573">
        <f t="shared" si="15"/>
        <v>0</v>
      </c>
      <c r="L85" s="574">
        <f t="shared" si="16"/>
        <v>0</v>
      </c>
      <c r="M85" s="572">
        <f t="shared" si="17"/>
        <v>0</v>
      </c>
      <c r="N85" s="572">
        <f t="shared" si="18"/>
        <v>0</v>
      </c>
      <c r="O85" s="572">
        <f t="shared" si="19"/>
        <v>0</v>
      </c>
      <c r="P85" s="573">
        <f t="shared" si="20"/>
        <v>0</v>
      </c>
    </row>
    <row r="86" spans="1:16" x14ac:dyDescent="0.2">
      <c r="A86" s="141">
        <f>IF(COUNTBLANK(B86)=1," ",COUNTA(B$14:B86))</f>
        <v>69</v>
      </c>
      <c r="B86" s="321" t="s">
        <v>86</v>
      </c>
      <c r="C86" s="348" t="s">
        <v>211</v>
      </c>
      <c r="D86" s="349" t="s">
        <v>82</v>
      </c>
      <c r="E86" s="350">
        <f>E84*4</f>
        <v>62.999999999999993</v>
      </c>
      <c r="F86" s="576"/>
      <c r="G86" s="577"/>
      <c r="H86" s="577">
        <f t="shared" si="14"/>
        <v>0</v>
      </c>
      <c r="I86" s="577"/>
      <c r="J86" s="577"/>
      <c r="K86" s="578">
        <f t="shared" si="15"/>
        <v>0</v>
      </c>
      <c r="L86" s="576">
        <f t="shared" si="16"/>
        <v>0</v>
      </c>
      <c r="M86" s="577">
        <f t="shared" si="17"/>
        <v>0</v>
      </c>
      <c r="N86" s="577">
        <f t="shared" si="18"/>
        <v>0</v>
      </c>
      <c r="O86" s="577">
        <f t="shared" si="19"/>
        <v>0</v>
      </c>
      <c r="P86" s="578">
        <f t="shared" si="20"/>
        <v>0</v>
      </c>
    </row>
    <row r="87" spans="1:16" x14ac:dyDescent="0.2">
      <c r="A87" s="141">
        <f>IF(COUNTBLANK(B87)=1," ",COUNTA(B$14:B87))</f>
        <v>70</v>
      </c>
      <c r="B87" s="321" t="s">
        <v>86</v>
      </c>
      <c r="C87" s="348" t="s">
        <v>212</v>
      </c>
      <c r="D87" s="349" t="s">
        <v>82</v>
      </c>
      <c r="E87" s="350">
        <v>2</v>
      </c>
      <c r="F87" s="576"/>
      <c r="G87" s="577"/>
      <c r="H87" s="572">
        <f t="shared" si="14"/>
        <v>0</v>
      </c>
      <c r="I87" s="577"/>
      <c r="J87" s="577"/>
      <c r="K87" s="573">
        <f t="shared" si="15"/>
        <v>0</v>
      </c>
      <c r="L87" s="574">
        <f t="shared" si="16"/>
        <v>0</v>
      </c>
      <c r="M87" s="572">
        <f t="shared" si="17"/>
        <v>0</v>
      </c>
      <c r="N87" s="572">
        <f t="shared" si="18"/>
        <v>0</v>
      </c>
      <c r="O87" s="572">
        <f t="shared" si="19"/>
        <v>0</v>
      </c>
      <c r="P87" s="573">
        <f t="shared" si="20"/>
        <v>0</v>
      </c>
    </row>
    <row r="88" spans="1:16" x14ac:dyDescent="0.2">
      <c r="A88" s="141">
        <f>IF(COUNTBLANK(B88)=1," ",COUNTA(B$14:B88))</f>
        <v>71</v>
      </c>
      <c r="B88" s="321" t="s">
        <v>86</v>
      </c>
      <c r="C88" s="348" t="s">
        <v>213</v>
      </c>
      <c r="D88" s="349" t="s">
        <v>82</v>
      </c>
      <c r="E88" s="350">
        <f>E83*4</f>
        <v>25.2</v>
      </c>
      <c r="F88" s="576"/>
      <c r="G88" s="577"/>
      <c r="H88" s="577">
        <f t="shared" si="14"/>
        <v>0</v>
      </c>
      <c r="I88" s="577"/>
      <c r="J88" s="577"/>
      <c r="K88" s="578">
        <f t="shared" si="15"/>
        <v>0</v>
      </c>
      <c r="L88" s="576">
        <f t="shared" si="16"/>
        <v>0</v>
      </c>
      <c r="M88" s="577">
        <f t="shared" si="17"/>
        <v>0</v>
      </c>
      <c r="N88" s="577">
        <f t="shared" si="18"/>
        <v>0</v>
      </c>
      <c r="O88" s="577">
        <f t="shared" si="19"/>
        <v>0</v>
      </c>
      <c r="P88" s="578">
        <f t="shared" si="20"/>
        <v>0</v>
      </c>
    </row>
    <row r="89" spans="1:16" x14ac:dyDescent="0.2">
      <c r="A89" s="141">
        <f>IF(COUNTBLANK(B89)=1," ",COUNTA(B$14:B89))</f>
        <v>72</v>
      </c>
      <c r="B89" s="321" t="s">
        <v>86</v>
      </c>
      <c r="C89" s="325" t="s">
        <v>214</v>
      </c>
      <c r="D89" s="341" t="s">
        <v>88</v>
      </c>
      <c r="E89" s="342">
        <v>2.7</v>
      </c>
      <c r="F89" s="576"/>
      <c r="G89" s="577"/>
      <c r="H89" s="572">
        <f t="shared" si="14"/>
        <v>0</v>
      </c>
      <c r="I89" s="577"/>
      <c r="J89" s="577"/>
      <c r="K89" s="573">
        <f t="shared" si="15"/>
        <v>0</v>
      </c>
      <c r="L89" s="574">
        <f t="shared" si="16"/>
        <v>0</v>
      </c>
      <c r="M89" s="572">
        <f t="shared" si="17"/>
        <v>0</v>
      </c>
      <c r="N89" s="572">
        <f t="shared" si="18"/>
        <v>0</v>
      </c>
      <c r="O89" s="572">
        <f t="shared" si="19"/>
        <v>0</v>
      </c>
      <c r="P89" s="573">
        <f t="shared" si="20"/>
        <v>0</v>
      </c>
    </row>
    <row r="90" spans="1:16" x14ac:dyDescent="0.2">
      <c r="A90" s="141">
        <f>IF(COUNTBLANK(B90)=1," ",COUNTA(B$14:B90))</f>
        <v>73</v>
      </c>
      <c r="B90" s="321" t="s">
        <v>86</v>
      </c>
      <c r="C90" s="348" t="s">
        <v>215</v>
      </c>
      <c r="D90" s="349" t="s">
        <v>88</v>
      </c>
      <c r="E90" s="351">
        <f>E89</f>
        <v>2.7</v>
      </c>
      <c r="F90" s="576"/>
      <c r="G90" s="577"/>
      <c r="H90" s="577">
        <f t="shared" si="14"/>
        <v>0</v>
      </c>
      <c r="I90" s="577"/>
      <c r="J90" s="577"/>
      <c r="K90" s="578">
        <f t="shared" si="15"/>
        <v>0</v>
      </c>
      <c r="L90" s="576">
        <f t="shared" si="16"/>
        <v>0</v>
      </c>
      <c r="M90" s="577">
        <f t="shared" si="17"/>
        <v>0</v>
      </c>
      <c r="N90" s="577">
        <f t="shared" si="18"/>
        <v>0</v>
      </c>
      <c r="O90" s="577">
        <f t="shared" si="19"/>
        <v>0</v>
      </c>
      <c r="P90" s="578">
        <f t="shared" si="20"/>
        <v>0</v>
      </c>
    </row>
    <row r="91" spans="1:16" x14ac:dyDescent="0.2">
      <c r="A91" s="141">
        <f>IF(COUNTBLANK(B91)=1," ",COUNTA(B$14:B91))</f>
        <v>74</v>
      </c>
      <c r="B91" s="321" t="s">
        <v>86</v>
      </c>
      <c r="C91" s="348" t="s">
        <v>216</v>
      </c>
      <c r="D91" s="349" t="s">
        <v>82</v>
      </c>
      <c r="E91" s="350">
        <f>E89/0.5</f>
        <v>5.4</v>
      </c>
      <c r="F91" s="576"/>
      <c r="G91" s="577"/>
      <c r="H91" s="572">
        <f t="shared" si="14"/>
        <v>0</v>
      </c>
      <c r="I91" s="577"/>
      <c r="J91" s="577"/>
      <c r="K91" s="573">
        <f t="shared" si="15"/>
        <v>0</v>
      </c>
      <c r="L91" s="574">
        <f t="shared" si="16"/>
        <v>0</v>
      </c>
      <c r="M91" s="572">
        <f t="shared" si="17"/>
        <v>0</v>
      </c>
      <c r="N91" s="572">
        <f t="shared" si="18"/>
        <v>0</v>
      </c>
      <c r="O91" s="572">
        <f t="shared" si="19"/>
        <v>0</v>
      </c>
      <c r="P91" s="573">
        <f t="shared" si="20"/>
        <v>0</v>
      </c>
    </row>
    <row r="92" spans="1:16" x14ac:dyDescent="0.2">
      <c r="A92" s="141">
        <f>IF(COUNTBLANK(B92)=1," ",COUNTA(B$14:B92))</f>
        <v>75</v>
      </c>
      <c r="B92" s="321" t="s">
        <v>86</v>
      </c>
      <c r="C92" s="348" t="s">
        <v>217</v>
      </c>
      <c r="D92" s="349" t="s">
        <v>82</v>
      </c>
      <c r="E92" s="350">
        <v>1</v>
      </c>
      <c r="F92" s="576"/>
      <c r="G92" s="577"/>
      <c r="H92" s="577">
        <f t="shared" si="14"/>
        <v>0</v>
      </c>
      <c r="I92" s="577"/>
      <c r="J92" s="577"/>
      <c r="K92" s="578">
        <f t="shared" si="15"/>
        <v>0</v>
      </c>
      <c r="L92" s="576">
        <f t="shared" si="16"/>
        <v>0</v>
      </c>
      <c r="M92" s="577">
        <f t="shared" si="17"/>
        <v>0</v>
      </c>
      <c r="N92" s="577">
        <f t="shared" si="18"/>
        <v>0</v>
      </c>
      <c r="O92" s="577">
        <f t="shared" si="19"/>
        <v>0</v>
      </c>
      <c r="P92" s="578">
        <f t="shared" si="20"/>
        <v>0</v>
      </c>
    </row>
    <row r="93" spans="1:16" ht="12" thickBot="1" x14ac:dyDescent="0.25">
      <c r="A93" s="141">
        <f>IF(COUNTBLANK(B93)=1," ",COUNTA(B$14:B93))</f>
        <v>76</v>
      </c>
      <c r="B93" s="321" t="s">
        <v>86</v>
      </c>
      <c r="C93" s="348" t="s">
        <v>218</v>
      </c>
      <c r="D93" s="349" t="s">
        <v>82</v>
      </c>
      <c r="E93" s="350">
        <v>1</v>
      </c>
      <c r="F93" s="576"/>
      <c r="G93" s="577"/>
      <c r="H93" s="572">
        <f t="shared" si="14"/>
        <v>0</v>
      </c>
      <c r="I93" s="577"/>
      <c r="J93" s="577"/>
      <c r="K93" s="573">
        <f t="shared" si="15"/>
        <v>0</v>
      </c>
      <c r="L93" s="574">
        <f t="shared" si="16"/>
        <v>0</v>
      </c>
      <c r="M93" s="572">
        <f t="shared" si="17"/>
        <v>0</v>
      </c>
      <c r="N93" s="572">
        <f t="shared" si="18"/>
        <v>0</v>
      </c>
      <c r="O93" s="572">
        <f t="shared" si="19"/>
        <v>0</v>
      </c>
      <c r="P93" s="573">
        <f t="shared" si="20"/>
        <v>0</v>
      </c>
    </row>
    <row r="94" spans="1:16" ht="12" thickBot="1" x14ac:dyDescent="0.25">
      <c r="A94" s="656" t="s">
        <v>612</v>
      </c>
      <c r="B94" s="656"/>
      <c r="C94" s="656"/>
      <c r="D94" s="656"/>
      <c r="E94" s="656"/>
      <c r="F94" s="656"/>
      <c r="G94" s="656"/>
      <c r="H94" s="656"/>
      <c r="I94" s="656"/>
      <c r="J94" s="656"/>
      <c r="K94" s="656"/>
      <c r="L94" s="582">
        <f>SUM(L14:L93)</f>
        <v>0</v>
      </c>
      <c r="M94" s="582">
        <f t="shared" ref="M94:P94" si="21">SUM(M14:M93)</f>
        <v>0</v>
      </c>
      <c r="N94" s="582">
        <f t="shared" si="21"/>
        <v>0</v>
      </c>
      <c r="O94" s="582">
        <f t="shared" si="21"/>
        <v>0</v>
      </c>
      <c r="P94" s="582">
        <f t="shared" si="21"/>
        <v>0</v>
      </c>
    </row>
    <row r="95" spans="1:16" x14ac:dyDescent="0.2">
      <c r="A95" s="202"/>
      <c r="B95" s="202"/>
      <c r="C95" s="202"/>
      <c r="D95" s="202"/>
      <c r="E95" s="202"/>
      <c r="F95" s="202"/>
      <c r="G95" s="202"/>
      <c r="H95" s="202"/>
      <c r="I95" s="202"/>
      <c r="J95" s="202"/>
      <c r="K95" s="202"/>
      <c r="L95" s="202"/>
      <c r="M95" s="202"/>
      <c r="N95" s="202"/>
      <c r="O95" s="202"/>
      <c r="P95" s="202"/>
    </row>
    <row r="96" spans="1:16" x14ac:dyDescent="0.2">
      <c r="A96" s="202"/>
      <c r="B96" s="202"/>
      <c r="C96" s="202"/>
      <c r="D96" s="202"/>
      <c r="E96" s="202"/>
      <c r="F96" s="202"/>
      <c r="G96" s="202"/>
      <c r="H96" s="202"/>
      <c r="I96" s="202"/>
      <c r="J96" s="202"/>
      <c r="K96" s="202"/>
      <c r="L96" s="202"/>
      <c r="M96" s="202"/>
      <c r="N96" s="202"/>
      <c r="O96" s="202"/>
      <c r="P96" s="202"/>
    </row>
    <row r="97" spans="1:16" x14ac:dyDescent="0.2">
      <c r="A97" s="159" t="s">
        <v>14</v>
      </c>
      <c r="B97" s="202"/>
      <c r="C97" s="671">
        <f>'Kops a'!C36:H36</f>
        <v>0</v>
      </c>
      <c r="D97" s="671"/>
      <c r="E97" s="671"/>
      <c r="F97" s="671"/>
      <c r="G97" s="671"/>
      <c r="H97" s="671"/>
      <c r="I97" s="202"/>
      <c r="J97" s="202"/>
      <c r="K97" s="202"/>
      <c r="L97" s="202"/>
      <c r="M97" s="202"/>
      <c r="N97" s="202"/>
      <c r="O97" s="202"/>
      <c r="P97" s="202"/>
    </row>
    <row r="98" spans="1:16" x14ac:dyDescent="0.2">
      <c r="A98" s="202"/>
      <c r="B98" s="202"/>
      <c r="C98" s="590" t="s">
        <v>15</v>
      </c>
      <c r="D98" s="590"/>
      <c r="E98" s="590"/>
      <c r="F98" s="590"/>
      <c r="G98" s="590"/>
      <c r="H98" s="590"/>
      <c r="I98" s="202"/>
      <c r="J98" s="202"/>
      <c r="K98" s="202"/>
      <c r="L98" s="202"/>
      <c r="M98" s="202"/>
      <c r="N98" s="202"/>
      <c r="O98" s="202"/>
      <c r="P98" s="202"/>
    </row>
    <row r="99" spans="1:16" x14ac:dyDescent="0.2">
      <c r="A99" s="202"/>
      <c r="B99" s="202"/>
      <c r="C99" s="202"/>
      <c r="D99" s="202"/>
      <c r="E99" s="202"/>
      <c r="F99" s="202"/>
      <c r="G99" s="202"/>
      <c r="H99" s="202"/>
      <c r="I99" s="202"/>
      <c r="J99" s="202"/>
      <c r="K99" s="202"/>
      <c r="L99" s="202"/>
      <c r="M99" s="202"/>
      <c r="N99" s="202"/>
      <c r="O99" s="202"/>
      <c r="P99" s="202"/>
    </row>
    <row r="100" spans="1:16" x14ac:dyDescent="0.2">
      <c r="A100" s="203" t="str">
        <f>'Kops a'!A39</f>
        <v>Tāme sastādīta 2021. gada</v>
      </c>
      <c r="B100" s="204"/>
      <c r="C100" s="204"/>
      <c r="D100" s="204"/>
      <c r="E100" s="202"/>
      <c r="F100" s="202"/>
      <c r="G100" s="202"/>
      <c r="H100" s="202"/>
      <c r="I100" s="202"/>
      <c r="J100" s="202"/>
      <c r="K100" s="202"/>
      <c r="L100" s="202"/>
      <c r="M100" s="202"/>
      <c r="N100" s="202"/>
      <c r="O100" s="202"/>
      <c r="P100" s="202"/>
    </row>
    <row r="101" spans="1:16" x14ac:dyDescent="0.2">
      <c r="A101" s="202"/>
      <c r="B101" s="202"/>
      <c r="C101" s="202"/>
      <c r="D101" s="202"/>
      <c r="E101" s="202"/>
      <c r="F101" s="202"/>
      <c r="G101" s="202"/>
      <c r="H101" s="202"/>
      <c r="I101" s="202"/>
      <c r="J101" s="202"/>
      <c r="K101" s="202"/>
      <c r="L101" s="202"/>
      <c r="M101" s="202"/>
      <c r="N101" s="202"/>
      <c r="O101" s="202"/>
      <c r="P101" s="202"/>
    </row>
    <row r="102" spans="1:16" x14ac:dyDescent="0.2">
      <c r="A102" s="159" t="s">
        <v>38</v>
      </c>
      <c r="B102" s="202"/>
      <c r="C102" s="672">
        <f>'Kops a'!C41:H41</f>
        <v>0</v>
      </c>
      <c r="D102" s="672"/>
      <c r="E102" s="672"/>
      <c r="F102" s="672"/>
      <c r="G102" s="672"/>
      <c r="H102" s="672"/>
      <c r="I102" s="202"/>
      <c r="J102" s="202"/>
      <c r="K102" s="202"/>
      <c r="L102" s="202"/>
      <c r="M102" s="202"/>
      <c r="N102" s="202"/>
      <c r="O102" s="202"/>
      <c r="P102" s="202"/>
    </row>
    <row r="103" spans="1:16" x14ac:dyDescent="0.2">
      <c r="A103" s="202"/>
      <c r="B103" s="202"/>
      <c r="C103" s="590" t="s">
        <v>15</v>
      </c>
      <c r="D103" s="590"/>
      <c r="E103" s="590"/>
      <c r="F103" s="590"/>
      <c r="G103" s="590"/>
      <c r="H103" s="590"/>
      <c r="I103" s="202"/>
      <c r="J103" s="202"/>
      <c r="K103" s="202"/>
      <c r="L103" s="202"/>
      <c r="M103" s="202"/>
      <c r="N103" s="202"/>
      <c r="O103" s="202"/>
      <c r="P103" s="202"/>
    </row>
    <row r="104" spans="1:16" x14ac:dyDescent="0.2">
      <c r="A104" s="202"/>
      <c r="B104" s="202"/>
      <c r="C104" s="202"/>
      <c r="D104" s="202"/>
      <c r="E104" s="202"/>
      <c r="F104" s="202"/>
      <c r="G104" s="202"/>
      <c r="H104" s="202"/>
      <c r="I104" s="202"/>
      <c r="J104" s="202"/>
      <c r="K104" s="202"/>
      <c r="L104" s="202"/>
      <c r="M104" s="202"/>
      <c r="N104" s="202"/>
      <c r="O104" s="202"/>
      <c r="P104" s="202"/>
    </row>
    <row r="105" spans="1:16" x14ac:dyDescent="0.2">
      <c r="A105" s="203" t="s">
        <v>53</v>
      </c>
      <c r="B105" s="204"/>
      <c r="C105" s="159">
        <f>'Kops a'!C44</f>
        <v>0</v>
      </c>
      <c r="D105" s="205"/>
      <c r="E105" s="202"/>
      <c r="F105" s="202"/>
      <c r="G105" s="202"/>
      <c r="H105" s="202"/>
      <c r="I105" s="202"/>
      <c r="J105" s="202"/>
      <c r="K105" s="202"/>
      <c r="L105" s="202"/>
      <c r="M105" s="202"/>
      <c r="N105" s="202"/>
      <c r="O105" s="202"/>
      <c r="P105" s="202"/>
    </row>
    <row r="107" spans="1:16" x14ac:dyDescent="0.2">
      <c r="A107" s="687" t="s">
        <v>687</v>
      </c>
      <c r="B107" s="688"/>
      <c r="C107" s="689"/>
      <c r="D107" s="689"/>
      <c r="E107" s="690"/>
      <c r="F107" s="691"/>
      <c r="G107" s="690"/>
      <c r="H107" s="692"/>
      <c r="I107" s="692"/>
      <c r="J107" s="693"/>
      <c r="K107" s="694"/>
      <c r="L107" s="694"/>
      <c r="M107" s="694"/>
      <c r="N107" s="694"/>
      <c r="O107" s="694"/>
    </row>
    <row r="108" spans="1:16" x14ac:dyDescent="0.2">
      <c r="A108" s="695" t="s">
        <v>688</v>
      </c>
      <c r="B108" s="695"/>
      <c r="C108" s="695"/>
      <c r="D108" s="695"/>
      <c r="E108" s="695"/>
      <c r="F108" s="695"/>
      <c r="G108" s="695"/>
      <c r="H108" s="695"/>
      <c r="I108" s="695"/>
      <c r="J108" s="695"/>
      <c r="K108" s="695"/>
      <c r="L108" s="695"/>
      <c r="M108" s="695"/>
      <c r="N108" s="695"/>
      <c r="O108" s="695"/>
    </row>
    <row r="109" spans="1:16" x14ac:dyDescent="0.2">
      <c r="A109" s="695" t="s">
        <v>689</v>
      </c>
      <c r="B109" s="695"/>
      <c r="C109" s="695"/>
      <c r="D109" s="695"/>
      <c r="E109" s="695"/>
      <c r="F109" s="695"/>
      <c r="G109" s="695"/>
      <c r="H109" s="695"/>
      <c r="I109" s="695"/>
      <c r="J109" s="695"/>
      <c r="K109" s="695"/>
      <c r="L109" s="695"/>
      <c r="M109" s="695"/>
      <c r="N109" s="695"/>
      <c r="O109" s="695"/>
    </row>
  </sheetData>
  <mergeCells count="24">
    <mergeCell ref="A108:O108"/>
    <mergeCell ref="A109:O109"/>
    <mergeCell ref="D7:L7"/>
    <mergeCell ref="C2:I2"/>
    <mergeCell ref="C3:I3"/>
    <mergeCell ref="C4:I4"/>
    <mergeCell ref="D5:L5"/>
    <mergeCell ref="D6:L6"/>
    <mergeCell ref="C103:H103"/>
    <mergeCell ref="D8:L8"/>
    <mergeCell ref="A9:F9"/>
    <mergeCell ref="J9:M9"/>
    <mergeCell ref="N9:O9"/>
    <mergeCell ref="A12:A13"/>
    <mergeCell ref="B12:B13"/>
    <mergeCell ref="C12:C13"/>
    <mergeCell ref="D12:D13"/>
    <mergeCell ref="E12:E13"/>
    <mergeCell ref="F12:K12"/>
    <mergeCell ref="L12:P12"/>
    <mergeCell ref="A94:K94"/>
    <mergeCell ref="C97:H97"/>
    <mergeCell ref="C98:H98"/>
    <mergeCell ref="C102:H102"/>
  </mergeCells>
  <conditionalFormatting sqref="C4:I4 D5:L8 C102:H102 C97:H97 D71:E93 C63:E64 C71:C76 B63:B76 B77:C82 C83:C84 B83:B88 B14:E62">
    <cfRule type="cellIs" dxfId="103" priority="22" operator="equal">
      <formula>0</formula>
    </cfRule>
  </conditionalFormatting>
  <conditionalFormatting sqref="N9:O9 C2:I2 C102:H102 C97:H97">
    <cfRule type="cellIs" dxfId="102" priority="23" operator="equal">
      <formula>0</formula>
    </cfRule>
  </conditionalFormatting>
  <conditionalFormatting sqref="A9:F9">
    <cfRule type="containsText" dxfId="101" priority="24" operator="containsText" text="Tāme sastādīta  20__. gada tirgus cenās, pamatojoties uz ___ daļas rasējumiem"/>
  </conditionalFormatting>
  <conditionalFormatting sqref="O10">
    <cfRule type="cellIs" dxfId="100" priority="26" operator="equal">
      <formula>"20__. gada __. _________"</formula>
    </cfRule>
  </conditionalFormatting>
  <conditionalFormatting sqref="P10">
    <cfRule type="cellIs" dxfId="99" priority="35" operator="equal">
      <formula>"20__. gada __. _________"</formula>
    </cfRule>
  </conditionalFormatting>
  <conditionalFormatting sqref="C105">
    <cfRule type="cellIs" dxfId="98" priority="38" operator="equal">
      <formula>0</formula>
    </cfRule>
  </conditionalFormatting>
  <conditionalFormatting sqref="D1">
    <cfRule type="cellIs" dxfId="97" priority="39" operator="equal">
      <formula>0</formula>
    </cfRule>
  </conditionalFormatting>
  <conditionalFormatting sqref="C85:C93">
    <cfRule type="cellIs" dxfId="96" priority="19" operator="equal">
      <formula>0</formula>
    </cfRule>
  </conditionalFormatting>
  <conditionalFormatting sqref="B89:B93">
    <cfRule type="cellIs" dxfId="95" priority="17" operator="equal">
      <formula>0</formula>
    </cfRule>
  </conditionalFormatting>
  <conditionalFormatting sqref="C65:E65">
    <cfRule type="cellIs" dxfId="94" priority="10" operator="equal">
      <formula>0</formula>
    </cfRule>
  </conditionalFormatting>
  <conditionalFormatting sqref="C66:E67 C70:E70 D68:E69">
    <cfRule type="cellIs" dxfId="93" priority="9" operator="equal">
      <formula>0</formula>
    </cfRule>
  </conditionalFormatting>
  <conditionalFormatting sqref="C68">
    <cfRule type="cellIs" dxfId="92" priority="8" operator="equal">
      <formula>0</formula>
    </cfRule>
  </conditionalFormatting>
  <conditionalFormatting sqref="C69">
    <cfRule type="cellIs" dxfId="91" priority="7" operator="equal">
      <formula>0</formula>
    </cfRule>
  </conditionalFormatting>
  <conditionalFormatting sqref="A14:A93">
    <cfRule type="cellIs" dxfId="90" priority="6" operator="equal">
      <formula>0</formula>
    </cfRule>
  </conditionalFormatting>
  <conditionalFormatting sqref="A94:K94">
    <cfRule type="containsText" dxfId="89" priority="4" operator="containsText" text="Tāme sastādīta  20__. gada tirgus cenās, pamatojoties uz ___ daļas rasējumiem"/>
  </conditionalFormatting>
  <conditionalFormatting sqref="I14:J93 F14:G93">
    <cfRule type="cellIs" dxfId="88" priority="3" operator="equal">
      <formula>0</formula>
    </cfRule>
  </conditionalFormatting>
  <conditionalFormatting sqref="H14:H93 K14:P93">
    <cfRule type="cellIs" dxfId="87" priority="2" operator="equal">
      <formula>0</formula>
    </cfRule>
  </conditionalFormatting>
  <conditionalFormatting sqref="L94:P94">
    <cfRule type="cellIs" dxfId="86" priority="1" operator="equal">
      <formula>0</formula>
    </cfRule>
  </conditionalFormatting>
  <pageMargins left="0.19685039370078741" right="0.19685039370078741" top="0.75196850393700787" bottom="0.39370078740157483" header="0.51181102362204722" footer="0.51181102362204722"/>
  <pageSetup paperSize="9" scale="94" firstPageNumber="0" orientation="landscape" r:id="rId1"/>
  <rowBreaks count="1" manualBreakCount="1">
    <brk id="76" max="15" man="1"/>
  </rowBreak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Darblapas</vt:lpstr>
      </vt:variant>
      <vt:variant>
        <vt:i4>15</vt:i4>
      </vt:variant>
      <vt:variant>
        <vt:lpstr>Diapazoni ar nosaukumiem</vt:lpstr>
      </vt:variant>
      <vt:variant>
        <vt:i4>9</vt:i4>
      </vt:variant>
    </vt:vector>
  </HeadingPairs>
  <TitlesOfParts>
    <vt:vector size="24" baseType="lpstr">
      <vt:lpstr>Kopt a</vt:lpstr>
      <vt:lpstr>Kops a</vt:lpstr>
      <vt:lpstr>1a</vt:lpstr>
      <vt:lpstr>2a</vt:lpstr>
      <vt:lpstr>3a</vt:lpstr>
      <vt:lpstr>apjomi</vt:lpstr>
      <vt:lpstr>4a</vt:lpstr>
      <vt:lpstr>5a</vt:lpstr>
      <vt:lpstr>6a</vt:lpstr>
      <vt:lpstr>7a</vt:lpstr>
      <vt:lpstr>8a</vt:lpstr>
      <vt:lpstr>9a</vt:lpstr>
      <vt:lpstr>10a</vt:lpstr>
      <vt:lpstr>11a</vt:lpstr>
      <vt:lpstr>12a</vt:lpstr>
      <vt:lpstr>'10a'!Drukas_apgabals</vt:lpstr>
      <vt:lpstr>'11a'!Drukas_apgabals</vt:lpstr>
      <vt:lpstr>'12a'!Drukas_apgabals</vt:lpstr>
      <vt:lpstr>'2a'!Drukas_apgabals</vt:lpstr>
      <vt:lpstr>'3a'!Drukas_apgabals</vt:lpstr>
      <vt:lpstr>'5a'!Drukas_apgabals</vt:lpstr>
      <vt:lpstr>apjomi!Drukas_apgabals</vt:lpstr>
      <vt:lpstr>sas</vt:lpstr>
      <vt:lpstr>sert.nr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Armands Ūbelis</dc:creator>
  <dc:description/>
  <cp:lastModifiedBy>Prezenta</cp:lastModifiedBy>
  <cp:revision>1</cp:revision>
  <cp:lastPrinted>2020-04-24T17:37:55Z</cp:lastPrinted>
  <dcterms:created xsi:type="dcterms:W3CDTF">2019-03-11T11:42:22Z</dcterms:created>
  <dcterms:modified xsi:type="dcterms:W3CDTF">2021-08-02T09:04:45Z</dcterms:modified>
  <dc:language>de-CH</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