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1.xml" ContentType="application/vnd.openxmlformats-officedocument.drawing+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192.168.2.20\docs\Pagaidu dokumenti\Renovācija_iepirkums\Altum_iepirkumi\96_Atmodas_12\"/>
    </mc:Choice>
  </mc:AlternateContent>
  <xr:revisionPtr revIDLastSave="0" documentId="13_ncr:1_{972EB28A-4A14-4946-9E9E-AC6A9B98707B}" xr6:coauthVersionLast="47" xr6:coauthVersionMax="47" xr10:uidLastSave="{00000000-0000-0000-0000-000000000000}"/>
  <bookViews>
    <workbookView xWindow="-120" yWindow="-120" windowWidth="29040" windowHeight="15840" tabRatio="846" activeTab="1" xr2:uid="{00000000-000D-0000-FFFF-FFFF00000000}"/>
  </bookViews>
  <sheets>
    <sheet name="Kopt a" sheetId="1" r:id="rId1"/>
    <sheet name="Kops a" sheetId="2" r:id="rId2"/>
    <sheet name="1a" sheetId="3" r:id="rId3"/>
    <sheet name="2a" sheetId="4" r:id="rId4"/>
    <sheet name="apjomi" sheetId="16" state="hidden" r:id="rId5"/>
    <sheet name="3a" sheetId="5" r:id="rId6"/>
    <sheet name="4a" sheetId="6" r:id="rId7"/>
    <sheet name="5a" sheetId="8" r:id="rId8"/>
    <sheet name="6a" sheetId="13" r:id="rId9"/>
    <sheet name="7a" sheetId="14" r:id="rId10"/>
    <sheet name="8a" sheetId="17" r:id="rId11"/>
    <sheet name="9a" sheetId="15" r:id="rId12"/>
    <sheet name="10a" sheetId="18"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2" l="1"/>
  <c r="E30" i="2"/>
  <c r="E18" i="5" l="1"/>
  <c r="E23" i="5" s="1"/>
  <c r="E17" i="5"/>
  <c r="E34" i="4" l="1"/>
  <c r="E28" i="5" l="1"/>
  <c r="E29" i="5" s="1"/>
  <c r="A28" i="5"/>
  <c r="A30" i="5"/>
  <c r="E31" i="5"/>
  <c r="E36" i="5" s="1"/>
  <c r="E30" i="5" l="1"/>
  <c r="E32" i="5"/>
  <c r="E39" i="13"/>
  <c r="E36" i="13"/>
  <c r="E38" i="13" s="1"/>
  <c r="A37" i="13"/>
  <c r="A36" i="13"/>
  <c r="E35" i="13"/>
  <c r="A35" i="13"/>
  <c r="A34" i="13"/>
  <c r="E36" i="14"/>
  <c r="E37" i="14"/>
  <c r="E47" i="13"/>
  <c r="E37" i="5"/>
  <c r="E35" i="5"/>
  <c r="E34" i="5"/>
  <c r="E33" i="5"/>
  <c r="H8" i="16"/>
  <c r="M8" i="16" s="1"/>
  <c r="N8" i="16" s="1"/>
  <c r="H6" i="16"/>
  <c r="M6" i="16" s="1"/>
  <c r="N6" i="16" s="1"/>
  <c r="S6" i="16"/>
  <c r="E46" i="13" l="1"/>
  <c r="E42" i="13"/>
  <c r="L6" i="16"/>
  <c r="L8" i="16"/>
  <c r="E40" i="13"/>
  <c r="E41" i="13"/>
  <c r="E44" i="13"/>
  <c r="E43" i="13"/>
  <c r="E45" i="13"/>
  <c r="E37" i="13"/>
  <c r="E19" i="5"/>
  <c r="E20" i="5" s="1"/>
  <c r="E26" i="5"/>
  <c r="E27" i="5"/>
  <c r="E22" i="5"/>
  <c r="E25" i="5"/>
  <c r="L34" i="4"/>
  <c r="H34" i="4"/>
  <c r="M34" i="4" s="1"/>
  <c r="N34" i="4" l="1"/>
  <c r="K34" i="4"/>
  <c r="O34" i="4"/>
  <c r="E21" i="5"/>
  <c r="E24" i="5"/>
  <c r="E7" i="16"/>
  <c r="S7" i="16" s="1"/>
  <c r="E15" i="13"/>
  <c r="E14" i="13" s="1"/>
  <c r="E48" i="17"/>
  <c r="E14" i="5"/>
  <c r="P34" i="4" l="1"/>
  <c r="E45" i="17"/>
  <c r="E47" i="14" l="1"/>
  <c r="E44" i="14"/>
  <c r="E45" i="14" s="1"/>
  <c r="E46" i="14" s="1"/>
  <c r="E41" i="14"/>
  <c r="E42" i="14" s="1"/>
  <c r="E32" i="14"/>
  <c r="E16" i="14"/>
  <c r="E30" i="14"/>
  <c r="E31" i="14" s="1"/>
  <c r="E28" i="14"/>
  <c r="E29" i="14" s="1"/>
  <c r="E22" i="14"/>
  <c r="E25" i="14"/>
  <c r="E26" i="14" s="1"/>
  <c r="R5" i="16"/>
  <c r="R6" i="16"/>
  <c r="R8" i="16"/>
  <c r="R4" i="16"/>
  <c r="R12" i="16" l="1"/>
  <c r="E48" i="13"/>
  <c r="E29" i="4"/>
  <c r="A47" i="3"/>
  <c r="A46" i="3"/>
  <c r="A45" i="3"/>
  <c r="A16" i="18" l="1"/>
  <c r="A17" i="18" s="1"/>
  <c r="A18" i="18" s="1"/>
  <c r="A19" i="18" s="1"/>
  <c r="A20" i="18" s="1"/>
  <c r="A21" i="18" s="1"/>
  <c r="A22" i="18" s="1"/>
  <c r="A23" i="18" s="1"/>
  <c r="A24" i="18" s="1"/>
  <c r="A25" i="18" s="1"/>
  <c r="A26" i="18" s="1"/>
  <c r="A27" i="18" s="1"/>
  <c r="A28" i="18" s="1"/>
  <c r="A29" i="18" s="1"/>
  <c r="A30" i="18" s="1"/>
  <c r="A31" i="18" s="1"/>
  <c r="A32" i="18" s="1"/>
  <c r="A33" i="18" s="1"/>
  <c r="A34" i="18" s="1"/>
  <c r="A35" i="18" s="1"/>
  <c r="A36" i="18" s="1"/>
  <c r="A37" i="18" s="1"/>
  <c r="A39" i="18" s="1"/>
  <c r="A41" i="18" s="1"/>
  <c r="A42" i="18" s="1"/>
  <c r="A43" i="18" s="1"/>
  <c r="A44" i="18" s="1"/>
  <c r="A45" i="18" s="1"/>
  <c r="A46" i="18" s="1"/>
  <c r="A47" i="18" s="1"/>
  <c r="A48" i="18" s="1"/>
  <c r="A49" i="18" s="1"/>
  <c r="A50" i="18" s="1"/>
  <c r="A51" i="18" s="1"/>
  <c r="A52" i="18" s="1"/>
  <c r="A54" i="18" s="1"/>
  <c r="A55" i="18" s="1"/>
  <c r="A56" i="18" s="1"/>
  <c r="A57" i="18" s="1"/>
  <c r="A58" i="18" s="1"/>
  <c r="A60" i="18" s="1"/>
  <c r="A61" i="18" s="1"/>
  <c r="L33" i="13" l="1"/>
  <c r="N33" i="13"/>
  <c r="O33" i="13"/>
  <c r="A39" i="13" l="1"/>
  <c r="A30" i="13"/>
  <c r="A31" i="13"/>
  <c r="A32" i="13"/>
  <c r="A33" i="13"/>
  <c r="C19" i="1" l="1"/>
  <c r="H16" i="3" l="1"/>
  <c r="M16" i="3" s="1"/>
  <c r="L16" i="3"/>
  <c r="N16" i="3"/>
  <c r="O16" i="3"/>
  <c r="H17" i="3"/>
  <c r="K17" i="3" s="1"/>
  <c r="H18" i="3"/>
  <c r="H19" i="3"/>
  <c r="K19" i="3" s="1"/>
  <c r="H20" i="3"/>
  <c r="M20" i="3" s="1"/>
  <c r="L20" i="3"/>
  <c r="N20" i="3"/>
  <c r="O20" i="3"/>
  <c r="H21" i="3"/>
  <c r="K21" i="3" s="1"/>
  <c r="L21" i="3"/>
  <c r="N21" i="3"/>
  <c r="O21" i="3"/>
  <c r="H22" i="3"/>
  <c r="K22" i="3" s="1"/>
  <c r="L22" i="3"/>
  <c r="N22" i="3"/>
  <c r="O22" i="3"/>
  <c r="H23" i="3"/>
  <c r="K23" i="3" s="1"/>
  <c r="L23" i="3"/>
  <c r="N23" i="3"/>
  <c r="O23" i="3"/>
  <c r="H24" i="3"/>
  <c r="M24" i="3" s="1"/>
  <c r="L24" i="3"/>
  <c r="N24" i="3"/>
  <c r="O24" i="3"/>
  <c r="H25" i="3"/>
  <c r="K25" i="3" s="1"/>
  <c r="L25" i="3"/>
  <c r="N25" i="3"/>
  <c r="O25" i="3"/>
  <c r="H26" i="3"/>
  <c r="M26" i="3" s="1"/>
  <c r="L26" i="3"/>
  <c r="N26" i="3"/>
  <c r="O26" i="3"/>
  <c r="H27" i="3"/>
  <c r="M27" i="3" s="1"/>
  <c r="L27" i="3"/>
  <c r="N27" i="3"/>
  <c r="O27" i="3"/>
  <c r="H28" i="3"/>
  <c r="K28" i="3" s="1"/>
  <c r="L28" i="3"/>
  <c r="N28" i="3"/>
  <c r="O28" i="3"/>
  <c r="H29" i="3"/>
  <c r="K29" i="3" s="1"/>
  <c r="L29" i="3"/>
  <c r="N29" i="3"/>
  <c r="O29" i="3"/>
  <c r="H30" i="3"/>
  <c r="K30" i="3" s="1"/>
  <c r="H31" i="3"/>
  <c r="K31" i="3" s="1"/>
  <c r="H32" i="3"/>
  <c r="K32" i="3" s="1"/>
  <c r="H33" i="3"/>
  <c r="K33" i="3" s="1"/>
  <c r="H34" i="3"/>
  <c r="K34" i="3" s="1"/>
  <c r="H35" i="3"/>
  <c r="H36" i="3"/>
  <c r="K36" i="3" s="1"/>
  <c r="H37" i="3"/>
  <c r="K37" i="3" s="1"/>
  <c r="H38" i="3"/>
  <c r="K38" i="3" s="1"/>
  <c r="H39" i="3"/>
  <c r="K39" i="3" s="1"/>
  <c r="H40" i="3"/>
  <c r="K40" i="3" s="1"/>
  <c r="H41" i="3"/>
  <c r="K41" i="3" s="1"/>
  <c r="H42" i="3"/>
  <c r="H43" i="3"/>
  <c r="H44" i="3"/>
  <c r="K44" i="3" s="1"/>
  <c r="H45" i="3"/>
  <c r="K45" i="3" s="1"/>
  <c r="H46" i="3"/>
  <c r="K46" i="3" s="1"/>
  <c r="H47" i="3"/>
  <c r="K47" i="3" s="1"/>
  <c r="H48" i="3"/>
  <c r="K48" i="3" s="1"/>
  <c r="H49" i="3"/>
  <c r="K49" i="3" s="1"/>
  <c r="L49" i="3"/>
  <c r="N49" i="3"/>
  <c r="O49" i="3"/>
  <c r="H50" i="3"/>
  <c r="K50" i="3" s="1"/>
  <c r="H51" i="3"/>
  <c r="H52" i="3"/>
  <c r="K52" i="3" s="1"/>
  <c r="H53" i="3"/>
  <c r="K53" i="3" s="1"/>
  <c r="H54" i="3"/>
  <c r="K54" i="3" s="1"/>
  <c r="H55" i="3"/>
  <c r="H56" i="3"/>
  <c r="K56" i="3" s="1"/>
  <c r="H57" i="3"/>
  <c r="K57" i="3" s="1"/>
  <c r="H58" i="3"/>
  <c r="K58" i="3" s="1"/>
  <c r="H59" i="3"/>
  <c r="K59" i="3" s="1"/>
  <c r="H60" i="3"/>
  <c r="K60" i="3" s="1"/>
  <c r="H61" i="3"/>
  <c r="K61" i="3" s="1"/>
  <c r="H62" i="3"/>
  <c r="K62" i="3" s="1"/>
  <c r="L62" i="3"/>
  <c r="N62" i="3"/>
  <c r="O62" i="3"/>
  <c r="H63" i="3"/>
  <c r="K63" i="3" s="1"/>
  <c r="H64" i="3"/>
  <c r="H65" i="3"/>
  <c r="H66" i="3"/>
  <c r="M66" i="3" s="1"/>
  <c r="L66" i="3"/>
  <c r="N66" i="3"/>
  <c r="O66" i="3"/>
  <c r="H67" i="3"/>
  <c r="M67" i="3" s="1"/>
  <c r="L67" i="3"/>
  <c r="N67" i="3"/>
  <c r="O67" i="3"/>
  <c r="H68" i="3"/>
  <c r="M68" i="3" s="1"/>
  <c r="L68" i="3"/>
  <c r="N68" i="3"/>
  <c r="O68" i="3"/>
  <c r="H69" i="3"/>
  <c r="K69" i="3" s="1"/>
  <c r="L69" i="3"/>
  <c r="N69" i="3"/>
  <c r="O69" i="3"/>
  <c r="H70" i="3"/>
  <c r="K70" i="3" s="1"/>
  <c r="L70" i="3"/>
  <c r="N70" i="3"/>
  <c r="O70" i="3"/>
  <c r="H71" i="3"/>
  <c r="M71" i="3" s="1"/>
  <c r="L71" i="3"/>
  <c r="N71" i="3"/>
  <c r="O71" i="3"/>
  <c r="H72" i="3"/>
  <c r="M72" i="3" s="1"/>
  <c r="L72" i="3"/>
  <c r="N72" i="3"/>
  <c r="O72" i="3"/>
  <c r="H73" i="3"/>
  <c r="K73" i="3" s="1"/>
  <c r="L73" i="3"/>
  <c r="N73" i="3"/>
  <c r="O73" i="3"/>
  <c r="A26" i="3"/>
  <c r="A16" i="5"/>
  <c r="C24" i="2"/>
  <c r="K67" i="3" l="1"/>
  <c r="P24" i="3"/>
  <c r="K72" i="3"/>
  <c r="P72" i="3"/>
  <c r="M21" i="3"/>
  <c r="P21" i="3" s="1"/>
  <c r="M28" i="3"/>
  <c r="P28" i="3" s="1"/>
  <c r="K68" i="3"/>
  <c r="P68" i="3"/>
  <c r="K71" i="3"/>
  <c r="M69" i="3"/>
  <c r="P69" i="3" s="1"/>
  <c r="K20" i="3"/>
  <c r="P20" i="3"/>
  <c r="M29" i="3"/>
  <c r="P29" i="3" s="1"/>
  <c r="P71" i="3"/>
  <c r="P67" i="3"/>
  <c r="K66" i="3"/>
  <c r="K27" i="3"/>
  <c r="K16" i="3"/>
  <c r="P66" i="3"/>
  <c r="K64" i="3"/>
  <c r="K55" i="3"/>
  <c r="K51" i="3"/>
  <c r="K43" i="3"/>
  <c r="K35" i="3"/>
  <c r="P27" i="3"/>
  <c r="K24" i="3"/>
  <c r="M22" i="3"/>
  <c r="P22" i="3" s="1"/>
  <c r="P16" i="3"/>
  <c r="P26" i="3"/>
  <c r="M73" i="3"/>
  <c r="P73" i="3" s="1"/>
  <c r="M49" i="3"/>
  <c r="P49" i="3" s="1"/>
  <c r="K65" i="3"/>
  <c r="K42" i="3"/>
  <c r="K26" i="3"/>
  <c r="K18" i="3"/>
  <c r="M62" i="3"/>
  <c r="P62" i="3" s="1"/>
  <c r="M23" i="3"/>
  <c r="P23" i="3" s="1"/>
  <c r="M70" i="3"/>
  <c r="P70" i="3" s="1"/>
  <c r="M25" i="3"/>
  <c r="P25" i="3" s="1"/>
  <c r="C73" i="18"/>
  <c r="C65" i="18"/>
  <c r="O39" i="18"/>
  <c r="N39" i="18"/>
  <c r="L39" i="18"/>
  <c r="H39" i="18"/>
  <c r="K39" i="18" s="1"/>
  <c r="O38" i="18"/>
  <c r="N38" i="18"/>
  <c r="L38" i="18"/>
  <c r="H38" i="18"/>
  <c r="M38" i="18" s="1"/>
  <c r="O37" i="18"/>
  <c r="N37" i="18"/>
  <c r="L37" i="18"/>
  <c r="H37" i="18"/>
  <c r="K37" i="18" s="1"/>
  <c r="O36" i="18"/>
  <c r="N36" i="18"/>
  <c r="L36" i="18"/>
  <c r="H36" i="18"/>
  <c r="K36" i="18" s="1"/>
  <c r="O21" i="18"/>
  <c r="N21" i="18"/>
  <c r="L21" i="18"/>
  <c r="H21" i="18"/>
  <c r="M21" i="18" s="1"/>
  <c r="O20" i="18"/>
  <c r="N20" i="18"/>
  <c r="L20" i="18"/>
  <c r="H20" i="18"/>
  <c r="M20" i="18" s="1"/>
  <c r="O19" i="18"/>
  <c r="N19" i="18"/>
  <c r="L19" i="18"/>
  <c r="H19" i="18"/>
  <c r="M19" i="18" s="1"/>
  <c r="O18" i="18"/>
  <c r="N18" i="18"/>
  <c r="L18" i="18"/>
  <c r="H18" i="18"/>
  <c r="K18" i="18" s="1"/>
  <c r="O17" i="18"/>
  <c r="N17" i="18"/>
  <c r="L17" i="18"/>
  <c r="H17" i="18"/>
  <c r="K17" i="18" s="1"/>
  <c r="O16" i="18"/>
  <c r="N16" i="18"/>
  <c r="L16" i="18"/>
  <c r="H16" i="18"/>
  <c r="K16" i="18" s="1"/>
  <c r="O15" i="18"/>
  <c r="N15" i="18"/>
  <c r="L15" i="18"/>
  <c r="H15" i="18"/>
  <c r="K15" i="18" s="1"/>
  <c r="O14" i="18"/>
  <c r="N14" i="18"/>
  <c r="L14" i="18"/>
  <c r="H14" i="18"/>
  <c r="M14" i="18" s="1"/>
  <c r="M16" i="18" l="1"/>
  <c r="P16" i="18" s="1"/>
  <c r="M17" i="18"/>
  <c r="P17" i="18" s="1"/>
  <c r="K20" i="18"/>
  <c r="P19" i="18"/>
  <c r="P38" i="18"/>
  <c r="P21" i="18"/>
  <c r="L62" i="18"/>
  <c r="I24" i="2" s="1"/>
  <c r="N62" i="18"/>
  <c r="G24" i="2" s="1"/>
  <c r="O62" i="18"/>
  <c r="H24" i="2" s="1"/>
  <c r="K38" i="18"/>
  <c r="M18" i="18"/>
  <c r="P18" i="18" s="1"/>
  <c r="M39" i="18"/>
  <c r="P39" i="18" s="1"/>
  <c r="P20" i="18"/>
  <c r="P14" i="18"/>
  <c r="K14" i="18"/>
  <c r="M15" i="18"/>
  <c r="P15" i="18" s="1"/>
  <c r="K21" i="18"/>
  <c r="M37" i="18"/>
  <c r="P37" i="18" s="1"/>
  <c r="M36" i="18"/>
  <c r="P36" i="18" s="1"/>
  <c r="K19" i="18"/>
  <c r="M62" i="18" l="1"/>
  <c r="F24" i="2" s="1"/>
  <c r="P62" i="18"/>
  <c r="E29" i="17"/>
  <c r="N9" i="18" l="1"/>
  <c r="E24" i="2"/>
  <c r="E16" i="17"/>
  <c r="E17" i="17" s="1"/>
  <c r="E49" i="17"/>
  <c r="E47" i="17"/>
  <c r="A30" i="16"/>
  <c r="A31" i="16" s="1"/>
  <c r="A32" i="16" s="1"/>
  <c r="A33" i="16" s="1"/>
  <c r="A34" i="16" s="1"/>
  <c r="A35" i="16" s="1"/>
  <c r="A37" i="16" s="1"/>
  <c r="A38" i="16" s="1"/>
  <c r="A39" i="16" s="1"/>
  <c r="G35" i="16"/>
  <c r="G34" i="16"/>
  <c r="F33" i="16"/>
  <c r="E33" i="16"/>
  <c r="F32" i="16"/>
  <c r="E32" i="16"/>
  <c r="F31" i="16"/>
  <c r="E31" i="16"/>
  <c r="F30" i="16"/>
  <c r="E30" i="16"/>
  <c r="G29" i="16"/>
  <c r="H26" i="16"/>
  <c r="H37" i="16" s="1"/>
  <c r="A52" i="17"/>
  <c r="A51" i="17"/>
  <c r="A50" i="17"/>
  <c r="A49" i="17"/>
  <c r="A48" i="17"/>
  <c r="A47" i="17"/>
  <c r="A46" i="17"/>
  <c r="A45" i="17"/>
  <c r="A44" i="17"/>
  <c r="A43" i="17"/>
  <c r="A42" i="17"/>
  <c r="A41" i="17"/>
  <c r="A40" i="17"/>
  <c r="A39" i="17"/>
  <c r="A38" i="17"/>
  <c r="A37" i="17"/>
  <c r="A36" i="17"/>
  <c r="A35" i="17"/>
  <c r="A34" i="17"/>
  <c r="A33" i="17"/>
  <c r="A26" i="17"/>
  <c r="E25" i="17"/>
  <c r="A25" i="17"/>
  <c r="A24" i="17"/>
  <c r="A23" i="17"/>
  <c r="A22" i="17"/>
  <c r="A21" i="17"/>
  <c r="A20" i="17"/>
  <c r="A19" i="17"/>
  <c r="A18" i="17"/>
  <c r="A17" i="17"/>
  <c r="E18" i="17"/>
  <c r="E19" i="17" s="1"/>
  <c r="A16" i="17"/>
  <c r="A15" i="17"/>
  <c r="A14" i="17"/>
  <c r="H35" i="16" l="1"/>
  <c r="H29" i="16"/>
  <c r="G32" i="16"/>
  <c r="E27" i="17"/>
  <c r="E28" i="17" s="1"/>
  <c r="E26" i="17"/>
  <c r="E46" i="17"/>
  <c r="E50" i="17"/>
  <c r="H39" i="16"/>
  <c r="H38" i="16"/>
  <c r="G31" i="16"/>
  <c r="H31" i="16" s="1"/>
  <c r="H34" i="16"/>
  <c r="G33" i="16"/>
  <c r="H33" i="16" s="1"/>
  <c r="H32" i="16"/>
  <c r="G30" i="16"/>
  <c r="H30" i="16" s="1"/>
  <c r="E20" i="17"/>
  <c r="H36" i="16" l="1"/>
  <c r="E23" i="17"/>
  <c r="E21" i="17"/>
  <c r="E22" i="17" s="1"/>
  <c r="E24" i="17" l="1"/>
  <c r="E31" i="17"/>
  <c r="E32" i="17" s="1"/>
  <c r="A48" i="14"/>
  <c r="E48" i="14"/>
  <c r="A47" i="14"/>
  <c r="A46" i="14"/>
  <c r="A45" i="14"/>
  <c r="A44" i="14"/>
  <c r="A43" i="14"/>
  <c r="A42" i="14"/>
  <c r="A41" i="14"/>
  <c r="A24" i="14"/>
  <c r="A23" i="14"/>
  <c r="E24" i="14"/>
  <c r="A22" i="14"/>
  <c r="A21" i="14"/>
  <c r="A20" i="14"/>
  <c r="A19" i="14"/>
  <c r="E35" i="14"/>
  <c r="E34" i="14"/>
  <c r="E33" i="14"/>
  <c r="A38" i="14"/>
  <c r="A39" i="14"/>
  <c r="A40" i="14"/>
  <c r="A49" i="14"/>
  <c r="A27" i="14"/>
  <c r="A28" i="14"/>
  <c r="A30" i="14"/>
  <c r="A32" i="14"/>
  <c r="A36" i="14"/>
  <c r="A37" i="14"/>
  <c r="A25" i="14"/>
  <c r="A59" i="14"/>
  <c r="E20" i="16"/>
  <c r="C20" i="16"/>
  <c r="C17" i="16"/>
  <c r="F18" i="16" s="1"/>
  <c r="F21" i="16" s="1"/>
  <c r="G21" i="16" s="1"/>
  <c r="C19" i="16"/>
  <c r="E22" i="16"/>
  <c r="E66" i="14"/>
  <c r="E15" i="14"/>
  <c r="E61" i="14"/>
  <c r="E60" i="14"/>
  <c r="E56" i="14"/>
  <c r="E50" i="14"/>
  <c r="E52" i="14" s="1"/>
  <c r="E51" i="14" s="1"/>
  <c r="E49" i="14"/>
  <c r="E38" i="14"/>
  <c r="E39" i="14" s="1"/>
  <c r="E19" i="16"/>
  <c r="D19" i="16"/>
  <c r="E40" i="14" l="1"/>
  <c r="G18" i="16"/>
  <c r="E23" i="14"/>
  <c r="E57" i="14"/>
  <c r="E58" i="14"/>
  <c r="E23" i="16"/>
  <c r="F17" i="16"/>
  <c r="G17" i="16" s="1"/>
  <c r="F20" i="16"/>
  <c r="G20" i="16" s="1"/>
  <c r="E54" i="14"/>
  <c r="E55" i="14"/>
  <c r="F22" i="16"/>
  <c r="G22" i="16" s="1"/>
  <c r="E19" i="14"/>
  <c r="E20" i="14" s="1"/>
  <c r="E21" i="14" s="1"/>
  <c r="E14" i="14"/>
  <c r="C22" i="2"/>
  <c r="C64" i="17"/>
  <c r="C56" i="17"/>
  <c r="O52" i="17"/>
  <c r="N52" i="17"/>
  <c r="L52" i="17"/>
  <c r="H52" i="17"/>
  <c r="M52" i="17" s="1"/>
  <c r="O51" i="17"/>
  <c r="N51" i="17"/>
  <c r="L51" i="17"/>
  <c r="H51" i="17"/>
  <c r="M51" i="17" s="1"/>
  <c r="O50" i="17"/>
  <c r="N50" i="17"/>
  <c r="L50" i="17"/>
  <c r="H50" i="17"/>
  <c r="M50" i="17" s="1"/>
  <c r="O49" i="17"/>
  <c r="N49" i="17"/>
  <c r="L49" i="17"/>
  <c r="H49" i="17"/>
  <c r="M49" i="17" s="1"/>
  <c r="O48" i="17"/>
  <c r="N48" i="17"/>
  <c r="L48" i="17"/>
  <c r="H48" i="17"/>
  <c r="M48" i="17" s="1"/>
  <c r="O47" i="17"/>
  <c r="N47" i="17"/>
  <c r="L47" i="17"/>
  <c r="H47" i="17"/>
  <c r="M47" i="17" s="1"/>
  <c r="O46" i="17"/>
  <c r="N46" i="17"/>
  <c r="L46" i="17"/>
  <c r="H46" i="17"/>
  <c r="M46" i="17" s="1"/>
  <c r="O45" i="17"/>
  <c r="N45" i="17"/>
  <c r="L45" i="17"/>
  <c r="H45" i="17"/>
  <c r="M45" i="17" s="1"/>
  <c r="O44" i="17"/>
  <c r="N44" i="17"/>
  <c r="L44" i="17"/>
  <c r="H44" i="17"/>
  <c r="M44" i="17" s="1"/>
  <c r="O43" i="17"/>
  <c r="N43" i="17"/>
  <c r="L43" i="17"/>
  <c r="H43" i="17"/>
  <c r="M43" i="17" s="1"/>
  <c r="O42" i="17"/>
  <c r="N42" i="17"/>
  <c r="L42" i="17"/>
  <c r="H42" i="17"/>
  <c r="M42" i="17" s="1"/>
  <c r="O41" i="17"/>
  <c r="N41" i="17"/>
  <c r="L41" i="17"/>
  <c r="H41" i="17"/>
  <c r="M41" i="17" s="1"/>
  <c r="O40" i="17"/>
  <c r="N40" i="17"/>
  <c r="L40" i="17"/>
  <c r="H40" i="17"/>
  <c r="M40" i="17" s="1"/>
  <c r="O39" i="17"/>
  <c r="N39" i="17"/>
  <c r="L39" i="17"/>
  <c r="H39" i="17"/>
  <c r="M39" i="17" s="1"/>
  <c r="O38" i="17"/>
  <c r="N38" i="17"/>
  <c r="L38" i="17"/>
  <c r="H38" i="17"/>
  <c r="M38" i="17" s="1"/>
  <c r="O37" i="17"/>
  <c r="N37" i="17"/>
  <c r="L37" i="17"/>
  <c r="H37" i="17"/>
  <c r="M37" i="17" s="1"/>
  <c r="O36" i="17"/>
  <c r="N36" i="17"/>
  <c r="L36" i="17"/>
  <c r="H36" i="17"/>
  <c r="M36" i="17" s="1"/>
  <c r="O35" i="17"/>
  <c r="N35" i="17"/>
  <c r="L35" i="17"/>
  <c r="H35" i="17"/>
  <c r="M35" i="17" s="1"/>
  <c r="O34" i="17"/>
  <c r="N34" i="17"/>
  <c r="L34" i="17"/>
  <c r="H34" i="17"/>
  <c r="M34" i="17" s="1"/>
  <c r="O33" i="17"/>
  <c r="N33" i="17"/>
  <c r="L33" i="17"/>
  <c r="H33" i="17"/>
  <c r="M33" i="17" s="1"/>
  <c r="O32" i="17"/>
  <c r="N32" i="17"/>
  <c r="L32" i="17"/>
  <c r="H32" i="17"/>
  <c r="M32" i="17" s="1"/>
  <c r="O31" i="17"/>
  <c r="N31" i="17"/>
  <c r="L31" i="17"/>
  <c r="H31" i="17"/>
  <c r="M31" i="17" s="1"/>
  <c r="O29" i="17"/>
  <c r="N29" i="17"/>
  <c r="L29" i="17"/>
  <c r="H29" i="17"/>
  <c r="M29" i="17" s="1"/>
  <c r="O28" i="17"/>
  <c r="N28" i="17"/>
  <c r="L28" i="17"/>
  <c r="H28" i="17"/>
  <c r="M28" i="17" s="1"/>
  <c r="O27" i="17"/>
  <c r="N27" i="17"/>
  <c r="L27" i="17"/>
  <c r="H27" i="17"/>
  <c r="M27" i="17" s="1"/>
  <c r="O26" i="17"/>
  <c r="N26" i="17"/>
  <c r="L26" i="17"/>
  <c r="H26" i="17"/>
  <c r="M26" i="17" s="1"/>
  <c r="O25" i="17"/>
  <c r="N25" i="17"/>
  <c r="L25" i="17"/>
  <c r="H25" i="17"/>
  <c r="M25" i="17" s="1"/>
  <c r="O24" i="17"/>
  <c r="N24" i="17"/>
  <c r="L24" i="17"/>
  <c r="H24" i="17"/>
  <c r="M24" i="17" s="1"/>
  <c r="O23" i="17"/>
  <c r="N23" i="17"/>
  <c r="L23" i="17"/>
  <c r="H23" i="17"/>
  <c r="M23" i="17" s="1"/>
  <c r="O22" i="17"/>
  <c r="N22" i="17"/>
  <c r="L22" i="17"/>
  <c r="H22" i="17"/>
  <c r="M22" i="17" s="1"/>
  <c r="O21" i="17"/>
  <c r="N21" i="17"/>
  <c r="L21" i="17"/>
  <c r="H21" i="17"/>
  <c r="M21" i="17" s="1"/>
  <c r="O20" i="17"/>
  <c r="N20" i="17"/>
  <c r="L20" i="17"/>
  <c r="H20" i="17"/>
  <c r="M20" i="17" s="1"/>
  <c r="O19" i="17"/>
  <c r="N19" i="17"/>
  <c r="L19" i="17"/>
  <c r="H19" i="17"/>
  <c r="M19" i="17" s="1"/>
  <c r="O18" i="17"/>
  <c r="N18" i="17"/>
  <c r="L18" i="17"/>
  <c r="H18" i="17"/>
  <c r="M18" i="17" s="1"/>
  <c r="O17" i="17"/>
  <c r="N17" i="17"/>
  <c r="L17" i="17"/>
  <c r="H17" i="17"/>
  <c r="M17" i="17" s="1"/>
  <c r="O16" i="17"/>
  <c r="N16" i="17"/>
  <c r="L16" i="17"/>
  <c r="H16" i="17"/>
  <c r="M16" i="17" s="1"/>
  <c r="O15" i="17"/>
  <c r="N15" i="17"/>
  <c r="L15" i="17"/>
  <c r="H15" i="17"/>
  <c r="M15" i="17" s="1"/>
  <c r="O14" i="17"/>
  <c r="N14" i="17"/>
  <c r="L14" i="17"/>
  <c r="H14" i="17"/>
  <c r="M14" i="17" s="1"/>
  <c r="P16" i="17" l="1"/>
  <c r="P22" i="17"/>
  <c r="P26" i="17"/>
  <c r="P31" i="17"/>
  <c r="P36" i="17"/>
  <c r="P38" i="17"/>
  <c r="P43" i="17"/>
  <c r="P45" i="17"/>
  <c r="P47" i="17"/>
  <c r="P49" i="17"/>
  <c r="P51" i="17"/>
  <c r="P18" i="17"/>
  <c r="P24" i="17"/>
  <c r="P28" i="17"/>
  <c r="P34" i="17"/>
  <c r="P40" i="17"/>
  <c r="P20" i="17"/>
  <c r="L53" i="17"/>
  <c r="I23" i="2" s="1"/>
  <c r="P17" i="17"/>
  <c r="P25" i="17"/>
  <c r="N53" i="17"/>
  <c r="G23" i="2" s="1"/>
  <c r="P15" i="17"/>
  <c r="P21" i="17"/>
  <c r="P27" i="17"/>
  <c r="P29" i="17"/>
  <c r="P33" i="17"/>
  <c r="P19" i="17"/>
  <c r="P23" i="17"/>
  <c r="P32" i="17"/>
  <c r="O53" i="17"/>
  <c r="H23" i="2" s="1"/>
  <c r="P35" i="17"/>
  <c r="P37" i="17"/>
  <c r="P39" i="17"/>
  <c r="P41" i="17"/>
  <c r="P42" i="17"/>
  <c r="P44" i="17"/>
  <c r="P46" i="17"/>
  <c r="P48" i="17"/>
  <c r="P50" i="17"/>
  <c r="P52" i="17"/>
  <c r="F23" i="16"/>
  <c r="G23" i="16" s="1"/>
  <c r="F19" i="16"/>
  <c r="G19" i="16" s="1"/>
  <c r="P14" i="17"/>
  <c r="M53" i="17"/>
  <c r="F23" i="2" s="1"/>
  <c r="K16" i="17"/>
  <c r="K18" i="17"/>
  <c r="K20" i="17"/>
  <c r="K22" i="17"/>
  <c r="K23" i="17"/>
  <c r="K24" i="17"/>
  <c r="K25" i="17"/>
  <c r="K27" i="17"/>
  <c r="K28" i="17"/>
  <c r="K29" i="17"/>
  <c r="K31" i="17"/>
  <c r="K32" i="17"/>
  <c r="K33" i="17"/>
  <c r="K34" i="17"/>
  <c r="K35" i="17"/>
  <c r="K36" i="17"/>
  <c r="K37" i="17"/>
  <c r="K38" i="17"/>
  <c r="K39" i="17"/>
  <c r="K40" i="17"/>
  <c r="K41" i="17"/>
  <c r="K42" i="17"/>
  <c r="K43" i="17"/>
  <c r="K44" i="17"/>
  <c r="K45" i="17"/>
  <c r="K46" i="17"/>
  <c r="K47" i="17"/>
  <c r="K48" i="17"/>
  <c r="K49" i="17"/>
  <c r="K50" i="17"/>
  <c r="K51" i="17"/>
  <c r="K52" i="17"/>
  <c r="K14" i="17"/>
  <c r="K15" i="17"/>
  <c r="K17" i="17"/>
  <c r="K19" i="17"/>
  <c r="K21" i="17"/>
  <c r="K26" i="17"/>
  <c r="A21" i="13"/>
  <c r="A22" i="13"/>
  <c r="A23" i="13"/>
  <c r="A24" i="13"/>
  <c r="A25" i="13"/>
  <c r="A26" i="13"/>
  <c r="A27" i="13"/>
  <c r="A28" i="13"/>
  <c r="P53" i="17" l="1"/>
  <c r="A66" i="14"/>
  <c r="E65" i="14"/>
  <c r="A65" i="14"/>
  <c r="E64" i="14"/>
  <c r="A64" i="14"/>
  <c r="A63" i="14"/>
  <c r="E19" i="8"/>
  <c r="E21" i="8" s="1"/>
  <c r="E18" i="8"/>
  <c r="E15" i="8"/>
  <c r="E16" i="8" s="1"/>
  <c r="E38" i="6"/>
  <c r="E39" i="6" s="1"/>
  <c r="E40" i="6" s="1"/>
  <c r="E27" i="6"/>
  <c r="E28" i="6" s="1"/>
  <c r="E26" i="6"/>
  <c r="E30" i="6" s="1"/>
  <c r="E31" i="6" s="1"/>
  <c r="E32" i="6" s="1"/>
  <c r="E22" i="6"/>
  <c r="E23" i="6" s="1"/>
  <c r="E24" i="6" s="1"/>
  <c r="E14" i="6"/>
  <c r="E18" i="6" s="1"/>
  <c r="E36" i="6" s="1"/>
  <c r="E45" i="5"/>
  <c r="E64" i="3"/>
  <c r="E63" i="3"/>
  <c r="N11" i="16"/>
  <c r="P11" i="16" s="1"/>
  <c r="I11" i="16"/>
  <c r="K11" i="16" s="1"/>
  <c r="E9" i="16"/>
  <c r="D9" i="16"/>
  <c r="U7" i="16"/>
  <c r="V7" i="16" s="1"/>
  <c r="D7" i="16"/>
  <c r="I7" i="16"/>
  <c r="E11" i="16"/>
  <c r="L11" i="16" s="1"/>
  <c r="I9" i="16"/>
  <c r="U8" i="16"/>
  <c r="S8" i="16"/>
  <c r="T8" i="16" s="1"/>
  <c r="Q8" i="16"/>
  <c r="I8" i="16"/>
  <c r="K8" i="16" s="1"/>
  <c r="C8" i="16"/>
  <c r="U6" i="16"/>
  <c r="V6" i="16" s="1"/>
  <c r="T6" i="16"/>
  <c r="Q6" i="16"/>
  <c r="I6" i="16"/>
  <c r="K6" i="16" s="1"/>
  <c r="C6" i="16"/>
  <c r="U5" i="16"/>
  <c r="V5" i="16" s="1"/>
  <c r="S5" i="16"/>
  <c r="T5" i="16" s="1"/>
  <c r="Q5" i="16"/>
  <c r="N5" i="16"/>
  <c r="P5" i="16" s="1"/>
  <c r="L5" i="16"/>
  <c r="I5" i="16"/>
  <c r="K5" i="16" s="1"/>
  <c r="C5" i="16"/>
  <c r="U4" i="16"/>
  <c r="V4" i="16" s="1"/>
  <c r="S4" i="16"/>
  <c r="Q4" i="16"/>
  <c r="N4" i="16"/>
  <c r="L4" i="16"/>
  <c r="I4" i="16"/>
  <c r="K4" i="16" s="1"/>
  <c r="C4" i="16"/>
  <c r="K3" i="16"/>
  <c r="J3" i="16"/>
  <c r="M4" i="16" l="1"/>
  <c r="Q7" i="16"/>
  <c r="C7" i="16"/>
  <c r="L9" i="16"/>
  <c r="O9" i="16" s="1"/>
  <c r="E10" i="16"/>
  <c r="E18" i="13"/>
  <c r="L63" i="3"/>
  <c r="N63" i="3"/>
  <c r="O63" i="3"/>
  <c r="M63" i="3"/>
  <c r="E65" i="3"/>
  <c r="L64" i="3"/>
  <c r="N64" i="3"/>
  <c r="O64" i="3"/>
  <c r="M64" i="3"/>
  <c r="E20" i="8"/>
  <c r="T7" i="16"/>
  <c r="N9" i="17"/>
  <c r="E22" i="2"/>
  <c r="E39" i="5"/>
  <c r="K9" i="16"/>
  <c r="S9" i="16"/>
  <c r="T9" i="16" s="1"/>
  <c r="U9" i="16"/>
  <c r="V9" i="16" s="1"/>
  <c r="P6" i="16"/>
  <c r="C9" i="16"/>
  <c r="J9" i="16" s="1"/>
  <c r="E15" i="6"/>
  <c r="E16" i="6" s="1"/>
  <c r="E17" i="6" s="1"/>
  <c r="E33" i="6"/>
  <c r="E25" i="6"/>
  <c r="M11" i="16"/>
  <c r="L7" i="16"/>
  <c r="O7" i="16" s="1"/>
  <c r="O11" i="16"/>
  <c r="J11" i="16"/>
  <c r="J8" i="16"/>
  <c r="Q9" i="16"/>
  <c r="Q12" i="16" s="1"/>
  <c r="E61" i="4" s="1"/>
  <c r="J7" i="16"/>
  <c r="K7" i="16"/>
  <c r="M5" i="16"/>
  <c r="J5" i="16"/>
  <c r="O8" i="16"/>
  <c r="J6" i="16"/>
  <c r="O6" i="16"/>
  <c r="J4" i="16"/>
  <c r="P4" i="16"/>
  <c r="O5" i="16"/>
  <c r="V8" i="16"/>
  <c r="T4" i="16"/>
  <c r="P8" i="16"/>
  <c r="O4" i="16"/>
  <c r="P63" i="3" l="1"/>
  <c r="P64" i="3"/>
  <c r="L65" i="3"/>
  <c r="O65" i="3"/>
  <c r="N65" i="3"/>
  <c r="M65" i="3"/>
  <c r="U12" i="16"/>
  <c r="E60" i="3" s="1"/>
  <c r="K12" i="16"/>
  <c r="V12" i="16"/>
  <c r="E61" i="3" s="1"/>
  <c r="E12" i="16"/>
  <c r="L12" i="16"/>
  <c r="E58" i="4" s="1"/>
  <c r="E35" i="6"/>
  <c r="E34" i="6"/>
  <c r="J12" i="16"/>
  <c r="O12" i="16"/>
  <c r="S12" i="16"/>
  <c r="E58" i="3" s="1"/>
  <c r="T12" i="16"/>
  <c r="E59" i="3" s="1"/>
  <c r="P65" i="3" l="1"/>
  <c r="E60" i="4"/>
  <c r="E15" i="4" s="1"/>
  <c r="E16" i="4" s="1"/>
  <c r="E17" i="4" s="1"/>
  <c r="E43" i="3"/>
  <c r="M43" i="3" s="1"/>
  <c r="E55" i="3"/>
  <c r="L55" i="3" s="1"/>
  <c r="N61" i="3"/>
  <c r="O61" i="3"/>
  <c r="L61" i="3"/>
  <c r="M61" i="3"/>
  <c r="N58" i="3"/>
  <c r="O58" i="3"/>
  <c r="L58" i="3"/>
  <c r="M58" i="3"/>
  <c r="L59" i="3"/>
  <c r="N59" i="3"/>
  <c r="O59" i="3"/>
  <c r="M59" i="3"/>
  <c r="O60" i="3"/>
  <c r="L60" i="3"/>
  <c r="N60" i="3"/>
  <c r="M60" i="3"/>
  <c r="A50" i="4"/>
  <c r="A51" i="4"/>
  <c r="A52" i="4"/>
  <c r="A53" i="4"/>
  <c r="A54" i="4"/>
  <c r="E49" i="4"/>
  <c r="A45" i="4"/>
  <c r="E43" i="4"/>
  <c r="E41" i="4"/>
  <c r="A43" i="4"/>
  <c r="A42" i="4"/>
  <c r="A41" i="4"/>
  <c r="A40" i="4"/>
  <c r="A39" i="4"/>
  <c r="E38" i="4"/>
  <c r="E39" i="4" s="1"/>
  <c r="A38" i="4"/>
  <c r="A37" i="4"/>
  <c r="E36" i="4"/>
  <c r="E31" i="4"/>
  <c r="E32" i="4" s="1"/>
  <c r="E35" i="4" s="1"/>
  <c r="E23" i="4"/>
  <c r="A22" i="4"/>
  <c r="E54" i="3"/>
  <c r="E53" i="3"/>
  <c r="E52" i="3"/>
  <c r="E51" i="3"/>
  <c r="E50" i="3"/>
  <c r="A53" i="3"/>
  <c r="A52" i="3"/>
  <c r="A51" i="3"/>
  <c r="A49" i="3"/>
  <c r="E31" i="3"/>
  <c r="E30" i="3"/>
  <c r="E33" i="4" l="1"/>
  <c r="M55" i="3"/>
  <c r="N55" i="3"/>
  <c r="O55" i="3"/>
  <c r="E47" i="3"/>
  <c r="N43" i="3"/>
  <c r="L43" i="3"/>
  <c r="E48" i="3"/>
  <c r="E46" i="3"/>
  <c r="O43" i="3"/>
  <c r="E44" i="3"/>
  <c r="E45" i="3"/>
  <c r="E56" i="3"/>
  <c r="E57" i="3"/>
  <c r="E40" i="4"/>
  <c r="E42" i="4"/>
  <c r="E24" i="4"/>
  <c r="E25" i="4" s="1"/>
  <c r="E27" i="4"/>
  <c r="E28" i="4"/>
  <c r="P59" i="3"/>
  <c r="L50" i="3"/>
  <c r="N50" i="3"/>
  <c r="O50" i="3"/>
  <c r="M50" i="3"/>
  <c r="L54" i="3"/>
  <c r="N54" i="3"/>
  <c r="O54" i="3"/>
  <c r="M54" i="3"/>
  <c r="P60" i="3"/>
  <c r="P58" i="3"/>
  <c r="P61" i="3"/>
  <c r="E18" i="3"/>
  <c r="O17" i="3"/>
  <c r="L17" i="3"/>
  <c r="N17" i="3"/>
  <c r="M17" i="3"/>
  <c r="L51" i="3"/>
  <c r="N51" i="3"/>
  <c r="O51" i="3"/>
  <c r="M51" i="3"/>
  <c r="E37" i="3"/>
  <c r="L33" i="3"/>
  <c r="N33" i="3"/>
  <c r="O33" i="3"/>
  <c r="M33" i="3"/>
  <c r="N30" i="3"/>
  <c r="M30" i="3"/>
  <c r="O30" i="3"/>
  <c r="L30" i="3"/>
  <c r="E32" i="3"/>
  <c r="N31" i="3"/>
  <c r="O31" i="3"/>
  <c r="L31" i="3"/>
  <c r="M31" i="3"/>
  <c r="N52" i="3"/>
  <c r="O52" i="3"/>
  <c r="L52" i="3"/>
  <c r="M52" i="3"/>
  <c r="N53" i="3"/>
  <c r="L53" i="3"/>
  <c r="O53" i="3"/>
  <c r="M53" i="3"/>
  <c r="E36" i="3"/>
  <c r="A19" i="5"/>
  <c r="A18" i="5"/>
  <c r="A20" i="5"/>
  <c r="A21" i="5"/>
  <c r="A22" i="5"/>
  <c r="A23" i="5"/>
  <c r="A24" i="5"/>
  <c r="A31" i="5"/>
  <c r="A33" i="5"/>
  <c r="A34" i="5"/>
  <c r="A35" i="5"/>
  <c r="E46" i="5"/>
  <c r="E44" i="5"/>
  <c r="A43" i="5"/>
  <c r="A20" i="13"/>
  <c r="E42" i="5"/>
  <c r="E41" i="5"/>
  <c r="E40" i="5"/>
  <c r="E16" i="13"/>
  <c r="A18" i="14"/>
  <c r="A50" i="14"/>
  <c r="A51" i="14"/>
  <c r="A52" i="14"/>
  <c r="A53" i="14"/>
  <c r="A54" i="14"/>
  <c r="A55" i="14"/>
  <c r="A56" i="14"/>
  <c r="A57" i="14"/>
  <c r="A58" i="14"/>
  <c r="A60" i="14"/>
  <c r="A61" i="14"/>
  <c r="A62" i="14"/>
  <c r="A67" i="14"/>
  <c r="A68" i="14"/>
  <c r="A17" i="14"/>
  <c r="A16" i="14"/>
  <c r="A15" i="14"/>
  <c r="A14" i="14"/>
  <c r="A29" i="13"/>
  <c r="A19" i="13"/>
  <c r="A18" i="13"/>
  <c r="A17" i="13"/>
  <c r="A16" i="13"/>
  <c r="A15" i="13"/>
  <c r="A14" i="13"/>
  <c r="A19" i="8"/>
  <c r="A20" i="8"/>
  <c r="A21" i="8"/>
  <c r="A18" i="8"/>
  <c r="A17" i="8"/>
  <c r="A16" i="8"/>
  <c r="A15" i="8"/>
  <c r="A14" i="8"/>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21" i="3"/>
  <c r="A22" i="3"/>
  <c r="A23" i="3"/>
  <c r="A24" i="3"/>
  <c r="A25" i="3"/>
  <c r="A27" i="3"/>
  <c r="A28" i="3"/>
  <c r="A29" i="3"/>
  <c r="A30" i="3"/>
  <c r="A31" i="3"/>
  <c r="A32" i="3"/>
  <c r="A33" i="3"/>
  <c r="A34" i="3"/>
  <c r="A35" i="3"/>
  <c r="A36" i="3"/>
  <c r="A37" i="3"/>
  <c r="A38" i="3"/>
  <c r="A39" i="3"/>
  <c r="A40" i="3"/>
  <c r="A41" i="3"/>
  <c r="A42" i="3"/>
  <c r="A43" i="3"/>
  <c r="A55" i="3"/>
  <c r="A56" i="3"/>
  <c r="A57" i="3"/>
  <c r="A58" i="3"/>
  <c r="A59" i="3"/>
  <c r="A60" i="3"/>
  <c r="A61" i="3"/>
  <c r="A62" i="3"/>
  <c r="A63" i="3"/>
  <c r="A64" i="3"/>
  <c r="A65" i="3"/>
  <c r="A66" i="3"/>
  <c r="A67" i="3"/>
  <c r="A68" i="3"/>
  <c r="A69" i="3"/>
  <c r="A70" i="3"/>
  <c r="A71" i="3"/>
  <c r="A72" i="3"/>
  <c r="A73" i="3"/>
  <c r="A18" i="3"/>
  <c r="A17" i="3"/>
  <c r="A16" i="3"/>
  <c r="A15" i="3"/>
  <c r="A14" i="3"/>
  <c r="A19" i="4"/>
  <c r="A20" i="4"/>
  <c r="A21" i="4"/>
  <c r="A23" i="4"/>
  <c r="A24" i="4"/>
  <c r="A25" i="4"/>
  <c r="A26" i="4"/>
  <c r="A27" i="4"/>
  <c r="A28" i="4"/>
  <c r="A29" i="4"/>
  <c r="A30" i="4"/>
  <c r="A31" i="4"/>
  <c r="A32" i="4"/>
  <c r="A33" i="4"/>
  <c r="A34" i="4"/>
  <c r="A35" i="4"/>
  <c r="A36" i="4"/>
  <c r="A44" i="4"/>
  <c r="A46" i="4"/>
  <c r="A47" i="4"/>
  <c r="A63" i="4"/>
  <c r="A64" i="4"/>
  <c r="A65" i="4"/>
  <c r="A66" i="4"/>
  <c r="A67" i="4"/>
  <c r="A68" i="4"/>
  <c r="A18" i="4"/>
  <c r="A17" i="4"/>
  <c r="A16" i="4"/>
  <c r="A15" i="4"/>
  <c r="A14" i="4"/>
  <c r="A45" i="5"/>
  <c r="A46" i="5"/>
  <c r="A47" i="5"/>
  <c r="A42" i="5"/>
  <c r="A41" i="5"/>
  <c r="A40" i="5"/>
  <c r="A39" i="5"/>
  <c r="A38" i="5"/>
  <c r="A17" i="5"/>
  <c r="A15" i="5"/>
  <c r="A14" i="5"/>
  <c r="E15" i="5"/>
  <c r="P55" i="3" l="1"/>
  <c r="P43" i="3"/>
  <c r="P30" i="3"/>
  <c r="P33" i="3"/>
  <c r="P54" i="3"/>
  <c r="P50" i="3"/>
  <c r="N36" i="3"/>
  <c r="O36" i="3"/>
  <c r="M36" i="3"/>
  <c r="L36" i="3"/>
  <c r="P53" i="3"/>
  <c r="P52" i="3"/>
  <c r="P31" i="3"/>
  <c r="L32" i="3"/>
  <c r="N32" i="3"/>
  <c r="O32" i="3"/>
  <c r="M32" i="3"/>
  <c r="L37" i="3"/>
  <c r="O37" i="3"/>
  <c r="N37" i="3"/>
  <c r="M37" i="3"/>
  <c r="P51" i="3"/>
  <c r="P17" i="3"/>
  <c r="O18" i="3"/>
  <c r="N18" i="3"/>
  <c r="E19" i="3"/>
  <c r="L18" i="3"/>
  <c r="M18" i="3"/>
  <c r="E47" i="5"/>
  <c r="E50" i="4"/>
  <c r="E19" i="13"/>
  <c r="E42" i="3"/>
  <c r="E41" i="3"/>
  <c r="E40" i="3"/>
  <c r="E39" i="3"/>
  <c r="E38" i="3"/>
  <c r="P32" i="3" l="1"/>
  <c r="E51" i="4"/>
  <c r="E53" i="4"/>
  <c r="P36" i="3"/>
  <c r="P37" i="3"/>
  <c r="O57" i="3"/>
  <c r="N57" i="3"/>
  <c r="L57" i="3"/>
  <c r="M57" i="3"/>
  <c r="O47" i="3"/>
  <c r="L47" i="3"/>
  <c r="N47" i="3"/>
  <c r="M47" i="3"/>
  <c r="O39" i="3"/>
  <c r="L39" i="3"/>
  <c r="N39" i="3"/>
  <c r="M39" i="3"/>
  <c r="L41" i="3"/>
  <c r="N41" i="3"/>
  <c r="O41" i="3"/>
  <c r="M41" i="3"/>
  <c r="N19" i="3"/>
  <c r="O19" i="3"/>
  <c r="L19" i="3"/>
  <c r="M19" i="3"/>
  <c r="L42" i="3"/>
  <c r="N42" i="3"/>
  <c r="O42" i="3"/>
  <c r="M42" i="3"/>
  <c r="O48" i="3"/>
  <c r="L48" i="3"/>
  <c r="N48" i="3"/>
  <c r="M48" i="3"/>
  <c r="P18" i="3"/>
  <c r="N40" i="3"/>
  <c r="O40" i="3"/>
  <c r="L40" i="3"/>
  <c r="M40" i="3"/>
  <c r="O38" i="3"/>
  <c r="L38" i="3"/>
  <c r="N38" i="3"/>
  <c r="M38" i="3"/>
  <c r="E54" i="4"/>
  <c r="P19" i="3" l="1"/>
  <c r="P48" i="3"/>
  <c r="P39" i="3"/>
  <c r="P42" i="3"/>
  <c r="P41" i="3"/>
  <c r="P57" i="3"/>
  <c r="P47" i="3"/>
  <c r="O56" i="3"/>
  <c r="L56" i="3"/>
  <c r="N56" i="3"/>
  <c r="M56" i="3"/>
  <c r="P38" i="3"/>
  <c r="P40" i="3"/>
  <c r="E35" i="3"/>
  <c r="E34" i="3"/>
  <c r="O35" i="3" l="1"/>
  <c r="L35" i="3"/>
  <c r="N35" i="3"/>
  <c r="M35" i="3"/>
  <c r="O44" i="3"/>
  <c r="L44" i="3"/>
  <c r="N44" i="3"/>
  <c r="M44" i="3"/>
  <c r="M45" i="3"/>
  <c r="L45" i="3"/>
  <c r="N45" i="3"/>
  <c r="O45" i="3"/>
  <c r="L34" i="3"/>
  <c r="N34" i="3"/>
  <c r="O34" i="3"/>
  <c r="M34" i="3"/>
  <c r="L46" i="3"/>
  <c r="N46" i="3"/>
  <c r="O46" i="3"/>
  <c r="M46" i="3"/>
  <c r="P56" i="3"/>
  <c r="C23" i="2"/>
  <c r="C21" i="2"/>
  <c r="C20" i="2"/>
  <c r="C19" i="2"/>
  <c r="H16" i="15"/>
  <c r="M16" i="15" s="1"/>
  <c r="L16" i="15"/>
  <c r="N16" i="15"/>
  <c r="O16" i="15"/>
  <c r="H17" i="15"/>
  <c r="K17" i="15" s="1"/>
  <c r="L17" i="15"/>
  <c r="N17" i="15"/>
  <c r="O17" i="15"/>
  <c r="H18" i="15"/>
  <c r="K18" i="15" s="1"/>
  <c r="L18" i="15"/>
  <c r="N18" i="15"/>
  <c r="O18" i="15"/>
  <c r="H19" i="15"/>
  <c r="M19" i="15" s="1"/>
  <c r="L19" i="15"/>
  <c r="N19" i="15"/>
  <c r="O19" i="15"/>
  <c r="H20" i="15"/>
  <c r="M20" i="15" s="1"/>
  <c r="L20" i="15"/>
  <c r="N20" i="15"/>
  <c r="O20" i="15"/>
  <c r="H21" i="15"/>
  <c r="K21" i="15" s="1"/>
  <c r="L21" i="15"/>
  <c r="N21" i="15"/>
  <c r="O21" i="15"/>
  <c r="H36" i="15"/>
  <c r="K36" i="15" s="1"/>
  <c r="L36" i="15"/>
  <c r="N36" i="15"/>
  <c r="O36" i="15"/>
  <c r="H37" i="15"/>
  <c r="K37" i="15" s="1"/>
  <c r="L37" i="15"/>
  <c r="N37" i="15"/>
  <c r="O37" i="15"/>
  <c r="H38" i="15"/>
  <c r="M38" i="15" s="1"/>
  <c r="L38" i="15"/>
  <c r="N38" i="15"/>
  <c r="O38" i="15"/>
  <c r="H39" i="15"/>
  <c r="K39" i="15" s="1"/>
  <c r="L39" i="15"/>
  <c r="N39" i="15"/>
  <c r="O39" i="15"/>
  <c r="H40" i="15"/>
  <c r="K40" i="15" s="1"/>
  <c r="L40" i="15"/>
  <c r="N40" i="15"/>
  <c r="O40" i="15"/>
  <c r="H41" i="15"/>
  <c r="M41" i="15" s="1"/>
  <c r="L41" i="15"/>
  <c r="N41" i="15"/>
  <c r="O41" i="15"/>
  <c r="H42" i="15"/>
  <c r="M42" i="15" s="1"/>
  <c r="L42" i="15"/>
  <c r="N42" i="15"/>
  <c r="O42" i="15"/>
  <c r="H16" i="14"/>
  <c r="K16" i="14" s="1"/>
  <c r="L16" i="14"/>
  <c r="N16" i="14"/>
  <c r="O16" i="14"/>
  <c r="H17" i="14"/>
  <c r="K17" i="14" s="1"/>
  <c r="L17" i="14"/>
  <c r="N17" i="14"/>
  <c r="O17" i="14"/>
  <c r="H18" i="14"/>
  <c r="K18" i="14" s="1"/>
  <c r="L18" i="14"/>
  <c r="N18" i="14"/>
  <c r="O18" i="14"/>
  <c r="H38" i="14"/>
  <c r="K38" i="14" s="1"/>
  <c r="L38" i="14"/>
  <c r="N38" i="14"/>
  <c r="O38" i="14"/>
  <c r="H39" i="14"/>
  <c r="K39" i="14" s="1"/>
  <c r="L39" i="14"/>
  <c r="N39" i="14"/>
  <c r="O39" i="14"/>
  <c r="H40" i="14"/>
  <c r="M40" i="14" s="1"/>
  <c r="L40" i="14"/>
  <c r="N40" i="14"/>
  <c r="O40" i="14"/>
  <c r="H49" i="14"/>
  <c r="K49" i="14" s="1"/>
  <c r="L49" i="14"/>
  <c r="N49" i="14"/>
  <c r="O49" i="14"/>
  <c r="H50" i="14"/>
  <c r="K50" i="14" s="1"/>
  <c r="L50" i="14"/>
  <c r="N50" i="14"/>
  <c r="O50" i="14"/>
  <c r="H51" i="14"/>
  <c r="M51" i="14" s="1"/>
  <c r="L51" i="14"/>
  <c r="N51" i="14"/>
  <c r="O51" i="14"/>
  <c r="H52" i="14"/>
  <c r="K52" i="14" s="1"/>
  <c r="L52" i="14"/>
  <c r="N52" i="14"/>
  <c r="O52" i="14"/>
  <c r="H53" i="14"/>
  <c r="K53" i="14" s="1"/>
  <c r="L53" i="14"/>
  <c r="N53" i="14"/>
  <c r="O53" i="14"/>
  <c r="H54" i="14"/>
  <c r="M54" i="14" s="1"/>
  <c r="L54" i="14"/>
  <c r="N54" i="14"/>
  <c r="O54" i="14"/>
  <c r="H55" i="14"/>
  <c r="K55" i="14" s="1"/>
  <c r="L55" i="14"/>
  <c r="N55" i="14"/>
  <c r="O55" i="14"/>
  <c r="H56" i="14"/>
  <c r="K56" i="14" s="1"/>
  <c r="L56" i="14"/>
  <c r="N56" i="14"/>
  <c r="O56" i="14"/>
  <c r="H57" i="14"/>
  <c r="K57" i="14" s="1"/>
  <c r="L57" i="14"/>
  <c r="N57" i="14"/>
  <c r="O57" i="14"/>
  <c r="H58" i="14"/>
  <c r="M58" i="14" s="1"/>
  <c r="L58" i="14"/>
  <c r="N58" i="14"/>
  <c r="O58" i="14"/>
  <c r="H60" i="14"/>
  <c r="M60" i="14" s="1"/>
  <c r="L60" i="14"/>
  <c r="N60" i="14"/>
  <c r="O60" i="14"/>
  <c r="H61" i="14"/>
  <c r="K61" i="14" s="1"/>
  <c r="L61" i="14"/>
  <c r="N61" i="14"/>
  <c r="O61" i="14"/>
  <c r="H62" i="14"/>
  <c r="K62" i="14" s="1"/>
  <c r="L62" i="14"/>
  <c r="N62" i="14"/>
  <c r="O62" i="14"/>
  <c r="H67" i="14"/>
  <c r="K67" i="14" s="1"/>
  <c r="L67" i="14"/>
  <c r="N67" i="14"/>
  <c r="O67" i="14"/>
  <c r="H68" i="14"/>
  <c r="K68" i="14" s="1"/>
  <c r="L68" i="14"/>
  <c r="N68" i="14"/>
  <c r="O68" i="14"/>
  <c r="H17" i="6"/>
  <c r="K17" i="6" s="1"/>
  <c r="L17" i="6"/>
  <c r="N17" i="6"/>
  <c r="O17" i="6"/>
  <c r="H18" i="6"/>
  <c r="M18" i="6" s="1"/>
  <c r="L18" i="6"/>
  <c r="N18" i="6"/>
  <c r="O18" i="6"/>
  <c r="H19" i="6"/>
  <c r="M19" i="6" s="1"/>
  <c r="L19" i="6"/>
  <c r="N19" i="6"/>
  <c r="O19" i="6"/>
  <c r="H20" i="6"/>
  <c r="K20" i="6" s="1"/>
  <c r="L20" i="6"/>
  <c r="N20" i="6"/>
  <c r="O20" i="6"/>
  <c r="H21" i="6"/>
  <c r="M21" i="6" s="1"/>
  <c r="L21" i="6"/>
  <c r="N21" i="6"/>
  <c r="O21" i="6"/>
  <c r="H22" i="6"/>
  <c r="M22" i="6" s="1"/>
  <c r="L22" i="6"/>
  <c r="N22" i="6"/>
  <c r="O22" i="6"/>
  <c r="H23" i="6"/>
  <c r="K23" i="6" s="1"/>
  <c r="L23" i="6"/>
  <c r="N23" i="6"/>
  <c r="O23" i="6"/>
  <c r="H24" i="6"/>
  <c r="M24" i="6" s="1"/>
  <c r="L24" i="6"/>
  <c r="N24" i="6"/>
  <c r="O24" i="6"/>
  <c r="H25" i="6"/>
  <c r="K25" i="6" s="1"/>
  <c r="L25" i="6"/>
  <c r="N25" i="6"/>
  <c r="O25" i="6"/>
  <c r="H26" i="6"/>
  <c r="M26" i="6" s="1"/>
  <c r="L26" i="6"/>
  <c r="N26" i="6"/>
  <c r="O26" i="6"/>
  <c r="H27" i="6"/>
  <c r="K27" i="6" s="1"/>
  <c r="L27" i="6"/>
  <c r="N27" i="6"/>
  <c r="O27" i="6"/>
  <c r="H28" i="6"/>
  <c r="K28" i="6" s="1"/>
  <c r="L28" i="6"/>
  <c r="N28" i="6"/>
  <c r="O28" i="6"/>
  <c r="H29" i="6"/>
  <c r="K29" i="6" s="1"/>
  <c r="L29" i="6"/>
  <c r="N29" i="6"/>
  <c r="O29" i="6"/>
  <c r="H30" i="6"/>
  <c r="M30" i="6" s="1"/>
  <c r="L30" i="6"/>
  <c r="N30" i="6"/>
  <c r="O30" i="6"/>
  <c r="H31" i="6"/>
  <c r="K31" i="6" s="1"/>
  <c r="L31" i="6"/>
  <c r="N31" i="6"/>
  <c r="O31" i="6"/>
  <c r="H32" i="6"/>
  <c r="M32" i="6" s="1"/>
  <c r="L32" i="6"/>
  <c r="N32" i="6"/>
  <c r="O32" i="6"/>
  <c r="H33" i="6"/>
  <c r="K33" i="6" s="1"/>
  <c r="L33" i="6"/>
  <c r="N33" i="6"/>
  <c r="O33" i="6"/>
  <c r="H34" i="6"/>
  <c r="K34" i="6" s="1"/>
  <c r="L34" i="6"/>
  <c r="N34" i="6"/>
  <c r="O34" i="6"/>
  <c r="H35" i="6"/>
  <c r="K35" i="6" s="1"/>
  <c r="L35" i="6"/>
  <c r="N35" i="6"/>
  <c r="O35" i="6"/>
  <c r="H36" i="6"/>
  <c r="M36" i="6" s="1"/>
  <c r="L36" i="6"/>
  <c r="N36" i="6"/>
  <c r="O36" i="6"/>
  <c r="H37" i="6"/>
  <c r="K37" i="6" s="1"/>
  <c r="L37" i="6"/>
  <c r="N37" i="6"/>
  <c r="O37" i="6"/>
  <c r="H38" i="6"/>
  <c r="K38" i="6" s="1"/>
  <c r="L38" i="6"/>
  <c r="N38" i="6"/>
  <c r="O38" i="6"/>
  <c r="H39" i="6"/>
  <c r="M39" i="6" s="1"/>
  <c r="L39" i="6"/>
  <c r="N39" i="6"/>
  <c r="O39" i="6"/>
  <c r="H40" i="6"/>
  <c r="K40" i="6" s="1"/>
  <c r="L40" i="6"/>
  <c r="N40" i="6"/>
  <c r="O40" i="6"/>
  <c r="H41" i="6"/>
  <c r="K41" i="6" s="1"/>
  <c r="L41" i="6"/>
  <c r="N41" i="6"/>
  <c r="O41" i="6"/>
  <c r="H14" i="6"/>
  <c r="K14" i="6" s="1"/>
  <c r="H15" i="6"/>
  <c r="K15" i="6" s="1"/>
  <c r="H16" i="6"/>
  <c r="K16" i="6" s="1"/>
  <c r="H19" i="5"/>
  <c r="H18" i="5"/>
  <c r="H20" i="5"/>
  <c r="H21" i="5"/>
  <c r="H22" i="5"/>
  <c r="H23" i="5"/>
  <c r="H24" i="5"/>
  <c r="H31" i="5"/>
  <c r="K31" i="5" s="1"/>
  <c r="L31" i="5"/>
  <c r="N31" i="5"/>
  <c r="O31" i="5"/>
  <c r="H33" i="5"/>
  <c r="K33" i="5" s="1"/>
  <c r="L33" i="5"/>
  <c r="N33" i="5"/>
  <c r="O33" i="5"/>
  <c r="H34" i="5"/>
  <c r="M34" i="5" s="1"/>
  <c r="L34" i="5"/>
  <c r="N34" i="5"/>
  <c r="O34" i="5"/>
  <c r="H35" i="5"/>
  <c r="K35" i="5" s="1"/>
  <c r="L35" i="5"/>
  <c r="N35" i="5"/>
  <c r="O35" i="5"/>
  <c r="H38" i="5"/>
  <c r="M38" i="5" s="1"/>
  <c r="L38" i="5"/>
  <c r="N38" i="5"/>
  <c r="O38" i="5"/>
  <c r="H39" i="5"/>
  <c r="K39" i="5" s="1"/>
  <c r="L39" i="5"/>
  <c r="N39" i="5"/>
  <c r="O39" i="5"/>
  <c r="H40" i="5"/>
  <c r="K40" i="5" s="1"/>
  <c r="L40" i="5"/>
  <c r="N40" i="5"/>
  <c r="O40" i="5"/>
  <c r="H41" i="5"/>
  <c r="K41" i="5" s="1"/>
  <c r="L41" i="5"/>
  <c r="N41" i="5"/>
  <c r="O41" i="5"/>
  <c r="H42" i="5"/>
  <c r="K42" i="5" s="1"/>
  <c r="L42" i="5"/>
  <c r="N42" i="5"/>
  <c r="O42" i="5"/>
  <c r="H45" i="5"/>
  <c r="M45" i="5" s="1"/>
  <c r="L45" i="5"/>
  <c r="N45" i="5"/>
  <c r="O45" i="5"/>
  <c r="H46" i="5"/>
  <c r="K46" i="5" s="1"/>
  <c r="L46" i="5"/>
  <c r="N46" i="5"/>
  <c r="O46" i="5"/>
  <c r="H47" i="5"/>
  <c r="M47" i="5" s="1"/>
  <c r="L47" i="5"/>
  <c r="N47" i="5"/>
  <c r="O47" i="5"/>
  <c r="P35" i="3" l="1"/>
  <c r="P34" i="3"/>
  <c r="P46" i="3"/>
  <c r="P44" i="3"/>
  <c r="P45" i="3"/>
  <c r="M61" i="14"/>
  <c r="P61" i="14" s="1"/>
  <c r="M17" i="14"/>
  <c r="P17" i="14" s="1"/>
  <c r="M29" i="6"/>
  <c r="P29" i="6" s="1"/>
  <c r="P19" i="6"/>
  <c r="K30" i="6"/>
  <c r="K21" i="6"/>
  <c r="K26" i="6"/>
  <c r="K36" i="6"/>
  <c r="K22" i="6"/>
  <c r="K18" i="6"/>
  <c r="K54" i="14"/>
  <c r="K39" i="6"/>
  <c r="M27" i="6"/>
  <c r="P27" i="6" s="1"/>
  <c r="K19" i="6"/>
  <c r="M28" i="6"/>
  <c r="P28" i="6" s="1"/>
  <c r="M37" i="6"/>
  <c r="P37" i="6" s="1"/>
  <c r="K60" i="14"/>
  <c r="P18" i="6"/>
  <c r="M34" i="6"/>
  <c r="P34" i="6" s="1"/>
  <c r="K24" i="6"/>
  <c r="K45" i="5"/>
  <c r="M57" i="14"/>
  <c r="P57" i="14" s="1"/>
  <c r="M49" i="14"/>
  <c r="P49" i="14" s="1"/>
  <c r="P60" i="14"/>
  <c r="M67" i="14"/>
  <c r="P67" i="14" s="1"/>
  <c r="M18" i="14"/>
  <c r="P18" i="14" s="1"/>
  <c r="K42" i="15"/>
  <c r="M36" i="15"/>
  <c r="P36" i="15" s="1"/>
  <c r="K20" i="15"/>
  <c r="K47" i="5"/>
  <c r="K34" i="5"/>
  <c r="M42" i="5"/>
  <c r="P42" i="5" s="1"/>
  <c r="M40" i="5"/>
  <c r="P40" i="5" s="1"/>
  <c r="P41" i="15"/>
  <c r="P19" i="15"/>
  <c r="M40" i="15"/>
  <c r="P40" i="15" s="1"/>
  <c r="M21" i="15"/>
  <c r="P21" i="15" s="1"/>
  <c r="M18" i="15"/>
  <c r="P18" i="15" s="1"/>
  <c r="K38" i="15"/>
  <c r="K16" i="15"/>
  <c r="P42" i="15"/>
  <c r="P20" i="15"/>
  <c r="P38" i="15"/>
  <c r="P16" i="15"/>
  <c r="K41" i="15"/>
  <c r="K19" i="15"/>
  <c r="M37" i="15"/>
  <c r="P37" i="15" s="1"/>
  <c r="M39" i="15"/>
  <c r="P39" i="15" s="1"/>
  <c r="M17" i="15"/>
  <c r="P17" i="15" s="1"/>
  <c r="K51" i="14"/>
  <c r="K40" i="14"/>
  <c r="M55" i="14"/>
  <c r="P55" i="14" s="1"/>
  <c r="M52" i="14"/>
  <c r="P52" i="14" s="1"/>
  <c r="M50" i="14"/>
  <c r="P50" i="14" s="1"/>
  <c r="M68" i="14"/>
  <c r="P68" i="14" s="1"/>
  <c r="K58" i="14"/>
  <c r="P40" i="14"/>
  <c r="M38" i="14"/>
  <c r="P38" i="14" s="1"/>
  <c r="M56" i="14"/>
  <c r="P56" i="14" s="1"/>
  <c r="P51" i="14"/>
  <c r="P54" i="14"/>
  <c r="P58" i="14"/>
  <c r="M16" i="14"/>
  <c r="P16" i="14" s="1"/>
  <c r="M62" i="14"/>
  <c r="P62" i="14" s="1"/>
  <c r="M53" i="14"/>
  <c r="P53" i="14" s="1"/>
  <c r="M39" i="14"/>
  <c r="P39" i="14" s="1"/>
  <c r="P36" i="6"/>
  <c r="M35" i="6"/>
  <c r="P35" i="6" s="1"/>
  <c r="M20" i="6"/>
  <c r="P20" i="6" s="1"/>
  <c r="K32" i="6"/>
  <c r="P39" i="6"/>
  <c r="P24" i="6"/>
  <c r="P30" i="6"/>
  <c r="P32" i="6"/>
  <c r="P26" i="6"/>
  <c r="P21" i="6"/>
  <c r="P22" i="6"/>
  <c r="M41" i="6"/>
  <c r="P41" i="6" s="1"/>
  <c r="M38" i="6"/>
  <c r="P38" i="6" s="1"/>
  <c r="M31" i="6"/>
  <c r="P31" i="6" s="1"/>
  <c r="M23" i="6"/>
  <c r="P23" i="6" s="1"/>
  <c r="M40" i="6"/>
  <c r="P40" i="6" s="1"/>
  <c r="M33" i="6"/>
  <c r="P33" i="6" s="1"/>
  <c r="M25" i="6"/>
  <c r="P25" i="6" s="1"/>
  <c r="M17" i="6"/>
  <c r="P17" i="6" s="1"/>
  <c r="P34" i="5"/>
  <c r="M35" i="5"/>
  <c r="P35" i="5" s="1"/>
  <c r="M31" i="5"/>
  <c r="P31" i="5" s="1"/>
  <c r="K38" i="5"/>
  <c r="P47" i="5"/>
  <c r="P38" i="5"/>
  <c r="P45" i="5"/>
  <c r="M46" i="5"/>
  <c r="P46" i="5" s="1"/>
  <c r="M39" i="5"/>
  <c r="P39" i="5" s="1"/>
  <c r="M41" i="5"/>
  <c r="P41" i="5" s="1"/>
  <c r="M33" i="5"/>
  <c r="P33" i="5" s="1"/>
  <c r="C54" i="15"/>
  <c r="C46" i="15"/>
  <c r="O15" i="15"/>
  <c r="N15" i="15"/>
  <c r="L15" i="15"/>
  <c r="H15" i="15"/>
  <c r="M15" i="15" s="1"/>
  <c r="O14" i="15"/>
  <c r="N14" i="15"/>
  <c r="L14" i="15"/>
  <c r="H14" i="15"/>
  <c r="M14" i="15" s="1"/>
  <c r="C80" i="14"/>
  <c r="C72" i="14"/>
  <c r="O15" i="14"/>
  <c r="N15" i="14"/>
  <c r="L15" i="14"/>
  <c r="H15" i="14"/>
  <c r="K15" i="14" s="1"/>
  <c r="O14" i="14"/>
  <c r="N14" i="14"/>
  <c r="L14" i="14"/>
  <c r="H14" i="14"/>
  <c r="M14" i="14" s="1"/>
  <c r="L69" i="14" l="1"/>
  <c r="I21" i="2" s="1"/>
  <c r="M43" i="15"/>
  <c r="P15" i="15"/>
  <c r="N43" i="15"/>
  <c r="L43" i="15"/>
  <c r="O43" i="15"/>
  <c r="K15" i="15"/>
  <c r="O69" i="14"/>
  <c r="H21" i="2" s="1"/>
  <c r="N69" i="14"/>
  <c r="G21" i="2" s="1"/>
  <c r="P14" i="15"/>
  <c r="K14" i="15"/>
  <c r="P14" i="14"/>
  <c r="K14" i="14"/>
  <c r="M15" i="14"/>
  <c r="P15" i="14" s="1"/>
  <c r="P43" i="15" l="1"/>
  <c r="M69" i="14"/>
  <c r="F21" i="2" s="1"/>
  <c r="P69" i="14"/>
  <c r="N9" i="14" l="1"/>
  <c r="E21" i="2"/>
  <c r="N9" i="15"/>
  <c r="E23" i="2"/>
  <c r="H15" i="8"/>
  <c r="M15" i="8" s="1"/>
  <c r="L15" i="8"/>
  <c r="N15" i="8"/>
  <c r="O15" i="8"/>
  <c r="H16" i="8"/>
  <c r="K16" i="8" s="1"/>
  <c r="L16" i="8"/>
  <c r="N16" i="8"/>
  <c r="O16" i="8"/>
  <c r="H17" i="8"/>
  <c r="K17" i="8" s="1"/>
  <c r="L17" i="8"/>
  <c r="N17" i="8"/>
  <c r="O17" i="8"/>
  <c r="H18" i="8"/>
  <c r="M18" i="8" s="1"/>
  <c r="L18" i="8"/>
  <c r="N18" i="8"/>
  <c r="O18" i="8"/>
  <c r="H19" i="8"/>
  <c r="K19" i="8" s="1"/>
  <c r="L19" i="8"/>
  <c r="N19" i="8"/>
  <c r="O19" i="8"/>
  <c r="H20" i="8"/>
  <c r="K20" i="8" s="1"/>
  <c r="L20" i="8"/>
  <c r="N20" i="8"/>
  <c r="O20" i="8"/>
  <c r="H21" i="8"/>
  <c r="K21" i="8" s="1"/>
  <c r="L21" i="8"/>
  <c r="N21" i="8"/>
  <c r="O21" i="8"/>
  <c r="C60" i="13"/>
  <c r="C52" i="13"/>
  <c r="O32" i="13"/>
  <c r="N32" i="13"/>
  <c r="L32" i="13"/>
  <c r="H32" i="13"/>
  <c r="M32" i="13" s="1"/>
  <c r="O31" i="13"/>
  <c r="N31" i="13"/>
  <c r="L31" i="13"/>
  <c r="H31" i="13"/>
  <c r="M31" i="13" s="1"/>
  <c r="O30" i="13"/>
  <c r="N30" i="13"/>
  <c r="L30" i="13"/>
  <c r="H30" i="13"/>
  <c r="K30" i="13" s="1"/>
  <c r="O29" i="13"/>
  <c r="N29" i="13"/>
  <c r="L29" i="13"/>
  <c r="H29" i="13"/>
  <c r="M29" i="13" s="1"/>
  <c r="O28" i="13"/>
  <c r="N28" i="13"/>
  <c r="L28" i="13"/>
  <c r="H28" i="13"/>
  <c r="M28" i="13" s="1"/>
  <c r="O19" i="13"/>
  <c r="N19" i="13"/>
  <c r="L19" i="13"/>
  <c r="H19" i="13"/>
  <c r="M19" i="13" s="1"/>
  <c r="O18" i="13"/>
  <c r="N18" i="13"/>
  <c r="L18" i="13"/>
  <c r="H18" i="13"/>
  <c r="M18" i="13" s="1"/>
  <c r="O17" i="13"/>
  <c r="N17" i="13"/>
  <c r="L17" i="13"/>
  <c r="H17" i="13"/>
  <c r="M17" i="13" s="1"/>
  <c r="O16" i="13"/>
  <c r="N16" i="13"/>
  <c r="L16" i="13"/>
  <c r="H16" i="13"/>
  <c r="K16" i="13" s="1"/>
  <c r="O15" i="13"/>
  <c r="N15" i="13"/>
  <c r="L15" i="13"/>
  <c r="H15" i="13"/>
  <c r="K15" i="13" s="1"/>
  <c r="O14" i="13"/>
  <c r="N14" i="13"/>
  <c r="L14" i="13"/>
  <c r="H14" i="13"/>
  <c r="M14" i="13" s="1"/>
  <c r="M14" i="6"/>
  <c r="L14" i="6"/>
  <c r="N14" i="6"/>
  <c r="O14" i="6"/>
  <c r="M15" i="6"/>
  <c r="L15" i="6"/>
  <c r="N15" i="6"/>
  <c r="O15" i="6"/>
  <c r="L16" i="6"/>
  <c r="M16" i="6"/>
  <c r="N16" i="6"/>
  <c r="O16" i="6"/>
  <c r="H15" i="4"/>
  <c r="K15" i="4" s="1"/>
  <c r="L15" i="4"/>
  <c r="N15" i="4"/>
  <c r="O15" i="4"/>
  <c r="H16" i="4"/>
  <c r="K16" i="4" s="1"/>
  <c r="L16" i="4"/>
  <c r="N16" i="4"/>
  <c r="O16" i="4"/>
  <c r="H17" i="4"/>
  <c r="M17" i="4" s="1"/>
  <c r="L17" i="4"/>
  <c r="N17" i="4"/>
  <c r="O17" i="4"/>
  <c r="H18" i="4"/>
  <c r="K18" i="4" s="1"/>
  <c r="L18" i="4"/>
  <c r="N18" i="4"/>
  <c r="O18" i="4"/>
  <c r="H19" i="4"/>
  <c r="K19" i="4" s="1"/>
  <c r="L19" i="4"/>
  <c r="N19" i="4"/>
  <c r="O19" i="4"/>
  <c r="H20" i="4"/>
  <c r="K20" i="4" s="1"/>
  <c r="L20" i="4"/>
  <c r="N20" i="4"/>
  <c r="O20" i="4"/>
  <c r="H21" i="4"/>
  <c r="K21" i="4" s="1"/>
  <c r="L21" i="4"/>
  <c r="N21" i="4"/>
  <c r="O21" i="4"/>
  <c r="H23" i="4"/>
  <c r="K23" i="4" s="1"/>
  <c r="L23" i="4"/>
  <c r="N23" i="4"/>
  <c r="O23" i="4"/>
  <c r="H24" i="4"/>
  <c r="M24" i="4" s="1"/>
  <c r="L24" i="4"/>
  <c r="N24" i="4"/>
  <c r="O24" i="4"/>
  <c r="H25" i="4"/>
  <c r="K25" i="4" s="1"/>
  <c r="L25" i="4"/>
  <c r="N25" i="4"/>
  <c r="O25" i="4"/>
  <c r="H26" i="4"/>
  <c r="M26" i="4" s="1"/>
  <c r="L26" i="4"/>
  <c r="N26" i="4"/>
  <c r="O26" i="4"/>
  <c r="H27" i="4"/>
  <c r="K27" i="4" s="1"/>
  <c r="L27" i="4"/>
  <c r="N27" i="4"/>
  <c r="O27" i="4"/>
  <c r="H28" i="4"/>
  <c r="K28" i="4" s="1"/>
  <c r="L28" i="4"/>
  <c r="N28" i="4"/>
  <c r="O28" i="4"/>
  <c r="H29" i="4"/>
  <c r="M29" i="4" s="1"/>
  <c r="L29" i="4"/>
  <c r="N29" i="4"/>
  <c r="O29" i="4"/>
  <c r="H30" i="4"/>
  <c r="K30" i="4" s="1"/>
  <c r="L30" i="4"/>
  <c r="N30" i="4"/>
  <c r="O30" i="4"/>
  <c r="H31" i="4"/>
  <c r="M31" i="4" s="1"/>
  <c r="L31" i="4"/>
  <c r="N31" i="4"/>
  <c r="O31" i="4"/>
  <c r="H32" i="4"/>
  <c r="K32" i="4" s="1"/>
  <c r="L32" i="4"/>
  <c r="N32" i="4"/>
  <c r="O32" i="4"/>
  <c r="H33" i="4"/>
  <c r="K33" i="4" s="1"/>
  <c r="L33" i="4"/>
  <c r="N33" i="4"/>
  <c r="O33" i="4"/>
  <c r="H35" i="4"/>
  <c r="M35" i="4" s="1"/>
  <c r="L35" i="4"/>
  <c r="N35" i="4"/>
  <c r="O35" i="4"/>
  <c r="H36" i="4"/>
  <c r="K36" i="4" s="1"/>
  <c r="L36" i="4"/>
  <c r="N36" i="4"/>
  <c r="O36" i="4"/>
  <c r="H44" i="4"/>
  <c r="K44" i="4" s="1"/>
  <c r="L44" i="4"/>
  <c r="N44" i="4"/>
  <c r="O44" i="4"/>
  <c r="H46" i="4"/>
  <c r="M46" i="4" s="1"/>
  <c r="L46" i="4"/>
  <c r="N46" i="4"/>
  <c r="O46" i="4"/>
  <c r="H47" i="4"/>
  <c r="M47" i="4" s="1"/>
  <c r="L47" i="4"/>
  <c r="N47" i="4"/>
  <c r="O47" i="4"/>
  <c r="H49" i="4"/>
  <c r="K49" i="4" s="1"/>
  <c r="L49" i="4"/>
  <c r="N49" i="4"/>
  <c r="O49" i="4"/>
  <c r="H50" i="4"/>
  <c r="K50" i="4" s="1"/>
  <c r="L50" i="4"/>
  <c r="N50" i="4"/>
  <c r="O50" i="4"/>
  <c r="H51" i="4"/>
  <c r="K51" i="4" s="1"/>
  <c r="L51" i="4"/>
  <c r="N51" i="4"/>
  <c r="O51" i="4"/>
  <c r="H52" i="4"/>
  <c r="M52" i="4" s="1"/>
  <c r="L52" i="4"/>
  <c r="N52" i="4"/>
  <c r="O52" i="4"/>
  <c r="H53" i="4"/>
  <c r="K53" i="4" s="1"/>
  <c r="L53" i="4"/>
  <c r="N53" i="4"/>
  <c r="O53" i="4"/>
  <c r="H54" i="4"/>
  <c r="M54" i="4" s="1"/>
  <c r="L54" i="4"/>
  <c r="N54" i="4"/>
  <c r="O54" i="4"/>
  <c r="H58" i="4"/>
  <c r="M58" i="4" s="1"/>
  <c r="L58" i="4"/>
  <c r="N58" i="4"/>
  <c r="O58" i="4"/>
  <c r="H59" i="4"/>
  <c r="K59" i="4" s="1"/>
  <c r="H60" i="4"/>
  <c r="M60" i="4" s="1"/>
  <c r="L60" i="4"/>
  <c r="N60" i="4"/>
  <c r="O60" i="4"/>
  <c r="H61" i="4"/>
  <c r="K61" i="4" s="1"/>
  <c r="L61" i="4"/>
  <c r="N61" i="4"/>
  <c r="O61" i="4"/>
  <c r="H62" i="4"/>
  <c r="K62" i="4" s="1"/>
  <c r="H63" i="4"/>
  <c r="H64" i="4"/>
  <c r="K64" i="4" s="1"/>
  <c r="H65" i="4"/>
  <c r="K65" i="4" s="1"/>
  <c r="H66" i="4"/>
  <c r="H67" i="4"/>
  <c r="K67" i="4" s="1"/>
  <c r="H68" i="4"/>
  <c r="K68" i="4" s="1"/>
  <c r="H17" i="5"/>
  <c r="H15" i="3"/>
  <c r="K15" i="3" s="1"/>
  <c r="L15" i="3"/>
  <c r="N15" i="3"/>
  <c r="O15" i="3"/>
  <c r="L49" i="13" l="1"/>
  <c r="N49" i="13"/>
  <c r="G20" i="2" s="1"/>
  <c r="O49" i="13"/>
  <c r="M16" i="13"/>
  <c r="P16" i="13" s="1"/>
  <c r="K29" i="13"/>
  <c r="K58" i="4"/>
  <c r="M36" i="4"/>
  <c r="P36" i="4" s="1"/>
  <c r="K15" i="8"/>
  <c r="M28" i="4"/>
  <c r="P28" i="4" s="1"/>
  <c r="P52" i="4"/>
  <c r="K29" i="4"/>
  <c r="K46" i="4"/>
  <c r="M49" i="4"/>
  <c r="P49" i="4" s="1"/>
  <c r="M32" i="4"/>
  <c r="P32" i="4" s="1"/>
  <c r="K26" i="4"/>
  <c r="M21" i="4"/>
  <c r="P21" i="4" s="1"/>
  <c r="K54" i="4"/>
  <c r="K35" i="4"/>
  <c r="M33" i="4"/>
  <c r="P33" i="4" s="1"/>
  <c r="M25" i="4"/>
  <c r="P25" i="4" s="1"/>
  <c r="P17" i="4"/>
  <c r="K18" i="13"/>
  <c r="M15" i="13"/>
  <c r="P15" i="13" s="1"/>
  <c r="P28" i="13"/>
  <c r="P19" i="13"/>
  <c r="M19" i="8"/>
  <c r="P19" i="8" s="1"/>
  <c r="M20" i="8"/>
  <c r="P20" i="8" s="1"/>
  <c r="M17" i="8"/>
  <c r="P17" i="8" s="1"/>
  <c r="P18" i="8"/>
  <c r="P15" i="8"/>
  <c r="P15" i="6"/>
  <c r="P16" i="6"/>
  <c r="P14" i="6"/>
  <c r="K66" i="4"/>
  <c r="K52" i="4"/>
  <c r="M18" i="4"/>
  <c r="P18" i="4" s="1"/>
  <c r="M19" i="4"/>
  <c r="P19" i="4" s="1"/>
  <c r="M51" i="4"/>
  <c r="P51" i="4" s="1"/>
  <c r="P24" i="4"/>
  <c r="P31" i="4"/>
  <c r="P35" i="4"/>
  <c r="P32" i="13"/>
  <c r="K14" i="13"/>
  <c r="P17" i="13"/>
  <c r="K31" i="13"/>
  <c r="P29" i="13"/>
  <c r="I20" i="2"/>
  <c r="P14" i="13"/>
  <c r="P31" i="13"/>
  <c r="H20" i="2"/>
  <c r="P18" i="13"/>
  <c r="K18" i="8"/>
  <c r="M21" i="8"/>
  <c r="P21" i="8" s="1"/>
  <c r="M16" i="8"/>
  <c r="P16" i="8" s="1"/>
  <c r="K19" i="13"/>
  <c r="K28" i="13"/>
  <c r="M30" i="13"/>
  <c r="P30" i="13" s="1"/>
  <c r="K17" i="13"/>
  <c r="K32" i="13"/>
  <c r="K63" i="4"/>
  <c r="K60" i="4"/>
  <c r="P29" i="4"/>
  <c r="P46" i="4"/>
  <c r="P58" i="4"/>
  <c r="K47" i="4"/>
  <c r="K31" i="4"/>
  <c r="K24" i="4"/>
  <c r="K17" i="4"/>
  <c r="P26" i="4"/>
  <c r="P60" i="4"/>
  <c r="P47" i="4"/>
  <c r="P54" i="4"/>
  <c r="M61" i="4"/>
  <c r="P61" i="4" s="1"/>
  <c r="M50" i="4"/>
  <c r="P50" i="4" s="1"/>
  <c r="M27" i="4"/>
  <c r="P27" i="4" s="1"/>
  <c r="M20" i="4"/>
  <c r="P20" i="4" s="1"/>
  <c r="M53" i="4"/>
  <c r="P53" i="4" s="1"/>
  <c r="M44" i="4"/>
  <c r="P44" i="4" s="1"/>
  <c r="M15" i="4"/>
  <c r="P15" i="4" s="1"/>
  <c r="M30" i="4"/>
  <c r="P30" i="4" s="1"/>
  <c r="M23" i="4"/>
  <c r="P23" i="4" s="1"/>
  <c r="M16" i="4"/>
  <c r="P16" i="4" s="1"/>
  <c r="M15" i="3"/>
  <c r="P15" i="3" s="1"/>
  <c r="P49" i="13" l="1"/>
  <c r="M49" i="13"/>
  <c r="F20" i="2" s="1"/>
  <c r="N9" i="13" l="1"/>
  <c r="E20" i="2"/>
  <c r="C43" i="2"/>
  <c r="A16" i="2"/>
  <c r="A17" i="2" s="1"/>
  <c r="A18" i="2" s="1"/>
  <c r="A19" i="2" s="1"/>
  <c r="C70" i="18" l="1"/>
  <c r="C61" i="17"/>
  <c r="A20" i="2"/>
  <c r="D1" i="8"/>
  <c r="B19" i="2"/>
  <c r="C57" i="13"/>
  <c r="C51" i="15"/>
  <c r="C77" i="14"/>
  <c r="B20" i="2" l="1"/>
  <c r="D1" i="13"/>
  <c r="A21" i="2"/>
  <c r="B21" i="2" s="1"/>
  <c r="C59" i="5"/>
  <c r="C56" i="5"/>
  <c r="C51" i="5"/>
  <c r="C53" i="6"/>
  <c r="C50" i="6"/>
  <c r="C45" i="6"/>
  <c r="C33" i="8"/>
  <c r="C30" i="8"/>
  <c r="C25" i="8"/>
  <c r="C80" i="4"/>
  <c r="C77" i="4"/>
  <c r="C72" i="4"/>
  <c r="C85" i="3"/>
  <c r="C82" i="3"/>
  <c r="C77" i="3"/>
  <c r="A41" i="2"/>
  <c r="A59" i="17" l="1"/>
  <c r="P10" i="17" s="1"/>
  <c r="A68" i="18"/>
  <c r="P10" i="18" s="1"/>
  <c r="D1" i="17"/>
  <c r="A22" i="2"/>
  <c r="D1" i="14"/>
  <c r="A49" i="15"/>
  <c r="P10" i="15" s="1"/>
  <c r="A75" i="14"/>
  <c r="P10" i="14" s="1"/>
  <c r="A54" i="5"/>
  <c r="P10" i="5" s="1"/>
  <c r="A55" i="13"/>
  <c r="P10" i="13" s="1"/>
  <c r="A80" i="3"/>
  <c r="P10" i="3" s="1"/>
  <c r="A28" i="8"/>
  <c r="P10" i="8" s="1"/>
  <c r="A48" i="6"/>
  <c r="P10" i="6" s="1"/>
  <c r="A75" i="4"/>
  <c r="P10" i="4" s="1"/>
  <c r="D9" i="2"/>
  <c r="D8" i="2"/>
  <c r="D7" i="2"/>
  <c r="D6" i="2"/>
  <c r="B22" i="2" l="1"/>
  <c r="A23" i="2"/>
  <c r="A24" i="2" s="1"/>
  <c r="D7" i="17"/>
  <c r="D7" i="18"/>
  <c r="D8" i="17"/>
  <c r="D8" i="18"/>
  <c r="D5" i="17"/>
  <c r="D5" i="18"/>
  <c r="D6" i="17"/>
  <c r="D6" i="18"/>
  <c r="D5" i="13"/>
  <c r="D5" i="14"/>
  <c r="D5" i="15"/>
  <c r="D8" i="13"/>
  <c r="D8" i="15"/>
  <c r="D8" i="14"/>
  <c r="D6" i="13"/>
  <c r="D6" i="15"/>
  <c r="D6" i="14"/>
  <c r="D7" i="13"/>
  <c r="D7" i="14"/>
  <c r="D7" i="15"/>
  <c r="D7" i="8"/>
  <c r="D7" i="6"/>
  <c r="D7" i="5"/>
  <c r="D7" i="4"/>
  <c r="D8" i="8"/>
  <c r="D8" i="6"/>
  <c r="D8" i="5"/>
  <c r="D8" i="4"/>
  <c r="D5" i="8"/>
  <c r="D5" i="6"/>
  <c r="D5" i="5"/>
  <c r="D5" i="4"/>
  <c r="D6" i="8"/>
  <c r="D6" i="6"/>
  <c r="D6" i="5"/>
  <c r="D6" i="4"/>
  <c r="D6" i="3"/>
  <c r="D7" i="3"/>
  <c r="D5" i="3"/>
  <c r="D8" i="3"/>
  <c r="N14" i="4"/>
  <c r="C18" i="2"/>
  <c r="C17" i="2"/>
  <c r="C16" i="2"/>
  <c r="C15" i="2"/>
  <c r="N14" i="5"/>
  <c r="L14" i="5"/>
  <c r="H14" i="5"/>
  <c r="M14" i="5" s="1"/>
  <c r="L14" i="4"/>
  <c r="H14" i="4"/>
  <c r="O14" i="4" s="1"/>
  <c r="B24" i="2" l="1"/>
  <c r="D1" i="18"/>
  <c r="B23" i="2"/>
  <c r="D1" i="15"/>
  <c r="N14" i="8"/>
  <c r="L14" i="8"/>
  <c r="H14" i="8"/>
  <c r="M14" i="8" s="1"/>
  <c r="K14" i="4"/>
  <c r="O14" i="5"/>
  <c r="P14" i="5" s="1"/>
  <c r="M14" i="4"/>
  <c r="P14" i="4" s="1"/>
  <c r="N48" i="5"/>
  <c r="G17" i="2" s="1"/>
  <c r="L48" i="5"/>
  <c r="I17" i="2" s="1"/>
  <c r="O14" i="8" l="1"/>
  <c r="P14" i="8" s="1"/>
  <c r="N42" i="6"/>
  <c r="G18" i="2" s="1"/>
  <c r="L42" i="6"/>
  <c r="I18" i="2" s="1"/>
  <c r="N22" i="8"/>
  <c r="G19" i="2" s="1"/>
  <c r="K14" i="5"/>
  <c r="L22" i="8"/>
  <c r="I19" i="2" s="1"/>
  <c r="M42" i="6"/>
  <c r="F18" i="2" s="1"/>
  <c r="M48" i="5"/>
  <c r="F17" i="2" s="1"/>
  <c r="M22" i="8"/>
  <c r="F19" i="2" s="1"/>
  <c r="K14" i="8" l="1"/>
  <c r="O22" i="8"/>
  <c r="H19" i="2" s="1"/>
  <c r="P22" i="8"/>
  <c r="O42" i="6"/>
  <c r="H18" i="2" s="1"/>
  <c r="O48" i="5"/>
  <c r="H17" i="2" s="1"/>
  <c r="P48" i="5"/>
  <c r="P42" i="6"/>
  <c r="N9" i="6" s="1"/>
  <c r="N9" i="8" l="1"/>
  <c r="E19" i="2"/>
  <c r="E17" i="2"/>
  <c r="N9" i="5"/>
  <c r="B16" i="2"/>
  <c r="D1" i="4"/>
  <c r="B17" i="2"/>
  <c r="D1" i="5"/>
  <c r="E18" i="2"/>
  <c r="B18" i="2" l="1"/>
  <c r="D1" i="6"/>
  <c r="H14" i="3" l="1"/>
  <c r="M14" i="3" s="1"/>
  <c r="N14" i="3"/>
  <c r="L14" i="3"/>
  <c r="O14" i="3" l="1"/>
  <c r="P14" i="3" s="1"/>
  <c r="L74" i="3"/>
  <c r="N74" i="3"/>
  <c r="G15" i="2" l="1"/>
  <c r="K14" i="3"/>
  <c r="I15" i="2"/>
  <c r="M74" i="3"/>
  <c r="P74" i="3" l="1"/>
  <c r="O74" i="3"/>
  <c r="F15" i="2"/>
  <c r="H15" i="2" l="1"/>
  <c r="N9" i="3"/>
  <c r="E15" i="2"/>
  <c r="B15" i="2" l="1"/>
  <c r="D1" i="3"/>
  <c r="C20" i="1"/>
  <c r="C22" i="1" s="1"/>
  <c r="N7" i="16"/>
  <c r="M10" i="16"/>
  <c r="M12" i="16" s="1"/>
  <c r="N9" i="16"/>
  <c r="P9" i="16" s="1"/>
  <c r="P7" i="16" l="1"/>
  <c r="N12" i="16"/>
  <c r="E59" i="4" s="1"/>
  <c r="P12" i="16"/>
  <c r="E62" i="4" s="1"/>
  <c r="L62" i="4" s="1"/>
  <c r="E65" i="4"/>
  <c r="E64" i="4"/>
  <c r="E67" i="4"/>
  <c r="E63" i="4"/>
  <c r="M62" i="4" l="1"/>
  <c r="N62" i="4"/>
  <c r="O62" i="4"/>
  <c r="O64" i="4"/>
  <c r="N64" i="4"/>
  <c r="L64" i="4"/>
  <c r="M64" i="4"/>
  <c r="E66" i="4"/>
  <c r="M59" i="4"/>
  <c r="O59" i="4"/>
  <c r="N59" i="4"/>
  <c r="L59" i="4"/>
  <c r="O67" i="4"/>
  <c r="L67" i="4"/>
  <c r="N67" i="4"/>
  <c r="M67" i="4"/>
  <c r="P62" i="4"/>
  <c r="L63" i="4"/>
  <c r="O63" i="4"/>
  <c r="M63" i="4"/>
  <c r="E68" i="4"/>
  <c r="N63" i="4"/>
  <c r="L65" i="4"/>
  <c r="O65" i="4"/>
  <c r="N65" i="4"/>
  <c r="M65" i="4"/>
  <c r="P64" i="4" l="1"/>
  <c r="P65" i="4"/>
  <c r="P67" i="4"/>
  <c r="O68" i="4"/>
  <c r="N68" i="4"/>
  <c r="L68" i="4"/>
  <c r="M68" i="4"/>
  <c r="P59" i="4"/>
  <c r="M66" i="4"/>
  <c r="O66" i="4"/>
  <c r="N66" i="4"/>
  <c r="L66" i="4"/>
  <c r="L69" i="4" s="1"/>
  <c r="I16" i="2" s="1"/>
  <c r="I25" i="2" s="1"/>
  <c r="D11" i="2" s="1"/>
  <c r="P63" i="4"/>
  <c r="P68" i="4" l="1"/>
  <c r="O69" i="4"/>
  <c r="H16" i="2" s="1"/>
  <c r="H25" i="2" s="1"/>
  <c r="N69" i="4"/>
  <c r="G16" i="2" s="1"/>
  <c r="G25" i="2" s="1"/>
  <c r="P66" i="4"/>
  <c r="P69" i="4" s="1"/>
  <c r="M69" i="4"/>
  <c r="F16" i="2" s="1"/>
  <c r="F25" i="2" s="1"/>
  <c r="E16" i="2" l="1"/>
  <c r="E25" i="2" s="1"/>
  <c r="N9" i="4"/>
  <c r="E28" i="2" l="1"/>
  <c r="E26" i="2"/>
  <c r="E27" i="2" s="1"/>
  <c r="E29" i="2" l="1"/>
  <c r="D1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B13" authorId="0" shapeId="0" xr:uid="{00000000-0006-0000-00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Ar detalizēta informācija, par tāmju aizpildīšanu var iepazīties altum.lv
ALTUM Forma 2 sistēma atpazīst un darbojas tikai ar altum.lv publicētajām tāmju sagatavēm.
Tel. 67774064</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9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B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C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6" authorId="0" shapeId="0" xr:uid="{00000000-0006-0000-01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Ar detalizēta informācija, par tāmju aizpildīšanu var iepazīties altum.lv
ALTUM Forma 2 sistēma atpazīst un darbojas tikai ar altum.lv publicētajām tāmju sagatavēm.
Tel. 67774064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2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3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4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5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6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7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8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<sst xmlns="http://schemas.openxmlformats.org/spreadsheetml/2006/main" count="1469" uniqueCount="510">
  <si>
    <t>APSTIPRINU</t>
  </si>
  <si>
    <t>(pasūtītāja paraksts un tā atsifrējums)</t>
  </si>
  <si>
    <t>Z.v.</t>
  </si>
  <si>
    <t>____________.gada____.____________</t>
  </si>
  <si>
    <t>Būvniecības koptāme</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</si>
  <si>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</si>
  <si>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</si>
  <si>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</si>
  <si>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</si>
  <si>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</si>
  <si>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</si>
  <si>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</si>
  <si>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</si>
  <si>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</si>
  <si>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</si>
  <si>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</si>
  <si>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</si>
  <si>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</si>
  <si>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</si>
  <si>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</si>
  <si>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</si>
  <si>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</si>
  <si>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</si>
  <si>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</si>
  <si>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</si>
  <si>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</si>
  <si>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</si>
  <si>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</si>
  <si>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</si>
  <si>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</si>
  <si>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</si>
  <si>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</si>
  <si>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</si>
  <si>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</si>
  <si>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</si>
  <si>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</si>
  <si>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</si>
  <si>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</si>
  <si>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</si>
  <si>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</si>
  <si>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</si>
  <si>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</si>
  <si>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</si>
  <si>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</si>
  <si>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</si>
  <si>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</si>
  <si>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</si>
  <si>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</si>
  <si>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</si>
  <si>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</si>
  <si>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</si>
  <si>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</si>
  <si>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Attiecināmās izmaksas</t>
  </si>
  <si>
    <t>Sertifikāta Nr.</t>
  </si>
  <si>
    <t>Sertifikāta Nr</t>
  </si>
  <si>
    <t>Dzīvojamās ēkas vienkāršotā atjaunošana</t>
  </si>
  <si>
    <t>Ievērībai!</t>
  </si>
  <si>
    <t>Pretendents ir tiesīgs izmantot tikai Pasūtītāja pievienoto būvizmaksu noteikšanas tāmes veidni.</t>
  </si>
  <si>
    <t>līg.c.</t>
  </si>
  <si>
    <t>m</t>
  </si>
  <si>
    <t>Žogs 3,5×2m</t>
  </si>
  <si>
    <t>gb</t>
  </si>
  <si>
    <t>Pēda</t>
  </si>
  <si>
    <t>m²</t>
  </si>
  <si>
    <t>kg</t>
  </si>
  <si>
    <t>Paligmateriāli</t>
  </si>
  <si>
    <t>Būvgružu savākšana un aizvešana</t>
  </si>
  <si>
    <t>m³</t>
  </si>
  <si>
    <t>Gružu konteiners</t>
  </si>
  <si>
    <t>Logu montāžas palīgmateriāli uz  apjomu</t>
  </si>
  <si>
    <t>montāžas skavas</t>
  </si>
  <si>
    <t>dibeļi</t>
  </si>
  <si>
    <t>l</t>
  </si>
  <si>
    <t>skrūves</t>
  </si>
  <si>
    <t>gab</t>
  </si>
  <si>
    <t>Līmlente</t>
  </si>
  <si>
    <t>Vienpola slēdža montēšana.</t>
  </si>
  <si>
    <t>Kustību sensoru ar krēslas slēdža f-ju montēšana.</t>
  </si>
  <si>
    <t>Elektrības kabelis 3x1,5mm² ar kopējo garumu 10m.</t>
  </si>
  <si>
    <t>java</t>
  </si>
  <si>
    <t xml:space="preserve">Līmjava </t>
  </si>
  <si>
    <t>palodzes profils</t>
  </si>
  <si>
    <t xml:space="preserve">kpl </t>
  </si>
  <si>
    <t>skārds</t>
  </si>
  <si>
    <t>Skrūves</t>
  </si>
  <si>
    <t>gb.</t>
  </si>
  <si>
    <t xml:space="preserve"> Zemējuma kontūra ierīkošana, mērījumi</t>
  </si>
  <si>
    <t>Sistēmas montāža, palaišana</t>
  </si>
  <si>
    <t>Sistēmas nodošana ekspluatācijā</t>
  </si>
  <si>
    <t>Piezīme:</t>
  </si>
  <si>
    <t>• Siltināšanas un apmešanas darbi veicami saskaņā ar ETAG 004 „Eiropas tehniskā apstiprinājuma pamatnostādne ārējās siltumizolācijas sistēmām un
 apmetumam”.</t>
  </si>
  <si>
    <t xml:space="preserve">• Visiem būvmateriāliem jābūt marķētiem ar CE zīmi. </t>
  </si>
  <si>
    <t>Fasādes atjaunošana</t>
  </si>
  <si>
    <t>Būvtāfeles uzstādīšana</t>
  </si>
  <si>
    <t>Java M100</t>
  </si>
  <si>
    <t>Ķieģeļi</t>
  </si>
  <si>
    <t>Ligzda sienā</t>
  </si>
  <si>
    <t>Briestošā remontjava</t>
  </si>
  <si>
    <t>Durvju montāžas palīgmateriāli uz  apjomu</t>
  </si>
  <si>
    <t>Jaunu iekštelpu MDF palodžu montēšana, b=300mm.</t>
  </si>
  <si>
    <t xml:space="preserve">  kokmateriāli</t>
  </si>
  <si>
    <t xml:space="preserve">  metāla stiprinājumi</t>
  </si>
  <si>
    <t>kpl.</t>
  </si>
  <si>
    <t>Pretkorozijas krāsojums, un 
metāla krāsa</t>
  </si>
  <si>
    <t xml:space="preserve">Grunts </t>
  </si>
  <si>
    <t xml:space="preserve">hidroizolācija </t>
  </si>
  <si>
    <t>Betona apmaļu ierīkošana:</t>
  </si>
  <si>
    <t>Melnzeme</t>
  </si>
  <si>
    <t>Zibensaizsardzības ierīkošana</t>
  </si>
  <si>
    <t>Cinkots mobilais nožogojuma montāža, h=2,0 m</t>
  </si>
  <si>
    <t>Sastatnes ar ejas platumu 1m</t>
  </si>
  <si>
    <t>Moduļu tualetes uzstādīšana</t>
  </si>
  <si>
    <t>Tualetes izvešana</t>
  </si>
  <si>
    <t>reizes</t>
  </si>
  <si>
    <t>Moduļu mājas uzstādīšana. Paredzēts 24 cilvēkiem.</t>
  </si>
  <si>
    <t>Atkritumu konteineru izvietošana.</t>
  </si>
  <si>
    <t>Plaisu remonts</t>
  </si>
  <si>
    <t>Plaisās injicēt spec. šuvju mastiku</t>
  </si>
  <si>
    <t>Nesrūsējošā tērauda siets Ø3, 50x50 mm.</t>
  </si>
  <si>
    <t>Nostiprinšānas enkuri Ø6×100 silikātu ķieģelim</t>
  </si>
  <si>
    <t>Apmetums uz metāla sieta</t>
  </si>
  <si>
    <t>apmetums B20</t>
  </si>
  <si>
    <t xml:space="preserve">Ārsienu  siltināšana ar akmensvati līmējot un piestiprinot to pie ārsienas ar mehāniskajiem stiprinājumiem </t>
  </si>
  <si>
    <t>S1</t>
  </si>
  <si>
    <t>Dībeli virsmas klasifikācija ETA A,B,C,D,E, galvas Ø60, nagla tērauda Ø8-10, Punkta siltumatdeves koeficients 0,002 W/K, min iestrādes dziļums &gt;25mm, vai ekvivalents 215mm</t>
  </si>
  <si>
    <t>Siets stikla šķiedra 160gr/m²</t>
  </si>
  <si>
    <t>komp</t>
  </si>
  <si>
    <t>palodzes montāžas deformācijas lente, izpletošā</t>
  </si>
  <si>
    <t>Iekšējo stūru armējums visā ēkas augstumā</t>
  </si>
  <si>
    <t>Stūra profils ar armējumu visā augstumā visos ēkas stūros</t>
  </si>
  <si>
    <t>Metāla karoga kāta turētāja montāža</t>
  </si>
  <si>
    <t>kmpl</t>
  </si>
  <si>
    <t>Plāksne -5</t>
  </si>
  <si>
    <t>Plāksne -3x50</t>
  </si>
  <si>
    <t>∅48.3x3</t>
  </si>
  <si>
    <t xml:space="preserve">m³ </t>
  </si>
  <si>
    <t>Logu nomaiņa</t>
  </si>
  <si>
    <t xml:space="preserve">Esošo koka logu, tsk. ārdurvju demontāža </t>
  </si>
  <si>
    <t>Esošo skārda āra palodžu demontāža, b=0,25.</t>
  </si>
  <si>
    <t>Esošo ķieģeļu āra palodžu demontāža</t>
  </si>
  <si>
    <t>Blīvējošās briestošā logu lentas 74mm platumā ar 1 līmmalu un tvaika plēvi montēšana ap logu ailām u.c. vietām.</t>
  </si>
  <si>
    <t>kmpl.</t>
  </si>
  <si>
    <t>Restu montāžas palīgmateriāli uz  apjomu</t>
  </si>
  <si>
    <t xml:space="preserve">Hidroizolācijas lentas montēšana logos </t>
  </si>
  <si>
    <t>Jaunu krāsotu ārējo skārda palodžu montāža visiem logiem, b=0,35m*, +pārkares lāsenis 50mm</t>
  </si>
  <si>
    <t>Apmetuma atjaunošana pēc logu nomaiņas telpu iekšpusē, remonts ap logu ailu.</t>
  </si>
  <si>
    <t>Betona apmales demontāža</t>
  </si>
  <si>
    <t>lig</t>
  </si>
  <si>
    <t>Jaunas lietusūdens novadīšanas apmales ierīkošana</t>
  </si>
  <si>
    <t>Monolītā betona B15, F50 ieklāšana b=100mm</t>
  </si>
  <si>
    <t xml:space="preserve">Melnzemes uzbēršana zālāju sējumiem </t>
  </si>
  <si>
    <t>Zālāju sējumu ierīkošana zālāja sēklu iesēšana</t>
  </si>
  <si>
    <t>Cokola siltināšanas darbi</t>
  </si>
  <si>
    <t>Ieejas mezglu rekonstrukcijas darbi</t>
  </si>
  <si>
    <t>Esošās jumtiņa plātnes virsmas notīrīšana</t>
  </si>
  <si>
    <t>Cementa javas izlīdzinošās kārtas uzklāšana, b=20÷30 mm</t>
  </si>
  <si>
    <t xml:space="preserve">Bitumena ruļļmateriāla seguma ieklāšana, 2 kārtas.  Augšējā kārta - b=4mm, apakšējā - b=2,5mm                </t>
  </si>
  <si>
    <t>Ruberoids apakš.</t>
  </si>
  <si>
    <t>Ruberoids  virsk.</t>
  </si>
  <si>
    <t>Gāze</t>
  </si>
  <si>
    <t>bal.</t>
  </si>
  <si>
    <t>Skārda lāseņa, b=400mm un papildus jumta ruļļu materiāla kārtas montēšana, b=400mm</t>
  </si>
  <si>
    <t>Plātnes malas apdare ar nosegskārdu, b=400mm, kas stiprināts ar apmales stiprinājuma detaļu</t>
  </si>
  <si>
    <t xml:space="preserve">       Plātnes seguma un ārsienas saskarvietas izveidošana:</t>
  </si>
  <si>
    <t xml:space="preserve">       Gropes izfrēzēšana mūra sienā, 0,05x0,05m un blīvējošas mastikas iepildīšana</t>
  </si>
  <si>
    <t xml:space="preserve">       Mūra fragmenta virs plātnes seguma noklāšana ar hidroizolācijas sastāvu.</t>
  </si>
  <si>
    <t>Plātnes apakšējās malas notīrīšana un gruntēšana</t>
  </si>
  <si>
    <t>Būvgružu aizvešana</t>
  </si>
  <si>
    <t>Koka šķunīšu demontāža</t>
  </si>
  <si>
    <t xml:space="preserve"> Siltumizolācija</t>
  </si>
  <si>
    <t>Pagraba pārseguma siltināšanas darbi</t>
  </si>
  <si>
    <t>Bēniņu siltināšanas darbi</t>
  </si>
  <si>
    <t>Esošo izdedžu un citu būvgružu demontāža un utilizācija, tsk. Palīgierīces un palīgmateriāli</t>
  </si>
  <si>
    <t xml:space="preserve">Tvaika izolācijas plēves ieklāšana uz esošā seguma </t>
  </si>
  <si>
    <t>Plēve 200 mk</t>
  </si>
  <si>
    <t>Siltumizolācija</t>
  </si>
  <si>
    <t>Gala sienu atvērumu izveide esošo aiļu zonā 0,58×0,5m</t>
  </si>
  <si>
    <t>U-profīls Nr.10, 2.gb.</t>
  </si>
  <si>
    <t>Bultskrūve M12, 2gb.</t>
  </si>
  <si>
    <t>Pretkorozijas krāsošana</t>
  </si>
  <si>
    <t>Koka laipu izvietošana (skatīt bēniņu plāna lapā specifikāciju)</t>
  </si>
  <si>
    <t>Koka brusas ar prettrupes un pretuguns apstrādi 75×125(h)</t>
  </si>
  <si>
    <t>Dēļi ar prettrupes un pretuguns apstrādi130×25(h)</t>
  </si>
  <si>
    <t>Gāzbetona bloks (200x300x600). (Piezāģēts pēc gabarītiem 200x300x300)</t>
  </si>
  <si>
    <t>Bitumena kārta</t>
  </si>
  <si>
    <t>Jumta atjaunošanas darbi</t>
  </si>
  <si>
    <t>Esošu skārda tekņu demontāža</t>
  </si>
  <si>
    <t>Esošu skārda noteku demontāža,</t>
  </si>
  <si>
    <t>Esošā azbestcementa viļņveida jumta lokšņu seguma noņemšana un utilizācija</t>
  </si>
  <si>
    <t>Bojātā koka latojuma nomaiņa bēniņu telpā</t>
  </si>
  <si>
    <t xml:space="preserve">  kokmateriāli apstrādāti ar pretrupes aizsardzības krāsojumus</t>
  </si>
  <si>
    <t>Cinkots skārds 0,5mm</t>
  </si>
  <si>
    <t xml:space="preserve">Jauna profilēta skārda lokšņu jumta seguma ieklāšana ekvivalents bezazbesata profilētā jumta segumam  </t>
  </si>
  <si>
    <t>Skārds 0,5mm</t>
  </si>
  <si>
    <t>Amortizacijas lente</t>
  </si>
  <si>
    <t>Jumta kores skārda elementa montēšana, b=0,8m</t>
  </si>
  <si>
    <t>Dzegas apšuvums-lāsenis no cinkotā jumta skārda, b=0,4 m</t>
  </si>
  <si>
    <t>Dažādu jumta kontaktvietu hermetizēšana</t>
  </si>
  <si>
    <t>Cinkots siets Ø100×100</t>
  </si>
  <si>
    <t>betona krāsa</t>
  </si>
  <si>
    <t>Kanalizācijas izvadu izbūve</t>
  </si>
  <si>
    <t>Kābeļu atsaišu montāža, t.sk. kabeļa pārlikšana</t>
  </si>
  <si>
    <t>būvgruži</t>
  </si>
  <si>
    <t>smilts 0,25m</t>
  </si>
  <si>
    <t>Jumta skārds skursteņu jumtiņiem (krāsu tonis,kā jumta segumam)</t>
  </si>
  <si>
    <t>Ķīļenkuri M10x95, 2 gb. uz katru enkurdetaļu</t>
  </si>
  <si>
    <t>Jumtiņu atbalsta karkass no plakandzelzs -4x40  enkurdetaļu augšā pa perimetru, kop.l=63 m</t>
  </si>
  <si>
    <t>Betons B15</t>
  </si>
  <si>
    <t>Rene 700×200×80mm iestrādājama lietusūdens novadīšanas apmalē</t>
  </si>
  <si>
    <t>WS-5-18</t>
  </si>
  <si>
    <t>Siets stikla šķiedra 340gr/m²</t>
  </si>
  <si>
    <t>Apmetums LAP Fine vai ekvivalnets, 10mm slāņa biezums</t>
  </si>
  <si>
    <t>Siltinājums -GAREN fasādēm AKUSTISKAIS APMETUMS Esošā siena silikātķieģeļu mūris b=510/380mm</t>
  </si>
  <si>
    <t>L1 2,112×1,35m</t>
  </si>
  <si>
    <t>L2 1,42×1,35m</t>
  </si>
  <si>
    <t>L3 1,53×1,3m, t.sk. durvis 0,72×1,95</t>
  </si>
  <si>
    <t>D1 Alumīnija konstrukcijas durvju bloks. Ar rokturi un enģēm, ar pašaizvēršanās mehānismu, ar speciālām blīvgumijām un piedurlīstēm, vienpunktu slēdzeni, čipu sistēmu, domofonu. Stikla paketes siltumcaurlaidības koef.:1.0w/m²*K.  Uw=1,6w/m²*K Krāsa - pēc krāsu pases, 2,1×2,25m</t>
  </si>
  <si>
    <t>D2 Durvis ar minimālo ugunsizturības pakāpi EI  30 (30 minūtes) automātisko pašaizvēršanās mehānismu. Ugunsdrošo durvju vienpunkta slēdzene un viras izgatavo no materiāla, kas nodrošina ugunsizturīgām konstrukcijām izvirzīto prasību minimālāko pakāpi. Nepieciešamo hermētiskumu nodrošina speciālas ugunsizturīgas blīvgumijas, kas izvietotas pa durvju kārbas perimetru
Rāmja siltumcaurlaidības koef.:1.6w/m²*K, 0,88×1,55m</t>
  </si>
  <si>
    <t>uzstādāma lūka 0,6mm bieza skārda jumta lūka ar rokturi un pievēršanas mehānismu. T.sk ar montāžas materiāliem</t>
  </si>
  <si>
    <t>R4 Ventilācijas vārsts ar termostatu, pieplūdes  difuzoriem virtuves telpā ar atvēruma izveidi nepieciešamības
gadījumā ārsienā. Ø98, 150, pirms tam izveidojot atbilstošu atvērumu silikāta ķieģeļu ārsienā 510mm</t>
  </si>
  <si>
    <t>Ventilācijas vārsts 20×20×350, uzstādāms katrā telpā viena verama loga vērtnē un visiem veramajiem lodžiju logiem (esošajiem un maināmajiem). Izmērus precizēt ar ražotāju,atbilstoši logu specifikācijai. Tehniskie parametri: gaisa caurlaidība pie ārējā spiediena 10Pa 32m³/h, ar filtru 26m³/h, 32db</t>
  </si>
  <si>
    <t>Perimetrs lentei, m</t>
  </si>
  <si>
    <t>aiļu apdares m², ailes platums</t>
  </si>
  <si>
    <t>palodzes, m</t>
  </si>
  <si>
    <t>Profili, m</t>
  </si>
  <si>
    <t>tips</t>
  </si>
  <si>
    <t>skaits</t>
  </si>
  <si>
    <t>Loga izmērs, m</t>
  </si>
  <si>
    <t>Logu platība m²</t>
  </si>
  <si>
    <t xml:space="preserve">ārējās </t>
  </si>
  <si>
    <t>iekšējās</t>
  </si>
  <si>
    <t>ārējās</t>
  </si>
  <si>
    <t>Stūra profils  EC S</t>
  </si>
  <si>
    <t>Loga pielaiduma profils EW</t>
  </si>
  <si>
    <t>Stūra lāsenis ED CO2</t>
  </si>
  <si>
    <t>Palodzes montāžas profils EW US01</t>
  </si>
  <si>
    <t>Cokola profils EB PVC VARIO 220</t>
  </si>
  <si>
    <t>PVC</t>
  </si>
  <si>
    <t>koka</t>
  </si>
  <si>
    <t>kopā</t>
  </si>
  <si>
    <t xml:space="preserve">L </t>
  </si>
  <si>
    <t>h</t>
  </si>
  <si>
    <t xml:space="preserve">1.gb. </t>
  </si>
  <si>
    <t>hidroizolācijas</t>
  </si>
  <si>
    <t>briestošā</t>
  </si>
  <si>
    <t>difūzijas</t>
  </si>
  <si>
    <t>L1</t>
  </si>
  <si>
    <t>ārējā stūra profils sakret D/20</t>
  </si>
  <si>
    <t>L2</t>
  </si>
  <si>
    <t>L3</t>
  </si>
  <si>
    <t>logailas augšas profils Sakret MAT D/29.2</t>
  </si>
  <si>
    <t>L4</t>
  </si>
  <si>
    <t>palodzes PVC profils Sakret MAT/ D08</t>
  </si>
  <si>
    <t>D1 siltināta bēniņu lūka: Ugunsdrošā lūka ar izlaižamām metāla kāpnēm ugunsizturību EI30, automātisko pašaizvēršanās mehānismu.  Nepieciešamo hermētiskumu nodrošina speciālas ugunsizturīgas blīvgumijas, kas izvietotas pa kārbas perimetru. Rāmja siltumcaurlaidības Uw koef.:1.6w/m²*K</t>
  </si>
  <si>
    <t>SILTINĀJUMU PLATĪBAS</t>
  </si>
  <si>
    <r>
      <t>m</t>
    </r>
    <r>
      <rPr>
        <sz val="8"/>
        <rFont val="Arial"/>
        <family val="2"/>
        <charset val="186"/>
      </rPr>
      <t xml:space="preserve">³ </t>
    </r>
  </si>
  <si>
    <r>
      <t>m</t>
    </r>
    <r>
      <rPr>
        <sz val="8"/>
        <rFont val="Arial"/>
        <family val="2"/>
        <charset val="186"/>
      </rPr>
      <t>³</t>
    </r>
  </si>
  <si>
    <r>
      <t>m</t>
    </r>
    <r>
      <rPr>
        <sz val="8"/>
        <rFont val="Arial"/>
        <family val="2"/>
        <charset val="186"/>
      </rPr>
      <t>²</t>
    </r>
  </si>
  <si>
    <t>Nosaukums</t>
  </si>
  <si>
    <t>durvis</t>
  </si>
  <si>
    <t>S2+ S2A</t>
  </si>
  <si>
    <t>Esošā seguma demontāža</t>
  </si>
  <si>
    <t xml:space="preserve">Dībeļi </t>
  </si>
  <si>
    <t>Virsmas notīrīšana, t.sk. kāpņu laida slīpnes daļu</t>
  </si>
  <si>
    <t>Pārsegums virs pagrabstāva. Esošais pāsegums -betona panelis ar grīdas segumu  b=280mm Gruntējums. Līmjava. Gruntējums. Akmensvates lamele (0,037W/m²K) b=100mm.</t>
  </si>
  <si>
    <t>Pasīvs zibens uztvērējs Al vai St/Zn, l-2000 mm, ø 16 mm, montāža, uzstādīšana</t>
  </si>
  <si>
    <t>Pasīvs, izolēts (PE), zibens uztvērējs Al vai St/Zn, l-4000 mm, ø 1o mm, montāža, uzstādīšana</t>
  </si>
  <si>
    <t>Zibens uztvērēja pamatne ar adapteri, uzstādīšana</t>
  </si>
  <si>
    <t xml:space="preserve">Stieple Al, ø 8 mm, </t>
  </si>
  <si>
    <t xml:space="preserve">Stieple Al, ø 10 mm, </t>
  </si>
  <si>
    <t>Stieples Al ø10mm, ievilkšana PE caurulē</t>
  </si>
  <si>
    <t xml:space="preserve">Lenta St/Zn, 3,0×30 mm, </t>
  </si>
  <si>
    <t xml:space="preserve">Kronšteins stieples montāžai uz jumta </t>
  </si>
  <si>
    <t>Kronšteins stieples montāžai jumta korē</t>
  </si>
  <si>
    <t xml:space="preserve">Kronšteins PE caurules montāžai uz sienas </t>
  </si>
  <si>
    <t>gab*</t>
  </si>
  <si>
    <t xml:space="preserve"> Zemēšanas elektrods ø 20 mm, l-1,5 m, apaļdzelzs</t>
  </si>
  <si>
    <t xml:space="preserve"> Zemējuma izvads ø 16/10 mm, l-1,5 m, apaļdzelzs</t>
  </si>
  <si>
    <t xml:space="preserve"> Kontūra pievienojuma klemme JAB 5</t>
  </si>
  <si>
    <t xml:space="preserve"> Elektrodu uzmava</t>
  </si>
  <si>
    <t xml:space="preserve"> Kontūra mērklemme ar kasti</t>
  </si>
  <si>
    <t xml:space="preserve">Savienotāj klemme </t>
  </si>
  <si>
    <t xml:space="preserve">Savienotāj klemme ar lietus noteku </t>
  </si>
  <si>
    <t>Savienotāj klemme ar sniega barjeru</t>
  </si>
  <si>
    <t>PE lenta iezīmēšanai</t>
  </si>
  <si>
    <t>Tranšejas rakšana un aizbēršana zemējuma kontūram</t>
  </si>
  <si>
    <t>Elektrodu ø 20 mm, l= 1,5 m iedzīšana zemē</t>
  </si>
  <si>
    <t>Zemāšanas kon. guldīšana tranšejā, montāža pie elektrodiem</t>
  </si>
  <si>
    <t xml:space="preserve"> Šķērsojums ar inženiertehniskajiem tīkliem</t>
  </si>
  <si>
    <t>Grunts blietēšana, virskārtas atjaunošana</t>
  </si>
  <si>
    <t>Balkonu atjaunošana</t>
  </si>
  <si>
    <t>JUMTA ELEMENTU SPECIFIKĀCIJA</t>
  </si>
  <si>
    <t>N.p.k.</t>
  </si>
  <si>
    <t>Skaits, gb</t>
  </si>
  <si>
    <t>L vienam, m</t>
  </si>
  <si>
    <t>Daudzums kopā</t>
  </si>
  <si>
    <t>Pretkondensāta plēve, 2mm</t>
  </si>
  <si>
    <t>Proj. jumta segums - PP20 jumta profilētais skārds, b=0,5mm, h=17,5mm</t>
  </si>
  <si>
    <t>Proj. dzegas nosegprofils</t>
  </si>
  <si>
    <t>Proj. kores nosegprofils</t>
  </si>
  <si>
    <t xml:space="preserve">Skursteņu galu remonts (vidēji  3÷4 kārtas ķieģeļu mūra), </t>
  </si>
  <si>
    <t>Jaunu rūpnieciski krāsotu skārda tekņu ar aizsargpārklājumu montēšana, Ø150, t.sk. stiprinājumi,  pārejas un gala noslēgi</t>
  </si>
  <si>
    <t>Jaunu rūpnieciski krāsotu skārda noteku ar aizsargpārklājumu montēšana, Ø120, t.sk. stiprinājumi, pārejas un gala noslēgi</t>
  </si>
  <si>
    <t>Piltuvju montāža Ø150/120</t>
  </si>
  <si>
    <t>Proj. antiseptizētu koka dēļu latojums, 38×100, s=300mm</t>
  </si>
  <si>
    <t>skaits kopā</t>
  </si>
  <si>
    <t>Proj. garenlīstes plēves piespiešanai 25(h)×75, s=600</t>
  </si>
  <si>
    <t>Proj. Retināts dēļu klajs 25(h)×100, s=600</t>
  </si>
  <si>
    <t>Projketēta jumta lūka 600×800</t>
  </si>
  <si>
    <t>Esošo lodžiju aizstiklojumu demontāža 3×1,8</t>
  </si>
  <si>
    <t>Esošās cementa javas grīdas seguma un sānu malu remonts - izdrupumu un bojājumu aizpildīšana ar javu M100</t>
  </si>
  <si>
    <t>Betona aizsargkārtas nokalšana no plātnes augšas</t>
  </si>
  <si>
    <r>
      <t xml:space="preserve">Balkona virsmas hidroizolācijas slāņa izveidošana izmantojot  kristalizējošu hidroizolāciju (slāņa biezums ne mazāks par 2,5mm) </t>
    </r>
    <r>
      <rPr>
        <b/>
        <sz val="8"/>
        <rFont val="Arial"/>
        <family val="2"/>
        <charset val="186"/>
      </rPr>
      <t xml:space="preserve">un hidroizolācijas lentu </t>
    </r>
  </si>
  <si>
    <t>lentas iestrāde</t>
  </si>
  <si>
    <t>Lodžijas pārseguma virsmas atjaunošana:</t>
  </si>
  <si>
    <t xml:space="preserve">Lodžijas metālu margu konstrukciju demontāža </t>
  </si>
  <si>
    <t>PP20</t>
  </si>
  <si>
    <t>Materiāla un darba nosaukums, izmēri (mm)</t>
  </si>
  <si>
    <t>Mērvien.</t>
  </si>
  <si>
    <t>Skaits uz uz 1 elem</t>
  </si>
  <si>
    <t>Kop.l(m)</t>
  </si>
  <si>
    <t>1 m masa(kg)</t>
  </si>
  <si>
    <t>Kop. masa (kg)</t>
  </si>
  <si>
    <t>Balkona margu caurule Ø42x2</t>
  </si>
  <si>
    <t>Margu stati, plakantērauds -10x50x1100</t>
  </si>
  <si>
    <t>Margu statu konsoles, plakantērauds -10x50x200</t>
  </si>
  <si>
    <t>Margu statu režģa elementi, plakantērauds -10x50x4600</t>
  </si>
  <si>
    <t>Plakantērauda joslas -6x30x4700 apšuvuma stiprināšanai</t>
  </si>
  <si>
    <t>Statu atblastplāksne -8x100x150</t>
  </si>
  <si>
    <t>Margu atbalstplātne -8x200x200</t>
  </si>
  <si>
    <t>Ķīmiskie dībeļi Ø10 Hilti HIT-Z-R, l=80 statu enkurošanai</t>
  </si>
  <si>
    <t>Ķīmiskie dībeļi Ø12Hilti HIT-Z-R, l=12 margu enkurošanai</t>
  </si>
  <si>
    <t>Metāla detaļu cinkojums, 120 mikroni</t>
  </si>
  <si>
    <t>Balkonu metāla margu elementu specifikācija 1 balkonam (1000x3000) ēkā ir balkoni gb.</t>
  </si>
  <si>
    <t>Pavisam kopā masa (kg)</t>
  </si>
  <si>
    <t>Skārda nosegpanelis PP20 profils 0,5mm krāsu pases tonī 3200×1000mm</t>
  </si>
  <si>
    <t>Skārda nosegpanelis PP20 profils 0,5mm krāsu pases tonī 810×1000mm</t>
  </si>
  <si>
    <t>Balkonu plātnes (1m x 3,2m) atjaunošana</t>
  </si>
  <si>
    <t>Demontējamā kanalizācija (t.sk.- cauruļvadi,  stiprinājumi) /apjomi doti attiecīgi izbūvējamiem apjomiem un var nesakrist ar reālo apjomu daudzumu/</t>
  </si>
  <si>
    <t>Dn100</t>
  </si>
  <si>
    <t>Tērauda aizsargcaurule</t>
  </si>
  <si>
    <t>Dn114×9mm</t>
  </si>
  <si>
    <t>Kanalizācijas sistēmas iekšdarbu trejgabals</t>
  </si>
  <si>
    <t>Ø110-45°</t>
  </si>
  <si>
    <t>Ø110-88°</t>
  </si>
  <si>
    <t>Ø110/50-88°</t>
  </si>
  <si>
    <t>Kanalizācijas sistēmas iekšdarbu līkums</t>
  </si>
  <si>
    <t>Kanalizācijas sistēmas iekšdarbu revīzija</t>
  </si>
  <si>
    <t>Ø110</t>
  </si>
  <si>
    <t>Cauruļvadu stiprinājumi ar izolāciju cauruļvadu nostiprināšanai</t>
  </si>
  <si>
    <t>Dn 110</t>
  </si>
  <si>
    <t>Iesitamais enkurs stiprinājumiem</t>
  </si>
  <si>
    <t>M6</t>
  </si>
  <si>
    <t>Vītņstienis cauruļvadu stiprinājumiem</t>
  </si>
  <si>
    <t>Dzīvokļu kanalizācijas tīklu pievienojums pie jaunizbūvētā stāvvada</t>
  </si>
  <si>
    <t>d100  &gt; Ø110</t>
  </si>
  <si>
    <t>d50 &gt; Ø50</t>
  </si>
  <si>
    <t>Ugundrošās manžetes uzstādīšana - Mezgls "G"</t>
  </si>
  <si>
    <t xml:space="preserve">aizsargsieta montāža </t>
  </si>
  <si>
    <t>Lietus ūdens nvadīšans jumtiņu montāž virs sastatnēm, l=1,5m</t>
  </si>
  <si>
    <t xml:space="preserve">Balkona virsmas krāsošana </t>
  </si>
  <si>
    <t>Finanšu rezerve</t>
  </si>
  <si>
    <t>Tāme sastādīta  2019. gada tirgus cenās, pamatojoties uz AR un BK daļas rasējumiem</t>
  </si>
  <si>
    <t>Sastatņu montēšana , tsk. aizsargsiets un jumtiņi</t>
  </si>
  <si>
    <t>Esosōs elektrības skapju atvirzīšana no fasādes plaknes pirms darbu sākšanas un atpakaļpievienošana pēc darbu pabeigšanas, vienlaicīgi veicot to krāsojumu atjaunošanu pelēkā krāsā</t>
  </si>
  <si>
    <t>Grunts</t>
  </si>
  <si>
    <t>Līmjava</t>
  </si>
  <si>
    <t>Silikona apmetums, 2mm graudu lielums</t>
  </si>
  <si>
    <t>Apmetums LAP vai ekvivalents 20mm</t>
  </si>
  <si>
    <t>Silikona gatavais masā tonētais apmetums, 3mm slāņa biezums</t>
  </si>
  <si>
    <t>Logu un durvju aiļu ārējo stūru armēšana ar sietu papildus sietu 0,3×0,5m platumā no ailes un ailē stiepes izturība &gt;200N/5cm, Struktūras stabilitāte &gt;22%, Atbilst REACH , sieta acojuma lielums 4×4mm.</t>
  </si>
  <si>
    <t>Stūra profils</t>
  </si>
  <si>
    <t>Loga pielaiduma profils</t>
  </si>
  <si>
    <t>Stūra lāsenis</t>
  </si>
  <si>
    <t>Palodzes montāžas profils</t>
  </si>
  <si>
    <t>Cokola profils</t>
  </si>
  <si>
    <t>M12 ķīmiskie dībeļi, l=280mm</t>
  </si>
  <si>
    <t>silikona hermētiķis</t>
  </si>
  <si>
    <t xml:space="preserve"> stūra profils</t>
  </si>
  <si>
    <t xml:space="preserve">  mitrumizturīgā ģipškartona plātne</t>
  </si>
  <si>
    <t>špaktele</t>
  </si>
  <si>
    <t>Krāsa</t>
  </si>
  <si>
    <t>Esosās apgaismojuma instalācijas pārbūve par sienas perimetru ar lokālo zonu slēdžu sadalaījumu un jaunas instalācijas izbūvi pieslēdzot, pie esošās komunālās uzskaites. 35.gb slēgta tipa apaļveida gaismekļi PVC korpusē ar 13.gb slēdžu uzstādīšanu. Slēdžiem integrēts kustības sensors.</t>
  </si>
  <si>
    <t>Gruntēšana 2k, grunts uz šķaidītāja bāzes</t>
  </si>
  <si>
    <t>hidroizolācija mastika uz bitumena bāzes pārklājam 2k</t>
  </si>
  <si>
    <t>Dībeli 195mm</t>
  </si>
  <si>
    <t>Ruberoīds virsk.</t>
  </si>
  <si>
    <t>Plātnes apakšējās virsmas izlīdzināšana ar smalkgraudainu špakteļjavu</t>
  </si>
  <si>
    <t>Plātnes apakšējās virsmas krāsošana ar  uz akrila bāzes veidotu krāsu</t>
  </si>
  <si>
    <t>Āra apgaismojuma sienas lampas montēšana</t>
  </si>
  <si>
    <t>Skursteņu virsjumta daļas virsmas attīrīšana, apmešana un krāsošana</t>
  </si>
  <si>
    <t>java M100 - (1m3=1700kg)</t>
  </si>
  <si>
    <t>Cementa javas m² grīdas ierīkošana ar slīpumu, pievienojot hidroizolējošu cementa piedevu</t>
  </si>
  <si>
    <t>cementa java (1m3=1550kg)</t>
  </si>
  <si>
    <t>Stiegru apstrāde ar suspensiju (pretkorozijas un kontaktjava, atbilst standartam  EN 1504-7)</t>
  </si>
  <si>
    <t>Suspensija patēriņš aptuveni 1,7 kg/m²</t>
  </si>
  <si>
    <r>
      <t xml:space="preserve">Plātnes apakšas </t>
    </r>
    <r>
      <rPr>
        <b/>
        <sz val="8"/>
        <rFont val="Arial"/>
        <family val="2"/>
        <charset val="186"/>
      </rPr>
      <t xml:space="preserve">aizsargkārtas atjaunošana ar remontjavu </t>
    </r>
    <r>
      <rPr>
        <sz val="8"/>
        <rFont val="Arial"/>
        <family val="2"/>
        <charset val="186"/>
      </rPr>
      <t xml:space="preserve"> (3-40mm) (remontjava, atbilst standartam EN 1504-3, spiedes stiprības klase R 3)
15mm biezumā</t>
    </r>
  </si>
  <si>
    <t>Remontjava (3-40mm) (remontjava, atbilst standartam EN 1504-3, spiedes stiprības klase R 3)patēriņš aptuveni 2,0 kg/m²/mm</t>
  </si>
  <si>
    <r>
      <t xml:space="preserve">Plātnes apakšējās virsmas </t>
    </r>
    <r>
      <rPr>
        <b/>
        <sz val="8"/>
        <rFont val="Arial"/>
        <family val="2"/>
        <charset val="186"/>
      </rPr>
      <t>špaktelēšana</t>
    </r>
    <r>
      <rPr>
        <sz val="8"/>
        <rFont val="Arial"/>
        <family val="2"/>
        <charset val="186"/>
      </rPr>
      <t xml:space="preserve"> pirms krāsošanas</t>
    </r>
    <r>
      <rPr>
        <b/>
        <sz val="8"/>
        <rFont val="Arial"/>
        <family val="2"/>
        <charset val="186"/>
      </rPr>
      <t xml:space="preserve"> (2-5mm) (plānkārtas špaktele betonam, atbilst standartam EN 1504-3) </t>
    </r>
  </si>
  <si>
    <t>Špaktele (2-5mm) patēriņš aptuveni 1,5 kg/m²/mm</t>
  </si>
  <si>
    <t>Divkomponentu hidroizolācija iestrāde 3.kārtas. Patēriņš (divās kārtās, ja vienas kārtas biezums 1mm), 2,8kg/m²</t>
  </si>
  <si>
    <t>AR ŠĶIEDRĀM ARMĒTS LIETOŠANAI GATAVS HIDROIZOLĀCIJAS SASTĀVS VIENMĒRĪGA UN ELASTĪGA PĀRKLĀJUMA IZVEIDEI UZ ATKLĀTĀM VIRSMĀM, patēriņš aptuveni 1,3l/m² uz 1mm</t>
  </si>
  <si>
    <t xml:space="preserve">Atmodas bulvārī 12, Liepājā. </t>
  </si>
  <si>
    <t>Siltinājums - GALA fasādes akmensvate λ=0,036W/mK b=150mm. Esošā siena silikātķieģeļu mūris b=510/380mm</t>
  </si>
  <si>
    <t>R1 Alumīnija konstrukcijas reste, ar sietu aiz restes, uzstādāma ventilācijas nodrošināšanai bēniņos izbūvējamo PVC cauruļu Ø110 galos. Ārējais izmērs 200x200mm, montāžas diametrs Dn100, krāsa pēc krāsu pases.</t>
  </si>
  <si>
    <t>R3 Ārsienas alumīnija konstrukcijas reste Komplektā ar montāžas rāmi. Restes  malas veidotas ar lāseni, 600×800mm. Iekšējias izmērs 540×540mm, pirms tam veicot esošo ailu aimūrējumu demontāžu.
Krāsa pēc krāsu pases.</t>
  </si>
  <si>
    <t>R5 PVC verams logs ar stiklojumu, kuram priekšā montētas. Ārsienas alumīnijas metāla reste Komplektā ar montāžas rāmi. Restes  malas veidotas ar lāseni. 930×400mm iekšējias izmērs 540×540mm, pirms tam veicot esošo ailu aimūrējumu demontāžu</t>
  </si>
  <si>
    <t>Kanalizācijas izvada Ø110 izbūve gāzbetona blokā</t>
  </si>
  <si>
    <t xml:space="preserve">Starpsienu siltināšana ar akmensvati līmējot un piestiprinot to pie ārsienas ar mehāniskajiem stiprinājumiem </t>
  </si>
  <si>
    <t>Metāla trepes zem jumta lūkām, stiprinātas pie virsmas augšdaļā un apakšdaļā h=2,3m</t>
  </si>
  <si>
    <t>kompl</t>
  </si>
  <si>
    <t>kompl*</t>
  </si>
  <si>
    <t>Sadzīves kanalizācija</t>
  </si>
  <si>
    <t>Iekšdarbu kanalizācijas caurule PP Ø110</t>
  </si>
  <si>
    <t>Āra darbu kanalizācijas caurule PP Ø110</t>
  </si>
  <si>
    <t>Kanalizācijas sistēmas āra darbu īkums</t>
  </si>
  <si>
    <t>Pāreja un pieslēgums pie esošajām kanalizācijas akām</t>
  </si>
  <si>
    <t>Grunts pabēruma veidošanai</t>
  </si>
  <si>
    <t xml:space="preserve">Grunts apbēruma veidošanai </t>
  </si>
  <si>
    <t>Minerālgrunts virskārta</t>
  </si>
  <si>
    <t>Seguma atjaunošana ar esošo bruģi</t>
  </si>
  <si>
    <t>Ø120×4,5mm</t>
  </si>
  <si>
    <t>200x300mm</t>
  </si>
  <si>
    <t>Ø110-22°</t>
  </si>
  <si>
    <t>max.  fr. 16mm</t>
  </si>
  <si>
    <t>max.  fr. 20mm</t>
  </si>
  <si>
    <t>Sadzīves kanalizācijas un aukstā ūdens stāvvadu pārbūve</t>
  </si>
  <si>
    <t>Ēkas aukstā ūdensapgādes tīkli</t>
  </si>
  <si>
    <t>Demontējamas ūdensvada caurule (t.sk.- cauruļvadi,  stiprinājumi, izolācija) /apjomi doti attiecīgi izbūvējamiem apjomiem un var nesakrist ar reālo apjomu daudzumu/</t>
  </si>
  <si>
    <t>Projektēto stāvvadu pievienošanās pie esošajiem tīkliem pagrabā</t>
  </si>
  <si>
    <t>Jaunizbūvējamu ūdensvadu ievadu pievienošana pie esošajiem dzīvokļu ūdensapgādes tīkliem</t>
  </si>
  <si>
    <t>PPR caurules un veidgabali no polipropilēna random kopolimēra paredzēta aukstā ūdens  apgādei, PN10</t>
  </si>
  <si>
    <t>Cauruļvadu stiprinājumi ar izolāciju</t>
  </si>
  <si>
    <t xml:space="preserve">Iesitamais enkurs stiprinājumiem </t>
  </si>
  <si>
    <t>PPR ventilis aukstajam ūdenim</t>
  </si>
  <si>
    <t>PPR trejgabals ar iekšējo vītni tukšošanas krānu pievienošanai</t>
  </si>
  <si>
    <t>Lodveida ventilis - tukšošanas krāns</t>
  </si>
  <si>
    <t>Izbūvētās ūdensvada sistēmas pārbaude un nodošana</t>
  </si>
  <si>
    <t>Dzīvokļu aukstā ūdens patēriņa uzskaites mezgli  - Mezgls "D"</t>
  </si>
  <si>
    <t>PPR pāreja ar iekšējo vītni</t>
  </si>
  <si>
    <t>Lodveida ventilis ar tauriņu</t>
  </si>
  <si>
    <t>Vienvirziena vārsts</t>
  </si>
  <si>
    <t>Rupjais netīrumu savācējs</t>
  </si>
  <si>
    <t>Pārseguma šķērsošana ar PPR cauruli - Mezgls "F"</t>
  </si>
  <si>
    <t>Dn20÷50</t>
  </si>
  <si>
    <t>precizēt</t>
  </si>
  <si>
    <t>Ø25×2,3mm</t>
  </si>
  <si>
    <t>Dn28×9mm</t>
  </si>
  <si>
    <t>Dn 25</t>
  </si>
  <si>
    <t xml:space="preserve">D25  </t>
  </si>
  <si>
    <t>D25 × ½" × D25</t>
  </si>
  <si>
    <t>1"</t>
  </si>
  <si>
    <t>½", Qn=1,5m³/h</t>
  </si>
  <si>
    <t xml:space="preserve">Ø20 &gt; ½" </t>
  </si>
  <si>
    <t>½"</t>
  </si>
  <si>
    <t>100×200mm</t>
  </si>
  <si>
    <t>30kg</t>
  </si>
  <si>
    <t>vietas</t>
  </si>
  <si>
    <t>maisi</t>
  </si>
  <si>
    <t>Durvju un logu aiļu apdare, platums~ 0,27m*</t>
  </si>
  <si>
    <t>Pusapaļš arkas veida jumtiņa garums. Kronšteini, 27*cm augsti standarta izpildījumā – akrila caurspīdīga loksne ar sudraba nokrāsu ar alumīnija kronšteiniem. 
Kmpl. ar stiprinājuma dībeļiem pie pamatsienas caur siltinājumu atbilstoši ražotājkonstrukcijas norādījumiem. 3000*×1000*×212*(h)</t>
  </si>
  <si>
    <t>Fasādes krāsa</t>
  </si>
  <si>
    <t>Ø110,
vietas 102</t>
  </si>
  <si>
    <t>Projektēta jauna jumta marga ar sniega barjeru, h=600mm</t>
  </si>
  <si>
    <t>Papildlatojuma ierīkošana esošā latojuma paugstināšana (70×25(h)), esošo latu pastiprināšanai s=550mm</t>
  </si>
  <si>
    <t>Galasienu dzegas pagarināšana ar latām 80x85(h) mm,l = 620 mm,solis~500</t>
  </si>
  <si>
    <t>Galasienu dzegas apšuvums ar dēļiem bxh=20x100mm,</t>
  </si>
  <si>
    <t>Galasienas dzegas skārda apšuvums, b=0,5m,</t>
  </si>
  <si>
    <t xml:space="preserve">Skārda nosegpanelis balkona plātnes malai </t>
  </si>
  <si>
    <t>Perimetrs</t>
  </si>
  <si>
    <t>Siltumizolācija estrudētā putupolistirola plâksne λ=0,034W/mK, b=100mm</t>
  </si>
  <si>
    <t>Zemes rakšanas darbi, 1m platumā  un 0,6m dziļumā no grunts līmeņa</t>
  </si>
  <si>
    <t>Cokola apmetuma nokalšana</t>
  </si>
  <si>
    <t>Kvarca graudu struktūrapmetums 3mm</t>
  </si>
  <si>
    <t>S3</t>
  </si>
  <si>
    <t>Siltinājums - akmensvate λ=0,036W/mK b=100mm. Esošā siena silikātķieģeļu mūris b=250mm</t>
  </si>
  <si>
    <t>Projektēts jumta segums - skat. BK-2 Esošs dzelzsbetona panelis ~b=220mm + Gruntējums + Līmjava  + Akmensvates lamele  ekvivalents 0,037W/m²K   b=150mm</t>
  </si>
  <si>
    <t>P3</t>
  </si>
  <si>
    <t xml:space="preserve">PVC loga bloks ar  stikla paketi,  krāsa - balta
 PVC rāmis  min. 82mm* Stikla paketes 3K4LowE+4+4LowE-14CH. Kopējais siltuma caurlaidības koef.: Uw=1.0W/m×K </t>
  </si>
  <si>
    <t>Siets klases ∅6-100x100 stiegrojumu</t>
  </si>
  <si>
    <t>Bēniņu pārsegumu siltumizolācija, beramā akmensvate, λ=0,041W/m²×K (b=300mm, ieskaitot sablīvēšanas koef. 1,15), tvaika izolācijas plēve (b=0,2mm),  esošais dz-betona pārsegums (b=~220mm)</t>
  </si>
  <si>
    <t>Siltinâjums - ekstrudētā putupolistirola plāksne  λ=0,034W/mK, b=100mm, Līmjava, Gruntējums
Vertikālā hidroizolācija (līdz pamata apakšai)
Esošā  betona bloku siena, b=400mm</t>
  </si>
  <si>
    <t>Dībeli 195mm virszemes daļai</t>
  </si>
  <si>
    <t>Dībeli Ø8, 100mm stipināst uz ķimiskās masas ik pa 0,3-0,4m</t>
  </si>
  <si>
    <t>Perimetra skārda lāseņa montāža 0,7mm fasādes krāsu pases toni, izlkiekst atbilstoši pieslēguma mezgla risinājumam b=0,3m*</t>
  </si>
  <si>
    <t>akrila hermētiķis</t>
  </si>
  <si>
    <t xml:space="preserve">Tiešās izmaksas kopā, t. sk. darba devēja sociālais nodoklis 23,59% </t>
  </si>
  <si>
    <t>Blīvējošās briestošā lentas 74mm platumā ar 1 līmmalu un tvaika plēvi montēšana ap logu ailām u.c. vietām.</t>
  </si>
  <si>
    <t>Proj. dzegas skārda 0,6mm nosegprofils gala fasādei</t>
  </si>
  <si>
    <t>Proj. dzegas skārda 0,6mm nosegprofils garenfasādei</t>
  </si>
  <si>
    <t>Daudzdzīvokļu dzīvojamās mājas energoefektivitātes paaugstināšanas pasākumi</t>
  </si>
  <si>
    <t>Daudzdzīvokļu dzīvojamās mājas Atmodas bulvārī 12, Liepājā, energoefektivitātes paaugstināšanas pasākumi</t>
  </si>
  <si>
    <t>Tāme sastādīta 2021. gada</t>
  </si>
  <si>
    <t>Tāme sastādīta 2021. gada tirgus cenās, pamatojoties uz AR un BK daļas rasējumiem</t>
  </si>
  <si>
    <t>Difūzujas lentas montēšana nomaināmajos logos un bēniņu lūkām</t>
  </si>
  <si>
    <t xml:space="preserve">R2 Atvērumu izveide ārsienas cokolā restu montāžai 220×210*mm Komplektā ar adapteru izmanto savienojumam ar pieplūdes ventili, kas iziet telpās. </t>
  </si>
  <si>
    <t>Kvarca graudu struktūrapmetums "Sakret GAP" vai ekvivalents (AS-2) + Līmjava ~10mm
Gruntējums "Sakret UG"  vai ekvivalents gruntij atšķaidītai ar ūdeni attiecībā 1:3 vai "Sakret BG" vai ekvivalents
Vertikālā hidroizolācija (līdz pamata apakšai)
Esošā  betona bloku siena                              b=400mm</t>
  </si>
  <si>
    <t>Poliuretāna līme EPS vai ekvivalents plātnēm</t>
  </si>
  <si>
    <t>Ķīmiskie dībeļi Ø10 Hilti HIT-Z-R vai ekvivalents, l=80 statu enkurošanai</t>
  </si>
  <si>
    <t>Ķīmiskie dībeļi Ø12Hilti HIT-Z-R vai ekvivalents, l=12 margu enkurošanai</t>
  </si>
  <si>
    <t>PE caurule ø12 mm ELKO-BIS vai ekvivalents, montāža zem siltinājuma</t>
  </si>
  <si>
    <t>PE caurules ø12 mm ELKO-BIS vai ekvivalents, montāžas palīgmateriāli</t>
  </si>
  <si>
    <t>Pretkondensāta izolācijas čaula bēniņstāvā - "K-Flex" EC vai ekvivalents kaučuka izolācijas čaulām, Siltumvadības koeficients λ pie +40°С = 0,040 W/mK; difūzijas tvaika pretestība pēc DIN 52516 μ≥ 7 000</t>
  </si>
  <si>
    <t>Ugunsdroša revīzijas lūka, "Knauf" Revo vai ekvivalents</t>
  </si>
  <si>
    <t>Ventilācijas izvads Vilpe 110/300/Н vai ekvivalents, ar jumta segumam paredzētu jumtā hermētiski iestrādājumu pamatni un pāreju no PVC caurules Ø110 uz izvadu</t>
  </si>
  <si>
    <t xml:space="preserve">Ugundrošā manžetes kanalizācijas caurulei pirms pārseguma šķērsošanas  - "PROMAT" PROMASTOP UniCollar R90 vai ekvivalents:
Ø110 caurulei no viena komplekta iznāk 5 manžetes;
</t>
  </si>
  <si>
    <t>Pretkondensāta izolācijas čaula   - "K-Flex" EC vai ekvivalents kaučuka izolācijas čaulām, Siltumvadības koeficients λ pie +40°С = 0,040 W/mK; difūzijas tvaika pretestība pēc DIN 52516 μ≥ 7 000</t>
  </si>
  <si>
    <t>"Promat" PROMASEAL-PL vai ekvivalents loksne - 75 pārsegumi</t>
  </si>
  <si>
    <t>"Promat" PROMASTOP ugunsdrošā java MG III vai ekvivalents PROMASEAL vai ekvivalents blīves iestrādāšanai</t>
  </si>
  <si>
    <t>Attālināti nolasāmais aukstā ūdens skaitītājs komplektā ar saskrūvi un radio moduli (ražotāju saskaņot ar pasūtītāju)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</si>
</sst>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0;;"/>
    <numFmt numFmtId="165" formatCode="0;;"/>
    <numFmt numFmtId="166" formatCode="0.0%"/>
    <numFmt numFmtId="167" formatCode="_-* #,##0.00_-;\-* #,##0.00_-;_-* \-??_-;_-@_-"/>
    <numFmt numFmtId="168" formatCode="0.0;;"/>
    <numFmt numFmtId="169" formatCode="0.0"/>
  </numFmts>
  <fonts count="41" x14ac:knownFonts="1">
    <font>
      <sz val="11"/>
      <color theme="1"/>
      <name val="Calibri"/>
      <family val="2"/>
      <charset val="186"/>
      <scheme val="minor"/>
    </font>
    <font>
      <sz val="8"/>
      <color theme="1"/>
      <name val="Arial"/>
      <family val="2"/>
      <charset val="186"/>
    </font>
    <font>
      <sz val="8"/>
      <name val="Arial"/>
      <family val="2"/>
      <charset val="186"/>
    </font>
    <font>
      <b/>
      <sz val="8"/>
      <name val="Arial"/>
      <family val="2"/>
      <charset val="186"/>
    </font>
    <font>
      <sz val="10"/>
      <name val="Arial"/>
      <family val="2"/>
      <charset val="186"/>
    </font>
    <font>
      <sz val="10"/>
      <name val="Arial"/>
      <family val="2"/>
      <charset val="204"/>
    </font>
    <font>
      <sz val="9"/>
      <color indexed="81"/>
      <name val="Tahoma"/>
      <family val="2"/>
      <charset val="186"/>
    </font>
    <font>
      <b/>
      <sz val="9"/>
      <color indexed="81"/>
      <name val="Tahoma"/>
      <family val="2"/>
      <charset val="186"/>
    </font>
    <font>
      <sz val="11"/>
      <color theme="1"/>
      <name val="Calibri"/>
      <family val="2"/>
      <charset val="186"/>
      <scheme val="minor"/>
    </font>
    <font>
      <sz val="10"/>
      <name val="Arial"/>
      <family val="2"/>
      <charset val="186"/>
    </font>
    <font>
      <sz val="8"/>
      <color rgb="FFFF0000"/>
      <name val="Arial"/>
      <family val="2"/>
      <charset val="186"/>
    </font>
    <font>
      <sz val="8"/>
      <name val="Calibri"/>
      <family val="2"/>
      <charset val="186"/>
      <scheme val="minor"/>
    </font>
    <font>
      <sz val="10"/>
      <name val="Arial"/>
      <family val="2"/>
      <charset val="1"/>
    </font>
    <font>
      <i/>
      <sz val="8"/>
      <color rgb="FF7F7F7F"/>
      <name val="Arial"/>
      <family val="2"/>
      <charset val="186"/>
    </font>
    <font>
      <b/>
      <sz val="8"/>
      <color theme="1"/>
      <name val="Arial"/>
      <family val="2"/>
      <charset val="186"/>
    </font>
    <font>
      <b/>
      <sz val="9"/>
      <name val="Arial"/>
      <family val="2"/>
      <charset val="186"/>
    </font>
    <font>
      <sz val="9"/>
      <name val="Arial"/>
      <family val="2"/>
      <charset val="186"/>
    </font>
    <font>
      <sz val="8"/>
      <name val="Helv"/>
      <charset val="186"/>
    </font>
    <font>
      <sz val="8"/>
      <color indexed="8"/>
      <name val="Arial"/>
      <family val="2"/>
      <charset val="186"/>
    </font>
    <font>
      <b/>
      <sz val="8"/>
      <color indexed="8"/>
      <name val="Arial"/>
      <family val="2"/>
      <charset val="186"/>
    </font>
    <font>
      <sz val="8"/>
      <color rgb="FF000000"/>
      <name val="Arial"/>
      <family val="2"/>
      <charset val="186"/>
    </font>
    <font>
      <sz val="8"/>
      <color indexed="10"/>
      <name val="Arial"/>
      <family val="2"/>
      <charset val="186"/>
    </font>
    <font>
      <sz val="8"/>
      <color rgb="FF00B050"/>
      <name val="Arial"/>
      <family val="2"/>
      <charset val="186"/>
    </font>
    <font>
      <sz val="6"/>
      <name val="Arial"/>
      <family val="2"/>
      <charset val="186"/>
    </font>
    <font>
      <sz val="8"/>
      <color indexed="21"/>
      <name val="Arial"/>
      <family val="2"/>
      <charset val="186"/>
    </font>
    <font>
      <sz val="6"/>
      <color indexed="8"/>
      <name val="Arial"/>
      <family val="2"/>
      <charset val="186"/>
    </font>
    <font>
      <b/>
      <sz val="8"/>
      <color indexed="10"/>
      <name val="Arial"/>
      <family val="2"/>
      <charset val="186"/>
    </font>
    <font>
      <b/>
      <sz val="6"/>
      <color indexed="10"/>
      <name val="Arial"/>
      <family val="2"/>
      <charset val="186"/>
    </font>
    <font>
      <sz val="8"/>
      <color theme="1"/>
      <name val="Calibri"/>
      <family val="2"/>
      <charset val="186"/>
      <scheme val="minor"/>
    </font>
    <font>
      <b/>
      <sz val="6"/>
      <color theme="1"/>
      <name val="Calibri"/>
      <family val="2"/>
      <charset val="186"/>
      <scheme val="minor"/>
    </font>
    <font>
      <b/>
      <sz val="6"/>
      <color theme="1"/>
      <name val="Arial"/>
      <family val="2"/>
      <charset val="186"/>
    </font>
    <font>
      <i/>
      <sz val="8"/>
      <name val="Arial"/>
      <family val="2"/>
      <charset val="186"/>
    </font>
    <font>
      <sz val="10"/>
      <name val="Arial"/>
      <family val="2"/>
    </font>
    <font>
      <b/>
      <sz val="10"/>
      <color rgb="FFFF0000"/>
      <name val="Calibri"/>
      <family val="2"/>
      <charset val="186"/>
    </font>
    <font>
      <sz val="8"/>
      <name val="Arial"/>
      <family val="2"/>
      <charset val="204"/>
    </font>
    <font>
      <sz val="10"/>
      <name val="Helv"/>
    </font>
    <font>
      <b/>
      <i/>
      <u/>
      <sz val="8"/>
      <name val="Arial"/>
      <family val="2"/>
      <charset val="186"/>
    </font>
    <font>
      <sz val="8"/>
      <name val="Arial"/>
      <family val="2"/>
    </font>
    <font>
      <b/>
      <i/>
      <sz val="8"/>
      <name val="Arial"/>
      <family val="2"/>
      <charset val="186"/>
    </font>
    <font>
      <b/>
      <i/>
      <u/>
      <sz val="9"/>
      <name val="Arial"/>
      <family val="2"/>
      <charset val="186"/>
    </font>
    <font>
      <sz val="8"/>
      <color rgb="FF0070C0"/>
      <name val="Arial"/>
      <family val="2"/>
      <charset val="186"/>
    </font>
  </fonts>
  <fills count="12">
    <fill>
      <patternFill patternType="none"/>
    </fill>
    <fill>
      <patternFill patternType="gray125"/>
    </fill>
    <fill>
      <patternFill patternType="solid">
        <fgColor theme="7" tint="0.39997558519241921"/>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8" tint="0.39997558519241921"/>
        <bgColor indexed="64"/>
      </patternFill>
    </fill>
    <fill>
      <patternFill patternType="solid">
        <fgColor indexed="9"/>
        <bgColor indexed="64"/>
      </patternFill>
    </fill>
    <fill>
      <patternFill patternType="solid">
        <fgColor rgb="FFFFFFFF"/>
        <bgColor rgb="FFF2F2F2"/>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s>
  <borders count="66">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style="thin">
        <color auto="1"/>
      </right>
      <top style="thin">
        <color auto="1"/>
      </top>
      <bottom style="thin">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auto="1"/>
      </right>
      <top/>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style="thin">
        <color indexed="64"/>
      </left>
      <right/>
      <top/>
      <bottom style="medium">
        <color indexed="64"/>
      </bottom>
      <diagonal/>
    </border>
  </borders>
  <cellStyleXfs count="13">
    <xf numFmtId="0" fontId="0" fillId="0" borderId="0"/>
    <xf numFmtId="0" fontId="4" fillId="0" borderId="0"/>
    <xf numFmtId="0" fontId="4" fillId="0" borderId="0"/>
    <xf numFmtId="0" fontId="5" fillId="0" borderId="0"/>
    <xf numFmtId="43" fontId="8" fillId="0" borderId="0" applyFont="0" applyFill="0" applyBorder="0" applyAlignment="0" applyProtection="0"/>
    <xf numFmtId="0" fontId="9" fillId="0" borderId="0"/>
    <xf numFmtId="0" fontId="4" fillId="0" borderId="0"/>
    <xf numFmtId="0" fontId="12" fillId="0" borderId="0"/>
    <xf numFmtId="0" fontId="13" fillId="0" borderId="0" applyNumberFormat="0" applyFill="0" applyBorder="0" applyAlignment="0" applyProtection="0"/>
    <xf numFmtId="0" fontId="32" fillId="0" borderId="0"/>
    <xf numFmtId="0" fontId="35" fillId="0" borderId="0"/>
    <xf numFmtId="0" fontId="5" fillId="0" borderId="0"/>
    <xf numFmtId="0" fontId="35" fillId="0" borderId="0"/>
  </cellStyleXfs>
  <cellXfs count="506">
    <xf numFmtId="0" fontId="0" fillId="0" borderId="0" xfId="0"/>
    <xf numFmtId="0" fontId="2" fillId="0" borderId="0" xfId="0" applyFont="1"/>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4" fontId="2" fillId="0" borderId="7" xfId="0" applyNumberFormat="1" applyFont="1" applyBorder="1" applyAlignment="1">
      <alignment horizontal="center" vertical="center"/>
    </xf>
    <xf numFmtId="0" fontId="2" fillId="0" borderId="10" xfId="0" applyFont="1" applyBorder="1"/>
    <xf numFmtId="0" fontId="3" fillId="0" borderId="11" xfId="0" applyFont="1" applyBorder="1" applyAlignment="1">
      <alignment horizontal="right"/>
    </xf>
    <xf numFmtId="2" fontId="3" fillId="0" borderId="12" xfId="0" applyNumberFormat="1" applyFont="1" applyBorder="1" applyAlignment="1">
      <alignment horizontal="center" vertical="center"/>
    </xf>
    <xf numFmtId="2" fontId="3" fillId="0" borderId="0" xfId="0" applyNumberFormat="1" applyFont="1" applyAlignment="1">
      <alignment horizontal="center" vertical="center"/>
    </xf>
    <xf numFmtId="2" fontId="2" fillId="0" borderId="14" xfId="0" applyNumberFormat="1" applyFont="1" applyBorder="1" applyAlignment="1">
      <alignment horizontal="center" vertical="center"/>
    </xf>
    <xf numFmtId="0" fontId="2" fillId="0" borderId="0" xfId="0" applyFont="1" applyAlignment="1">
      <alignment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2" fontId="2" fillId="0" borderId="0" xfId="0" applyNumberFormat="1" applyFont="1"/>
    <xf numFmtId="0" fontId="2" fillId="0" borderId="0" xfId="0" applyFont="1" applyAlignment="1">
      <alignment vertical="center"/>
    </xf>
    <xf numFmtId="164" fontId="2" fillId="0" borderId="21" xfId="0" applyNumberFormat="1" applyFont="1" applyBorder="1" applyAlignment="1">
      <alignment horizontal="center" vertical="center" wrapText="1"/>
    </xf>
    <xf numFmtId="164" fontId="2" fillId="0" borderId="29" xfId="0" applyNumberFormat="1" applyFont="1" applyBorder="1" applyAlignment="1">
      <alignment horizontal="center" vertical="center" wrapText="1"/>
    </xf>
    <xf numFmtId="0" fontId="2" fillId="0" borderId="0" xfId="0" applyFont="1" applyAlignment="1">
      <alignment horizontal="left"/>
    </xf>
    <xf numFmtId="0" fontId="2" fillId="0" borderId="0" xfId="0" applyFont="1" applyAlignment="1">
      <alignment horizontal="right" vertical="center"/>
    </xf>
    <xf numFmtId="0" fontId="2"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center" vertical="center"/>
    </xf>
    <xf numFmtId="0" fontId="2" fillId="0" borderId="0" xfId="0" applyFont="1" applyAlignment="1">
      <alignment vertical="center" wrapText="1"/>
    </xf>
    <xf numFmtId="2" fontId="2" fillId="0" borderId="0" xfId="0" applyNumberFormat="1" applyFont="1" applyAlignment="1">
      <alignment horizontal="center" vertical="center"/>
    </xf>
    <xf numFmtId="2" fontId="2" fillId="0" borderId="0" xfId="0" applyNumberFormat="1" applyFont="1" applyAlignment="1">
      <alignment vertical="center"/>
    </xf>
    <xf numFmtId="0" fontId="3" fillId="0" borderId="0" xfId="0" applyFont="1" applyAlignment="1">
      <alignment horizontal="right" vertical="center"/>
    </xf>
    <xf numFmtId="14" fontId="2" fillId="0" borderId="0" xfId="0" applyNumberFormat="1" applyFont="1" applyAlignment="1">
      <alignment horizontal="left"/>
    </xf>
    <xf numFmtId="0" fontId="2" fillId="0" borderId="29" xfId="0" applyFont="1" applyBorder="1" applyAlignment="1">
      <alignment wrapText="1"/>
    </xf>
    <xf numFmtId="164" fontId="3" fillId="0" borderId="12" xfId="0" applyNumberFormat="1" applyFont="1" applyBorder="1" applyAlignment="1">
      <alignment horizontal="center"/>
    </xf>
    <xf numFmtId="164" fontId="2" fillId="0" borderId="4" xfId="0" applyNumberFormat="1" applyFont="1" applyBorder="1" applyAlignment="1">
      <alignment horizontal="center"/>
    </xf>
    <xf numFmtId="164" fontId="2" fillId="0" borderId="0" xfId="0" applyNumberFormat="1" applyFont="1"/>
    <xf numFmtId="164" fontId="2" fillId="0" borderId="35" xfId="0" applyNumberFormat="1" applyFont="1" applyBorder="1" applyAlignment="1">
      <alignment horizontal="center"/>
    </xf>
    <xf numFmtId="164" fontId="2" fillId="0" borderId="5" xfId="0" applyNumberFormat="1" applyFont="1" applyBorder="1" applyAlignment="1">
      <alignment horizontal="center" vertical="center"/>
    </xf>
    <xf numFmtId="164" fontId="2" fillId="0" borderId="29" xfId="0" applyNumberFormat="1" applyFont="1" applyBorder="1" applyAlignment="1">
      <alignment vertical="top" wrapText="1"/>
    </xf>
    <xf numFmtId="9" fontId="2" fillId="0" borderId="0" xfId="0" applyNumberFormat="1" applyFont="1"/>
    <xf numFmtId="165" fontId="2" fillId="0" borderId="0" xfId="0" applyNumberFormat="1" applyFont="1" applyAlignment="1">
      <alignment vertical="center"/>
    </xf>
    <xf numFmtId="164" fontId="2" fillId="0" borderId="2" xfId="0" applyNumberFormat="1" applyFont="1" applyBorder="1" applyAlignment="1">
      <alignment horizontal="center" vertical="center"/>
    </xf>
    <xf numFmtId="164" fontId="2" fillId="0" borderId="21" xfId="0" applyNumberFormat="1" applyFont="1" applyBorder="1" applyAlignment="1">
      <alignment horizontal="center" vertical="center"/>
    </xf>
    <xf numFmtId="164" fontId="2" fillId="0" borderId="22" xfId="0" applyNumberFormat="1" applyFont="1" applyBorder="1" applyAlignment="1">
      <alignment horizontal="center" vertical="center" wrapText="1"/>
    </xf>
    <xf numFmtId="164" fontId="2" fillId="0" borderId="29" xfId="0" applyNumberFormat="1" applyFont="1" applyBorder="1" applyAlignment="1">
      <alignment horizontal="center" vertical="center"/>
    </xf>
    <xf numFmtId="164" fontId="2" fillId="0" borderId="30" xfId="0" applyNumberFormat="1" applyFont="1" applyBorder="1" applyAlignment="1">
      <alignment horizontal="center" vertical="center" wrapText="1"/>
    </xf>
    <xf numFmtId="164" fontId="2" fillId="0" borderId="41" xfId="0" applyNumberFormat="1" applyFont="1" applyBorder="1" applyAlignment="1">
      <alignment horizontal="center" vertical="center" wrapText="1"/>
    </xf>
    <xf numFmtId="164" fontId="2" fillId="0" borderId="16" xfId="0" quotePrefix="1" applyNumberFormat="1" applyFont="1" applyBorder="1" applyAlignment="1">
      <alignment horizontal="center"/>
    </xf>
    <xf numFmtId="164" fontId="2" fillId="0" borderId="16" xfId="0" applyNumberFormat="1" applyFont="1" applyBorder="1" applyAlignment="1">
      <alignment horizontal="center"/>
    </xf>
    <xf numFmtId="0" fontId="3" fillId="0" borderId="33" xfId="0" applyFont="1" applyBorder="1" applyAlignment="1">
      <alignment horizontal="center" vertical="center" textRotation="90" wrapText="1"/>
    </xf>
    <xf numFmtId="0" fontId="2" fillId="0" borderId="43" xfId="0" applyFont="1" applyBorder="1" applyAlignment="1">
      <alignment horizontal="center" vertical="center" wrapText="1"/>
    </xf>
    <xf numFmtId="164" fontId="2" fillId="0" borderId="43" xfId="0" applyNumberFormat="1" applyFont="1" applyBorder="1" applyAlignment="1">
      <alignment vertical="top" wrapText="1"/>
    </xf>
    <xf numFmtId="164" fontId="3" fillId="0" borderId="43" xfId="0" applyNumberFormat="1" applyFont="1" applyBorder="1" applyAlignment="1">
      <alignment horizontal="center" vertical="center" wrapText="1"/>
    </xf>
    <xf numFmtId="164" fontId="2" fillId="0" borderId="43" xfId="2" applyNumberFormat="1" applyFont="1" applyBorder="1" applyAlignment="1">
      <alignment horizontal="center" vertical="center"/>
    </xf>
    <xf numFmtId="164" fontId="3" fillId="0" borderId="44" xfId="2" applyNumberFormat="1" applyFont="1" applyBorder="1" applyAlignment="1">
      <alignment horizontal="center" vertical="center"/>
    </xf>
    <xf numFmtId="164" fontId="2" fillId="0" borderId="44" xfId="0" applyNumberFormat="1" applyFont="1" applyBorder="1" applyAlignment="1">
      <alignment horizontal="center" vertical="center" wrapText="1"/>
    </xf>
    <xf numFmtId="164" fontId="2" fillId="0" borderId="42" xfId="2" applyNumberFormat="1" applyFont="1" applyBorder="1" applyAlignment="1">
      <alignment horizontal="center" vertical="center"/>
    </xf>
    <xf numFmtId="164" fontId="3" fillId="0" borderId="10" xfId="3" applyNumberFormat="1" applyFont="1" applyBorder="1" applyAlignment="1">
      <alignment horizontal="center" vertical="center"/>
    </xf>
    <xf numFmtId="164" fontId="3" fillId="0" borderId="13" xfId="3" applyNumberFormat="1" applyFont="1" applyBorder="1" applyAlignment="1">
      <alignment horizontal="center" vertical="center"/>
    </xf>
    <xf numFmtId="164" fontId="3" fillId="0" borderId="14" xfId="3" applyNumberFormat="1" applyFont="1" applyBorder="1" applyAlignment="1">
      <alignment horizontal="center" vertical="center"/>
    </xf>
    <xf numFmtId="166" fontId="3" fillId="0" borderId="4" xfId="0" applyNumberFormat="1" applyFont="1" applyBorder="1" applyAlignment="1">
      <alignment horizontal="center"/>
    </xf>
    <xf numFmtId="166" fontId="2" fillId="0" borderId="7" xfId="0" applyNumberFormat="1" applyFont="1" applyBorder="1" applyAlignment="1">
      <alignment horizontal="center"/>
    </xf>
    <xf numFmtId="166" fontId="3" fillId="0" borderId="7" xfId="0" applyNumberFormat="1" applyFont="1" applyBorder="1" applyAlignment="1">
      <alignment horizontal="center"/>
    </xf>
    <xf numFmtId="165" fontId="2" fillId="0" borderId="2" xfId="0" applyNumberFormat="1" applyFont="1" applyBorder="1" applyAlignment="1">
      <alignment horizontal="center" vertical="center" wrapText="1"/>
    </xf>
    <xf numFmtId="165" fontId="2" fillId="0" borderId="5" xfId="0" applyNumberFormat="1" applyFont="1" applyBorder="1" applyAlignment="1">
      <alignment horizontal="center" vertical="center" wrapText="1"/>
    </xf>
    <xf numFmtId="0" fontId="2" fillId="0" borderId="40" xfId="0" applyFont="1" applyBorder="1" applyAlignment="1">
      <alignment wrapText="1"/>
    </xf>
    <xf numFmtId="0" fontId="3" fillId="0" borderId="40" xfId="0" applyFont="1" applyBorder="1" applyAlignment="1">
      <alignment wrapText="1"/>
    </xf>
    <xf numFmtId="0" fontId="3" fillId="0" borderId="38" xfId="0" applyFont="1" applyBorder="1" applyAlignment="1">
      <alignment wrapText="1"/>
    </xf>
    <xf numFmtId="164" fontId="2" fillId="0" borderId="0" xfId="0" applyNumberFormat="1" applyFont="1" applyAlignment="1">
      <alignment horizontal="center" vertical="justify"/>
    </xf>
    <xf numFmtId="1" fontId="2" fillId="0" borderId="5" xfId="0" applyNumberFormat="1" applyFont="1" applyBorder="1" applyAlignment="1">
      <alignment horizontal="center" vertical="center" wrapText="1"/>
    </xf>
    <xf numFmtId="0" fontId="2" fillId="0" borderId="0" xfId="0" applyFont="1" applyAlignment="1">
      <alignment vertical="justify"/>
    </xf>
    <xf numFmtId="9" fontId="2" fillId="0" borderId="39" xfId="0" applyNumberFormat="1" applyFont="1" applyBorder="1" applyAlignment="1"/>
    <xf numFmtId="9" fontId="2" fillId="0" borderId="0" xfId="0" applyNumberFormat="1" applyFont="1" applyAlignment="1"/>
    <xf numFmtId="9" fontId="2" fillId="0" borderId="0" xfId="0" applyNumberFormat="1" applyFont="1" applyAlignment="1">
      <alignment horizontal="right"/>
    </xf>
    <xf numFmtId="14" fontId="2" fillId="0" borderId="0" xfId="0" applyNumberFormat="1" applyFont="1" applyAlignment="1">
      <alignment horizontal="right"/>
    </xf>
    <xf numFmtId="165" fontId="2" fillId="0" borderId="1" xfId="0" applyNumberFormat="1" applyFont="1" applyBorder="1" applyAlignment="1"/>
    <xf numFmtId="1" fontId="2" fillId="0" borderId="0" xfId="0" applyNumberFormat="1" applyFont="1" applyAlignment="1"/>
    <xf numFmtId="0" fontId="3" fillId="0" borderId="0" xfId="0" applyFont="1"/>
    <xf numFmtId="164" fontId="2" fillId="0" borderId="31" xfId="0" applyNumberFormat="1" applyFont="1" applyBorder="1" applyAlignment="1">
      <alignment horizontal="center" vertical="center"/>
    </xf>
    <xf numFmtId="164" fontId="2" fillId="0" borderId="33" xfId="0" applyNumberFormat="1" applyFont="1" applyBorder="1" applyAlignment="1">
      <alignment horizontal="center" vertical="center" wrapText="1"/>
    </xf>
    <xf numFmtId="164" fontId="2" fillId="0" borderId="43" xfId="0" applyNumberFormat="1" applyFont="1" applyBorder="1" applyAlignment="1">
      <alignment horizontal="center" vertical="center" wrapText="1"/>
    </xf>
    <xf numFmtId="164" fontId="3" fillId="0" borderId="45" xfId="2" applyNumberFormat="1" applyFont="1" applyBorder="1" applyAlignment="1">
      <alignment horizontal="center" vertical="center"/>
    </xf>
    <xf numFmtId="0" fontId="2" fillId="0" borderId="29" xfId="0" applyFont="1" applyBorder="1" applyAlignment="1">
      <alignment horizontal="center" vertical="center" wrapText="1"/>
    </xf>
    <xf numFmtId="164" fontId="2" fillId="3" borderId="42" xfId="2" applyNumberFormat="1" applyFont="1" applyFill="1" applyBorder="1" applyAlignment="1">
      <alignment horizontal="center" vertical="center"/>
    </xf>
    <xf numFmtId="164" fontId="2" fillId="3" borderId="43" xfId="2" applyNumberFormat="1" applyFont="1" applyFill="1" applyBorder="1" applyAlignment="1">
      <alignment horizontal="center" vertical="center"/>
    </xf>
    <xf numFmtId="164" fontId="3" fillId="3" borderId="44" xfId="2" applyNumberFormat="1" applyFont="1" applyFill="1" applyBorder="1" applyAlignment="1">
      <alignment horizontal="center" vertical="center"/>
    </xf>
    <xf numFmtId="164" fontId="3" fillId="3" borderId="45" xfId="2" applyNumberFormat="1" applyFont="1" applyFill="1" applyBorder="1" applyAlignment="1">
      <alignment horizontal="center" vertical="center"/>
    </xf>
    <xf numFmtId="164" fontId="2" fillId="4" borderId="42" xfId="2" applyNumberFormat="1" applyFont="1" applyFill="1" applyBorder="1" applyAlignment="1">
      <alignment horizontal="center" vertical="center"/>
    </xf>
    <xf numFmtId="164" fontId="2" fillId="4" borderId="43" xfId="2" applyNumberFormat="1" applyFont="1" applyFill="1" applyBorder="1" applyAlignment="1">
      <alignment horizontal="center" vertical="center"/>
    </xf>
    <xf numFmtId="164" fontId="3" fillId="4" borderId="44" xfId="2" applyNumberFormat="1" applyFont="1" applyFill="1" applyBorder="1" applyAlignment="1">
      <alignment horizontal="center" vertical="center"/>
    </xf>
    <xf numFmtId="164" fontId="3" fillId="4" borderId="45" xfId="2" applyNumberFormat="1" applyFont="1" applyFill="1" applyBorder="1" applyAlignment="1">
      <alignment horizontal="center" vertical="center"/>
    </xf>
    <xf numFmtId="164" fontId="2" fillId="5" borderId="42" xfId="2" applyNumberFormat="1" applyFont="1" applyFill="1" applyBorder="1" applyAlignment="1">
      <alignment horizontal="center" vertical="center"/>
    </xf>
    <xf numFmtId="164" fontId="2" fillId="5" borderId="43" xfId="2" applyNumberFormat="1" applyFont="1" applyFill="1" applyBorder="1" applyAlignment="1">
      <alignment horizontal="center" vertical="center"/>
    </xf>
    <xf numFmtId="164" fontId="3" fillId="5" borderId="44" xfId="2" applyNumberFormat="1" applyFont="1" applyFill="1" applyBorder="1" applyAlignment="1">
      <alignment horizontal="center" vertical="center"/>
    </xf>
    <xf numFmtId="164" fontId="3" fillId="5" borderId="45" xfId="2" applyNumberFormat="1" applyFont="1" applyFill="1" applyBorder="1" applyAlignment="1">
      <alignment horizontal="center" vertical="center"/>
    </xf>
    <xf numFmtId="164" fontId="2" fillId="2" borderId="42" xfId="2" applyNumberFormat="1" applyFont="1" applyFill="1" applyBorder="1" applyAlignment="1">
      <alignment horizontal="center" vertical="center"/>
    </xf>
    <xf numFmtId="164" fontId="2" fillId="2" borderId="43" xfId="2" applyNumberFormat="1" applyFont="1" applyFill="1" applyBorder="1" applyAlignment="1">
      <alignment horizontal="center" vertical="center"/>
    </xf>
    <xf numFmtId="164" fontId="3" fillId="2" borderId="44" xfId="2" applyNumberFormat="1" applyFont="1" applyFill="1" applyBorder="1" applyAlignment="1">
      <alignment horizontal="center" vertical="center"/>
    </xf>
    <xf numFmtId="164" fontId="3" fillId="2" borderId="45" xfId="2" applyNumberFormat="1" applyFont="1" applyFill="1" applyBorder="1" applyAlignment="1">
      <alignment horizontal="center" vertical="center"/>
    </xf>
    <xf numFmtId="0" fontId="2" fillId="0" borderId="0" xfId="0" applyFont="1" applyAlignment="1">
      <alignment horizontal="center"/>
    </xf>
    <xf numFmtId="0" fontId="2" fillId="0" borderId="0" xfId="0" applyFont="1" applyAlignment="1">
      <alignment horizontal="right"/>
    </xf>
    <xf numFmtId="0" fontId="3" fillId="0" borderId="0" xfId="0" applyFont="1" applyAlignment="1">
      <alignment horizontal="center"/>
    </xf>
    <xf numFmtId="0" fontId="2" fillId="0" borderId="0" xfId="0" applyFont="1" applyAlignment="1">
      <alignment horizontal="center" vertical="justify"/>
    </xf>
    <xf numFmtId="0" fontId="3" fillId="0" borderId="0" xfId="0" applyFont="1" applyAlignment="1">
      <alignment horizontal="right"/>
    </xf>
    <xf numFmtId="0" fontId="2" fillId="0" borderId="31" xfId="0" applyFont="1" applyBorder="1" applyAlignment="1">
      <alignment horizontal="center" vertical="center" textRotation="90" wrapText="1"/>
    </xf>
    <xf numFmtId="0" fontId="2" fillId="0" borderId="32" xfId="0" applyFont="1" applyBorder="1" applyAlignment="1">
      <alignment horizontal="center" vertical="center" textRotation="90" wrapText="1"/>
    </xf>
    <xf numFmtId="0" fontId="2" fillId="0" borderId="46" xfId="0" applyFont="1" applyBorder="1" applyAlignment="1">
      <alignment horizontal="center" vertical="center" wrapText="1"/>
    </xf>
    <xf numFmtId="164" fontId="2" fillId="0" borderId="47" xfId="2" applyNumberFormat="1" applyFont="1" applyBorder="1" applyAlignment="1">
      <alignment horizontal="center" vertical="center"/>
    </xf>
    <xf numFmtId="0" fontId="10" fillId="0" borderId="0" xfId="0" applyFont="1" applyAlignment="1">
      <alignment horizontal="center" vertical="center"/>
    </xf>
    <xf numFmtId="0" fontId="15" fillId="0" borderId="0" xfId="0" applyFont="1"/>
    <xf numFmtId="0" fontId="16" fillId="0" borderId="0" xfId="0" applyFont="1" applyAlignment="1">
      <alignment wrapText="1"/>
    </xf>
    <xf numFmtId="0" fontId="16" fillId="0" borderId="0" xfId="0" applyFont="1"/>
    <xf numFmtId="0" fontId="16" fillId="0" borderId="0" xfId="0" applyFont="1" applyAlignment="1">
      <alignment vertical="center"/>
    </xf>
    <xf numFmtId="2" fontId="16" fillId="0" borderId="0" xfId="5" applyNumberFormat="1" applyFont="1" applyAlignment="1">
      <alignment horizontal="center" vertical="center" wrapText="1"/>
    </xf>
    <xf numFmtId="2" fontId="16" fillId="0" borderId="0" xfId="0" applyNumberFormat="1" applyFont="1" applyAlignment="1">
      <alignment horizontal="center" vertical="center" wrapText="1"/>
    </xf>
    <xf numFmtId="167" fontId="16" fillId="0" borderId="0" xfId="4" applyNumberFormat="1" applyFont="1" applyAlignment="1">
      <alignment horizontal="center" vertical="center"/>
    </xf>
    <xf numFmtId="167" fontId="16" fillId="0" borderId="0" xfId="4" applyNumberFormat="1" applyFont="1" applyAlignment="1">
      <alignment horizontal="center" vertical="center" wrapText="1"/>
    </xf>
    <xf numFmtId="164" fontId="2" fillId="0" borderId="29" xfId="0" applyNumberFormat="1" applyFont="1" applyFill="1" applyBorder="1" applyAlignment="1">
      <alignment vertical="top" wrapText="1"/>
    </xf>
    <xf numFmtId="164" fontId="2" fillId="0" borderId="29" xfId="0" applyNumberFormat="1" applyFont="1" applyFill="1" applyBorder="1" applyAlignment="1">
      <alignment horizontal="center" vertical="center" wrapText="1"/>
    </xf>
    <xf numFmtId="164" fontId="2" fillId="0" borderId="44" xfId="0" applyNumberFormat="1" applyFont="1" applyFill="1" applyBorder="1" applyAlignment="1">
      <alignment horizontal="center" vertical="center" wrapText="1"/>
    </xf>
    <xf numFmtId="164" fontId="2" fillId="0" borderId="43" xfId="0" applyNumberFormat="1" applyFont="1" applyFill="1" applyBorder="1" applyAlignment="1">
      <alignment vertical="top" wrapText="1"/>
    </xf>
    <xf numFmtId="0" fontId="2" fillId="0" borderId="43" xfId="0" applyFont="1" applyFill="1" applyBorder="1" applyAlignment="1">
      <alignment horizontal="center" vertical="center" wrapText="1"/>
    </xf>
    <xf numFmtId="164" fontId="2" fillId="0" borderId="43" xfId="0" applyNumberFormat="1" applyFont="1" applyFill="1" applyBorder="1" applyAlignment="1">
      <alignment horizontal="center" vertical="center" wrapText="1"/>
    </xf>
    <xf numFmtId="49" fontId="2" fillId="0" borderId="46" xfId="5" applyNumberFormat="1" applyFont="1" applyFill="1" applyBorder="1" applyAlignment="1">
      <alignment horizontal="center" vertical="center" wrapText="1"/>
    </xf>
    <xf numFmtId="0" fontId="2" fillId="0" borderId="46" xfId="7" applyFont="1" applyFill="1" applyBorder="1" applyAlignment="1">
      <alignment vertical="center" wrapText="1"/>
    </xf>
    <xf numFmtId="0" fontId="2" fillId="0" borderId="46" xfId="7" applyFont="1" applyFill="1" applyBorder="1" applyAlignment="1">
      <alignment horizontal="center" vertical="center" wrapText="1"/>
    </xf>
    <xf numFmtId="169" fontId="2" fillId="0" borderId="46" xfId="5" applyNumberFormat="1" applyFont="1" applyFill="1" applyBorder="1" applyAlignment="1">
      <alignment horizontal="center" vertical="center"/>
    </xf>
    <xf numFmtId="0" fontId="3" fillId="0" borderId="6" xfId="0" applyFont="1" applyBorder="1" applyAlignment="1">
      <alignment wrapText="1"/>
    </xf>
    <xf numFmtId="14" fontId="2" fillId="0" borderId="0" xfId="0" applyNumberFormat="1" applyFont="1" applyAlignment="1">
      <alignment vertical="center"/>
    </xf>
    <xf numFmtId="9" fontId="2" fillId="0" borderId="0" xfId="0" applyNumberFormat="1" applyFont="1" applyAlignment="1">
      <alignment horizontal="right" vertical="center"/>
    </xf>
    <xf numFmtId="14" fontId="2" fillId="0" borderId="0" xfId="0" applyNumberFormat="1" applyFont="1" applyAlignment="1">
      <alignment horizontal="left" vertical="center"/>
    </xf>
    <xf numFmtId="164" fontId="2" fillId="0" borderId="43" xfId="0" applyNumberFormat="1" applyFont="1" applyBorder="1" applyAlignment="1">
      <alignment vertical="center" wrapText="1"/>
    </xf>
    <xf numFmtId="0" fontId="2" fillId="0" borderId="29" xfId="0" applyFont="1" applyBorder="1" applyAlignment="1">
      <alignment vertical="center" wrapText="1"/>
    </xf>
    <xf numFmtId="164" fontId="2" fillId="0" borderId="29" xfId="0" applyNumberFormat="1" applyFont="1" applyBorder="1" applyAlignment="1">
      <alignment vertical="center" wrapText="1"/>
    </xf>
    <xf numFmtId="164" fontId="3" fillId="0" borderId="29" xfId="0" applyNumberFormat="1" applyFont="1" applyFill="1" applyBorder="1" applyAlignment="1">
      <alignment vertical="center" wrapText="1"/>
    </xf>
    <xf numFmtId="9" fontId="2" fillId="0" borderId="39" xfId="0" applyNumberFormat="1" applyFont="1" applyBorder="1" applyAlignment="1">
      <alignment vertical="center"/>
    </xf>
    <xf numFmtId="9" fontId="2" fillId="0" borderId="0" xfId="0" applyNumberFormat="1" applyFont="1" applyAlignment="1">
      <alignment vertical="center"/>
    </xf>
    <xf numFmtId="165" fontId="2" fillId="0" borderId="1" xfId="0" applyNumberFormat="1" applyFont="1" applyBorder="1" applyAlignment="1">
      <alignment vertical="center"/>
    </xf>
    <xf numFmtId="0" fontId="15" fillId="0" borderId="0" xfId="0" applyFont="1" applyAlignment="1">
      <alignment vertical="center"/>
    </xf>
    <xf numFmtId="0" fontId="16" fillId="0" borderId="0" xfId="0" applyFont="1" applyAlignment="1">
      <alignment vertical="center" wrapText="1"/>
    </xf>
    <xf numFmtId="164" fontId="3" fillId="0" borderId="29" xfId="0" applyNumberFormat="1" applyFont="1" applyBorder="1" applyAlignment="1">
      <alignment vertical="center" wrapText="1"/>
    </xf>
    <xf numFmtId="164" fontId="3" fillId="0" borderId="44" xfId="0" applyNumberFormat="1" applyFont="1" applyBorder="1" applyAlignment="1">
      <alignment horizontal="center" vertical="center" wrapText="1"/>
    </xf>
    <xf numFmtId="0" fontId="2" fillId="0" borderId="29" xfId="0" applyFont="1" applyFill="1" applyBorder="1" applyAlignment="1">
      <alignment vertical="center" wrapText="1"/>
    </xf>
    <xf numFmtId="0" fontId="2" fillId="4" borderId="29" xfId="0" applyFont="1" applyFill="1" applyBorder="1" applyAlignment="1">
      <alignment vertical="center" wrapText="1"/>
    </xf>
    <xf numFmtId="0" fontId="18" fillId="0" borderId="0" xfId="0" applyFont="1" applyAlignment="1">
      <alignment horizontal="center" vertical="center"/>
    </xf>
    <xf numFmtId="0" fontId="18" fillId="0" borderId="0" xfId="0" applyFont="1" applyAlignment="1">
      <alignment vertical="center"/>
    </xf>
    <xf numFmtId="0" fontId="21" fillId="0" borderId="0" xfId="0" applyFont="1" applyAlignment="1">
      <alignment horizontal="center" vertical="center"/>
    </xf>
    <xf numFmtId="0" fontId="18" fillId="0" borderId="0" xfId="0" applyFont="1" applyAlignment="1">
      <alignment horizontal="right" vertical="center"/>
    </xf>
    <xf numFmtId="0" fontId="22" fillId="0" borderId="0" xfId="0" applyFont="1" applyAlignment="1">
      <alignment horizontal="center" vertical="center"/>
    </xf>
    <xf numFmtId="0" fontId="18" fillId="0" borderId="0" xfId="0" applyFont="1" applyAlignment="1">
      <alignment horizontal="center" vertical="center" wrapText="1"/>
    </xf>
    <xf numFmtId="0" fontId="23" fillId="0" borderId="0" xfId="0" applyFont="1" applyAlignment="1">
      <alignment horizontal="left" vertical="center"/>
    </xf>
    <xf numFmtId="0" fontId="24" fillId="0" borderId="0" xfId="0" applyFont="1" applyAlignment="1">
      <alignment horizontal="center" vertical="center"/>
    </xf>
    <xf numFmtId="0" fontId="19" fillId="0" borderId="0" xfId="0" applyFont="1" applyAlignment="1">
      <alignment horizontal="center" vertical="center"/>
    </xf>
    <xf numFmtId="0" fontId="25" fillId="0" borderId="0" xfId="0" applyFont="1" applyAlignment="1">
      <alignment horizontal="right" vertical="center" wrapText="1"/>
    </xf>
    <xf numFmtId="1" fontId="18" fillId="0" borderId="0" xfId="0" applyNumberFormat="1" applyFont="1" applyAlignment="1">
      <alignment horizontal="center" vertical="center"/>
    </xf>
    <xf numFmtId="1" fontId="19" fillId="0" borderId="0" xfId="0" applyNumberFormat="1" applyFont="1" applyAlignment="1">
      <alignment horizontal="center" vertical="center"/>
    </xf>
    <xf numFmtId="2" fontId="19" fillId="0" borderId="0" xfId="0" applyNumberFormat="1" applyFont="1" applyAlignment="1">
      <alignment horizontal="center" vertical="center"/>
    </xf>
    <xf numFmtId="0" fontId="26" fillId="0" borderId="0" xfId="0" applyFont="1" applyAlignment="1">
      <alignment horizontal="center" vertical="center"/>
    </xf>
    <xf numFmtId="0" fontId="27" fillId="0" borderId="0" xfId="0" applyFont="1" applyAlignment="1">
      <alignment horizontal="center" vertical="center"/>
    </xf>
    <xf numFmtId="0" fontId="17" fillId="0" borderId="29" xfId="0" applyFont="1" applyBorder="1" applyAlignment="1">
      <alignment horizontal="center" vertical="center"/>
    </xf>
    <xf numFmtId="0" fontId="2" fillId="0" borderId="29" xfId="0" applyFont="1" applyBorder="1" applyAlignment="1">
      <alignment vertical="center"/>
    </xf>
    <xf numFmtId="169" fontId="17" fillId="0" borderId="29" xfId="0" applyNumberFormat="1" applyFont="1" applyBorder="1" applyAlignment="1">
      <alignment horizontal="center" vertical="center"/>
    </xf>
    <xf numFmtId="0" fontId="1" fillId="0" borderId="29" xfId="0" applyFont="1" applyBorder="1" applyAlignment="1">
      <alignment horizontal="center" vertical="center"/>
    </xf>
    <xf numFmtId="0" fontId="14" fillId="0" borderId="29" xfId="0" applyFont="1" applyBorder="1" applyAlignment="1">
      <alignment horizontal="center" vertical="center"/>
    </xf>
    <xf numFmtId="169" fontId="18" fillId="0" borderId="0" xfId="0" applyNumberFormat="1" applyFont="1" applyAlignment="1">
      <alignment horizontal="center" vertical="center"/>
    </xf>
    <xf numFmtId="169" fontId="18" fillId="0" borderId="0" xfId="0" applyNumberFormat="1" applyFont="1" applyAlignment="1">
      <alignment horizontal="center" vertical="center" wrapText="1"/>
    </xf>
    <xf numFmtId="0" fontId="3" fillId="0" borderId="29" xfId="0" applyFont="1" applyBorder="1" applyAlignment="1">
      <alignment horizontal="center" vertical="center" wrapText="1"/>
    </xf>
    <xf numFmtId="0" fontId="3" fillId="0" borderId="29" xfId="6" applyFont="1" applyBorder="1" applyAlignment="1">
      <alignment vertical="center" wrapText="1"/>
    </xf>
    <xf numFmtId="0" fontId="3" fillId="0" borderId="29" xfId="6" applyFont="1" applyBorder="1" applyAlignment="1">
      <alignment horizontal="center" vertical="center" wrapText="1"/>
    </xf>
    <xf numFmtId="1" fontId="3" fillId="0" borderId="29" xfId="6" applyNumberFormat="1" applyFont="1" applyBorder="1" applyAlignment="1">
      <alignment horizontal="center" vertical="center" wrapText="1"/>
    </xf>
    <xf numFmtId="0" fontId="2" fillId="0" borderId="29" xfId="0" applyFont="1" applyBorder="1" applyAlignment="1">
      <alignment horizontal="center" vertical="justify"/>
    </xf>
    <xf numFmtId="0" fontId="28" fillId="0" borderId="0" xfId="0" applyFont="1"/>
    <xf numFmtId="0" fontId="1" fillId="0" borderId="29" xfId="0" applyFont="1" applyBorder="1" applyAlignment="1">
      <alignment wrapText="1"/>
    </xf>
    <xf numFmtId="0" fontId="1" fillId="0" borderId="29" xfId="0" applyFont="1" applyBorder="1"/>
    <xf numFmtId="0" fontId="1" fillId="0" borderId="29" xfId="0" applyFont="1" applyBorder="1" applyAlignment="1">
      <alignment horizontal="center"/>
    </xf>
    <xf numFmtId="0" fontId="29" fillId="0" borderId="29" xfId="0" applyFont="1" applyBorder="1" applyAlignment="1">
      <alignment horizontal="center" vertical="center"/>
    </xf>
    <xf numFmtId="0" fontId="30" fillId="0" borderId="29" xfId="0" applyFont="1" applyBorder="1"/>
    <xf numFmtId="0" fontId="30" fillId="0" borderId="29" xfId="0" applyFont="1" applyBorder="1" applyAlignment="1">
      <alignment horizontal="center" vertical="center"/>
    </xf>
    <xf numFmtId="164" fontId="3" fillId="0" borderId="29" xfId="0" applyNumberFormat="1" applyFont="1" applyBorder="1" applyAlignment="1">
      <alignment horizontal="center" vertical="center" wrapText="1"/>
    </xf>
    <xf numFmtId="2" fontId="1" fillId="0" borderId="29" xfId="0" applyNumberFormat="1" applyFont="1" applyBorder="1" applyAlignment="1">
      <alignment horizontal="center" vertical="center"/>
    </xf>
    <xf numFmtId="1" fontId="1" fillId="0" borderId="29" xfId="0" applyNumberFormat="1" applyFont="1" applyBorder="1" applyAlignment="1">
      <alignment horizontal="center" vertical="center"/>
    </xf>
    <xf numFmtId="0" fontId="2" fillId="0" borderId="48" xfId="8" applyFont="1" applyFill="1" applyBorder="1" applyAlignment="1" applyProtection="1">
      <alignment horizontal="center" vertical="center" wrapText="1"/>
    </xf>
    <xf numFmtId="49" fontId="2" fillId="0" borderId="48" xfId="8" applyNumberFormat="1" applyFont="1" applyFill="1" applyBorder="1" applyAlignment="1" applyProtection="1">
      <alignment horizontal="center" vertical="center" wrapText="1"/>
    </xf>
    <xf numFmtId="0" fontId="2" fillId="0" borderId="48" xfId="0" applyFont="1" applyBorder="1" applyAlignment="1">
      <alignment horizontal="left" vertical="center" wrapText="1"/>
    </xf>
    <xf numFmtId="2" fontId="2" fillId="0" borderId="48" xfId="0" applyNumberFormat="1" applyFont="1" applyBorder="1" applyAlignment="1">
      <alignment horizontal="center" vertical="center" wrapText="1"/>
    </xf>
    <xf numFmtId="169" fontId="2" fillId="0" borderId="48" xfId="0" applyNumberFormat="1" applyFont="1" applyBorder="1" applyAlignment="1">
      <alignment horizontal="center" vertical="center" wrapText="1"/>
    </xf>
    <xf numFmtId="0" fontId="3" fillId="0" borderId="48" xfId="0" applyFont="1" applyBorder="1" applyAlignment="1">
      <alignment horizontal="left" vertical="center" wrapText="1"/>
    </xf>
    <xf numFmtId="0" fontId="2" fillId="0" borderId="48" xfId="0" applyFont="1" applyBorder="1" applyAlignment="1">
      <alignment horizontal="center" vertical="center" wrapText="1"/>
    </xf>
    <xf numFmtId="169" fontId="3" fillId="0" borderId="48" xfId="0" applyNumberFormat="1" applyFont="1" applyBorder="1" applyAlignment="1">
      <alignment horizontal="center" vertical="center" wrapText="1"/>
    </xf>
    <xf numFmtId="0" fontId="31" fillId="0" borderId="48" xfId="8" applyFont="1" applyFill="1" applyBorder="1" applyAlignment="1" applyProtection="1">
      <alignment horizontal="left" vertical="center" wrapText="1"/>
    </xf>
    <xf numFmtId="0" fontId="2" fillId="0" borderId="48" xfId="8" applyFont="1" applyFill="1" applyBorder="1" applyAlignment="1" applyProtection="1">
      <alignment horizontal="left" vertical="center" wrapText="1"/>
    </xf>
    <xf numFmtId="0" fontId="2" fillId="0" borderId="48" xfId="0" applyFont="1" applyBorder="1" applyAlignment="1">
      <alignment horizontal="center" vertical="center"/>
    </xf>
    <xf numFmtId="0" fontId="2" fillId="0" borderId="48" xfId="8" applyFont="1" applyFill="1" applyBorder="1" applyAlignment="1" applyProtection="1">
      <alignment vertical="center"/>
    </xf>
    <xf numFmtId="0" fontId="2" fillId="0" borderId="48" xfId="8" applyFont="1" applyFill="1" applyBorder="1" applyAlignment="1" applyProtection="1">
      <alignment horizontal="center" vertical="center"/>
    </xf>
    <xf numFmtId="2" fontId="2" fillId="0" borderId="48" xfId="8" applyNumberFormat="1" applyFont="1" applyFill="1" applyBorder="1" applyAlignment="1" applyProtection="1">
      <alignment horizontal="center" vertical="center"/>
    </xf>
    <xf numFmtId="0" fontId="2" fillId="0" borderId="48" xfId="8" applyFont="1" applyBorder="1" applyAlignment="1" applyProtection="1">
      <alignment horizontal="center" vertical="center" wrapText="1"/>
    </xf>
    <xf numFmtId="49" fontId="2" fillId="0" borderId="48" xfId="8" applyNumberFormat="1" applyFont="1" applyBorder="1" applyAlignment="1" applyProtection="1">
      <alignment horizontal="center" vertical="center" wrapText="1"/>
    </xf>
    <xf numFmtId="0" fontId="2" fillId="0" borderId="48" xfId="8" applyFont="1" applyBorder="1" applyAlignment="1" applyProtection="1">
      <alignment vertical="center" wrapText="1"/>
    </xf>
    <xf numFmtId="2" fontId="2" fillId="0" borderId="48" xfId="8" applyNumberFormat="1" applyFont="1" applyBorder="1" applyAlignment="1" applyProtection="1">
      <alignment horizontal="center" vertical="center"/>
    </xf>
    <xf numFmtId="0" fontId="2" fillId="0" borderId="48" xfId="8" applyFont="1" applyBorder="1" applyAlignment="1">
      <alignment horizontal="center" vertical="center" wrapText="1"/>
    </xf>
    <xf numFmtId="0" fontId="2" fillId="7" borderId="48" xfId="8" applyFont="1" applyFill="1" applyBorder="1" applyAlignment="1" applyProtection="1">
      <alignment horizontal="center" vertical="center" wrapText="1"/>
    </xf>
    <xf numFmtId="0" fontId="2" fillId="0" borderId="48" xfId="8" applyFont="1" applyBorder="1" applyAlignment="1" applyProtection="1">
      <alignment horizontal="left" vertical="center" wrapText="1"/>
    </xf>
    <xf numFmtId="2" fontId="2" fillId="0" borderId="48" xfId="8" applyNumberFormat="1" applyFont="1" applyBorder="1" applyAlignment="1" applyProtection="1">
      <alignment horizontal="center" vertical="center" wrapText="1"/>
    </xf>
    <xf numFmtId="0" fontId="2" fillId="0" borderId="48" xfId="5" applyFont="1" applyBorder="1" applyAlignment="1">
      <alignment horizontal="center" vertical="center" wrapText="1"/>
    </xf>
    <xf numFmtId="0" fontId="2" fillId="0" borderId="48" xfId="0" applyFont="1" applyBorder="1"/>
    <xf numFmtId="0" fontId="2" fillId="0" borderId="50" xfId="0" applyFont="1" applyBorder="1"/>
    <xf numFmtId="0" fontId="33" fillId="0" borderId="0" xfId="0" applyFont="1" applyAlignment="1">
      <alignment horizontal="center"/>
    </xf>
    <xf numFmtId="0" fontId="2" fillId="0" borderId="48" xfId="9" applyFont="1" applyBorder="1" applyAlignment="1">
      <alignment horizontal="center" vertical="center" wrapText="1"/>
    </xf>
    <xf numFmtId="1" fontId="2" fillId="0" borderId="48" xfId="9" applyNumberFormat="1" applyFont="1" applyBorder="1" applyAlignment="1">
      <alignment horizontal="center" vertical="center" wrapText="1"/>
    </xf>
    <xf numFmtId="2" fontId="2" fillId="0" borderId="48" xfId="9" applyNumberFormat="1" applyFont="1" applyBorder="1" applyAlignment="1">
      <alignment horizontal="center" vertical="center" wrapText="1"/>
    </xf>
    <xf numFmtId="0" fontId="2" fillId="0" borderId="48" xfId="9" applyFont="1" applyBorder="1" applyAlignment="1">
      <alignment vertical="center"/>
    </xf>
    <xf numFmtId="2" fontId="3" fillId="0" borderId="48" xfId="9" applyNumberFormat="1" applyFont="1" applyBorder="1" applyAlignment="1">
      <alignment horizontal="center" vertical="center" wrapText="1"/>
    </xf>
    <xf numFmtId="169" fontId="2" fillId="0" borderId="48" xfId="9" applyNumberFormat="1" applyFont="1" applyBorder="1" applyAlignment="1">
      <alignment horizontal="center" vertical="center" wrapText="1"/>
    </xf>
    <xf numFmtId="0" fontId="34" fillId="0" borderId="29" xfId="5" applyFont="1" applyBorder="1" applyAlignment="1">
      <alignment horizontal="center" vertical="center" wrapText="1"/>
    </xf>
    <xf numFmtId="0" fontId="34" fillId="6" borderId="29" xfId="9" applyFont="1" applyFill="1" applyBorder="1" applyAlignment="1">
      <alignment vertical="center" wrapText="1"/>
    </xf>
    <xf numFmtId="0" fontId="34" fillId="6" borderId="29" xfId="9" applyFont="1" applyFill="1" applyBorder="1" applyAlignment="1">
      <alignment horizontal="center" vertical="center" wrapText="1"/>
    </xf>
    <xf numFmtId="1" fontId="34" fillId="6" borderId="29" xfId="9" applyNumberFormat="1" applyFont="1" applyFill="1" applyBorder="1" applyAlignment="1">
      <alignment horizontal="center" vertical="center" wrapText="1"/>
    </xf>
    <xf numFmtId="2" fontId="34" fillId="6" borderId="29" xfId="9" applyNumberFormat="1" applyFont="1" applyFill="1" applyBorder="1" applyAlignment="1">
      <alignment horizontal="center" vertical="center" wrapText="1"/>
    </xf>
    <xf numFmtId="2" fontId="3" fillId="0" borderId="29" xfId="9" applyNumberFormat="1" applyFont="1" applyBorder="1" applyAlignment="1">
      <alignment horizontal="center" vertical="center" wrapText="1"/>
    </xf>
    <xf numFmtId="0" fontId="2" fillId="0" borderId="0" xfId="0" applyFont="1" applyBorder="1"/>
    <xf numFmtId="0" fontId="3" fillId="8" borderId="0" xfId="10" applyFont="1" applyFill="1" applyBorder="1" applyAlignment="1">
      <alignment horizontal="center" vertical="center" wrapText="1"/>
    </xf>
    <xf numFmtId="0" fontId="2" fillId="0" borderId="0" xfId="0" applyFont="1" applyBorder="1" applyAlignment="1">
      <alignment horizontal="center" vertical="center"/>
    </xf>
    <xf numFmtId="0" fontId="2" fillId="0" borderId="0" xfId="11" applyFont="1" applyBorder="1" applyAlignment="1">
      <alignment horizontal="center" vertical="center" wrapText="1"/>
    </xf>
    <xf numFmtId="0" fontId="2" fillId="0" borderId="0" xfId="10" applyFont="1" applyFill="1" applyBorder="1" applyAlignment="1">
      <alignment horizontal="center" vertical="center" wrapText="1"/>
    </xf>
    <xf numFmtId="0" fontId="3" fillId="0" borderId="0" xfId="10" applyFont="1" applyFill="1" applyBorder="1" applyAlignment="1">
      <alignment horizontal="center" vertical="center" wrapText="1"/>
    </xf>
    <xf numFmtId="0" fontId="3" fillId="0" borderId="31" xfId="0" applyFont="1" applyBorder="1" applyAlignment="1">
      <alignment horizontal="right"/>
    </xf>
    <xf numFmtId="0" fontId="2" fillId="0" borderId="53" xfId="0" applyFont="1" applyBorder="1" applyAlignment="1">
      <alignment horizontal="center" vertical="center" wrapText="1"/>
    </xf>
    <xf numFmtId="164" fontId="2" fillId="3" borderId="47" xfId="2" applyNumberFormat="1" applyFont="1" applyFill="1" applyBorder="1" applyAlignment="1">
      <alignment horizontal="center" vertical="center"/>
    </xf>
    <xf numFmtId="0" fontId="2" fillId="8" borderId="53" xfId="0" applyFont="1" applyFill="1" applyBorder="1" applyAlignment="1">
      <alignment horizontal="center" vertical="center" wrapText="1"/>
    </xf>
    <xf numFmtId="164" fontId="2" fillId="10" borderId="42" xfId="2" applyNumberFormat="1" applyFont="1" applyFill="1" applyBorder="1" applyAlignment="1">
      <alignment horizontal="center" vertical="center"/>
    </xf>
    <xf numFmtId="164" fontId="2" fillId="10" borderId="43" xfId="2" applyNumberFormat="1" applyFont="1" applyFill="1" applyBorder="1" applyAlignment="1">
      <alignment horizontal="center" vertical="center"/>
    </xf>
    <xf numFmtId="164" fontId="2" fillId="11" borderId="42" xfId="2" applyNumberFormat="1" applyFont="1" applyFill="1" applyBorder="1" applyAlignment="1">
      <alignment horizontal="center" vertical="center"/>
    </xf>
    <xf numFmtId="164" fontId="2" fillId="11" borderId="43" xfId="2" applyNumberFormat="1" applyFont="1" applyFill="1" applyBorder="1" applyAlignment="1">
      <alignment horizontal="center" vertical="center"/>
    </xf>
    <xf numFmtId="164" fontId="3" fillId="11" borderId="44" xfId="2" applyNumberFormat="1" applyFont="1" applyFill="1" applyBorder="1" applyAlignment="1">
      <alignment horizontal="center" vertical="center"/>
    </xf>
    <xf numFmtId="164" fontId="3" fillId="11" borderId="45" xfId="2" applyNumberFormat="1" applyFont="1" applyFill="1" applyBorder="1" applyAlignment="1">
      <alignment horizontal="center" vertical="center"/>
    </xf>
    <xf numFmtId="164" fontId="3" fillId="0" borderId="54" xfId="3" applyNumberFormat="1" applyFont="1" applyBorder="1" applyAlignment="1">
      <alignment horizontal="center" vertical="center"/>
    </xf>
    <xf numFmtId="164" fontId="3" fillId="0" borderId="55" xfId="3" applyNumberFormat="1" applyFont="1" applyBorder="1" applyAlignment="1">
      <alignment horizontal="center" vertical="center"/>
    </xf>
    <xf numFmtId="164" fontId="3" fillId="0" borderId="56" xfId="3" applyNumberFormat="1" applyFont="1" applyBorder="1" applyAlignment="1">
      <alignment horizontal="center" vertical="center"/>
    </xf>
    <xf numFmtId="164" fontId="2" fillId="0" borderId="29" xfId="2" applyNumberFormat="1" applyFont="1" applyBorder="1" applyAlignment="1">
      <alignment horizontal="center" vertical="center"/>
    </xf>
    <xf numFmtId="164" fontId="3" fillId="0" borderId="29" xfId="2" applyNumberFormat="1" applyFont="1" applyBorder="1" applyAlignment="1">
      <alignment horizontal="center" vertical="center"/>
    </xf>
    <xf numFmtId="0" fontId="2" fillId="0" borderId="0" xfId="0" applyFont="1" applyAlignment="1">
      <alignment horizontal="right"/>
    </xf>
    <xf numFmtId="0" fontId="2" fillId="0" borderId="31" xfId="0" applyFont="1" applyBorder="1" applyAlignment="1">
      <alignment horizontal="center" vertical="center" textRotation="90" wrapText="1"/>
    </xf>
    <xf numFmtId="0" fontId="2" fillId="0" borderId="32" xfId="0" applyFont="1" applyBorder="1" applyAlignment="1">
      <alignment horizontal="center" vertical="center" textRotation="90" wrapText="1"/>
    </xf>
    <xf numFmtId="164" fontId="2" fillId="3" borderId="53" xfId="2" applyNumberFormat="1" applyFont="1" applyFill="1" applyBorder="1" applyAlignment="1">
      <alignment horizontal="center" vertical="center"/>
    </xf>
    <xf numFmtId="164" fontId="3" fillId="3" borderId="53" xfId="2" applyNumberFormat="1" applyFont="1" applyFill="1" applyBorder="1" applyAlignment="1">
      <alignment horizontal="center" vertical="center"/>
    </xf>
    <xf numFmtId="0" fontId="36" fillId="8" borderId="0" xfId="10" applyFont="1" applyFill="1" applyBorder="1" applyAlignment="1">
      <alignment horizontal="left" vertical="center" wrapText="1"/>
    </xf>
    <xf numFmtId="0" fontId="36" fillId="0" borderId="0" xfId="10" applyFont="1" applyFill="1" applyBorder="1" applyAlignment="1">
      <alignment horizontal="left" vertical="center" wrapText="1"/>
    </xf>
    <xf numFmtId="0" fontId="2" fillId="0" borderId="0" xfId="12" applyFont="1" applyFill="1" applyBorder="1" applyAlignment="1">
      <alignment horizontal="left" vertical="center" wrapText="1"/>
    </xf>
    <xf numFmtId="2" fontId="2" fillId="0" borderId="0" xfId="5" applyNumberFormat="1" applyFont="1" applyAlignment="1">
      <alignment horizontal="center" vertical="center" wrapText="1"/>
    </xf>
    <xf numFmtId="2" fontId="2" fillId="0" borderId="0" xfId="0" applyNumberFormat="1" applyFont="1" applyAlignment="1">
      <alignment horizontal="center" vertical="center" wrapText="1"/>
    </xf>
    <xf numFmtId="167" fontId="2" fillId="0" borderId="0" xfId="4" applyNumberFormat="1" applyFont="1" applyAlignment="1">
      <alignment horizontal="center" vertical="center"/>
    </xf>
    <xf numFmtId="167" fontId="2" fillId="0" borderId="0" xfId="4" applyNumberFormat="1" applyFont="1" applyAlignment="1">
      <alignment horizontal="center" vertical="center" wrapText="1"/>
    </xf>
    <xf numFmtId="0" fontId="10" fillId="0" borderId="0" xfId="0" applyFont="1"/>
    <xf numFmtId="0" fontId="2" fillId="6" borderId="29" xfId="9" applyFont="1" applyFill="1" applyBorder="1" applyAlignment="1">
      <alignment vertical="center" wrapText="1"/>
    </xf>
    <xf numFmtId="0" fontId="2" fillId="6" borderId="29" xfId="9" applyFont="1" applyFill="1" applyBorder="1" applyAlignment="1">
      <alignment vertical="center"/>
    </xf>
    <xf numFmtId="0" fontId="2" fillId="0" borderId="0" xfId="11" applyFont="1" applyFill="1" applyBorder="1" applyAlignment="1">
      <alignment horizontal="left" vertical="center" wrapText="1"/>
    </xf>
    <xf numFmtId="0" fontId="2" fillId="0" borderId="0" xfId="10" applyFont="1" applyFill="1" applyBorder="1" applyAlignment="1">
      <alignment horizontal="left" vertical="center" wrapText="1"/>
    </xf>
    <xf numFmtId="0" fontId="2" fillId="0" borderId="53" xfId="8" applyFont="1" applyFill="1" applyBorder="1" applyAlignment="1" applyProtection="1">
      <alignment horizontal="center" vertical="center" wrapText="1"/>
    </xf>
    <xf numFmtId="49" fontId="2" fillId="0" borderId="53" xfId="8" applyNumberFormat="1" applyFont="1" applyFill="1" applyBorder="1" applyAlignment="1" applyProtection="1">
      <alignment horizontal="center" vertical="center" wrapText="1"/>
    </xf>
    <xf numFmtId="2" fontId="2" fillId="0" borderId="53" xfId="0" applyNumberFormat="1" applyFont="1" applyBorder="1" applyAlignment="1">
      <alignment horizontal="center" vertical="center" wrapText="1"/>
    </xf>
    <xf numFmtId="164" fontId="2" fillId="0" borderId="42" xfId="2" applyNumberFormat="1" applyFont="1" applyFill="1" applyBorder="1" applyAlignment="1">
      <alignment horizontal="center" vertical="center"/>
    </xf>
    <xf numFmtId="164" fontId="2" fillId="0" borderId="43" xfId="2" applyNumberFormat="1" applyFont="1" applyFill="1" applyBorder="1" applyAlignment="1">
      <alignment horizontal="center" vertical="center"/>
    </xf>
    <xf numFmtId="164" fontId="3" fillId="0" borderId="44" xfId="2" applyNumberFormat="1" applyFont="1" applyFill="1" applyBorder="1" applyAlignment="1">
      <alignment horizontal="center" vertical="center"/>
    </xf>
    <xf numFmtId="164" fontId="3" fillId="0" borderId="45" xfId="2" applyNumberFormat="1" applyFont="1" applyFill="1" applyBorder="1" applyAlignment="1">
      <alignment horizontal="center" vertical="center"/>
    </xf>
    <xf numFmtId="0" fontId="2" fillId="0" borderId="29" xfId="0" applyFont="1" applyFill="1" applyBorder="1" applyAlignment="1">
      <alignment horizontal="center" vertical="center" wrapText="1"/>
    </xf>
    <xf numFmtId="0" fontId="2" fillId="0" borderId="53" xfId="0"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Alignment="1">
      <alignment vertical="center" wrapText="1"/>
    </xf>
    <xf numFmtId="0" fontId="37" fillId="0" borderId="29" xfId="9" applyFont="1" applyFill="1" applyBorder="1" applyAlignment="1">
      <alignment horizontal="center" vertical="center" wrapText="1"/>
    </xf>
    <xf numFmtId="0" fontId="37" fillId="0" borderId="29" xfId="0" applyFont="1" applyFill="1" applyBorder="1" applyAlignment="1">
      <alignment horizontal="center" vertical="center"/>
    </xf>
    <xf numFmtId="0" fontId="37" fillId="0" borderId="48" xfId="9" applyFont="1" applyFill="1" applyBorder="1" applyAlignment="1">
      <alignment horizontal="center" vertical="center" wrapText="1"/>
    </xf>
    <xf numFmtId="0" fontId="37" fillId="0" borderId="48" xfId="0" applyFont="1" applyFill="1" applyBorder="1" applyAlignment="1">
      <alignment horizontal="center" vertical="center" wrapText="1"/>
    </xf>
    <xf numFmtId="2" fontId="2" fillId="0" borderId="48" xfId="0" applyNumberFormat="1" applyFont="1" applyFill="1" applyBorder="1" applyAlignment="1">
      <alignment horizontal="center" vertical="center" wrapText="1"/>
    </xf>
    <xf numFmtId="169" fontId="2" fillId="0" borderId="48" xfId="0" applyNumberFormat="1" applyFont="1" applyFill="1" applyBorder="1" applyAlignment="1">
      <alignment horizontal="center" vertical="center" wrapText="1"/>
    </xf>
    <xf numFmtId="0" fontId="2" fillId="0" borderId="29" xfId="0" applyFont="1" applyFill="1" applyBorder="1" applyAlignment="1">
      <alignment horizontal="center" vertical="center"/>
    </xf>
    <xf numFmtId="164" fontId="2" fillId="0" borderId="47" xfId="2" applyNumberFormat="1" applyFont="1" applyFill="1" applyBorder="1" applyAlignment="1">
      <alignment horizontal="center" vertical="center"/>
    </xf>
    <xf numFmtId="0" fontId="2" fillId="0" borderId="46" xfId="5" applyFont="1" applyFill="1" applyBorder="1" applyAlignment="1">
      <alignment vertical="center" wrapText="1"/>
    </xf>
    <xf numFmtId="0" fontId="2" fillId="0" borderId="46" xfId="5" applyFont="1" applyFill="1" applyBorder="1" applyAlignment="1">
      <alignment horizontal="center" vertical="center"/>
    </xf>
    <xf numFmtId="0" fontId="2" fillId="0" borderId="46" xfId="5" applyFont="1" applyFill="1" applyBorder="1" applyAlignment="1">
      <alignment horizontal="center" vertical="center" wrapText="1"/>
    </xf>
    <xf numFmtId="2" fontId="2" fillId="0" borderId="46" xfId="5" applyNumberFormat="1" applyFont="1" applyFill="1" applyBorder="1" applyAlignment="1">
      <alignment horizontal="center" vertical="center" wrapText="1"/>
    </xf>
    <xf numFmtId="0" fontId="2" fillId="0" borderId="0" xfId="0" applyFont="1" applyFill="1" applyBorder="1" applyAlignment="1">
      <alignment vertical="center" wrapText="1"/>
    </xf>
    <xf numFmtId="0" fontId="3" fillId="8" borderId="57" xfId="10" applyFont="1" applyFill="1" applyBorder="1" applyAlignment="1">
      <alignment horizontal="center" vertical="center" wrapText="1"/>
    </xf>
    <xf numFmtId="0" fontId="36" fillId="8" borderId="57" xfId="10" applyFont="1" applyFill="1" applyBorder="1" applyAlignment="1">
      <alignment horizontal="left" vertical="center" wrapText="1"/>
    </xf>
    <xf numFmtId="0" fontId="3" fillId="8" borderId="57" xfId="10" applyFont="1" applyFill="1" applyBorder="1" applyAlignment="1">
      <alignment vertical="center"/>
    </xf>
    <xf numFmtId="0" fontId="2" fillId="0" borderId="29" xfId="0" applyFont="1" applyBorder="1" applyAlignment="1">
      <alignment horizontal="center" vertical="center"/>
    </xf>
    <xf numFmtId="49" fontId="2" fillId="0" borderId="53" xfId="0" applyNumberFormat="1" applyFont="1" applyBorder="1" applyAlignment="1">
      <alignment horizontal="center" vertical="center" wrapText="1"/>
    </xf>
    <xf numFmtId="0" fontId="2" fillId="0" borderId="53" xfId="0" applyFont="1" applyBorder="1" applyAlignment="1">
      <alignment vertical="center" wrapText="1"/>
    </xf>
    <xf numFmtId="0" fontId="2" fillId="0" borderId="53" xfId="11" applyFont="1" applyBorder="1" applyAlignment="1">
      <alignment horizontal="center" vertical="center" wrapText="1"/>
    </xf>
    <xf numFmtId="0" fontId="2" fillId="0" borderId="58" xfId="11" applyFont="1" applyFill="1" applyBorder="1" applyAlignment="1">
      <alignment vertical="center" wrapText="1"/>
    </xf>
    <xf numFmtId="0" fontId="2" fillId="0" borderId="53" xfId="11" applyFont="1" applyBorder="1" applyAlignment="1">
      <alignment horizontal="center" vertical="center"/>
    </xf>
    <xf numFmtId="0" fontId="2" fillId="0" borderId="49" xfId="11" applyFont="1" applyBorder="1" applyAlignment="1">
      <alignment horizontal="center" vertical="center" wrapText="1"/>
    </xf>
    <xf numFmtId="0" fontId="2" fillId="0" borderId="49" xfId="11" applyFont="1" applyFill="1" applyBorder="1" applyAlignment="1">
      <alignment horizontal="left" vertical="center" wrapText="1"/>
    </xf>
    <xf numFmtId="0" fontId="2" fillId="0" borderId="49" xfId="11" applyFont="1" applyBorder="1" applyAlignment="1">
      <alignment horizontal="center" vertical="center"/>
    </xf>
    <xf numFmtId="0" fontId="2" fillId="0" borderId="53" xfId="12" applyFont="1" applyFill="1" applyBorder="1" applyAlignment="1">
      <alignment horizontal="center" vertical="center" wrapText="1"/>
    </xf>
    <xf numFmtId="0" fontId="2" fillId="0" borderId="53" xfId="10" applyFont="1" applyFill="1" applyBorder="1" applyAlignment="1">
      <alignment horizontal="left" vertical="center" wrapText="1"/>
    </xf>
    <xf numFmtId="0" fontId="2" fillId="0" borderId="53" xfId="10" applyFont="1" applyFill="1" applyBorder="1" applyAlignment="1">
      <alignment horizontal="center" vertical="center"/>
    </xf>
    <xf numFmtId="0" fontId="2" fillId="0" borderId="23" xfId="11" applyFont="1" applyFill="1" applyBorder="1" applyAlignment="1">
      <alignment horizontal="left" vertical="center" wrapText="1"/>
    </xf>
    <xf numFmtId="0" fontId="2" fillId="0" borderId="53" xfId="11" applyFont="1" applyFill="1" applyBorder="1" applyAlignment="1">
      <alignment horizontal="left" vertical="center" wrapText="1"/>
    </xf>
    <xf numFmtId="0" fontId="2" fillId="0" borderId="53" xfId="10" applyFont="1" applyFill="1" applyBorder="1" applyAlignment="1">
      <alignment horizontal="center" vertical="center" wrapText="1"/>
    </xf>
    <xf numFmtId="0" fontId="2" fillId="0" borderId="49" xfId="10" applyFont="1" applyFill="1" applyBorder="1" applyAlignment="1">
      <alignment horizontal="left" vertical="center" wrapText="1"/>
    </xf>
    <xf numFmtId="0" fontId="2" fillId="0" borderId="43" xfId="11" applyFont="1" applyBorder="1" applyAlignment="1">
      <alignment horizontal="center" vertical="center" wrapText="1"/>
    </xf>
    <xf numFmtId="0" fontId="2" fillId="0" borderId="43" xfId="11" applyFont="1" applyBorder="1" applyAlignment="1">
      <alignment horizontal="center" vertical="center"/>
    </xf>
    <xf numFmtId="0" fontId="2" fillId="0" borderId="53" xfId="0" applyFont="1" applyFill="1" applyBorder="1" applyAlignment="1">
      <alignment horizontal="center" vertical="center"/>
    </xf>
    <xf numFmtId="0" fontId="2" fillId="0" borderId="53" xfId="0" applyFont="1" applyFill="1" applyBorder="1" applyAlignment="1">
      <alignment horizontal="left" vertical="center"/>
    </xf>
    <xf numFmtId="0" fontId="2" fillId="0" borderId="49" xfId="0" applyFont="1" applyFill="1" applyBorder="1" applyAlignment="1">
      <alignment horizontal="left" vertical="center"/>
    </xf>
    <xf numFmtId="0" fontId="3" fillId="0" borderId="57" xfId="10" applyFont="1" applyFill="1" applyBorder="1" applyAlignment="1">
      <alignment horizontal="center" vertical="center" wrapText="1"/>
    </xf>
    <xf numFmtId="0" fontId="36" fillId="0" borderId="57" xfId="10" applyFont="1" applyFill="1" applyBorder="1" applyAlignment="1">
      <alignment horizontal="left" vertical="center" wrapText="1"/>
    </xf>
    <xf numFmtId="0" fontId="3" fillId="0" borderId="57" xfId="10" applyFont="1" applyFill="1" applyBorder="1" applyAlignment="1">
      <alignment vertical="center"/>
    </xf>
    <xf numFmtId="0" fontId="2" fillId="0" borderId="53" xfId="12" applyFont="1" applyFill="1" applyBorder="1" applyAlignment="1">
      <alignment horizontal="left" vertical="center" wrapText="1"/>
    </xf>
    <xf numFmtId="0" fontId="38" fillId="0" borderId="1" xfId="10" applyFont="1" applyFill="1" applyBorder="1" applyAlignment="1">
      <alignment horizontal="center" vertical="center"/>
    </xf>
    <xf numFmtId="0" fontId="39" fillId="0" borderId="1" xfId="10" applyFont="1" applyFill="1" applyBorder="1" applyAlignment="1">
      <alignment horizontal="left" vertical="center"/>
    </xf>
    <xf numFmtId="0" fontId="2" fillId="0" borderId="43" xfId="12" applyFont="1" applyFill="1" applyBorder="1" applyAlignment="1">
      <alignment horizontal="center" vertical="center" wrapText="1"/>
    </xf>
    <xf numFmtId="0" fontId="2" fillId="0" borderId="43" xfId="12" applyFont="1" applyFill="1" applyBorder="1" applyAlignment="1">
      <alignment vertical="center" wrapText="1"/>
    </xf>
    <xf numFmtId="0" fontId="2" fillId="0" borderId="43" xfId="10" applyFont="1" applyFill="1" applyBorder="1" applyAlignment="1">
      <alignment horizontal="center" vertical="center"/>
    </xf>
    <xf numFmtId="0" fontId="2" fillId="0" borderId="43" xfId="12" applyFont="1" applyFill="1" applyBorder="1" applyAlignment="1">
      <alignment horizontal="center" vertical="center"/>
    </xf>
    <xf numFmtId="0" fontId="2" fillId="0" borderId="29" xfId="12" applyFont="1" applyFill="1" applyBorder="1" applyAlignment="1">
      <alignment horizontal="center" vertical="center" wrapText="1"/>
    </xf>
    <xf numFmtId="0" fontId="2" fillId="0" borderId="29" xfId="12" applyFont="1" applyFill="1" applyBorder="1" applyAlignment="1">
      <alignment vertical="center" wrapText="1"/>
    </xf>
    <xf numFmtId="0" fontId="2" fillId="0" borderId="29" xfId="10" applyFont="1" applyFill="1" applyBorder="1" applyAlignment="1">
      <alignment horizontal="center" vertical="center"/>
    </xf>
    <xf numFmtId="0" fontId="2" fillId="0" borderId="29" xfId="10" applyFont="1" applyFill="1" applyBorder="1" applyAlignment="1">
      <alignment horizontal="center" vertical="center" wrapText="1"/>
    </xf>
    <xf numFmtId="0" fontId="2" fillId="0" borderId="29" xfId="10" applyFont="1" applyFill="1" applyBorder="1" applyAlignment="1">
      <alignment horizontal="left" vertical="center" wrapText="1"/>
    </xf>
    <xf numFmtId="0" fontId="2" fillId="0" borderId="51" xfId="10" applyFont="1" applyFill="1" applyBorder="1" applyAlignment="1">
      <alignment horizontal="left" vertical="center" wrapText="1"/>
    </xf>
    <xf numFmtId="0" fontId="2" fillId="0" borderId="51" xfId="12" applyFont="1" applyFill="1" applyBorder="1" applyAlignment="1">
      <alignment horizontal="center" vertical="center" wrapText="1"/>
    </xf>
    <xf numFmtId="0" fontId="2" fillId="0" borderId="51" xfId="12" applyFont="1" applyFill="1" applyBorder="1" applyAlignment="1">
      <alignment vertical="center" wrapText="1"/>
    </xf>
    <xf numFmtId="0" fontId="2" fillId="0" borderId="51" xfId="10" applyFont="1" applyFill="1" applyBorder="1" applyAlignment="1">
      <alignment horizontal="center" vertical="center"/>
    </xf>
    <xf numFmtId="0" fontId="2" fillId="0" borderId="51" xfId="12" applyFont="1" applyFill="1" applyBorder="1" applyAlignment="1">
      <alignment horizontal="center" vertical="center"/>
    </xf>
    <xf numFmtId="0" fontId="3" fillId="6" borderId="57" xfId="10" applyFont="1" applyFill="1" applyBorder="1" applyAlignment="1">
      <alignment horizontal="center" vertical="center" wrapText="1"/>
    </xf>
    <xf numFmtId="0" fontId="39" fillId="6" borderId="6" xfId="10" applyFont="1" applyFill="1" applyBorder="1" applyAlignment="1">
      <alignment horizontal="left" vertical="center"/>
    </xf>
    <xf numFmtId="0" fontId="3" fillId="6" borderId="57" xfId="10" applyFont="1" applyFill="1" applyBorder="1" applyAlignment="1">
      <alignment vertical="center"/>
    </xf>
    <xf numFmtId="0" fontId="3" fillId="6" borderId="59" xfId="10" applyFont="1" applyFill="1" applyBorder="1" applyAlignment="1">
      <alignment vertical="center"/>
    </xf>
    <xf numFmtId="0" fontId="2" fillId="0" borderId="29" xfId="10" applyFont="1" applyBorder="1" applyAlignment="1">
      <alignment horizontal="center" vertical="center" wrapText="1"/>
    </xf>
    <xf numFmtId="0" fontId="2" fillId="0" borderId="29" xfId="10" applyFont="1" applyBorder="1" applyAlignment="1">
      <alignment vertical="center" wrapText="1"/>
    </xf>
    <xf numFmtId="0" fontId="2" fillId="0" borderId="29" xfId="10" applyFont="1" applyBorder="1" applyAlignment="1">
      <alignment horizontal="center" vertical="center"/>
    </xf>
    <xf numFmtId="0" fontId="2" fillId="6" borderId="57" xfId="12" applyFont="1" applyFill="1" applyBorder="1" applyAlignment="1">
      <alignment horizontal="center" vertical="center" wrapText="1"/>
    </xf>
    <xf numFmtId="0" fontId="39" fillId="6" borderId="57" xfId="10" applyFont="1" applyFill="1" applyBorder="1" applyAlignment="1">
      <alignment horizontal="left" vertical="center" wrapText="1"/>
    </xf>
    <xf numFmtId="0" fontId="2" fillId="6" borderId="16" xfId="10" applyFont="1" applyFill="1" applyBorder="1" applyAlignment="1">
      <alignment horizontal="center" vertical="center"/>
    </xf>
    <xf numFmtId="0" fontId="2" fillId="6" borderId="16" xfId="12" applyFont="1" applyFill="1" applyBorder="1" applyAlignment="1">
      <alignment horizontal="center" vertical="center"/>
    </xf>
    <xf numFmtId="0" fontId="2" fillId="0" borderId="29" xfId="10" applyFont="1" applyFill="1" applyBorder="1" applyAlignment="1">
      <alignment vertical="center" wrapText="1"/>
    </xf>
    <xf numFmtId="0" fontId="2" fillId="0" borderId="29" xfId="12" applyFont="1" applyFill="1" applyBorder="1" applyAlignment="1">
      <alignment horizontal="center" vertical="center"/>
    </xf>
    <xf numFmtId="0" fontId="2" fillId="0" borderId="0" xfId="10" applyFont="1" applyFill="1" applyBorder="1" applyAlignment="1">
      <alignment vertical="center" wrapText="1"/>
    </xf>
    <xf numFmtId="0" fontId="2" fillId="0" borderId="0" xfId="11" applyFont="1" applyFill="1" applyBorder="1" applyAlignment="1">
      <alignment vertical="center" wrapText="1"/>
    </xf>
    <xf numFmtId="0" fontId="2" fillId="0" borderId="0" xfId="12" applyFont="1" applyFill="1" applyBorder="1" applyAlignment="1">
      <alignment vertical="center" wrapText="1"/>
    </xf>
    <xf numFmtId="0" fontId="2" fillId="0" borderId="53" xfId="0" applyNumberFormat="1" applyFont="1" applyFill="1" applyBorder="1" applyAlignment="1">
      <alignment horizontal="left" vertical="justify"/>
    </xf>
    <xf numFmtId="0" fontId="2" fillId="0" borderId="53" xfId="0" applyNumberFormat="1" applyFont="1" applyFill="1" applyBorder="1" applyAlignment="1">
      <alignment horizontal="center" vertical="center"/>
    </xf>
    <xf numFmtId="164" fontId="2" fillId="0" borderId="29" xfId="0" applyNumberFormat="1" applyFont="1" applyFill="1" applyBorder="1" applyAlignment="1">
      <alignment vertical="center" wrapText="1"/>
    </xf>
    <xf numFmtId="0" fontId="2" fillId="0" borderId="31" xfId="0" applyFont="1" applyBorder="1" applyAlignment="1">
      <alignment horizontal="center" vertical="center" textRotation="90" wrapText="1"/>
    </xf>
    <xf numFmtId="0" fontId="2" fillId="0" borderId="32" xfId="0" applyFont="1" applyBorder="1" applyAlignment="1">
      <alignment horizontal="center" vertical="center" textRotation="90" wrapText="1"/>
    </xf>
    <xf numFmtId="0" fontId="18" fillId="0" borderId="0" xfId="0" applyFont="1" applyAlignment="1">
      <alignment horizontal="center" vertical="center"/>
    </xf>
    <xf numFmtId="0" fontId="40" fillId="0" borderId="0" xfId="0" applyFont="1"/>
    <xf numFmtId="0" fontId="30" fillId="0" borderId="0" xfId="0"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Border="1" applyAlignment="1">
      <alignment horizontal="center" vertical="center"/>
    </xf>
    <xf numFmtId="0" fontId="10" fillId="0" borderId="0" xfId="0" applyFont="1" applyAlignment="1">
      <alignment horizontal="left" vertical="center" wrapText="1"/>
    </xf>
    <xf numFmtId="0" fontId="2" fillId="0" borderId="0" xfId="0" applyFont="1" applyBorder="1" applyAlignment="1">
      <alignment horizontal="center" vertical="center" wrapText="1"/>
    </xf>
    <xf numFmtId="0" fontId="2" fillId="0" borderId="0" xfId="0" applyFont="1" applyFill="1" applyBorder="1" applyAlignment="1">
      <alignment horizontal="center" vertical="center" wrapText="1"/>
    </xf>
    <xf numFmtId="164" fontId="2" fillId="0" borderId="0" xfId="2" applyNumberFormat="1" applyFont="1" applyBorder="1" applyAlignment="1">
      <alignment horizontal="center" vertical="center"/>
    </xf>
    <xf numFmtId="164" fontId="3" fillId="0" borderId="0" xfId="2" applyNumberFormat="1" applyFont="1" applyBorder="1" applyAlignment="1">
      <alignment horizontal="center" vertical="center"/>
    </xf>
    <xf numFmtId="0" fontId="3" fillId="0" borderId="0" xfId="0" applyFont="1" applyBorder="1" applyAlignment="1">
      <alignment horizontal="center" vertical="center" textRotation="90" wrapText="1"/>
    </xf>
    <xf numFmtId="0" fontId="40" fillId="0" borderId="51" xfId="0" applyFont="1" applyBorder="1" applyAlignment="1">
      <alignment vertical="center" wrapText="1"/>
    </xf>
    <xf numFmtId="14" fontId="2" fillId="0" borderId="0" xfId="0" applyNumberFormat="1" applyFont="1" applyAlignment="1">
      <alignment horizontal="right" vertical="center"/>
    </xf>
    <xf numFmtId="0" fontId="3" fillId="0" borderId="29" xfId="0" applyFont="1" applyBorder="1" applyAlignment="1">
      <alignment vertical="center" wrapText="1"/>
    </xf>
    <xf numFmtId="165" fontId="2" fillId="0" borderId="0" xfId="0" applyNumberFormat="1" applyFont="1" applyAlignment="1">
      <alignment horizontal="center" vertical="center"/>
    </xf>
    <xf numFmtId="0" fontId="10" fillId="0" borderId="53" xfId="10" applyFont="1" applyFill="1" applyBorder="1" applyAlignment="1">
      <alignment horizontal="center" vertical="center"/>
    </xf>
    <xf numFmtId="0" fontId="40" fillId="0" borderId="29" xfId="0" applyFont="1" applyFill="1" applyBorder="1" applyAlignment="1">
      <alignment horizontal="center" vertical="center" wrapText="1"/>
    </xf>
    <xf numFmtId="0" fontId="40" fillId="0" borderId="0" xfId="0" applyFont="1" applyFill="1" applyBorder="1" applyAlignment="1">
      <alignment vertical="center" wrapText="1"/>
    </xf>
    <xf numFmtId="0" fontId="10" fillId="0" borderId="29" xfId="0" applyFont="1" applyFill="1" applyBorder="1" applyAlignment="1">
      <alignment horizontal="center" vertical="center" wrapText="1"/>
    </xf>
    <xf numFmtId="0" fontId="10" fillId="0" borderId="53" xfId="0" applyFont="1" applyFill="1" applyBorder="1" applyAlignment="1">
      <alignment horizontal="center" vertical="center" wrapText="1"/>
    </xf>
    <xf numFmtId="0" fontId="2" fillId="0" borderId="15" xfId="0" applyFont="1" applyBorder="1" applyAlignment="1">
      <alignment horizontal="center" wrapText="1"/>
    </xf>
    <xf numFmtId="0" fontId="2" fillId="0" borderId="0" xfId="0" applyFont="1" applyAlignment="1">
      <alignment horizontal="center"/>
    </xf>
    <xf numFmtId="0" fontId="2" fillId="0" borderId="0" xfId="0" applyFont="1" applyAlignment="1">
      <alignment horizontal="right"/>
    </xf>
    <xf numFmtId="0" fontId="2" fillId="0" borderId="10" xfId="0" applyFont="1" applyBorder="1" applyAlignment="1">
      <alignment horizontal="left"/>
    </xf>
    <xf numFmtId="0" fontId="2" fillId="0" borderId="13" xfId="0" applyFont="1" applyBorder="1" applyAlignment="1">
      <alignment horizontal="left"/>
    </xf>
    <xf numFmtId="0" fontId="2" fillId="0" borderId="1" xfId="0" applyFont="1" applyBorder="1" applyAlignment="1">
      <alignment horizontal="left" wrapText="1"/>
    </xf>
    <xf numFmtId="0" fontId="3" fillId="0" borderId="0" xfId="0" applyFont="1" applyAlignment="1">
      <alignment horizontal="right" vertical="justify"/>
    </xf>
    <xf numFmtId="164" fontId="3" fillId="0" borderId="40" xfId="0" applyNumberFormat="1" applyFont="1" applyBorder="1" applyAlignment="1">
      <alignment horizontal="left"/>
    </xf>
    <xf numFmtId="0" fontId="3" fillId="0" borderId="0" xfId="0" applyFont="1" applyAlignment="1">
      <alignment horizontal="center"/>
    </xf>
    <xf numFmtId="0" fontId="2" fillId="0" borderId="15" xfId="0" applyFont="1" applyBorder="1" applyAlignment="1">
      <alignment horizontal="center" vertical="top"/>
    </xf>
    <xf numFmtId="164" fontId="3" fillId="0" borderId="38" xfId="0" applyNumberFormat="1" applyFont="1" applyBorder="1" applyAlignment="1">
      <alignment horizontal="left"/>
    </xf>
    <xf numFmtId="0" fontId="2" fillId="0" borderId="0" xfId="0" applyFont="1" applyAlignment="1">
      <alignment horizontal="center" vertical="justify"/>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8" xfId="0" applyFont="1" applyBorder="1" applyAlignment="1">
      <alignment horizontal="center" vertical="center" wrapText="1"/>
    </xf>
    <xf numFmtId="0" fontId="3" fillId="0" borderId="0" xfId="0" applyFont="1" applyAlignment="1">
      <alignment horizontal="right"/>
    </xf>
    <xf numFmtId="164" fontId="2" fillId="0" borderId="38" xfId="0" applyNumberFormat="1" applyFont="1" applyBorder="1" applyAlignment="1">
      <alignment horizontal="center"/>
    </xf>
    <xf numFmtId="164" fontId="2" fillId="0" borderId="29" xfId="0" applyNumberFormat="1" applyFont="1" applyBorder="1" applyAlignment="1">
      <alignment horizontal="left" vertical="top" wrapText="1"/>
    </xf>
    <xf numFmtId="164" fontId="2" fillId="0" borderId="30" xfId="0" applyNumberFormat="1" applyFont="1" applyBorder="1" applyAlignment="1">
      <alignment horizontal="left" vertical="top" wrapText="1"/>
    </xf>
    <xf numFmtId="0" fontId="2" fillId="0" borderId="2" xfId="0" applyFont="1" applyBorder="1" applyAlignment="1">
      <alignment horizontal="center" vertical="center" textRotation="90" wrapText="1"/>
    </xf>
    <xf numFmtId="0" fontId="2" fillId="0" borderId="8" xfId="0" applyFont="1" applyBorder="1" applyAlignment="1">
      <alignment horizontal="center" vertical="center" textRotation="90" wrapText="1"/>
    </xf>
    <xf numFmtId="0" fontId="2" fillId="0" borderId="1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164" fontId="2" fillId="0" borderId="21" xfId="0" applyNumberFormat="1" applyFont="1" applyBorder="1" applyAlignment="1">
      <alignment horizontal="left" vertical="top" wrapText="1"/>
    </xf>
    <xf numFmtId="164" fontId="2" fillId="0" borderId="22" xfId="0" applyNumberFormat="1" applyFont="1" applyBorder="1" applyAlignment="1">
      <alignment horizontal="left" vertical="top" wrapText="1"/>
    </xf>
    <xf numFmtId="0" fontId="3" fillId="0" borderId="36" xfId="0" applyFont="1" applyBorder="1" applyAlignment="1">
      <alignment horizontal="right"/>
    </xf>
    <xf numFmtId="0" fontId="3" fillId="0" borderId="37" xfId="0" applyFont="1" applyBorder="1" applyAlignment="1">
      <alignment horizontal="right"/>
    </xf>
    <xf numFmtId="0" fontId="3" fillId="0" borderId="2" xfId="0" applyFont="1" applyBorder="1" applyAlignment="1">
      <alignment horizontal="right"/>
    </xf>
    <xf numFmtId="0" fontId="3" fillId="0" borderId="21" xfId="0" applyFont="1" applyBorder="1" applyAlignment="1">
      <alignment horizontal="right"/>
    </xf>
    <xf numFmtId="0" fontId="3" fillId="0" borderId="22" xfId="0" applyFont="1" applyBorder="1" applyAlignment="1">
      <alignment horizontal="right"/>
    </xf>
    <xf numFmtId="0" fontId="2" fillId="0" borderId="5" xfId="0" applyFont="1" applyBorder="1" applyAlignment="1">
      <alignment horizontal="right"/>
    </xf>
    <xf numFmtId="0" fontId="2" fillId="0" borderId="29" xfId="0" applyFont="1" applyBorder="1" applyAlignment="1">
      <alignment horizontal="right"/>
    </xf>
    <xf numFmtId="0" fontId="2" fillId="0" borderId="30" xfId="0" applyFont="1" applyBorder="1" applyAlignment="1">
      <alignment horizontal="right"/>
    </xf>
    <xf numFmtId="0" fontId="3" fillId="0" borderId="5" xfId="0" applyFont="1" applyBorder="1" applyAlignment="1">
      <alignment horizontal="right"/>
    </xf>
    <xf numFmtId="0" fontId="3" fillId="0" borderId="29" xfId="0" applyFont="1" applyBorder="1" applyAlignment="1">
      <alignment horizontal="right"/>
    </xf>
    <xf numFmtId="0" fontId="3" fillId="0" borderId="30" xfId="0" applyFont="1" applyBorder="1" applyAlignment="1">
      <alignment horizontal="right"/>
    </xf>
    <xf numFmtId="0" fontId="3" fillId="0" borderId="31" xfId="0" applyFont="1" applyBorder="1" applyAlignment="1">
      <alignment horizontal="right"/>
    </xf>
    <xf numFmtId="0" fontId="3" fillId="0" borderId="32" xfId="0" applyFont="1" applyBorder="1" applyAlignment="1">
      <alignment horizontal="right"/>
    </xf>
    <xf numFmtId="0" fontId="3" fillId="0" borderId="33" xfId="0" applyFont="1" applyBorder="1" applyAlignment="1">
      <alignment horizontal="right"/>
    </xf>
    <xf numFmtId="0" fontId="15" fillId="0" borderId="0" xfId="0" applyFont="1" applyAlignment="1">
      <alignment horizontal="left" vertical="center" wrapText="1"/>
    </xf>
    <xf numFmtId="0" fontId="3" fillId="0" borderId="1"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2"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2" fontId="2" fillId="0" borderId="0" xfId="0" applyNumberFormat="1" applyFont="1" applyAlignment="1">
      <alignment horizontal="right" vertical="center"/>
    </xf>
    <xf numFmtId="0" fontId="2" fillId="0" borderId="31" xfId="0" applyFont="1" applyBorder="1" applyAlignment="1">
      <alignment horizontal="center" vertical="center" textRotation="90" wrapText="1"/>
    </xf>
    <xf numFmtId="0" fontId="2" fillId="0" borderId="21" xfId="0" applyFont="1" applyBorder="1" applyAlignment="1">
      <alignment horizontal="center" vertical="center" textRotation="90" wrapText="1"/>
    </xf>
    <xf numFmtId="0" fontId="2" fillId="0" borderId="32" xfId="0" applyFont="1" applyBorder="1" applyAlignment="1">
      <alignment horizontal="center" vertical="center" textRotation="90" wrapText="1"/>
    </xf>
    <xf numFmtId="0" fontId="2" fillId="0" borderId="32" xfId="0" applyFont="1" applyBorder="1" applyAlignment="1">
      <alignment horizontal="center" vertical="center"/>
    </xf>
    <xf numFmtId="0" fontId="2" fillId="0" borderId="21" xfId="0" applyFont="1" applyBorder="1" applyAlignment="1">
      <alignment horizontal="center" vertical="center" textRotation="90"/>
    </xf>
    <xf numFmtId="0" fontId="2" fillId="0" borderId="32" xfId="0" applyFont="1" applyBorder="1" applyAlignment="1">
      <alignment horizontal="center" vertical="center" textRotation="90"/>
    </xf>
    <xf numFmtId="164" fontId="2" fillId="0" borderId="0" xfId="0" applyNumberFormat="1" applyFont="1" applyAlignment="1">
      <alignment horizontal="center" vertical="center"/>
    </xf>
    <xf numFmtId="165" fontId="2" fillId="0" borderId="38" xfId="0" applyNumberFormat="1" applyFont="1" applyBorder="1" applyAlignment="1">
      <alignment horizontal="left" vertical="center" wrapText="1"/>
    </xf>
    <xf numFmtId="0" fontId="2" fillId="0" borderId="15" xfId="0" applyFont="1" applyBorder="1" applyAlignment="1">
      <alignment horizontal="center" vertical="center" wrapText="1"/>
    </xf>
    <xf numFmtId="165" fontId="2" fillId="0" borderId="1" xfId="0" applyNumberFormat="1" applyFont="1" applyBorder="1" applyAlignment="1">
      <alignment vertical="center" wrapText="1"/>
    </xf>
    <xf numFmtId="0" fontId="3" fillId="0" borderId="10" xfId="3" applyFont="1" applyBorder="1" applyAlignment="1">
      <alignment horizontal="right" vertical="center" wrapText="1"/>
    </xf>
    <xf numFmtId="0" fontId="3" fillId="0" borderId="13" xfId="3" applyFont="1" applyBorder="1" applyAlignment="1">
      <alignment horizontal="right" vertical="center" wrapText="1"/>
    </xf>
    <xf numFmtId="0" fontId="3" fillId="0" borderId="14" xfId="3" applyFont="1" applyBorder="1" applyAlignment="1">
      <alignment horizontal="right" vertical="center" wrapText="1"/>
    </xf>
    <xf numFmtId="0" fontId="2" fillId="0" borderId="22" xfId="0" applyFont="1" applyBorder="1" applyAlignment="1">
      <alignment horizontal="center" vertical="center" textRotation="90" wrapText="1"/>
    </xf>
    <xf numFmtId="0" fontId="2" fillId="0" borderId="33" xfId="0" applyFont="1" applyBorder="1" applyAlignment="1">
      <alignment horizontal="center" vertical="center" textRotation="90" wrapText="1"/>
    </xf>
    <xf numFmtId="165" fontId="2" fillId="0" borderId="38" xfId="0" applyNumberFormat="1" applyFont="1" applyBorder="1" applyAlignment="1">
      <alignment horizontal="left" wrapText="1"/>
    </xf>
    <xf numFmtId="0" fontId="2" fillId="0" borderId="24" xfId="0" applyFont="1" applyBorder="1" applyAlignment="1">
      <alignment horizontal="center"/>
    </xf>
    <xf numFmtId="0" fontId="15" fillId="0" borderId="0" xfId="0" applyFont="1" applyAlignment="1">
      <alignment horizontal="left" wrapText="1"/>
    </xf>
    <xf numFmtId="0" fontId="40" fillId="0" borderId="58" xfId="0" applyFont="1" applyBorder="1" applyAlignment="1">
      <alignment horizontal="center" vertical="center" wrapText="1"/>
    </xf>
    <xf numFmtId="0" fontId="40" fillId="0" borderId="60" xfId="0" applyFont="1" applyBorder="1" applyAlignment="1">
      <alignment horizontal="center" vertical="center" wrapText="1"/>
    </xf>
    <xf numFmtId="0" fontId="40" fillId="0" borderId="47" xfId="0" applyFont="1" applyBorder="1" applyAlignment="1">
      <alignment horizontal="center" vertical="center" wrapText="1"/>
    </xf>
    <xf numFmtId="165" fontId="2" fillId="0" borderId="1" xfId="0" applyNumberFormat="1" applyFont="1" applyBorder="1" applyAlignment="1">
      <alignment wrapText="1"/>
    </xf>
    <xf numFmtId="0" fontId="2" fillId="0" borderId="49" xfId="5" applyFont="1" applyBorder="1" applyAlignment="1">
      <alignment horizontal="center" vertical="center" wrapText="1"/>
    </xf>
    <xf numFmtId="0" fontId="2" fillId="0" borderId="43" xfId="5" applyFont="1" applyBorder="1" applyAlignment="1">
      <alignment horizontal="center" vertical="center" wrapText="1"/>
    </xf>
    <xf numFmtId="0" fontId="2" fillId="0" borderId="48" xfId="5"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14" fillId="0" borderId="0" xfId="0" applyFont="1" applyAlignment="1">
      <alignment horizontal="center"/>
    </xf>
    <xf numFmtId="0" fontId="18" fillId="0" borderId="0" xfId="0" applyFont="1" applyAlignment="1">
      <alignment horizontal="center" vertical="center"/>
    </xf>
    <xf numFmtId="0" fontId="19" fillId="0" borderId="0" xfId="0" applyFont="1" applyAlignment="1">
      <alignment horizontal="center" vertical="center"/>
    </xf>
    <xf numFmtId="0" fontId="18" fillId="0" borderId="0" xfId="0" applyFont="1" applyAlignment="1">
      <alignment horizontal="right" vertical="center"/>
    </xf>
    <xf numFmtId="0" fontId="10" fillId="0" borderId="27"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55" xfId="0" applyFont="1" applyFill="1" applyBorder="1" applyAlignment="1">
      <alignment horizontal="center" vertical="center" wrapText="1"/>
    </xf>
    <xf numFmtId="0" fontId="3" fillId="0" borderId="0" xfId="0" applyFont="1" applyAlignment="1">
      <alignment horizontal="left" wrapText="1"/>
    </xf>
    <xf numFmtId="0" fontId="2" fillId="0" borderId="0" xfId="11" applyFont="1" applyFill="1" applyBorder="1" applyAlignment="1">
      <alignment horizontal="left" vertical="center" wrapText="1"/>
    </xf>
    <xf numFmtId="0" fontId="2" fillId="0" borderId="49" xfId="11" applyFont="1" applyFill="1" applyBorder="1" applyAlignment="1">
      <alignment horizontal="left" vertical="center" wrapText="1"/>
    </xf>
    <xf numFmtId="0" fontId="2" fillId="0" borderId="23" xfId="11" applyFont="1" applyFill="1" applyBorder="1" applyAlignment="1">
      <alignment horizontal="left" vertical="center" wrapText="1"/>
    </xf>
    <xf numFmtId="0" fontId="2" fillId="0" borderId="53" xfId="11" applyFont="1" applyFill="1" applyBorder="1" applyAlignment="1">
      <alignment horizontal="left" vertical="center" wrapText="1"/>
    </xf>
    <xf numFmtId="0" fontId="2" fillId="0" borderId="49" xfId="12" applyFont="1" applyFill="1" applyBorder="1" applyAlignment="1">
      <alignment horizontal="left" vertical="center" wrapText="1"/>
    </xf>
    <xf numFmtId="0" fontId="2" fillId="0" borderId="43" xfId="12" applyFont="1" applyFill="1" applyBorder="1" applyAlignment="1">
      <alignment horizontal="left" vertical="center" wrapText="1"/>
    </xf>
    <xf numFmtId="0" fontId="2" fillId="0" borderId="51" xfId="0" applyFont="1" applyBorder="1" applyAlignment="1">
      <alignment horizontal="center" vertical="center"/>
    </xf>
    <xf numFmtId="0" fontId="2" fillId="0" borderId="51" xfId="0" applyFont="1" applyBorder="1" applyAlignment="1">
      <alignment horizontal="center" vertical="center" textRotation="90"/>
    </xf>
    <xf numFmtId="0" fontId="2" fillId="0" borderId="52" xfId="0" applyFont="1" applyBorder="1" applyAlignment="1">
      <alignment horizontal="center" vertical="center" textRotation="90" wrapText="1"/>
    </xf>
    <xf numFmtId="0" fontId="3" fillId="0" borderId="9" xfId="0" applyFont="1" applyBorder="1" applyAlignment="1">
      <alignment horizontal="center"/>
    </xf>
    <xf numFmtId="164" fontId="2" fillId="0" borderId="63" xfId="0" applyNumberFormat="1" applyFont="1" applyBorder="1" applyAlignment="1">
      <alignment horizontal="center"/>
    </xf>
    <xf numFmtId="9" fontId="2" fillId="0" borderId="29" xfId="0" applyNumberFormat="1" applyFont="1" applyBorder="1"/>
    <xf numFmtId="0" fontId="2" fillId="0" borderId="29" xfId="0" applyFont="1" applyBorder="1"/>
    <xf numFmtId="2" fontId="2" fillId="0" borderId="29" xfId="0" applyNumberFormat="1" applyFont="1" applyBorder="1"/>
    <xf numFmtId="0" fontId="40" fillId="0" borderId="0" xfId="0" applyFont="1" applyFill="1" applyAlignment="1">
      <alignment vertical="center"/>
    </xf>
    <xf numFmtId="164" fontId="1" fillId="0" borderId="44" xfId="0" applyNumberFormat="1" applyFont="1" applyBorder="1" applyAlignment="1">
      <alignment horizontal="center" vertical="center" wrapText="1"/>
    </xf>
    <xf numFmtId="164" fontId="1" fillId="0" borderId="44" xfId="0" applyNumberFormat="1" applyFont="1" applyFill="1" applyBorder="1" applyAlignment="1">
      <alignment horizontal="center" vertical="center" wrapText="1"/>
    </xf>
    <xf numFmtId="164" fontId="14" fillId="0" borderId="44" xfId="0" applyNumberFormat="1" applyFont="1" applyFill="1" applyBorder="1" applyAlignment="1">
      <alignment horizontal="center" vertical="center" wrapText="1"/>
    </xf>
    <xf numFmtId="164" fontId="14" fillId="0" borderId="44" xfId="0" applyNumberFormat="1" applyFont="1" applyBorder="1" applyAlignment="1">
      <alignment horizontal="center" vertical="center" wrapText="1"/>
    </xf>
    <xf numFmtId="164" fontId="1" fillId="0" borderId="43" xfId="0" applyNumberFormat="1" applyFont="1" applyFill="1" applyBorder="1" applyAlignment="1">
      <alignment vertical="top" wrapText="1"/>
    </xf>
    <xf numFmtId="164" fontId="14" fillId="0" borderId="43" xfId="0" applyNumberFormat="1" applyFont="1" applyFill="1" applyBorder="1" applyAlignment="1">
      <alignment horizontal="center" vertical="center" wrapText="1"/>
    </xf>
    <xf numFmtId="164" fontId="1" fillId="0" borderId="29" xfId="0" applyNumberFormat="1" applyFont="1" applyFill="1" applyBorder="1" applyAlignment="1">
      <alignment vertical="top" wrapText="1"/>
    </xf>
    <xf numFmtId="164" fontId="1" fillId="0" borderId="29" xfId="0" applyNumberFormat="1" applyFont="1" applyFill="1" applyBorder="1" applyAlignment="1">
      <alignment horizontal="center" vertical="center" wrapText="1"/>
    </xf>
    <xf numFmtId="168" fontId="1" fillId="0" borderId="44" xfId="0" applyNumberFormat="1" applyFont="1" applyFill="1" applyBorder="1" applyAlignment="1">
      <alignment horizontal="center" vertical="center" wrapText="1"/>
    </xf>
    <xf numFmtId="0" fontId="2" fillId="0" borderId="0" xfId="0" applyFont="1" applyFill="1"/>
    <xf numFmtId="0" fontId="2" fillId="0" borderId="0" xfId="0" applyFont="1" applyFill="1" applyAlignment="1">
      <alignment horizontal="left" vertical="center"/>
    </xf>
    <xf numFmtId="0" fontId="10" fillId="0" borderId="24" xfId="0" applyFont="1" applyFill="1" applyBorder="1" applyAlignment="1">
      <alignment horizontal="left" vertical="center" wrapText="1"/>
    </xf>
    <xf numFmtId="0" fontId="40" fillId="0" borderId="62" xfId="0" applyFont="1" applyFill="1" applyBorder="1" applyAlignment="1">
      <alignment horizontal="center" vertical="center" wrapText="1"/>
    </xf>
    <xf numFmtId="0" fontId="40" fillId="0" borderId="63" xfId="0" applyFont="1" applyFill="1" applyBorder="1" applyAlignment="1">
      <alignment horizontal="center" vertical="center" wrapText="1"/>
    </xf>
    <xf numFmtId="0" fontId="40" fillId="0" borderId="34" xfId="0" applyFont="1" applyFill="1" applyBorder="1" applyAlignment="1">
      <alignment horizontal="center" vertical="center" wrapText="1"/>
    </xf>
    <xf numFmtId="164" fontId="1" fillId="0" borderId="43" xfId="0" applyNumberFormat="1" applyFont="1" applyFill="1" applyBorder="1" applyAlignment="1">
      <alignment horizontal="center" vertical="center" wrapText="1"/>
    </xf>
    <xf numFmtId="164" fontId="1" fillId="0" borderId="45" xfId="0" applyNumberFormat="1" applyFont="1" applyFill="1" applyBorder="1" applyAlignment="1">
      <alignment horizontal="center" vertical="center" wrapText="1"/>
    </xf>
    <xf numFmtId="0" fontId="1" fillId="0" borderId="29" xfId="0" applyFont="1" applyFill="1" applyBorder="1"/>
    <xf numFmtId="0" fontId="1" fillId="0" borderId="29" xfId="0" applyFont="1" applyFill="1" applyBorder="1" applyAlignment="1">
      <alignment horizontal="center" vertical="center" wrapText="1"/>
    </xf>
    <xf numFmtId="2" fontId="1" fillId="0" borderId="29" xfId="0" applyNumberFormat="1" applyFont="1" applyFill="1" applyBorder="1" applyAlignment="1">
      <alignment horizontal="center" vertical="center" wrapText="1"/>
    </xf>
    <xf numFmtId="0" fontId="40" fillId="0" borderId="24" xfId="0" applyFont="1" applyFill="1" applyBorder="1" applyAlignment="1">
      <alignment horizontal="center" vertical="center" wrapText="1"/>
    </xf>
    <xf numFmtId="164" fontId="1" fillId="0" borderId="29" xfId="0" applyNumberFormat="1" applyFont="1" applyBorder="1" applyAlignment="1">
      <alignment vertical="top" wrapText="1"/>
    </xf>
    <xf numFmtId="164" fontId="1" fillId="0" borderId="29" xfId="0" applyNumberFormat="1" applyFont="1" applyBorder="1" applyAlignment="1">
      <alignment horizontal="center" vertical="center" wrapText="1"/>
    </xf>
    <xf numFmtId="164" fontId="1" fillId="0" borderId="29" xfId="0" applyNumberFormat="1" applyFont="1" applyFill="1" applyBorder="1" applyAlignment="1">
      <alignment vertical="center" wrapText="1"/>
    </xf>
    <xf numFmtId="0" fontId="1" fillId="0" borderId="29" xfId="0" applyFont="1" applyBorder="1" applyAlignment="1">
      <alignment horizontal="center" vertical="center" wrapText="1"/>
    </xf>
    <xf numFmtId="0" fontId="1" fillId="0" borderId="29" xfId="0" applyFont="1" applyBorder="1" applyAlignment="1">
      <alignment vertical="center" wrapText="1"/>
    </xf>
    <xf numFmtId="49" fontId="1" fillId="0" borderId="61" xfId="5" applyNumberFormat="1" applyFont="1" applyFill="1" applyBorder="1" applyAlignment="1">
      <alignment horizontal="center" vertical="center" wrapText="1"/>
    </xf>
    <xf numFmtId="49" fontId="1" fillId="0" borderId="46" xfId="5" applyNumberFormat="1" applyFont="1" applyFill="1" applyBorder="1" applyAlignment="1">
      <alignment horizontal="center" vertical="center" wrapText="1"/>
    </xf>
    <xf numFmtId="0" fontId="10" fillId="0" borderId="64"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24" xfId="0" applyFont="1" applyFill="1" applyBorder="1" applyAlignment="1">
      <alignment vertical="center" wrapText="1"/>
    </xf>
    <xf numFmtId="0" fontId="10" fillId="0" borderId="65" xfId="0" applyFont="1" applyFill="1" applyBorder="1" applyAlignment="1">
      <alignment vertical="center" wrapText="1"/>
    </xf>
    <xf numFmtId="0" fontId="2" fillId="0" borderId="0" xfId="0" applyFont="1" applyBorder="1" applyAlignment="1">
      <alignment vertical="center"/>
    </xf>
    <xf numFmtId="0" fontId="2" fillId="9" borderId="0" xfId="0" applyFont="1" applyFill="1" applyBorder="1" applyAlignment="1">
      <alignment horizontal="center" vertical="center" wrapText="1"/>
    </xf>
    <xf numFmtId="164" fontId="1" fillId="0" borderId="29" xfId="0" applyNumberFormat="1" applyFont="1" applyBorder="1" applyAlignment="1">
      <alignment vertical="center" wrapText="1"/>
    </xf>
    <xf numFmtId="0" fontId="2" fillId="0" borderId="6" xfId="0" applyFont="1" applyFill="1" applyBorder="1" applyAlignment="1">
      <alignment horizontal="center" vertical="center" wrapText="1"/>
    </xf>
    <xf numFmtId="0" fontId="1" fillId="0" borderId="53" xfId="0" applyNumberFormat="1" applyFont="1" applyFill="1" applyBorder="1" applyAlignment="1">
      <alignment horizontal="left" vertical="justify"/>
    </xf>
    <xf numFmtId="0" fontId="1" fillId="0" borderId="53" xfId="11" applyFont="1" applyFill="1" applyBorder="1" applyAlignment="1">
      <alignment horizontal="center" vertical="center"/>
    </xf>
  </cellXfs>
  <cellStyles count="13">
    <cellStyle name="Komats" xfId="4" builtinId="3"/>
    <cellStyle name="Normal 2" xfId="2" xr:uid="{00000000-0005-0000-0000-000003000000}"/>
    <cellStyle name="Normal 2 2" xfId="6" xr:uid="{00000000-0005-0000-0000-000004000000}"/>
    <cellStyle name="Normal 2 4" xfId="9" xr:uid="{00000000-0005-0000-0000-000005000000}"/>
    <cellStyle name="Normal 3" xfId="11" xr:uid="{00000000-0005-0000-0000-000006000000}"/>
    <cellStyle name="Normal_DA" xfId="7" xr:uid="{00000000-0005-0000-0000-000007000000}"/>
    <cellStyle name="Normal_Liepaja Peldu 5 UK tames" xfId="12" xr:uid="{00000000-0005-0000-0000-000008000000}"/>
    <cellStyle name="Normal_Siguldas 27 - tabulas" xfId="10" xr:uid="{00000000-0005-0000-0000-000009000000}"/>
    <cellStyle name="Parasts" xfId="0" builtinId="0"/>
    <cellStyle name="Paskaidrojošs teksts" xfId="8" builtinId="53"/>
    <cellStyle name="Style 1" xfId="5" xr:uid="{00000000-0005-0000-0000-00000A000000}"/>
    <cellStyle name="Обычный_33. OZOLNIEKU NOVADA DOME_OZO SKOLA_TELPU, GAITENU, KAPNU TELPU REMONTS_TAME_VADIMS_2011_02_25_melnraksts" xfId="1" xr:uid="{00000000-0005-0000-0000-00000B000000}"/>
    <cellStyle name="Обычный_saulkrasti_tame" xfId="3" xr:uid="{00000000-0005-0000-0000-00000C000000}"/>
  </cellStyles>
  <dxfs count="240">
    <dxf>
      <font>
        <color auto="1"/>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2227232</xdr:colOff>
      <xdr:row>31</xdr:row>
      <xdr:rowOff>0</xdr:rowOff>
    </xdr:from>
    <xdr:ext cx="184731"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2703482"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2227232</xdr:colOff>
      <xdr:row>31</xdr:row>
      <xdr:rowOff>0</xdr:rowOff>
    </xdr:from>
    <xdr:ext cx="184731" cy="264560"/>
    <xdr:sp macro="" textlink="">
      <xdr:nvSpPr>
        <xdr:cNvPr id="3" name="TextBox 2">
          <a:extLst>
            <a:ext uri="{FF2B5EF4-FFF2-40B4-BE49-F238E27FC236}">
              <a16:creationId xmlns:a16="http://schemas.microsoft.com/office/drawing/2014/main" id="{00000000-0008-0000-0B00-000003000000}"/>
            </a:ext>
          </a:extLst>
        </xdr:cNvPr>
        <xdr:cNvSpPr txBox="1"/>
      </xdr:nvSpPr>
      <xdr:spPr>
        <a:xfrm>
          <a:off x="2703482"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0</xdr:rowOff>
    </xdr:from>
    <xdr:ext cx="184731" cy="264560"/>
    <xdr:sp macro="" textlink="">
      <xdr:nvSpPr>
        <xdr:cNvPr id="4" name="TextBox 3">
          <a:extLst>
            <a:ext uri="{FF2B5EF4-FFF2-40B4-BE49-F238E27FC236}">
              <a16:creationId xmlns:a16="http://schemas.microsoft.com/office/drawing/2014/main" id="{00000000-0008-0000-0B00-000004000000}"/>
            </a:ext>
          </a:extLst>
        </xdr:cNvPr>
        <xdr:cNvSpPr txBox="1"/>
      </xdr:nvSpPr>
      <xdr:spPr>
        <a:xfrm>
          <a:off x="2710646"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0</xdr:rowOff>
    </xdr:from>
    <xdr:ext cx="184731" cy="264560"/>
    <xdr:sp macro="" textlink="">
      <xdr:nvSpPr>
        <xdr:cNvPr id="5" name="TextBox 4">
          <a:extLst>
            <a:ext uri="{FF2B5EF4-FFF2-40B4-BE49-F238E27FC236}">
              <a16:creationId xmlns:a16="http://schemas.microsoft.com/office/drawing/2014/main" id="{00000000-0008-0000-0B00-000005000000}"/>
            </a:ext>
          </a:extLst>
        </xdr:cNvPr>
        <xdr:cNvSpPr txBox="1"/>
      </xdr:nvSpPr>
      <xdr:spPr>
        <a:xfrm>
          <a:off x="2710646"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0</xdr:rowOff>
    </xdr:from>
    <xdr:ext cx="184731" cy="264560"/>
    <xdr:sp macro="" textlink="">
      <xdr:nvSpPr>
        <xdr:cNvPr id="6" name="TextBox 5">
          <a:extLst>
            <a:ext uri="{FF2B5EF4-FFF2-40B4-BE49-F238E27FC236}">
              <a16:creationId xmlns:a16="http://schemas.microsoft.com/office/drawing/2014/main" id="{00000000-0008-0000-0B00-000006000000}"/>
            </a:ext>
          </a:extLst>
        </xdr:cNvPr>
        <xdr:cNvSpPr txBox="1"/>
      </xdr:nvSpPr>
      <xdr:spPr>
        <a:xfrm>
          <a:off x="2710646"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0</xdr:rowOff>
    </xdr:from>
    <xdr:ext cx="184731" cy="264560"/>
    <xdr:sp macro="" textlink="">
      <xdr:nvSpPr>
        <xdr:cNvPr id="7" name="TextBox 6">
          <a:extLst>
            <a:ext uri="{FF2B5EF4-FFF2-40B4-BE49-F238E27FC236}">
              <a16:creationId xmlns:a16="http://schemas.microsoft.com/office/drawing/2014/main" id="{00000000-0008-0000-0B00-000007000000}"/>
            </a:ext>
          </a:extLst>
        </xdr:cNvPr>
        <xdr:cNvSpPr txBox="1"/>
      </xdr:nvSpPr>
      <xdr:spPr>
        <a:xfrm>
          <a:off x="2710646"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2229715</xdr:colOff>
      <xdr:row>31</xdr:row>
      <xdr:rowOff>0</xdr:rowOff>
    </xdr:from>
    <xdr:ext cx="184731" cy="264560"/>
    <xdr:sp macro="" textlink="">
      <xdr:nvSpPr>
        <xdr:cNvPr id="8" name="TextBox 7">
          <a:extLst>
            <a:ext uri="{FF2B5EF4-FFF2-40B4-BE49-F238E27FC236}">
              <a16:creationId xmlns:a16="http://schemas.microsoft.com/office/drawing/2014/main" id="{00000000-0008-0000-0B00-000008000000}"/>
            </a:ext>
          </a:extLst>
        </xdr:cNvPr>
        <xdr:cNvSpPr txBox="1"/>
      </xdr:nvSpPr>
      <xdr:spPr>
        <a:xfrm>
          <a:off x="2705965"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2229715</xdr:colOff>
      <xdr:row>31</xdr:row>
      <xdr:rowOff>0</xdr:rowOff>
    </xdr:from>
    <xdr:ext cx="184731" cy="264560"/>
    <xdr:sp macro="" textlink="">
      <xdr:nvSpPr>
        <xdr:cNvPr id="9" name="TextBox 8">
          <a:extLst>
            <a:ext uri="{FF2B5EF4-FFF2-40B4-BE49-F238E27FC236}">
              <a16:creationId xmlns:a16="http://schemas.microsoft.com/office/drawing/2014/main" id="{00000000-0008-0000-0B00-000009000000}"/>
            </a:ext>
          </a:extLst>
        </xdr:cNvPr>
        <xdr:cNvSpPr txBox="1"/>
      </xdr:nvSpPr>
      <xdr:spPr>
        <a:xfrm>
          <a:off x="2705965"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2229715</xdr:colOff>
      <xdr:row>31</xdr:row>
      <xdr:rowOff>0</xdr:rowOff>
    </xdr:from>
    <xdr:ext cx="184731" cy="264560"/>
    <xdr:sp macro="" textlink="">
      <xdr:nvSpPr>
        <xdr:cNvPr id="10" name="TextBox 9">
          <a:extLst>
            <a:ext uri="{FF2B5EF4-FFF2-40B4-BE49-F238E27FC236}">
              <a16:creationId xmlns:a16="http://schemas.microsoft.com/office/drawing/2014/main" id="{00000000-0008-0000-0B00-00000A000000}"/>
            </a:ext>
          </a:extLst>
        </xdr:cNvPr>
        <xdr:cNvSpPr txBox="1"/>
      </xdr:nvSpPr>
      <xdr:spPr>
        <a:xfrm>
          <a:off x="2705965"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2229715</xdr:colOff>
      <xdr:row>31</xdr:row>
      <xdr:rowOff>0</xdr:rowOff>
    </xdr:from>
    <xdr:ext cx="184731" cy="264560"/>
    <xdr:sp macro="" textlink="">
      <xdr:nvSpPr>
        <xdr:cNvPr id="11" name="TextBox 10">
          <a:extLst>
            <a:ext uri="{FF2B5EF4-FFF2-40B4-BE49-F238E27FC236}">
              <a16:creationId xmlns:a16="http://schemas.microsoft.com/office/drawing/2014/main" id="{00000000-0008-0000-0B00-00000B000000}"/>
            </a:ext>
          </a:extLst>
        </xdr:cNvPr>
        <xdr:cNvSpPr txBox="1"/>
      </xdr:nvSpPr>
      <xdr:spPr>
        <a:xfrm>
          <a:off x="2705965"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2" name="TextBox 11">
          <a:extLst>
            <a:ext uri="{FF2B5EF4-FFF2-40B4-BE49-F238E27FC236}">
              <a16:creationId xmlns:a16="http://schemas.microsoft.com/office/drawing/2014/main" id="{00000000-0008-0000-0B00-00000C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3" name="TextBox 12">
          <a:extLst>
            <a:ext uri="{FF2B5EF4-FFF2-40B4-BE49-F238E27FC236}">
              <a16:creationId xmlns:a16="http://schemas.microsoft.com/office/drawing/2014/main" id="{00000000-0008-0000-0B00-00000D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4" name="TextBox 13">
          <a:extLst>
            <a:ext uri="{FF2B5EF4-FFF2-40B4-BE49-F238E27FC236}">
              <a16:creationId xmlns:a16="http://schemas.microsoft.com/office/drawing/2014/main" id="{00000000-0008-0000-0B00-00000E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5" name="TextBox 14">
          <a:extLst>
            <a:ext uri="{FF2B5EF4-FFF2-40B4-BE49-F238E27FC236}">
              <a16:creationId xmlns:a16="http://schemas.microsoft.com/office/drawing/2014/main" id="{00000000-0008-0000-0B00-00000F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6" name="TextBox 15">
          <a:extLst>
            <a:ext uri="{FF2B5EF4-FFF2-40B4-BE49-F238E27FC236}">
              <a16:creationId xmlns:a16="http://schemas.microsoft.com/office/drawing/2014/main" id="{00000000-0008-0000-0B00-000010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7" name="TextBox 16">
          <a:extLst>
            <a:ext uri="{FF2B5EF4-FFF2-40B4-BE49-F238E27FC236}">
              <a16:creationId xmlns:a16="http://schemas.microsoft.com/office/drawing/2014/main" id="{00000000-0008-0000-0B00-000011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8" name="TextBox 17">
          <a:extLst>
            <a:ext uri="{FF2B5EF4-FFF2-40B4-BE49-F238E27FC236}">
              <a16:creationId xmlns:a16="http://schemas.microsoft.com/office/drawing/2014/main" id="{00000000-0008-0000-0B00-000012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9" name="TextBox 18">
          <a:extLst>
            <a:ext uri="{FF2B5EF4-FFF2-40B4-BE49-F238E27FC236}">
              <a16:creationId xmlns:a16="http://schemas.microsoft.com/office/drawing/2014/main" id="{00000000-0008-0000-0B00-000013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20" name="TextBox 19">
          <a:extLst>
            <a:ext uri="{FF2B5EF4-FFF2-40B4-BE49-F238E27FC236}">
              <a16:creationId xmlns:a16="http://schemas.microsoft.com/office/drawing/2014/main" id="{00000000-0008-0000-0B00-000014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21" name="TextBox 20">
          <a:extLst>
            <a:ext uri="{FF2B5EF4-FFF2-40B4-BE49-F238E27FC236}">
              <a16:creationId xmlns:a16="http://schemas.microsoft.com/office/drawing/2014/main" id="{00000000-0008-0000-0B00-000015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22" name="TextBox 21">
          <a:extLst>
            <a:ext uri="{FF2B5EF4-FFF2-40B4-BE49-F238E27FC236}">
              <a16:creationId xmlns:a16="http://schemas.microsoft.com/office/drawing/2014/main" id="{00000000-0008-0000-0B00-000016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23" name="TextBox 22">
          <a:extLst>
            <a:ext uri="{FF2B5EF4-FFF2-40B4-BE49-F238E27FC236}">
              <a16:creationId xmlns:a16="http://schemas.microsoft.com/office/drawing/2014/main" id="{00000000-0008-0000-0B00-000017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24" name="TextBox 23">
          <a:extLst>
            <a:ext uri="{FF2B5EF4-FFF2-40B4-BE49-F238E27FC236}">
              <a16:creationId xmlns:a16="http://schemas.microsoft.com/office/drawing/2014/main" id="{00000000-0008-0000-0B00-000018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25" name="TextBox 24">
          <a:extLst>
            <a:ext uri="{FF2B5EF4-FFF2-40B4-BE49-F238E27FC236}">
              <a16:creationId xmlns:a16="http://schemas.microsoft.com/office/drawing/2014/main" id="{00000000-0008-0000-0B00-000019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26" name="TextBox 25">
          <a:extLst>
            <a:ext uri="{FF2B5EF4-FFF2-40B4-BE49-F238E27FC236}">
              <a16:creationId xmlns:a16="http://schemas.microsoft.com/office/drawing/2014/main" id="{00000000-0008-0000-0B00-00001A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27" name="TextBox 26">
          <a:extLst>
            <a:ext uri="{FF2B5EF4-FFF2-40B4-BE49-F238E27FC236}">
              <a16:creationId xmlns:a16="http://schemas.microsoft.com/office/drawing/2014/main" id="{00000000-0008-0000-0B00-00001B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28" name="TextBox 27">
          <a:extLst>
            <a:ext uri="{FF2B5EF4-FFF2-40B4-BE49-F238E27FC236}">
              <a16:creationId xmlns:a16="http://schemas.microsoft.com/office/drawing/2014/main" id="{00000000-0008-0000-0B00-00001C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29" name="TextBox 28">
          <a:extLst>
            <a:ext uri="{FF2B5EF4-FFF2-40B4-BE49-F238E27FC236}">
              <a16:creationId xmlns:a16="http://schemas.microsoft.com/office/drawing/2014/main" id="{00000000-0008-0000-0B00-00001D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30" name="TextBox 29">
          <a:extLst>
            <a:ext uri="{FF2B5EF4-FFF2-40B4-BE49-F238E27FC236}">
              <a16:creationId xmlns:a16="http://schemas.microsoft.com/office/drawing/2014/main" id="{00000000-0008-0000-0B00-00001E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31" name="TextBox 30">
          <a:extLst>
            <a:ext uri="{FF2B5EF4-FFF2-40B4-BE49-F238E27FC236}">
              <a16:creationId xmlns:a16="http://schemas.microsoft.com/office/drawing/2014/main" id="{00000000-0008-0000-0B00-00001F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32" name="TextBox 31">
          <a:extLst>
            <a:ext uri="{FF2B5EF4-FFF2-40B4-BE49-F238E27FC236}">
              <a16:creationId xmlns:a16="http://schemas.microsoft.com/office/drawing/2014/main" id="{00000000-0008-0000-0B00-000020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33" name="TextBox 32">
          <a:extLst>
            <a:ext uri="{FF2B5EF4-FFF2-40B4-BE49-F238E27FC236}">
              <a16:creationId xmlns:a16="http://schemas.microsoft.com/office/drawing/2014/main" id="{00000000-0008-0000-0B00-000021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34" name="TextBox 33">
          <a:extLst>
            <a:ext uri="{FF2B5EF4-FFF2-40B4-BE49-F238E27FC236}">
              <a16:creationId xmlns:a16="http://schemas.microsoft.com/office/drawing/2014/main" id="{00000000-0008-0000-0B00-000022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35" name="TextBox 34">
          <a:extLst>
            <a:ext uri="{FF2B5EF4-FFF2-40B4-BE49-F238E27FC236}">
              <a16:creationId xmlns:a16="http://schemas.microsoft.com/office/drawing/2014/main" id="{00000000-0008-0000-0B00-000023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36" name="TextBox 35">
          <a:extLst>
            <a:ext uri="{FF2B5EF4-FFF2-40B4-BE49-F238E27FC236}">
              <a16:creationId xmlns:a16="http://schemas.microsoft.com/office/drawing/2014/main" id="{00000000-0008-0000-0B00-000024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37" name="TextBox 36">
          <a:extLst>
            <a:ext uri="{FF2B5EF4-FFF2-40B4-BE49-F238E27FC236}">
              <a16:creationId xmlns:a16="http://schemas.microsoft.com/office/drawing/2014/main" id="{00000000-0008-0000-0B00-000025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38" name="TextBox 37">
          <a:extLst>
            <a:ext uri="{FF2B5EF4-FFF2-40B4-BE49-F238E27FC236}">
              <a16:creationId xmlns:a16="http://schemas.microsoft.com/office/drawing/2014/main" id="{00000000-0008-0000-0B00-000026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39" name="TextBox 38">
          <a:extLst>
            <a:ext uri="{FF2B5EF4-FFF2-40B4-BE49-F238E27FC236}">
              <a16:creationId xmlns:a16="http://schemas.microsoft.com/office/drawing/2014/main" id="{00000000-0008-0000-0B00-000027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40" name="TextBox 39">
          <a:extLst>
            <a:ext uri="{FF2B5EF4-FFF2-40B4-BE49-F238E27FC236}">
              <a16:creationId xmlns:a16="http://schemas.microsoft.com/office/drawing/2014/main" id="{00000000-0008-0000-0B00-000028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41" name="TextBox 40">
          <a:extLst>
            <a:ext uri="{FF2B5EF4-FFF2-40B4-BE49-F238E27FC236}">
              <a16:creationId xmlns:a16="http://schemas.microsoft.com/office/drawing/2014/main" id="{00000000-0008-0000-0B00-000029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42" name="TextBox 41">
          <a:extLst>
            <a:ext uri="{FF2B5EF4-FFF2-40B4-BE49-F238E27FC236}">
              <a16:creationId xmlns:a16="http://schemas.microsoft.com/office/drawing/2014/main" id="{00000000-0008-0000-0B00-00002A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43" name="TextBox 42">
          <a:extLst>
            <a:ext uri="{FF2B5EF4-FFF2-40B4-BE49-F238E27FC236}">
              <a16:creationId xmlns:a16="http://schemas.microsoft.com/office/drawing/2014/main" id="{00000000-0008-0000-0B00-00002B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44" name="TextBox 43">
          <a:extLst>
            <a:ext uri="{FF2B5EF4-FFF2-40B4-BE49-F238E27FC236}">
              <a16:creationId xmlns:a16="http://schemas.microsoft.com/office/drawing/2014/main" id="{00000000-0008-0000-0B00-00002C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45" name="TextBox 44">
          <a:extLst>
            <a:ext uri="{FF2B5EF4-FFF2-40B4-BE49-F238E27FC236}">
              <a16:creationId xmlns:a16="http://schemas.microsoft.com/office/drawing/2014/main" id="{00000000-0008-0000-0B00-00002D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46" name="TextBox 45">
          <a:extLst>
            <a:ext uri="{FF2B5EF4-FFF2-40B4-BE49-F238E27FC236}">
              <a16:creationId xmlns:a16="http://schemas.microsoft.com/office/drawing/2014/main" id="{00000000-0008-0000-0B00-00002E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47" name="TextBox 46">
          <a:extLst>
            <a:ext uri="{FF2B5EF4-FFF2-40B4-BE49-F238E27FC236}">
              <a16:creationId xmlns:a16="http://schemas.microsoft.com/office/drawing/2014/main" id="{00000000-0008-0000-0B00-00002F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48" name="TextBox 47">
          <a:extLst>
            <a:ext uri="{FF2B5EF4-FFF2-40B4-BE49-F238E27FC236}">
              <a16:creationId xmlns:a16="http://schemas.microsoft.com/office/drawing/2014/main" id="{00000000-0008-0000-0B00-000030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49" name="TextBox 48">
          <a:extLst>
            <a:ext uri="{FF2B5EF4-FFF2-40B4-BE49-F238E27FC236}">
              <a16:creationId xmlns:a16="http://schemas.microsoft.com/office/drawing/2014/main" id="{00000000-0008-0000-0B00-000031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2227232</xdr:colOff>
      <xdr:row>31</xdr:row>
      <xdr:rowOff>0</xdr:rowOff>
    </xdr:from>
    <xdr:ext cx="184731" cy="264560"/>
    <xdr:sp macro="" textlink="">
      <xdr:nvSpPr>
        <xdr:cNvPr id="50" name="TextBox 49">
          <a:extLst>
            <a:ext uri="{FF2B5EF4-FFF2-40B4-BE49-F238E27FC236}">
              <a16:creationId xmlns:a16="http://schemas.microsoft.com/office/drawing/2014/main" id="{00000000-0008-0000-0B00-000032000000}"/>
            </a:ext>
          </a:extLst>
        </xdr:cNvPr>
        <xdr:cNvSpPr txBox="1"/>
      </xdr:nvSpPr>
      <xdr:spPr>
        <a:xfrm>
          <a:off x="2703482"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2227232</xdr:colOff>
      <xdr:row>31</xdr:row>
      <xdr:rowOff>0</xdr:rowOff>
    </xdr:from>
    <xdr:ext cx="184731" cy="264560"/>
    <xdr:sp macro="" textlink="">
      <xdr:nvSpPr>
        <xdr:cNvPr id="51" name="TextBox 50">
          <a:extLst>
            <a:ext uri="{FF2B5EF4-FFF2-40B4-BE49-F238E27FC236}">
              <a16:creationId xmlns:a16="http://schemas.microsoft.com/office/drawing/2014/main" id="{00000000-0008-0000-0B00-000033000000}"/>
            </a:ext>
          </a:extLst>
        </xdr:cNvPr>
        <xdr:cNvSpPr txBox="1"/>
      </xdr:nvSpPr>
      <xdr:spPr>
        <a:xfrm>
          <a:off x="2703482"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0</xdr:rowOff>
    </xdr:from>
    <xdr:ext cx="184731" cy="264560"/>
    <xdr:sp macro="" textlink="">
      <xdr:nvSpPr>
        <xdr:cNvPr id="52" name="TextBox 51">
          <a:extLst>
            <a:ext uri="{FF2B5EF4-FFF2-40B4-BE49-F238E27FC236}">
              <a16:creationId xmlns:a16="http://schemas.microsoft.com/office/drawing/2014/main" id="{00000000-0008-0000-0B00-000034000000}"/>
            </a:ext>
          </a:extLst>
        </xdr:cNvPr>
        <xdr:cNvSpPr txBox="1"/>
      </xdr:nvSpPr>
      <xdr:spPr>
        <a:xfrm>
          <a:off x="2710646"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0</xdr:rowOff>
    </xdr:from>
    <xdr:ext cx="184731" cy="264560"/>
    <xdr:sp macro="" textlink="">
      <xdr:nvSpPr>
        <xdr:cNvPr id="53" name="TextBox 52">
          <a:extLst>
            <a:ext uri="{FF2B5EF4-FFF2-40B4-BE49-F238E27FC236}">
              <a16:creationId xmlns:a16="http://schemas.microsoft.com/office/drawing/2014/main" id="{00000000-0008-0000-0B00-000035000000}"/>
            </a:ext>
          </a:extLst>
        </xdr:cNvPr>
        <xdr:cNvSpPr txBox="1"/>
      </xdr:nvSpPr>
      <xdr:spPr>
        <a:xfrm>
          <a:off x="2710646"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0</xdr:rowOff>
    </xdr:from>
    <xdr:ext cx="184731" cy="264560"/>
    <xdr:sp macro="" textlink="">
      <xdr:nvSpPr>
        <xdr:cNvPr id="54" name="TextBox 53">
          <a:extLst>
            <a:ext uri="{FF2B5EF4-FFF2-40B4-BE49-F238E27FC236}">
              <a16:creationId xmlns:a16="http://schemas.microsoft.com/office/drawing/2014/main" id="{00000000-0008-0000-0B00-000036000000}"/>
            </a:ext>
          </a:extLst>
        </xdr:cNvPr>
        <xdr:cNvSpPr txBox="1"/>
      </xdr:nvSpPr>
      <xdr:spPr>
        <a:xfrm>
          <a:off x="2710646"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0</xdr:rowOff>
    </xdr:from>
    <xdr:ext cx="184731" cy="264560"/>
    <xdr:sp macro="" textlink="">
      <xdr:nvSpPr>
        <xdr:cNvPr id="55" name="TextBox 54">
          <a:extLst>
            <a:ext uri="{FF2B5EF4-FFF2-40B4-BE49-F238E27FC236}">
              <a16:creationId xmlns:a16="http://schemas.microsoft.com/office/drawing/2014/main" id="{00000000-0008-0000-0B00-000037000000}"/>
            </a:ext>
          </a:extLst>
        </xdr:cNvPr>
        <xdr:cNvSpPr txBox="1"/>
      </xdr:nvSpPr>
      <xdr:spPr>
        <a:xfrm>
          <a:off x="2710646"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2229715</xdr:colOff>
      <xdr:row>31</xdr:row>
      <xdr:rowOff>0</xdr:rowOff>
    </xdr:from>
    <xdr:ext cx="184731" cy="264560"/>
    <xdr:sp macro="" textlink="">
      <xdr:nvSpPr>
        <xdr:cNvPr id="56" name="TextBox 55">
          <a:extLst>
            <a:ext uri="{FF2B5EF4-FFF2-40B4-BE49-F238E27FC236}">
              <a16:creationId xmlns:a16="http://schemas.microsoft.com/office/drawing/2014/main" id="{00000000-0008-0000-0B00-000038000000}"/>
            </a:ext>
          </a:extLst>
        </xdr:cNvPr>
        <xdr:cNvSpPr txBox="1"/>
      </xdr:nvSpPr>
      <xdr:spPr>
        <a:xfrm>
          <a:off x="2705965"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2229715</xdr:colOff>
      <xdr:row>31</xdr:row>
      <xdr:rowOff>0</xdr:rowOff>
    </xdr:from>
    <xdr:ext cx="184731" cy="264560"/>
    <xdr:sp macro="" textlink="">
      <xdr:nvSpPr>
        <xdr:cNvPr id="57" name="TextBox 56">
          <a:extLst>
            <a:ext uri="{FF2B5EF4-FFF2-40B4-BE49-F238E27FC236}">
              <a16:creationId xmlns:a16="http://schemas.microsoft.com/office/drawing/2014/main" id="{00000000-0008-0000-0B00-000039000000}"/>
            </a:ext>
          </a:extLst>
        </xdr:cNvPr>
        <xdr:cNvSpPr txBox="1"/>
      </xdr:nvSpPr>
      <xdr:spPr>
        <a:xfrm>
          <a:off x="2705965"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2229715</xdr:colOff>
      <xdr:row>31</xdr:row>
      <xdr:rowOff>0</xdr:rowOff>
    </xdr:from>
    <xdr:ext cx="184731" cy="264560"/>
    <xdr:sp macro="" textlink="">
      <xdr:nvSpPr>
        <xdr:cNvPr id="58" name="TextBox 57">
          <a:extLst>
            <a:ext uri="{FF2B5EF4-FFF2-40B4-BE49-F238E27FC236}">
              <a16:creationId xmlns:a16="http://schemas.microsoft.com/office/drawing/2014/main" id="{00000000-0008-0000-0B00-00003A000000}"/>
            </a:ext>
          </a:extLst>
        </xdr:cNvPr>
        <xdr:cNvSpPr txBox="1"/>
      </xdr:nvSpPr>
      <xdr:spPr>
        <a:xfrm>
          <a:off x="2705965"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2229715</xdr:colOff>
      <xdr:row>31</xdr:row>
      <xdr:rowOff>0</xdr:rowOff>
    </xdr:from>
    <xdr:ext cx="184731" cy="264560"/>
    <xdr:sp macro="" textlink="">
      <xdr:nvSpPr>
        <xdr:cNvPr id="59" name="TextBox 58">
          <a:extLst>
            <a:ext uri="{FF2B5EF4-FFF2-40B4-BE49-F238E27FC236}">
              <a16:creationId xmlns:a16="http://schemas.microsoft.com/office/drawing/2014/main" id="{00000000-0008-0000-0B00-00003B000000}"/>
            </a:ext>
          </a:extLst>
        </xdr:cNvPr>
        <xdr:cNvSpPr txBox="1"/>
      </xdr:nvSpPr>
      <xdr:spPr>
        <a:xfrm>
          <a:off x="2705965"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60" name="TextBox 59">
          <a:extLst>
            <a:ext uri="{FF2B5EF4-FFF2-40B4-BE49-F238E27FC236}">
              <a16:creationId xmlns:a16="http://schemas.microsoft.com/office/drawing/2014/main" id="{00000000-0008-0000-0B00-00003C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61" name="TextBox 60">
          <a:extLst>
            <a:ext uri="{FF2B5EF4-FFF2-40B4-BE49-F238E27FC236}">
              <a16:creationId xmlns:a16="http://schemas.microsoft.com/office/drawing/2014/main" id="{00000000-0008-0000-0B00-00003D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62" name="TextBox 61">
          <a:extLst>
            <a:ext uri="{FF2B5EF4-FFF2-40B4-BE49-F238E27FC236}">
              <a16:creationId xmlns:a16="http://schemas.microsoft.com/office/drawing/2014/main" id="{00000000-0008-0000-0B00-00003E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63" name="TextBox 62">
          <a:extLst>
            <a:ext uri="{FF2B5EF4-FFF2-40B4-BE49-F238E27FC236}">
              <a16:creationId xmlns:a16="http://schemas.microsoft.com/office/drawing/2014/main" id="{00000000-0008-0000-0B00-00003F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64" name="TextBox 63">
          <a:extLst>
            <a:ext uri="{FF2B5EF4-FFF2-40B4-BE49-F238E27FC236}">
              <a16:creationId xmlns:a16="http://schemas.microsoft.com/office/drawing/2014/main" id="{00000000-0008-0000-0B00-000040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65" name="TextBox 64">
          <a:extLst>
            <a:ext uri="{FF2B5EF4-FFF2-40B4-BE49-F238E27FC236}">
              <a16:creationId xmlns:a16="http://schemas.microsoft.com/office/drawing/2014/main" id="{00000000-0008-0000-0B00-000041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66" name="TextBox 65">
          <a:extLst>
            <a:ext uri="{FF2B5EF4-FFF2-40B4-BE49-F238E27FC236}">
              <a16:creationId xmlns:a16="http://schemas.microsoft.com/office/drawing/2014/main" id="{00000000-0008-0000-0B00-000042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67" name="TextBox 66">
          <a:extLst>
            <a:ext uri="{FF2B5EF4-FFF2-40B4-BE49-F238E27FC236}">
              <a16:creationId xmlns:a16="http://schemas.microsoft.com/office/drawing/2014/main" id="{00000000-0008-0000-0B00-000043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68" name="TextBox 67">
          <a:extLst>
            <a:ext uri="{FF2B5EF4-FFF2-40B4-BE49-F238E27FC236}">
              <a16:creationId xmlns:a16="http://schemas.microsoft.com/office/drawing/2014/main" id="{00000000-0008-0000-0B00-000044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69" name="TextBox 68">
          <a:extLst>
            <a:ext uri="{FF2B5EF4-FFF2-40B4-BE49-F238E27FC236}">
              <a16:creationId xmlns:a16="http://schemas.microsoft.com/office/drawing/2014/main" id="{00000000-0008-0000-0B00-000045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70" name="TextBox 69">
          <a:extLst>
            <a:ext uri="{FF2B5EF4-FFF2-40B4-BE49-F238E27FC236}">
              <a16:creationId xmlns:a16="http://schemas.microsoft.com/office/drawing/2014/main" id="{00000000-0008-0000-0B00-000046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71" name="TextBox 70">
          <a:extLst>
            <a:ext uri="{FF2B5EF4-FFF2-40B4-BE49-F238E27FC236}">
              <a16:creationId xmlns:a16="http://schemas.microsoft.com/office/drawing/2014/main" id="{00000000-0008-0000-0B00-000047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72" name="TextBox 71">
          <a:extLst>
            <a:ext uri="{FF2B5EF4-FFF2-40B4-BE49-F238E27FC236}">
              <a16:creationId xmlns:a16="http://schemas.microsoft.com/office/drawing/2014/main" id="{00000000-0008-0000-0B00-000048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73" name="TextBox 72">
          <a:extLst>
            <a:ext uri="{FF2B5EF4-FFF2-40B4-BE49-F238E27FC236}">
              <a16:creationId xmlns:a16="http://schemas.microsoft.com/office/drawing/2014/main" id="{00000000-0008-0000-0B00-000049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74" name="TextBox 73">
          <a:extLst>
            <a:ext uri="{FF2B5EF4-FFF2-40B4-BE49-F238E27FC236}">
              <a16:creationId xmlns:a16="http://schemas.microsoft.com/office/drawing/2014/main" id="{00000000-0008-0000-0B00-00004A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75" name="TextBox 74">
          <a:extLst>
            <a:ext uri="{FF2B5EF4-FFF2-40B4-BE49-F238E27FC236}">
              <a16:creationId xmlns:a16="http://schemas.microsoft.com/office/drawing/2014/main" id="{00000000-0008-0000-0B00-00004B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76" name="TextBox 75">
          <a:extLst>
            <a:ext uri="{FF2B5EF4-FFF2-40B4-BE49-F238E27FC236}">
              <a16:creationId xmlns:a16="http://schemas.microsoft.com/office/drawing/2014/main" id="{00000000-0008-0000-0B00-00004C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77" name="TextBox 76">
          <a:extLst>
            <a:ext uri="{FF2B5EF4-FFF2-40B4-BE49-F238E27FC236}">
              <a16:creationId xmlns:a16="http://schemas.microsoft.com/office/drawing/2014/main" id="{00000000-0008-0000-0B00-00004D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78" name="TextBox 77">
          <a:extLst>
            <a:ext uri="{FF2B5EF4-FFF2-40B4-BE49-F238E27FC236}">
              <a16:creationId xmlns:a16="http://schemas.microsoft.com/office/drawing/2014/main" id="{00000000-0008-0000-0B00-00004E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79" name="TextBox 78">
          <a:extLst>
            <a:ext uri="{FF2B5EF4-FFF2-40B4-BE49-F238E27FC236}">
              <a16:creationId xmlns:a16="http://schemas.microsoft.com/office/drawing/2014/main" id="{00000000-0008-0000-0B00-00004F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80" name="TextBox 79">
          <a:extLst>
            <a:ext uri="{FF2B5EF4-FFF2-40B4-BE49-F238E27FC236}">
              <a16:creationId xmlns:a16="http://schemas.microsoft.com/office/drawing/2014/main" id="{00000000-0008-0000-0B00-000050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81" name="TextBox 80">
          <a:extLst>
            <a:ext uri="{FF2B5EF4-FFF2-40B4-BE49-F238E27FC236}">
              <a16:creationId xmlns:a16="http://schemas.microsoft.com/office/drawing/2014/main" id="{00000000-0008-0000-0B00-000051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82" name="TextBox 81">
          <a:extLst>
            <a:ext uri="{FF2B5EF4-FFF2-40B4-BE49-F238E27FC236}">
              <a16:creationId xmlns:a16="http://schemas.microsoft.com/office/drawing/2014/main" id="{00000000-0008-0000-0B00-000052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83" name="TextBox 82">
          <a:extLst>
            <a:ext uri="{FF2B5EF4-FFF2-40B4-BE49-F238E27FC236}">
              <a16:creationId xmlns:a16="http://schemas.microsoft.com/office/drawing/2014/main" id="{00000000-0008-0000-0B00-000053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84" name="TextBox 83">
          <a:extLst>
            <a:ext uri="{FF2B5EF4-FFF2-40B4-BE49-F238E27FC236}">
              <a16:creationId xmlns:a16="http://schemas.microsoft.com/office/drawing/2014/main" id="{00000000-0008-0000-0B00-000054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85" name="TextBox 84">
          <a:extLst>
            <a:ext uri="{FF2B5EF4-FFF2-40B4-BE49-F238E27FC236}">
              <a16:creationId xmlns:a16="http://schemas.microsoft.com/office/drawing/2014/main" id="{00000000-0008-0000-0B00-000055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86" name="TextBox 85">
          <a:extLst>
            <a:ext uri="{FF2B5EF4-FFF2-40B4-BE49-F238E27FC236}">
              <a16:creationId xmlns:a16="http://schemas.microsoft.com/office/drawing/2014/main" id="{00000000-0008-0000-0B00-000056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87" name="TextBox 86">
          <a:extLst>
            <a:ext uri="{FF2B5EF4-FFF2-40B4-BE49-F238E27FC236}">
              <a16:creationId xmlns:a16="http://schemas.microsoft.com/office/drawing/2014/main" id="{00000000-0008-0000-0B00-000057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88" name="TextBox 87">
          <a:extLst>
            <a:ext uri="{FF2B5EF4-FFF2-40B4-BE49-F238E27FC236}">
              <a16:creationId xmlns:a16="http://schemas.microsoft.com/office/drawing/2014/main" id="{00000000-0008-0000-0B00-000058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89" name="TextBox 88">
          <a:extLst>
            <a:ext uri="{FF2B5EF4-FFF2-40B4-BE49-F238E27FC236}">
              <a16:creationId xmlns:a16="http://schemas.microsoft.com/office/drawing/2014/main" id="{00000000-0008-0000-0B00-000059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90" name="TextBox 89">
          <a:extLst>
            <a:ext uri="{FF2B5EF4-FFF2-40B4-BE49-F238E27FC236}">
              <a16:creationId xmlns:a16="http://schemas.microsoft.com/office/drawing/2014/main" id="{00000000-0008-0000-0B00-00005A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91" name="TextBox 90">
          <a:extLst>
            <a:ext uri="{FF2B5EF4-FFF2-40B4-BE49-F238E27FC236}">
              <a16:creationId xmlns:a16="http://schemas.microsoft.com/office/drawing/2014/main" id="{00000000-0008-0000-0B00-00005B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92" name="TextBox 91">
          <a:extLst>
            <a:ext uri="{FF2B5EF4-FFF2-40B4-BE49-F238E27FC236}">
              <a16:creationId xmlns:a16="http://schemas.microsoft.com/office/drawing/2014/main" id="{00000000-0008-0000-0B00-00005C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93" name="TextBox 92">
          <a:extLst>
            <a:ext uri="{FF2B5EF4-FFF2-40B4-BE49-F238E27FC236}">
              <a16:creationId xmlns:a16="http://schemas.microsoft.com/office/drawing/2014/main" id="{00000000-0008-0000-0B00-00005D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94" name="TextBox 93">
          <a:extLst>
            <a:ext uri="{FF2B5EF4-FFF2-40B4-BE49-F238E27FC236}">
              <a16:creationId xmlns:a16="http://schemas.microsoft.com/office/drawing/2014/main" id="{00000000-0008-0000-0B00-00005E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95" name="TextBox 94">
          <a:extLst>
            <a:ext uri="{FF2B5EF4-FFF2-40B4-BE49-F238E27FC236}">
              <a16:creationId xmlns:a16="http://schemas.microsoft.com/office/drawing/2014/main" id="{00000000-0008-0000-0B00-00005F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96" name="TextBox 95">
          <a:extLst>
            <a:ext uri="{FF2B5EF4-FFF2-40B4-BE49-F238E27FC236}">
              <a16:creationId xmlns:a16="http://schemas.microsoft.com/office/drawing/2014/main" id="{00000000-0008-0000-0B00-000060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2236797</xdr:colOff>
      <xdr:row>31</xdr:row>
      <xdr:rowOff>0</xdr:rowOff>
    </xdr:from>
    <xdr:ext cx="184731" cy="264560"/>
    <xdr:sp macro="" textlink="">
      <xdr:nvSpPr>
        <xdr:cNvPr id="97" name="TextBox 96">
          <a:extLst>
            <a:ext uri="{FF2B5EF4-FFF2-40B4-BE49-F238E27FC236}">
              <a16:creationId xmlns:a16="http://schemas.microsoft.com/office/drawing/2014/main" id="{00000000-0008-0000-0B00-000061000000}"/>
            </a:ext>
          </a:extLst>
        </xdr:cNvPr>
        <xdr:cNvSpPr txBox="1"/>
      </xdr:nvSpPr>
      <xdr:spPr>
        <a:xfrm>
          <a:off x="271304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2235</xdr:rowOff>
    </xdr:from>
    <xdr:ext cx="184731" cy="264560"/>
    <xdr:sp macro="" textlink="">
      <xdr:nvSpPr>
        <xdr:cNvPr id="98" name="TextBox 97">
          <a:extLst>
            <a:ext uri="{FF2B5EF4-FFF2-40B4-BE49-F238E27FC236}">
              <a16:creationId xmlns:a16="http://schemas.microsoft.com/office/drawing/2014/main" id="{00000000-0008-0000-0B00-000062000000}"/>
            </a:ext>
          </a:extLst>
        </xdr:cNvPr>
        <xdr:cNvSpPr txBox="1"/>
      </xdr:nvSpPr>
      <xdr:spPr>
        <a:xfrm>
          <a:off x="2710646" y="54124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2235</xdr:rowOff>
    </xdr:from>
    <xdr:ext cx="184731" cy="264560"/>
    <xdr:sp macro="" textlink="">
      <xdr:nvSpPr>
        <xdr:cNvPr id="99" name="TextBox 98">
          <a:extLst>
            <a:ext uri="{FF2B5EF4-FFF2-40B4-BE49-F238E27FC236}">
              <a16:creationId xmlns:a16="http://schemas.microsoft.com/office/drawing/2014/main" id="{00000000-0008-0000-0B00-000063000000}"/>
            </a:ext>
          </a:extLst>
        </xdr:cNvPr>
        <xdr:cNvSpPr txBox="1"/>
      </xdr:nvSpPr>
      <xdr:spPr>
        <a:xfrm>
          <a:off x="2710646" y="54124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2235</xdr:rowOff>
    </xdr:from>
    <xdr:ext cx="184731" cy="264560"/>
    <xdr:sp macro="" textlink="">
      <xdr:nvSpPr>
        <xdr:cNvPr id="100" name="TextBox 99">
          <a:extLst>
            <a:ext uri="{FF2B5EF4-FFF2-40B4-BE49-F238E27FC236}">
              <a16:creationId xmlns:a16="http://schemas.microsoft.com/office/drawing/2014/main" id="{00000000-0008-0000-0B00-000064000000}"/>
            </a:ext>
          </a:extLst>
        </xdr:cNvPr>
        <xdr:cNvSpPr txBox="1"/>
      </xdr:nvSpPr>
      <xdr:spPr>
        <a:xfrm>
          <a:off x="2710646" y="54124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2235</xdr:rowOff>
    </xdr:from>
    <xdr:ext cx="184731" cy="264560"/>
    <xdr:sp macro="" textlink="">
      <xdr:nvSpPr>
        <xdr:cNvPr id="101" name="TextBox 100">
          <a:extLst>
            <a:ext uri="{FF2B5EF4-FFF2-40B4-BE49-F238E27FC236}">
              <a16:creationId xmlns:a16="http://schemas.microsoft.com/office/drawing/2014/main" id="{00000000-0008-0000-0B00-000065000000}"/>
            </a:ext>
          </a:extLst>
        </xdr:cNvPr>
        <xdr:cNvSpPr txBox="1"/>
      </xdr:nvSpPr>
      <xdr:spPr>
        <a:xfrm>
          <a:off x="2710646" y="54124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02" name="TextBox 101">
          <a:extLst>
            <a:ext uri="{FF2B5EF4-FFF2-40B4-BE49-F238E27FC236}">
              <a16:creationId xmlns:a16="http://schemas.microsoft.com/office/drawing/2014/main" id="{00000000-0008-0000-0B00-000066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03" name="TextBox 102">
          <a:extLst>
            <a:ext uri="{FF2B5EF4-FFF2-40B4-BE49-F238E27FC236}">
              <a16:creationId xmlns:a16="http://schemas.microsoft.com/office/drawing/2014/main" id="{00000000-0008-0000-0B00-000067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2235</xdr:rowOff>
    </xdr:from>
    <xdr:ext cx="184731" cy="264560"/>
    <xdr:sp macro="" textlink="">
      <xdr:nvSpPr>
        <xdr:cNvPr id="104" name="TextBox 103">
          <a:extLst>
            <a:ext uri="{FF2B5EF4-FFF2-40B4-BE49-F238E27FC236}">
              <a16:creationId xmlns:a16="http://schemas.microsoft.com/office/drawing/2014/main" id="{00000000-0008-0000-0B00-000068000000}"/>
            </a:ext>
          </a:extLst>
        </xdr:cNvPr>
        <xdr:cNvSpPr txBox="1"/>
      </xdr:nvSpPr>
      <xdr:spPr>
        <a:xfrm>
          <a:off x="2710646" y="54124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2235</xdr:rowOff>
    </xdr:from>
    <xdr:ext cx="184731" cy="264560"/>
    <xdr:sp macro="" textlink="">
      <xdr:nvSpPr>
        <xdr:cNvPr id="105" name="TextBox 104">
          <a:extLst>
            <a:ext uri="{FF2B5EF4-FFF2-40B4-BE49-F238E27FC236}">
              <a16:creationId xmlns:a16="http://schemas.microsoft.com/office/drawing/2014/main" id="{00000000-0008-0000-0B00-000069000000}"/>
            </a:ext>
          </a:extLst>
        </xdr:cNvPr>
        <xdr:cNvSpPr txBox="1"/>
      </xdr:nvSpPr>
      <xdr:spPr>
        <a:xfrm>
          <a:off x="2710646" y="54124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2235</xdr:rowOff>
    </xdr:from>
    <xdr:ext cx="184731" cy="264560"/>
    <xdr:sp macro="" textlink="">
      <xdr:nvSpPr>
        <xdr:cNvPr id="106" name="TextBox 105">
          <a:extLst>
            <a:ext uri="{FF2B5EF4-FFF2-40B4-BE49-F238E27FC236}">
              <a16:creationId xmlns:a16="http://schemas.microsoft.com/office/drawing/2014/main" id="{00000000-0008-0000-0B00-00006A000000}"/>
            </a:ext>
          </a:extLst>
        </xdr:cNvPr>
        <xdr:cNvSpPr txBox="1"/>
      </xdr:nvSpPr>
      <xdr:spPr>
        <a:xfrm>
          <a:off x="2710646" y="54124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2234396</xdr:colOff>
      <xdr:row>31</xdr:row>
      <xdr:rowOff>2235</xdr:rowOff>
    </xdr:from>
    <xdr:ext cx="184731" cy="264560"/>
    <xdr:sp macro="" textlink="">
      <xdr:nvSpPr>
        <xdr:cNvPr id="107" name="TextBox 106">
          <a:extLst>
            <a:ext uri="{FF2B5EF4-FFF2-40B4-BE49-F238E27FC236}">
              <a16:creationId xmlns:a16="http://schemas.microsoft.com/office/drawing/2014/main" id="{00000000-0008-0000-0B00-00006B000000}"/>
            </a:ext>
          </a:extLst>
        </xdr:cNvPr>
        <xdr:cNvSpPr txBox="1"/>
      </xdr:nvSpPr>
      <xdr:spPr>
        <a:xfrm>
          <a:off x="2710646" y="54124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08" name="TextBox 107">
          <a:extLst>
            <a:ext uri="{FF2B5EF4-FFF2-40B4-BE49-F238E27FC236}">
              <a16:creationId xmlns:a16="http://schemas.microsoft.com/office/drawing/2014/main" id="{00000000-0008-0000-0B00-00006C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2228887</xdr:colOff>
      <xdr:row>31</xdr:row>
      <xdr:rowOff>0</xdr:rowOff>
    </xdr:from>
    <xdr:ext cx="184731" cy="264560"/>
    <xdr:sp macro="" textlink="">
      <xdr:nvSpPr>
        <xdr:cNvPr id="109" name="TextBox 108">
          <a:extLst>
            <a:ext uri="{FF2B5EF4-FFF2-40B4-BE49-F238E27FC236}">
              <a16:creationId xmlns:a16="http://schemas.microsoft.com/office/drawing/2014/main" id="{00000000-0008-0000-0B00-00006D000000}"/>
            </a:ext>
          </a:extLst>
        </xdr:cNvPr>
        <xdr:cNvSpPr txBox="1"/>
      </xdr:nvSpPr>
      <xdr:spPr>
        <a:xfrm>
          <a:off x="2705137"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31</xdr:row>
      <xdr:rowOff>0</xdr:rowOff>
    </xdr:from>
    <xdr:ext cx="184731" cy="264560"/>
    <xdr:sp macro="" textlink="">
      <xdr:nvSpPr>
        <xdr:cNvPr id="110" name="TextBox 109">
          <a:extLst>
            <a:ext uri="{FF2B5EF4-FFF2-40B4-BE49-F238E27FC236}">
              <a16:creationId xmlns:a16="http://schemas.microsoft.com/office/drawing/2014/main" id="{00000000-0008-0000-0B00-00006E000000}"/>
            </a:ext>
          </a:extLst>
        </xdr:cNvPr>
        <xdr:cNvSpPr txBox="1"/>
      </xdr:nvSpPr>
      <xdr:spPr>
        <a:xfrm>
          <a:off x="5394563"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31</xdr:row>
      <xdr:rowOff>0</xdr:rowOff>
    </xdr:from>
    <xdr:ext cx="184731" cy="264560"/>
    <xdr:sp macro="" textlink="">
      <xdr:nvSpPr>
        <xdr:cNvPr id="111" name="TextBox 110">
          <a:extLst>
            <a:ext uri="{FF2B5EF4-FFF2-40B4-BE49-F238E27FC236}">
              <a16:creationId xmlns:a16="http://schemas.microsoft.com/office/drawing/2014/main" id="{00000000-0008-0000-0B00-00006F000000}"/>
            </a:ext>
          </a:extLst>
        </xdr:cNvPr>
        <xdr:cNvSpPr txBox="1"/>
      </xdr:nvSpPr>
      <xdr:spPr>
        <a:xfrm>
          <a:off x="5394563"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31</xdr:row>
      <xdr:rowOff>0</xdr:rowOff>
    </xdr:from>
    <xdr:ext cx="184731" cy="264560"/>
    <xdr:sp macro="" textlink="">
      <xdr:nvSpPr>
        <xdr:cNvPr id="112" name="TextBox 111">
          <a:extLst>
            <a:ext uri="{FF2B5EF4-FFF2-40B4-BE49-F238E27FC236}">
              <a16:creationId xmlns:a16="http://schemas.microsoft.com/office/drawing/2014/main" id="{00000000-0008-0000-0B00-000070000000}"/>
            </a:ext>
          </a:extLst>
        </xdr:cNvPr>
        <xdr:cNvSpPr txBox="1"/>
      </xdr:nvSpPr>
      <xdr:spPr>
        <a:xfrm>
          <a:off x="5394563"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31</xdr:row>
      <xdr:rowOff>0</xdr:rowOff>
    </xdr:from>
    <xdr:ext cx="184731" cy="264560"/>
    <xdr:sp macro="" textlink="">
      <xdr:nvSpPr>
        <xdr:cNvPr id="113" name="TextBox 112">
          <a:extLst>
            <a:ext uri="{FF2B5EF4-FFF2-40B4-BE49-F238E27FC236}">
              <a16:creationId xmlns:a16="http://schemas.microsoft.com/office/drawing/2014/main" id="{00000000-0008-0000-0B00-000071000000}"/>
            </a:ext>
          </a:extLst>
        </xdr:cNvPr>
        <xdr:cNvSpPr txBox="1"/>
      </xdr:nvSpPr>
      <xdr:spPr>
        <a:xfrm>
          <a:off x="5394563"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32</xdr:row>
      <xdr:rowOff>0</xdr:rowOff>
    </xdr:from>
    <xdr:ext cx="184731" cy="264560"/>
    <xdr:sp macro="" textlink="">
      <xdr:nvSpPr>
        <xdr:cNvPr id="114" name="TextBox 113">
          <a:extLst>
            <a:ext uri="{FF2B5EF4-FFF2-40B4-BE49-F238E27FC236}">
              <a16:creationId xmlns:a16="http://schemas.microsoft.com/office/drawing/2014/main" id="{00000000-0008-0000-0B00-000072000000}"/>
            </a:ext>
          </a:extLst>
        </xdr:cNvPr>
        <xdr:cNvSpPr txBox="1"/>
      </xdr:nvSpPr>
      <xdr:spPr>
        <a:xfrm>
          <a:off x="5394563" y="5553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32</xdr:row>
      <xdr:rowOff>0</xdr:rowOff>
    </xdr:from>
    <xdr:ext cx="184731" cy="264560"/>
    <xdr:sp macro="" textlink="">
      <xdr:nvSpPr>
        <xdr:cNvPr id="115" name="TextBox 114">
          <a:extLst>
            <a:ext uri="{FF2B5EF4-FFF2-40B4-BE49-F238E27FC236}">
              <a16:creationId xmlns:a16="http://schemas.microsoft.com/office/drawing/2014/main" id="{00000000-0008-0000-0B00-000073000000}"/>
            </a:ext>
          </a:extLst>
        </xdr:cNvPr>
        <xdr:cNvSpPr txBox="1"/>
      </xdr:nvSpPr>
      <xdr:spPr>
        <a:xfrm>
          <a:off x="5394563" y="5553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32</xdr:row>
      <xdr:rowOff>0</xdr:rowOff>
    </xdr:from>
    <xdr:ext cx="184731" cy="264560"/>
    <xdr:sp macro="" textlink="">
      <xdr:nvSpPr>
        <xdr:cNvPr id="116" name="TextBox 115">
          <a:extLst>
            <a:ext uri="{FF2B5EF4-FFF2-40B4-BE49-F238E27FC236}">
              <a16:creationId xmlns:a16="http://schemas.microsoft.com/office/drawing/2014/main" id="{00000000-0008-0000-0B00-000074000000}"/>
            </a:ext>
          </a:extLst>
        </xdr:cNvPr>
        <xdr:cNvSpPr txBox="1"/>
      </xdr:nvSpPr>
      <xdr:spPr>
        <a:xfrm>
          <a:off x="5394563" y="5553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32</xdr:row>
      <xdr:rowOff>0</xdr:rowOff>
    </xdr:from>
    <xdr:ext cx="184731" cy="264560"/>
    <xdr:sp macro="" textlink="">
      <xdr:nvSpPr>
        <xdr:cNvPr id="117" name="TextBox 116">
          <a:extLst>
            <a:ext uri="{FF2B5EF4-FFF2-40B4-BE49-F238E27FC236}">
              <a16:creationId xmlns:a16="http://schemas.microsoft.com/office/drawing/2014/main" id="{00000000-0008-0000-0B00-000075000000}"/>
            </a:ext>
          </a:extLst>
        </xdr:cNvPr>
        <xdr:cNvSpPr txBox="1"/>
      </xdr:nvSpPr>
      <xdr:spPr>
        <a:xfrm>
          <a:off x="5394563" y="5553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33</xdr:row>
      <xdr:rowOff>0</xdr:rowOff>
    </xdr:from>
    <xdr:ext cx="184731" cy="264560"/>
    <xdr:sp macro="" textlink="">
      <xdr:nvSpPr>
        <xdr:cNvPr id="118" name="TextBox 117">
          <a:extLst>
            <a:ext uri="{FF2B5EF4-FFF2-40B4-BE49-F238E27FC236}">
              <a16:creationId xmlns:a16="http://schemas.microsoft.com/office/drawing/2014/main" id="{00000000-0008-0000-0B00-000076000000}"/>
            </a:ext>
          </a:extLst>
        </xdr:cNvPr>
        <xdr:cNvSpPr txBox="1"/>
      </xdr:nvSpPr>
      <xdr:spPr>
        <a:xfrm>
          <a:off x="5394563" y="5695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33</xdr:row>
      <xdr:rowOff>0</xdr:rowOff>
    </xdr:from>
    <xdr:ext cx="184731" cy="264560"/>
    <xdr:sp macro="" textlink="">
      <xdr:nvSpPr>
        <xdr:cNvPr id="119" name="TextBox 118">
          <a:extLst>
            <a:ext uri="{FF2B5EF4-FFF2-40B4-BE49-F238E27FC236}">
              <a16:creationId xmlns:a16="http://schemas.microsoft.com/office/drawing/2014/main" id="{00000000-0008-0000-0B00-000077000000}"/>
            </a:ext>
          </a:extLst>
        </xdr:cNvPr>
        <xdr:cNvSpPr txBox="1"/>
      </xdr:nvSpPr>
      <xdr:spPr>
        <a:xfrm>
          <a:off x="5394563" y="5695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33</xdr:row>
      <xdr:rowOff>0</xdr:rowOff>
    </xdr:from>
    <xdr:ext cx="184731" cy="264560"/>
    <xdr:sp macro="" textlink="">
      <xdr:nvSpPr>
        <xdr:cNvPr id="120" name="TextBox 119">
          <a:extLst>
            <a:ext uri="{FF2B5EF4-FFF2-40B4-BE49-F238E27FC236}">
              <a16:creationId xmlns:a16="http://schemas.microsoft.com/office/drawing/2014/main" id="{00000000-0008-0000-0B00-000078000000}"/>
            </a:ext>
          </a:extLst>
        </xdr:cNvPr>
        <xdr:cNvSpPr txBox="1"/>
      </xdr:nvSpPr>
      <xdr:spPr>
        <a:xfrm>
          <a:off x="5394563" y="5695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1</xdr:col>
      <xdr:colOff>632063</xdr:colOff>
      <xdr:row>33</xdr:row>
      <xdr:rowOff>0</xdr:rowOff>
    </xdr:from>
    <xdr:ext cx="184731" cy="264560"/>
    <xdr:sp macro="" textlink="">
      <xdr:nvSpPr>
        <xdr:cNvPr id="121" name="TextBox 120">
          <a:extLst>
            <a:ext uri="{FF2B5EF4-FFF2-40B4-BE49-F238E27FC236}">
              <a16:creationId xmlns:a16="http://schemas.microsoft.com/office/drawing/2014/main" id="{00000000-0008-0000-0B00-000079000000}"/>
            </a:ext>
          </a:extLst>
        </xdr:cNvPr>
        <xdr:cNvSpPr txBox="1"/>
      </xdr:nvSpPr>
      <xdr:spPr>
        <a:xfrm>
          <a:off x="5394563" y="5695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31</xdr:row>
      <xdr:rowOff>0</xdr:rowOff>
    </xdr:from>
    <xdr:ext cx="184731" cy="264560"/>
    <xdr:sp macro="" textlink="">
      <xdr:nvSpPr>
        <xdr:cNvPr id="134" name="TextBox 133">
          <a:extLst>
            <a:ext uri="{FF2B5EF4-FFF2-40B4-BE49-F238E27FC236}">
              <a16:creationId xmlns:a16="http://schemas.microsoft.com/office/drawing/2014/main" id="{00000000-0008-0000-0B00-000086000000}"/>
            </a:ext>
          </a:extLst>
        </xdr:cNvPr>
        <xdr:cNvSpPr txBox="1"/>
      </xdr:nvSpPr>
      <xdr:spPr>
        <a:xfrm>
          <a:off x="5394563"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31</xdr:row>
      <xdr:rowOff>0</xdr:rowOff>
    </xdr:from>
    <xdr:ext cx="184731" cy="264560"/>
    <xdr:sp macro="" textlink="">
      <xdr:nvSpPr>
        <xdr:cNvPr id="135" name="TextBox 134">
          <a:extLst>
            <a:ext uri="{FF2B5EF4-FFF2-40B4-BE49-F238E27FC236}">
              <a16:creationId xmlns:a16="http://schemas.microsoft.com/office/drawing/2014/main" id="{00000000-0008-0000-0B00-000087000000}"/>
            </a:ext>
          </a:extLst>
        </xdr:cNvPr>
        <xdr:cNvSpPr txBox="1"/>
      </xdr:nvSpPr>
      <xdr:spPr>
        <a:xfrm>
          <a:off x="5394563"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31</xdr:row>
      <xdr:rowOff>0</xdr:rowOff>
    </xdr:from>
    <xdr:ext cx="184731" cy="264560"/>
    <xdr:sp macro="" textlink="">
      <xdr:nvSpPr>
        <xdr:cNvPr id="136" name="TextBox 135">
          <a:extLst>
            <a:ext uri="{FF2B5EF4-FFF2-40B4-BE49-F238E27FC236}">
              <a16:creationId xmlns:a16="http://schemas.microsoft.com/office/drawing/2014/main" id="{00000000-0008-0000-0B00-000088000000}"/>
            </a:ext>
          </a:extLst>
        </xdr:cNvPr>
        <xdr:cNvSpPr txBox="1"/>
      </xdr:nvSpPr>
      <xdr:spPr>
        <a:xfrm>
          <a:off x="5394563"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31</xdr:row>
      <xdr:rowOff>0</xdr:rowOff>
    </xdr:from>
    <xdr:ext cx="184731" cy="264560"/>
    <xdr:sp macro="" textlink="">
      <xdr:nvSpPr>
        <xdr:cNvPr id="137" name="TextBox 136">
          <a:extLst>
            <a:ext uri="{FF2B5EF4-FFF2-40B4-BE49-F238E27FC236}">
              <a16:creationId xmlns:a16="http://schemas.microsoft.com/office/drawing/2014/main" id="{00000000-0008-0000-0B00-000089000000}"/>
            </a:ext>
          </a:extLst>
        </xdr:cNvPr>
        <xdr:cNvSpPr txBox="1"/>
      </xdr:nvSpPr>
      <xdr:spPr>
        <a:xfrm>
          <a:off x="5394563" y="541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32</xdr:row>
      <xdr:rowOff>0</xdr:rowOff>
    </xdr:from>
    <xdr:ext cx="184731" cy="264560"/>
    <xdr:sp macro="" textlink="">
      <xdr:nvSpPr>
        <xdr:cNvPr id="138" name="TextBox 137">
          <a:extLst>
            <a:ext uri="{FF2B5EF4-FFF2-40B4-BE49-F238E27FC236}">
              <a16:creationId xmlns:a16="http://schemas.microsoft.com/office/drawing/2014/main" id="{00000000-0008-0000-0B00-00008A000000}"/>
            </a:ext>
          </a:extLst>
        </xdr:cNvPr>
        <xdr:cNvSpPr txBox="1"/>
      </xdr:nvSpPr>
      <xdr:spPr>
        <a:xfrm>
          <a:off x="5394563" y="5553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32</xdr:row>
      <xdr:rowOff>0</xdr:rowOff>
    </xdr:from>
    <xdr:ext cx="184731" cy="264560"/>
    <xdr:sp macro="" textlink="">
      <xdr:nvSpPr>
        <xdr:cNvPr id="139" name="TextBox 138">
          <a:extLst>
            <a:ext uri="{FF2B5EF4-FFF2-40B4-BE49-F238E27FC236}">
              <a16:creationId xmlns:a16="http://schemas.microsoft.com/office/drawing/2014/main" id="{00000000-0008-0000-0B00-00008B000000}"/>
            </a:ext>
          </a:extLst>
        </xdr:cNvPr>
        <xdr:cNvSpPr txBox="1"/>
      </xdr:nvSpPr>
      <xdr:spPr>
        <a:xfrm>
          <a:off x="5394563" y="5553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32</xdr:row>
      <xdr:rowOff>0</xdr:rowOff>
    </xdr:from>
    <xdr:ext cx="184731" cy="264560"/>
    <xdr:sp macro="" textlink="">
      <xdr:nvSpPr>
        <xdr:cNvPr id="140" name="TextBox 139">
          <a:extLst>
            <a:ext uri="{FF2B5EF4-FFF2-40B4-BE49-F238E27FC236}">
              <a16:creationId xmlns:a16="http://schemas.microsoft.com/office/drawing/2014/main" id="{00000000-0008-0000-0B00-00008C000000}"/>
            </a:ext>
          </a:extLst>
        </xdr:cNvPr>
        <xdr:cNvSpPr txBox="1"/>
      </xdr:nvSpPr>
      <xdr:spPr>
        <a:xfrm>
          <a:off x="5394563" y="5553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32</xdr:row>
      <xdr:rowOff>0</xdr:rowOff>
    </xdr:from>
    <xdr:ext cx="184731" cy="264560"/>
    <xdr:sp macro="" textlink="">
      <xdr:nvSpPr>
        <xdr:cNvPr id="141" name="TextBox 140">
          <a:extLst>
            <a:ext uri="{FF2B5EF4-FFF2-40B4-BE49-F238E27FC236}">
              <a16:creationId xmlns:a16="http://schemas.microsoft.com/office/drawing/2014/main" id="{00000000-0008-0000-0B00-00008D000000}"/>
            </a:ext>
          </a:extLst>
        </xdr:cNvPr>
        <xdr:cNvSpPr txBox="1"/>
      </xdr:nvSpPr>
      <xdr:spPr>
        <a:xfrm>
          <a:off x="5394563" y="5553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33</xdr:row>
      <xdr:rowOff>0</xdr:rowOff>
    </xdr:from>
    <xdr:ext cx="184731" cy="264560"/>
    <xdr:sp macro="" textlink="">
      <xdr:nvSpPr>
        <xdr:cNvPr id="142" name="TextBox 141">
          <a:extLst>
            <a:ext uri="{FF2B5EF4-FFF2-40B4-BE49-F238E27FC236}">
              <a16:creationId xmlns:a16="http://schemas.microsoft.com/office/drawing/2014/main" id="{00000000-0008-0000-0B00-00008E000000}"/>
            </a:ext>
          </a:extLst>
        </xdr:cNvPr>
        <xdr:cNvSpPr txBox="1"/>
      </xdr:nvSpPr>
      <xdr:spPr>
        <a:xfrm>
          <a:off x="5394563" y="5695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33</xdr:row>
      <xdr:rowOff>0</xdr:rowOff>
    </xdr:from>
    <xdr:ext cx="184731" cy="264560"/>
    <xdr:sp macro="" textlink="">
      <xdr:nvSpPr>
        <xdr:cNvPr id="143" name="TextBox 142">
          <a:extLst>
            <a:ext uri="{FF2B5EF4-FFF2-40B4-BE49-F238E27FC236}">
              <a16:creationId xmlns:a16="http://schemas.microsoft.com/office/drawing/2014/main" id="{00000000-0008-0000-0B00-00008F000000}"/>
            </a:ext>
          </a:extLst>
        </xdr:cNvPr>
        <xdr:cNvSpPr txBox="1"/>
      </xdr:nvSpPr>
      <xdr:spPr>
        <a:xfrm>
          <a:off x="5394563" y="5695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33</xdr:row>
      <xdr:rowOff>0</xdr:rowOff>
    </xdr:from>
    <xdr:ext cx="184731" cy="264560"/>
    <xdr:sp macro="" textlink="">
      <xdr:nvSpPr>
        <xdr:cNvPr id="144" name="TextBox 143">
          <a:extLst>
            <a:ext uri="{FF2B5EF4-FFF2-40B4-BE49-F238E27FC236}">
              <a16:creationId xmlns:a16="http://schemas.microsoft.com/office/drawing/2014/main" id="{00000000-0008-0000-0B00-000090000000}"/>
            </a:ext>
          </a:extLst>
        </xdr:cNvPr>
        <xdr:cNvSpPr txBox="1"/>
      </xdr:nvSpPr>
      <xdr:spPr>
        <a:xfrm>
          <a:off x="5394563" y="5695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oneCellAnchor>
    <xdr:from>
      <xdr:col>2</xdr:col>
      <xdr:colOff>632063</xdr:colOff>
      <xdr:row>33</xdr:row>
      <xdr:rowOff>0</xdr:rowOff>
    </xdr:from>
    <xdr:ext cx="184731" cy="264560"/>
    <xdr:sp macro="" textlink="">
      <xdr:nvSpPr>
        <xdr:cNvPr id="145" name="TextBox 144">
          <a:extLst>
            <a:ext uri="{FF2B5EF4-FFF2-40B4-BE49-F238E27FC236}">
              <a16:creationId xmlns:a16="http://schemas.microsoft.com/office/drawing/2014/main" id="{00000000-0008-0000-0B00-000091000000}"/>
            </a:ext>
          </a:extLst>
        </xdr:cNvPr>
        <xdr:cNvSpPr txBox="1"/>
      </xdr:nvSpPr>
      <xdr:spPr>
        <a:xfrm>
          <a:off x="5394563" y="5695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lv-LV"/>
        </a:p>
      </xdr:txBody>
    </xdr:sp>
    <xdr:clientData/>
  </xdr:oneCellAnchor>
</xdr:wsDr>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3.bin"/><Relationship Id="rId4"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92D050"/>
  </sheetPr>
  <dimension ref="A2:C33"/>
  <sheetViews>
    <sheetView view="pageBreakPreview" zoomScale="130" zoomScaleNormal="100" zoomScaleSheetLayoutView="130" workbookViewId="0">
      <selection activeCell="G85" sqref="G85"/>
    </sheetView>
  </sheetViews>
  <sheetFormatPr defaultRowHeight="11.25" x14ac:dyDescent="0.2"/>
  <cols>
    <col min="1" max="1" width="16.85546875" style="1" customWidth="1"/>
    <col min="2" max="2" width="43.42578125" style="1" customWidth="1"/>
    <col min="3" max="3" width="22.42578125" style="1" customWidth="1"/>
    <col min="4" max="193" width="9.140625" style="1"/>
    <col min="194" max="194" width="1.42578125" style="1" customWidth="1"/>
    <col min="195" max="195" width="2.140625" style="1" customWidth="1"/>
    <col min="196" max="196" width="16.85546875" style="1" customWidth="1"/>
    <col min="197" max="197" width="43.42578125" style="1" customWidth="1"/>
    <col min="198" max="198" width="22.42578125" style="1" customWidth="1"/>
    <col min="199" max="199" width="9.140625" style="1"/>
    <col min="200" max="200" width="13.85546875" style="1" bestFit="1" customWidth="1"/>
    <col min="201" max="449" width="9.140625" style="1"/>
    <col min="450" max="450" width="1.42578125" style="1" customWidth="1"/>
    <col min="451" max="451" width="2.140625" style="1" customWidth="1"/>
    <col min="452" max="452" width="16.85546875" style="1" customWidth="1"/>
    <col min="453" max="453" width="43.42578125" style="1" customWidth="1"/>
    <col min="454" max="454" width="22.42578125" style="1" customWidth="1"/>
    <col min="455" max="455" width="9.140625" style="1"/>
    <col min="456" max="456" width="13.85546875" style="1" bestFit="1" customWidth="1"/>
    <col min="457" max="705" width="9.140625" style="1"/>
    <col min="706" max="706" width="1.42578125" style="1" customWidth="1"/>
    <col min="707" max="707" width="2.140625" style="1" customWidth="1"/>
    <col min="708" max="708" width="16.85546875" style="1" customWidth="1"/>
    <col min="709" max="709" width="43.42578125" style="1" customWidth="1"/>
    <col min="710" max="710" width="22.42578125" style="1" customWidth="1"/>
    <col min="711" max="711" width="9.140625" style="1"/>
    <col min="712" max="712" width="13.85546875" style="1" bestFit="1" customWidth="1"/>
    <col min="713" max="961" width="9.140625" style="1"/>
    <col min="962" max="962" width="1.42578125" style="1" customWidth="1"/>
    <col min="963" max="963" width="2.140625" style="1" customWidth="1"/>
    <col min="964" max="964" width="16.85546875" style="1" customWidth="1"/>
    <col min="965" max="965" width="43.42578125" style="1" customWidth="1"/>
    <col min="966" max="966" width="22.42578125" style="1" customWidth="1"/>
    <col min="967" max="967" width="9.140625" style="1"/>
    <col min="968" max="968" width="13.85546875" style="1" bestFit="1" customWidth="1"/>
    <col min="969" max="1217" width="9.140625" style="1"/>
    <col min="1218" max="1218" width="1.42578125" style="1" customWidth="1"/>
    <col min="1219" max="1219" width="2.140625" style="1" customWidth="1"/>
    <col min="1220" max="1220" width="16.85546875" style="1" customWidth="1"/>
    <col min="1221" max="1221" width="43.42578125" style="1" customWidth="1"/>
    <col min="1222" max="1222" width="22.42578125" style="1" customWidth="1"/>
    <col min="1223" max="1223" width="9.140625" style="1"/>
    <col min="1224" max="1224" width="13.85546875" style="1" bestFit="1" customWidth="1"/>
    <col min="1225" max="1473" width="9.140625" style="1"/>
    <col min="1474" max="1474" width="1.42578125" style="1" customWidth="1"/>
    <col min="1475" max="1475" width="2.140625" style="1" customWidth="1"/>
    <col min="1476" max="1476" width="16.85546875" style="1" customWidth="1"/>
    <col min="1477" max="1477" width="43.42578125" style="1" customWidth="1"/>
    <col min="1478" max="1478" width="22.42578125" style="1" customWidth="1"/>
    <col min="1479" max="1479" width="9.140625" style="1"/>
    <col min="1480" max="1480" width="13.85546875" style="1" bestFit="1" customWidth="1"/>
    <col min="1481" max="1729" width="9.140625" style="1"/>
    <col min="1730" max="1730" width="1.42578125" style="1" customWidth="1"/>
    <col min="1731" max="1731" width="2.140625" style="1" customWidth="1"/>
    <col min="1732" max="1732" width="16.85546875" style="1" customWidth="1"/>
    <col min="1733" max="1733" width="43.42578125" style="1" customWidth="1"/>
    <col min="1734" max="1734" width="22.42578125" style="1" customWidth="1"/>
    <col min="1735" max="1735" width="9.140625" style="1"/>
    <col min="1736" max="1736" width="13.85546875" style="1" bestFit="1" customWidth="1"/>
    <col min="1737" max="1985" width="9.140625" style="1"/>
    <col min="1986" max="1986" width="1.42578125" style="1" customWidth="1"/>
    <col min="1987" max="1987" width="2.140625" style="1" customWidth="1"/>
    <col min="1988" max="1988" width="16.85546875" style="1" customWidth="1"/>
    <col min="1989" max="1989" width="43.42578125" style="1" customWidth="1"/>
    <col min="1990" max="1990" width="22.42578125" style="1" customWidth="1"/>
    <col min="1991" max="1991" width="9.140625" style="1"/>
    <col min="1992" max="1992" width="13.85546875" style="1" bestFit="1" customWidth="1"/>
    <col min="1993" max="2241" width="9.140625" style="1"/>
    <col min="2242" max="2242" width="1.42578125" style="1" customWidth="1"/>
    <col min="2243" max="2243" width="2.140625" style="1" customWidth="1"/>
    <col min="2244" max="2244" width="16.85546875" style="1" customWidth="1"/>
    <col min="2245" max="2245" width="43.42578125" style="1" customWidth="1"/>
    <col min="2246" max="2246" width="22.42578125" style="1" customWidth="1"/>
    <col min="2247" max="2247" width="9.140625" style="1"/>
    <col min="2248" max="2248" width="13.85546875" style="1" bestFit="1" customWidth="1"/>
    <col min="2249" max="2497" width="9.140625" style="1"/>
    <col min="2498" max="2498" width="1.42578125" style="1" customWidth="1"/>
    <col min="2499" max="2499" width="2.140625" style="1" customWidth="1"/>
    <col min="2500" max="2500" width="16.85546875" style="1" customWidth="1"/>
    <col min="2501" max="2501" width="43.42578125" style="1" customWidth="1"/>
    <col min="2502" max="2502" width="22.42578125" style="1" customWidth="1"/>
    <col min="2503" max="2503" width="9.140625" style="1"/>
    <col min="2504" max="2504" width="13.85546875" style="1" bestFit="1" customWidth="1"/>
    <col min="2505" max="2753" width="9.140625" style="1"/>
    <col min="2754" max="2754" width="1.42578125" style="1" customWidth="1"/>
    <col min="2755" max="2755" width="2.140625" style="1" customWidth="1"/>
    <col min="2756" max="2756" width="16.85546875" style="1" customWidth="1"/>
    <col min="2757" max="2757" width="43.42578125" style="1" customWidth="1"/>
    <col min="2758" max="2758" width="22.42578125" style="1" customWidth="1"/>
    <col min="2759" max="2759" width="9.140625" style="1"/>
    <col min="2760" max="2760" width="13.85546875" style="1" bestFit="1" customWidth="1"/>
    <col min="2761" max="3009" width="9.140625" style="1"/>
    <col min="3010" max="3010" width="1.42578125" style="1" customWidth="1"/>
    <col min="3011" max="3011" width="2.140625" style="1" customWidth="1"/>
    <col min="3012" max="3012" width="16.85546875" style="1" customWidth="1"/>
    <col min="3013" max="3013" width="43.42578125" style="1" customWidth="1"/>
    <col min="3014" max="3014" width="22.42578125" style="1" customWidth="1"/>
    <col min="3015" max="3015" width="9.140625" style="1"/>
    <col min="3016" max="3016" width="13.85546875" style="1" bestFit="1" customWidth="1"/>
    <col min="3017" max="3265" width="9.140625" style="1"/>
    <col min="3266" max="3266" width="1.42578125" style="1" customWidth="1"/>
    <col min="3267" max="3267" width="2.140625" style="1" customWidth="1"/>
    <col min="3268" max="3268" width="16.85546875" style="1" customWidth="1"/>
    <col min="3269" max="3269" width="43.42578125" style="1" customWidth="1"/>
    <col min="3270" max="3270" width="22.42578125" style="1" customWidth="1"/>
    <col min="3271" max="3271" width="9.140625" style="1"/>
    <col min="3272" max="3272" width="13.85546875" style="1" bestFit="1" customWidth="1"/>
    <col min="3273" max="3521" width="9.140625" style="1"/>
    <col min="3522" max="3522" width="1.42578125" style="1" customWidth="1"/>
    <col min="3523" max="3523" width="2.140625" style="1" customWidth="1"/>
    <col min="3524" max="3524" width="16.85546875" style="1" customWidth="1"/>
    <col min="3525" max="3525" width="43.42578125" style="1" customWidth="1"/>
    <col min="3526" max="3526" width="22.42578125" style="1" customWidth="1"/>
    <col min="3527" max="3527" width="9.140625" style="1"/>
    <col min="3528" max="3528" width="13.85546875" style="1" bestFit="1" customWidth="1"/>
    <col min="3529" max="3777" width="9.140625" style="1"/>
    <col min="3778" max="3778" width="1.42578125" style="1" customWidth="1"/>
    <col min="3779" max="3779" width="2.140625" style="1" customWidth="1"/>
    <col min="3780" max="3780" width="16.85546875" style="1" customWidth="1"/>
    <col min="3781" max="3781" width="43.42578125" style="1" customWidth="1"/>
    <col min="3782" max="3782" width="22.42578125" style="1" customWidth="1"/>
    <col min="3783" max="3783" width="9.140625" style="1"/>
    <col min="3784" max="3784" width="13.85546875" style="1" bestFit="1" customWidth="1"/>
    <col min="3785" max="4033" width="9.140625" style="1"/>
    <col min="4034" max="4034" width="1.42578125" style="1" customWidth="1"/>
    <col min="4035" max="4035" width="2.140625" style="1" customWidth="1"/>
    <col min="4036" max="4036" width="16.85546875" style="1" customWidth="1"/>
    <col min="4037" max="4037" width="43.42578125" style="1" customWidth="1"/>
    <col min="4038" max="4038" width="22.42578125" style="1" customWidth="1"/>
    <col min="4039" max="4039" width="9.140625" style="1"/>
    <col min="4040" max="4040" width="13.85546875" style="1" bestFit="1" customWidth="1"/>
    <col min="4041" max="4289" width="9.140625" style="1"/>
    <col min="4290" max="4290" width="1.42578125" style="1" customWidth="1"/>
    <col min="4291" max="4291" width="2.140625" style="1" customWidth="1"/>
    <col min="4292" max="4292" width="16.85546875" style="1" customWidth="1"/>
    <col min="4293" max="4293" width="43.42578125" style="1" customWidth="1"/>
    <col min="4294" max="4294" width="22.42578125" style="1" customWidth="1"/>
    <col min="4295" max="4295" width="9.140625" style="1"/>
    <col min="4296" max="4296" width="13.85546875" style="1" bestFit="1" customWidth="1"/>
    <col min="4297" max="4545" width="9.140625" style="1"/>
    <col min="4546" max="4546" width="1.42578125" style="1" customWidth="1"/>
    <col min="4547" max="4547" width="2.140625" style="1" customWidth="1"/>
    <col min="4548" max="4548" width="16.85546875" style="1" customWidth="1"/>
    <col min="4549" max="4549" width="43.42578125" style="1" customWidth="1"/>
    <col min="4550" max="4550" width="22.42578125" style="1" customWidth="1"/>
    <col min="4551" max="4551" width="9.140625" style="1"/>
    <col min="4552" max="4552" width="13.85546875" style="1" bestFit="1" customWidth="1"/>
    <col min="4553" max="4801" width="9.140625" style="1"/>
    <col min="4802" max="4802" width="1.42578125" style="1" customWidth="1"/>
    <col min="4803" max="4803" width="2.140625" style="1" customWidth="1"/>
    <col min="4804" max="4804" width="16.85546875" style="1" customWidth="1"/>
    <col min="4805" max="4805" width="43.42578125" style="1" customWidth="1"/>
    <col min="4806" max="4806" width="22.42578125" style="1" customWidth="1"/>
    <col min="4807" max="4807" width="9.140625" style="1"/>
    <col min="4808" max="4808" width="13.85546875" style="1" bestFit="1" customWidth="1"/>
    <col min="4809" max="5057" width="9.140625" style="1"/>
    <col min="5058" max="5058" width="1.42578125" style="1" customWidth="1"/>
    <col min="5059" max="5059" width="2.140625" style="1" customWidth="1"/>
    <col min="5060" max="5060" width="16.85546875" style="1" customWidth="1"/>
    <col min="5061" max="5061" width="43.42578125" style="1" customWidth="1"/>
    <col min="5062" max="5062" width="22.42578125" style="1" customWidth="1"/>
    <col min="5063" max="5063" width="9.140625" style="1"/>
    <col min="5064" max="5064" width="13.85546875" style="1" bestFit="1" customWidth="1"/>
    <col min="5065" max="5313" width="9.140625" style="1"/>
    <col min="5314" max="5314" width="1.42578125" style="1" customWidth="1"/>
    <col min="5315" max="5315" width="2.140625" style="1" customWidth="1"/>
    <col min="5316" max="5316" width="16.85546875" style="1" customWidth="1"/>
    <col min="5317" max="5317" width="43.42578125" style="1" customWidth="1"/>
    <col min="5318" max="5318" width="22.42578125" style="1" customWidth="1"/>
    <col min="5319" max="5319" width="9.140625" style="1"/>
    <col min="5320" max="5320" width="13.85546875" style="1" bestFit="1" customWidth="1"/>
    <col min="5321" max="5569" width="9.140625" style="1"/>
    <col min="5570" max="5570" width="1.42578125" style="1" customWidth="1"/>
    <col min="5571" max="5571" width="2.140625" style="1" customWidth="1"/>
    <col min="5572" max="5572" width="16.85546875" style="1" customWidth="1"/>
    <col min="5573" max="5573" width="43.42578125" style="1" customWidth="1"/>
    <col min="5574" max="5574" width="22.42578125" style="1" customWidth="1"/>
    <col min="5575" max="5575" width="9.140625" style="1"/>
    <col min="5576" max="5576" width="13.85546875" style="1" bestFit="1" customWidth="1"/>
    <col min="5577" max="5825" width="9.140625" style="1"/>
    <col min="5826" max="5826" width="1.42578125" style="1" customWidth="1"/>
    <col min="5827" max="5827" width="2.140625" style="1" customWidth="1"/>
    <col min="5828" max="5828" width="16.85546875" style="1" customWidth="1"/>
    <col min="5829" max="5829" width="43.42578125" style="1" customWidth="1"/>
    <col min="5830" max="5830" width="22.42578125" style="1" customWidth="1"/>
    <col min="5831" max="5831" width="9.140625" style="1"/>
    <col min="5832" max="5832" width="13.85546875" style="1" bestFit="1" customWidth="1"/>
    <col min="5833" max="6081" width="9.140625" style="1"/>
    <col min="6082" max="6082" width="1.42578125" style="1" customWidth="1"/>
    <col min="6083" max="6083" width="2.140625" style="1" customWidth="1"/>
    <col min="6084" max="6084" width="16.85546875" style="1" customWidth="1"/>
    <col min="6085" max="6085" width="43.42578125" style="1" customWidth="1"/>
    <col min="6086" max="6086" width="22.42578125" style="1" customWidth="1"/>
    <col min="6087" max="6087" width="9.140625" style="1"/>
    <col min="6088" max="6088" width="13.85546875" style="1" bestFit="1" customWidth="1"/>
    <col min="6089" max="6337" width="9.140625" style="1"/>
    <col min="6338" max="6338" width="1.42578125" style="1" customWidth="1"/>
    <col min="6339" max="6339" width="2.140625" style="1" customWidth="1"/>
    <col min="6340" max="6340" width="16.85546875" style="1" customWidth="1"/>
    <col min="6341" max="6341" width="43.42578125" style="1" customWidth="1"/>
    <col min="6342" max="6342" width="22.42578125" style="1" customWidth="1"/>
    <col min="6343" max="6343" width="9.140625" style="1"/>
    <col min="6344" max="6344" width="13.85546875" style="1" bestFit="1" customWidth="1"/>
    <col min="6345" max="6593" width="9.140625" style="1"/>
    <col min="6594" max="6594" width="1.42578125" style="1" customWidth="1"/>
    <col min="6595" max="6595" width="2.140625" style="1" customWidth="1"/>
    <col min="6596" max="6596" width="16.85546875" style="1" customWidth="1"/>
    <col min="6597" max="6597" width="43.42578125" style="1" customWidth="1"/>
    <col min="6598" max="6598" width="22.42578125" style="1" customWidth="1"/>
    <col min="6599" max="6599" width="9.140625" style="1"/>
    <col min="6600" max="6600" width="13.85546875" style="1" bestFit="1" customWidth="1"/>
    <col min="6601" max="6849" width="9.140625" style="1"/>
    <col min="6850" max="6850" width="1.42578125" style="1" customWidth="1"/>
    <col min="6851" max="6851" width="2.140625" style="1" customWidth="1"/>
    <col min="6852" max="6852" width="16.85546875" style="1" customWidth="1"/>
    <col min="6853" max="6853" width="43.42578125" style="1" customWidth="1"/>
    <col min="6854" max="6854" width="22.42578125" style="1" customWidth="1"/>
    <col min="6855" max="6855" width="9.140625" style="1"/>
    <col min="6856" max="6856" width="13.85546875" style="1" bestFit="1" customWidth="1"/>
    <col min="6857" max="7105" width="9.140625" style="1"/>
    <col min="7106" max="7106" width="1.42578125" style="1" customWidth="1"/>
    <col min="7107" max="7107" width="2.140625" style="1" customWidth="1"/>
    <col min="7108" max="7108" width="16.85546875" style="1" customWidth="1"/>
    <col min="7109" max="7109" width="43.42578125" style="1" customWidth="1"/>
    <col min="7110" max="7110" width="22.42578125" style="1" customWidth="1"/>
    <col min="7111" max="7111" width="9.140625" style="1"/>
    <col min="7112" max="7112" width="13.85546875" style="1" bestFit="1" customWidth="1"/>
    <col min="7113" max="7361" width="9.140625" style="1"/>
    <col min="7362" max="7362" width="1.42578125" style="1" customWidth="1"/>
    <col min="7363" max="7363" width="2.140625" style="1" customWidth="1"/>
    <col min="7364" max="7364" width="16.85546875" style="1" customWidth="1"/>
    <col min="7365" max="7365" width="43.42578125" style="1" customWidth="1"/>
    <col min="7366" max="7366" width="22.42578125" style="1" customWidth="1"/>
    <col min="7367" max="7367" width="9.140625" style="1"/>
    <col min="7368" max="7368" width="13.85546875" style="1" bestFit="1" customWidth="1"/>
    <col min="7369" max="7617" width="9.140625" style="1"/>
    <col min="7618" max="7618" width="1.42578125" style="1" customWidth="1"/>
    <col min="7619" max="7619" width="2.140625" style="1" customWidth="1"/>
    <col min="7620" max="7620" width="16.85546875" style="1" customWidth="1"/>
    <col min="7621" max="7621" width="43.42578125" style="1" customWidth="1"/>
    <col min="7622" max="7622" width="22.42578125" style="1" customWidth="1"/>
    <col min="7623" max="7623" width="9.140625" style="1"/>
    <col min="7624" max="7624" width="13.85546875" style="1" bestFit="1" customWidth="1"/>
    <col min="7625" max="7873" width="9.140625" style="1"/>
    <col min="7874" max="7874" width="1.42578125" style="1" customWidth="1"/>
    <col min="7875" max="7875" width="2.140625" style="1" customWidth="1"/>
    <col min="7876" max="7876" width="16.85546875" style="1" customWidth="1"/>
    <col min="7877" max="7877" width="43.42578125" style="1" customWidth="1"/>
    <col min="7878" max="7878" width="22.42578125" style="1" customWidth="1"/>
    <col min="7879" max="7879" width="9.140625" style="1"/>
    <col min="7880" max="7880" width="13.85546875" style="1" bestFit="1" customWidth="1"/>
    <col min="7881" max="8129" width="9.140625" style="1"/>
    <col min="8130" max="8130" width="1.42578125" style="1" customWidth="1"/>
    <col min="8131" max="8131" width="2.140625" style="1" customWidth="1"/>
    <col min="8132" max="8132" width="16.85546875" style="1" customWidth="1"/>
    <col min="8133" max="8133" width="43.42578125" style="1" customWidth="1"/>
    <col min="8134" max="8134" width="22.42578125" style="1" customWidth="1"/>
    <col min="8135" max="8135" width="9.140625" style="1"/>
    <col min="8136" max="8136" width="13.85546875" style="1" bestFit="1" customWidth="1"/>
    <col min="8137" max="8385" width="9.140625" style="1"/>
    <col min="8386" max="8386" width="1.42578125" style="1" customWidth="1"/>
    <col min="8387" max="8387" width="2.140625" style="1" customWidth="1"/>
    <col min="8388" max="8388" width="16.85546875" style="1" customWidth="1"/>
    <col min="8389" max="8389" width="43.42578125" style="1" customWidth="1"/>
    <col min="8390" max="8390" width="22.42578125" style="1" customWidth="1"/>
    <col min="8391" max="8391" width="9.140625" style="1"/>
    <col min="8392" max="8392" width="13.85546875" style="1" bestFit="1" customWidth="1"/>
    <col min="8393" max="8641" width="9.140625" style="1"/>
    <col min="8642" max="8642" width="1.42578125" style="1" customWidth="1"/>
    <col min="8643" max="8643" width="2.140625" style="1" customWidth="1"/>
    <col min="8644" max="8644" width="16.85546875" style="1" customWidth="1"/>
    <col min="8645" max="8645" width="43.42578125" style="1" customWidth="1"/>
    <col min="8646" max="8646" width="22.42578125" style="1" customWidth="1"/>
    <col min="8647" max="8647" width="9.140625" style="1"/>
    <col min="8648" max="8648" width="13.85546875" style="1" bestFit="1" customWidth="1"/>
    <col min="8649" max="8897" width="9.140625" style="1"/>
    <col min="8898" max="8898" width="1.42578125" style="1" customWidth="1"/>
    <col min="8899" max="8899" width="2.140625" style="1" customWidth="1"/>
    <col min="8900" max="8900" width="16.85546875" style="1" customWidth="1"/>
    <col min="8901" max="8901" width="43.42578125" style="1" customWidth="1"/>
    <col min="8902" max="8902" width="22.42578125" style="1" customWidth="1"/>
    <col min="8903" max="8903" width="9.140625" style="1"/>
    <col min="8904" max="8904" width="13.85546875" style="1" bestFit="1" customWidth="1"/>
    <col min="8905" max="9153" width="9.140625" style="1"/>
    <col min="9154" max="9154" width="1.42578125" style="1" customWidth="1"/>
    <col min="9155" max="9155" width="2.140625" style="1" customWidth="1"/>
    <col min="9156" max="9156" width="16.85546875" style="1" customWidth="1"/>
    <col min="9157" max="9157" width="43.42578125" style="1" customWidth="1"/>
    <col min="9158" max="9158" width="22.42578125" style="1" customWidth="1"/>
    <col min="9159" max="9159" width="9.140625" style="1"/>
    <col min="9160" max="9160" width="13.85546875" style="1" bestFit="1" customWidth="1"/>
    <col min="9161" max="9409" width="9.140625" style="1"/>
    <col min="9410" max="9410" width="1.42578125" style="1" customWidth="1"/>
    <col min="9411" max="9411" width="2.140625" style="1" customWidth="1"/>
    <col min="9412" max="9412" width="16.85546875" style="1" customWidth="1"/>
    <col min="9413" max="9413" width="43.42578125" style="1" customWidth="1"/>
    <col min="9414" max="9414" width="22.42578125" style="1" customWidth="1"/>
    <col min="9415" max="9415" width="9.140625" style="1"/>
    <col min="9416" max="9416" width="13.85546875" style="1" bestFit="1" customWidth="1"/>
    <col min="9417" max="9665" width="9.140625" style="1"/>
    <col min="9666" max="9666" width="1.42578125" style="1" customWidth="1"/>
    <col min="9667" max="9667" width="2.140625" style="1" customWidth="1"/>
    <col min="9668" max="9668" width="16.85546875" style="1" customWidth="1"/>
    <col min="9669" max="9669" width="43.42578125" style="1" customWidth="1"/>
    <col min="9670" max="9670" width="22.42578125" style="1" customWidth="1"/>
    <col min="9671" max="9671" width="9.140625" style="1"/>
    <col min="9672" max="9672" width="13.85546875" style="1" bestFit="1" customWidth="1"/>
    <col min="9673" max="9921" width="9.140625" style="1"/>
    <col min="9922" max="9922" width="1.42578125" style="1" customWidth="1"/>
    <col min="9923" max="9923" width="2.140625" style="1" customWidth="1"/>
    <col min="9924" max="9924" width="16.85546875" style="1" customWidth="1"/>
    <col min="9925" max="9925" width="43.42578125" style="1" customWidth="1"/>
    <col min="9926" max="9926" width="22.42578125" style="1" customWidth="1"/>
    <col min="9927" max="9927" width="9.140625" style="1"/>
    <col min="9928" max="9928" width="13.85546875" style="1" bestFit="1" customWidth="1"/>
    <col min="9929" max="10177" width="9.140625" style="1"/>
    <col min="10178" max="10178" width="1.42578125" style="1" customWidth="1"/>
    <col min="10179" max="10179" width="2.140625" style="1" customWidth="1"/>
    <col min="10180" max="10180" width="16.85546875" style="1" customWidth="1"/>
    <col min="10181" max="10181" width="43.42578125" style="1" customWidth="1"/>
    <col min="10182" max="10182" width="22.42578125" style="1" customWidth="1"/>
    <col min="10183" max="10183" width="9.140625" style="1"/>
    <col min="10184" max="10184" width="13.85546875" style="1" bestFit="1" customWidth="1"/>
    <col min="10185" max="10433" width="9.140625" style="1"/>
    <col min="10434" max="10434" width="1.42578125" style="1" customWidth="1"/>
    <col min="10435" max="10435" width="2.140625" style="1" customWidth="1"/>
    <col min="10436" max="10436" width="16.85546875" style="1" customWidth="1"/>
    <col min="10437" max="10437" width="43.42578125" style="1" customWidth="1"/>
    <col min="10438" max="10438" width="22.42578125" style="1" customWidth="1"/>
    <col min="10439" max="10439" width="9.140625" style="1"/>
    <col min="10440" max="10440" width="13.85546875" style="1" bestFit="1" customWidth="1"/>
    <col min="10441" max="10689" width="9.140625" style="1"/>
    <col min="10690" max="10690" width="1.42578125" style="1" customWidth="1"/>
    <col min="10691" max="10691" width="2.140625" style="1" customWidth="1"/>
    <col min="10692" max="10692" width="16.85546875" style="1" customWidth="1"/>
    <col min="10693" max="10693" width="43.42578125" style="1" customWidth="1"/>
    <col min="10694" max="10694" width="22.42578125" style="1" customWidth="1"/>
    <col min="10695" max="10695" width="9.140625" style="1"/>
    <col min="10696" max="10696" width="13.85546875" style="1" bestFit="1" customWidth="1"/>
    <col min="10697" max="10945" width="9.140625" style="1"/>
    <col min="10946" max="10946" width="1.42578125" style="1" customWidth="1"/>
    <col min="10947" max="10947" width="2.140625" style="1" customWidth="1"/>
    <col min="10948" max="10948" width="16.85546875" style="1" customWidth="1"/>
    <col min="10949" max="10949" width="43.42578125" style="1" customWidth="1"/>
    <col min="10950" max="10950" width="22.42578125" style="1" customWidth="1"/>
    <col min="10951" max="10951" width="9.140625" style="1"/>
    <col min="10952" max="10952" width="13.85546875" style="1" bestFit="1" customWidth="1"/>
    <col min="10953" max="11201" width="9.140625" style="1"/>
    <col min="11202" max="11202" width="1.42578125" style="1" customWidth="1"/>
    <col min="11203" max="11203" width="2.140625" style="1" customWidth="1"/>
    <col min="11204" max="11204" width="16.85546875" style="1" customWidth="1"/>
    <col min="11205" max="11205" width="43.42578125" style="1" customWidth="1"/>
    <col min="11206" max="11206" width="22.42578125" style="1" customWidth="1"/>
    <col min="11207" max="11207" width="9.140625" style="1"/>
    <col min="11208" max="11208" width="13.85546875" style="1" bestFit="1" customWidth="1"/>
    <col min="11209" max="11457" width="9.140625" style="1"/>
    <col min="11458" max="11458" width="1.42578125" style="1" customWidth="1"/>
    <col min="11459" max="11459" width="2.140625" style="1" customWidth="1"/>
    <col min="11460" max="11460" width="16.85546875" style="1" customWidth="1"/>
    <col min="11461" max="11461" width="43.42578125" style="1" customWidth="1"/>
    <col min="11462" max="11462" width="22.42578125" style="1" customWidth="1"/>
    <col min="11463" max="11463" width="9.140625" style="1"/>
    <col min="11464" max="11464" width="13.85546875" style="1" bestFit="1" customWidth="1"/>
    <col min="11465" max="11713" width="9.140625" style="1"/>
    <col min="11714" max="11714" width="1.42578125" style="1" customWidth="1"/>
    <col min="11715" max="11715" width="2.140625" style="1" customWidth="1"/>
    <col min="11716" max="11716" width="16.85546875" style="1" customWidth="1"/>
    <col min="11717" max="11717" width="43.42578125" style="1" customWidth="1"/>
    <col min="11718" max="11718" width="22.42578125" style="1" customWidth="1"/>
    <col min="11719" max="11719" width="9.140625" style="1"/>
    <col min="11720" max="11720" width="13.85546875" style="1" bestFit="1" customWidth="1"/>
    <col min="11721" max="11969" width="9.140625" style="1"/>
    <col min="11970" max="11970" width="1.42578125" style="1" customWidth="1"/>
    <col min="11971" max="11971" width="2.140625" style="1" customWidth="1"/>
    <col min="11972" max="11972" width="16.85546875" style="1" customWidth="1"/>
    <col min="11973" max="11973" width="43.42578125" style="1" customWidth="1"/>
    <col min="11974" max="11974" width="22.42578125" style="1" customWidth="1"/>
    <col min="11975" max="11975" width="9.140625" style="1"/>
    <col min="11976" max="11976" width="13.85546875" style="1" bestFit="1" customWidth="1"/>
    <col min="11977" max="12225" width="9.140625" style="1"/>
    <col min="12226" max="12226" width="1.42578125" style="1" customWidth="1"/>
    <col min="12227" max="12227" width="2.140625" style="1" customWidth="1"/>
    <col min="12228" max="12228" width="16.85546875" style="1" customWidth="1"/>
    <col min="12229" max="12229" width="43.42578125" style="1" customWidth="1"/>
    <col min="12230" max="12230" width="22.42578125" style="1" customWidth="1"/>
    <col min="12231" max="12231" width="9.140625" style="1"/>
    <col min="12232" max="12232" width="13.85546875" style="1" bestFit="1" customWidth="1"/>
    <col min="12233" max="12481" width="9.140625" style="1"/>
    <col min="12482" max="12482" width="1.42578125" style="1" customWidth="1"/>
    <col min="12483" max="12483" width="2.140625" style="1" customWidth="1"/>
    <col min="12484" max="12484" width="16.85546875" style="1" customWidth="1"/>
    <col min="12485" max="12485" width="43.42578125" style="1" customWidth="1"/>
    <col min="12486" max="12486" width="22.42578125" style="1" customWidth="1"/>
    <col min="12487" max="12487" width="9.140625" style="1"/>
    <col min="12488" max="12488" width="13.85546875" style="1" bestFit="1" customWidth="1"/>
    <col min="12489" max="12737" width="9.140625" style="1"/>
    <col min="12738" max="12738" width="1.42578125" style="1" customWidth="1"/>
    <col min="12739" max="12739" width="2.140625" style="1" customWidth="1"/>
    <col min="12740" max="12740" width="16.85546875" style="1" customWidth="1"/>
    <col min="12741" max="12741" width="43.42578125" style="1" customWidth="1"/>
    <col min="12742" max="12742" width="22.42578125" style="1" customWidth="1"/>
    <col min="12743" max="12743" width="9.140625" style="1"/>
    <col min="12744" max="12744" width="13.85546875" style="1" bestFit="1" customWidth="1"/>
    <col min="12745" max="12993" width="9.140625" style="1"/>
    <col min="12994" max="12994" width="1.42578125" style="1" customWidth="1"/>
    <col min="12995" max="12995" width="2.140625" style="1" customWidth="1"/>
    <col min="12996" max="12996" width="16.85546875" style="1" customWidth="1"/>
    <col min="12997" max="12997" width="43.42578125" style="1" customWidth="1"/>
    <col min="12998" max="12998" width="22.42578125" style="1" customWidth="1"/>
    <col min="12999" max="12999" width="9.140625" style="1"/>
    <col min="13000" max="13000" width="13.85546875" style="1" bestFit="1" customWidth="1"/>
    <col min="13001" max="13249" width="9.140625" style="1"/>
    <col min="13250" max="13250" width="1.42578125" style="1" customWidth="1"/>
    <col min="13251" max="13251" width="2.140625" style="1" customWidth="1"/>
    <col min="13252" max="13252" width="16.85546875" style="1" customWidth="1"/>
    <col min="13253" max="13253" width="43.42578125" style="1" customWidth="1"/>
    <col min="13254" max="13254" width="22.42578125" style="1" customWidth="1"/>
    <col min="13255" max="13255" width="9.140625" style="1"/>
    <col min="13256" max="13256" width="13.85546875" style="1" bestFit="1" customWidth="1"/>
    <col min="13257" max="13505" width="9.140625" style="1"/>
    <col min="13506" max="13506" width="1.42578125" style="1" customWidth="1"/>
    <col min="13507" max="13507" width="2.140625" style="1" customWidth="1"/>
    <col min="13508" max="13508" width="16.85546875" style="1" customWidth="1"/>
    <col min="13509" max="13509" width="43.42578125" style="1" customWidth="1"/>
    <col min="13510" max="13510" width="22.42578125" style="1" customWidth="1"/>
    <col min="13511" max="13511" width="9.140625" style="1"/>
    <col min="13512" max="13512" width="13.85546875" style="1" bestFit="1" customWidth="1"/>
    <col min="13513" max="13761" width="9.140625" style="1"/>
    <col min="13762" max="13762" width="1.42578125" style="1" customWidth="1"/>
    <col min="13763" max="13763" width="2.140625" style="1" customWidth="1"/>
    <col min="13764" max="13764" width="16.85546875" style="1" customWidth="1"/>
    <col min="13765" max="13765" width="43.42578125" style="1" customWidth="1"/>
    <col min="13766" max="13766" width="22.42578125" style="1" customWidth="1"/>
    <col min="13767" max="13767" width="9.140625" style="1"/>
    <col min="13768" max="13768" width="13.85546875" style="1" bestFit="1" customWidth="1"/>
    <col min="13769" max="14017" width="9.140625" style="1"/>
    <col min="14018" max="14018" width="1.42578125" style="1" customWidth="1"/>
    <col min="14019" max="14019" width="2.140625" style="1" customWidth="1"/>
    <col min="14020" max="14020" width="16.85546875" style="1" customWidth="1"/>
    <col min="14021" max="14021" width="43.42578125" style="1" customWidth="1"/>
    <col min="14022" max="14022" width="22.42578125" style="1" customWidth="1"/>
    <col min="14023" max="14023" width="9.140625" style="1"/>
    <col min="14024" max="14024" width="13.85546875" style="1" bestFit="1" customWidth="1"/>
    <col min="14025" max="14273" width="9.140625" style="1"/>
    <col min="14274" max="14274" width="1.42578125" style="1" customWidth="1"/>
    <col min="14275" max="14275" width="2.140625" style="1" customWidth="1"/>
    <col min="14276" max="14276" width="16.85546875" style="1" customWidth="1"/>
    <col min="14277" max="14277" width="43.42578125" style="1" customWidth="1"/>
    <col min="14278" max="14278" width="22.42578125" style="1" customWidth="1"/>
    <col min="14279" max="14279" width="9.140625" style="1"/>
    <col min="14280" max="14280" width="13.85546875" style="1" bestFit="1" customWidth="1"/>
    <col min="14281" max="14529" width="9.140625" style="1"/>
    <col min="14530" max="14530" width="1.42578125" style="1" customWidth="1"/>
    <col min="14531" max="14531" width="2.140625" style="1" customWidth="1"/>
    <col min="14532" max="14532" width="16.85546875" style="1" customWidth="1"/>
    <col min="14533" max="14533" width="43.42578125" style="1" customWidth="1"/>
    <col min="14534" max="14534" width="22.42578125" style="1" customWidth="1"/>
    <col min="14535" max="14535" width="9.140625" style="1"/>
    <col min="14536" max="14536" width="13.85546875" style="1" bestFit="1" customWidth="1"/>
    <col min="14537" max="14785" width="9.140625" style="1"/>
    <col min="14786" max="14786" width="1.42578125" style="1" customWidth="1"/>
    <col min="14787" max="14787" width="2.140625" style="1" customWidth="1"/>
    <col min="14788" max="14788" width="16.85546875" style="1" customWidth="1"/>
    <col min="14789" max="14789" width="43.42578125" style="1" customWidth="1"/>
    <col min="14790" max="14790" width="22.42578125" style="1" customWidth="1"/>
    <col min="14791" max="14791" width="9.140625" style="1"/>
    <col min="14792" max="14792" width="13.85546875" style="1" bestFit="1" customWidth="1"/>
    <col min="14793" max="15041" width="9.140625" style="1"/>
    <col min="15042" max="15042" width="1.42578125" style="1" customWidth="1"/>
    <col min="15043" max="15043" width="2.140625" style="1" customWidth="1"/>
    <col min="15044" max="15044" width="16.85546875" style="1" customWidth="1"/>
    <col min="15045" max="15045" width="43.42578125" style="1" customWidth="1"/>
    <col min="15046" max="15046" width="22.42578125" style="1" customWidth="1"/>
    <col min="15047" max="15047" width="9.140625" style="1"/>
    <col min="15048" max="15048" width="13.85546875" style="1" bestFit="1" customWidth="1"/>
    <col min="15049" max="15297" width="9.140625" style="1"/>
    <col min="15298" max="15298" width="1.42578125" style="1" customWidth="1"/>
    <col min="15299" max="15299" width="2.140625" style="1" customWidth="1"/>
    <col min="15300" max="15300" width="16.85546875" style="1" customWidth="1"/>
    <col min="15301" max="15301" width="43.42578125" style="1" customWidth="1"/>
    <col min="15302" max="15302" width="22.42578125" style="1" customWidth="1"/>
    <col min="15303" max="15303" width="9.140625" style="1"/>
    <col min="15304" max="15304" width="13.85546875" style="1" bestFit="1" customWidth="1"/>
    <col min="15305" max="15553" width="9.140625" style="1"/>
    <col min="15554" max="15554" width="1.42578125" style="1" customWidth="1"/>
    <col min="15555" max="15555" width="2.140625" style="1" customWidth="1"/>
    <col min="15556" max="15556" width="16.85546875" style="1" customWidth="1"/>
    <col min="15557" max="15557" width="43.42578125" style="1" customWidth="1"/>
    <col min="15558" max="15558" width="22.42578125" style="1" customWidth="1"/>
    <col min="15559" max="15559" width="9.140625" style="1"/>
    <col min="15560" max="15560" width="13.85546875" style="1" bestFit="1" customWidth="1"/>
    <col min="15561" max="15809" width="9.140625" style="1"/>
    <col min="15810" max="15810" width="1.42578125" style="1" customWidth="1"/>
    <col min="15811" max="15811" width="2.140625" style="1" customWidth="1"/>
    <col min="15812" max="15812" width="16.85546875" style="1" customWidth="1"/>
    <col min="15813" max="15813" width="43.42578125" style="1" customWidth="1"/>
    <col min="15814" max="15814" width="22.42578125" style="1" customWidth="1"/>
    <col min="15815" max="15815" width="9.140625" style="1"/>
    <col min="15816" max="15816" width="13.85546875" style="1" bestFit="1" customWidth="1"/>
    <col min="15817" max="16065" width="9.140625" style="1"/>
    <col min="16066" max="16066" width="1.42578125" style="1" customWidth="1"/>
    <col min="16067" max="16067" width="2.140625" style="1" customWidth="1"/>
    <col min="16068" max="16068" width="16.85546875" style="1" customWidth="1"/>
    <col min="16069" max="16069" width="43.42578125" style="1" customWidth="1"/>
    <col min="16070" max="16070" width="22.42578125" style="1" customWidth="1"/>
    <col min="16071" max="16071" width="9.140625" style="1"/>
    <col min="16072" max="16072" width="13.85546875" style="1" bestFit="1" customWidth="1"/>
    <col min="16073" max="16367" width="9.140625" style="1"/>
    <col min="16368" max="16384" width="9.140625" style="1" customWidth="1"/>
  </cols>
  <sheetData>
    <row r="2" spans="1:3" x14ac:dyDescent="0.2">
      <c r="C2" s="98" t="s">
        <v>0</v>
      </c>
    </row>
    <row r="3" spans="1:3" x14ac:dyDescent="0.2">
      <c r="A3" s="98"/>
      <c r="B3" s="2"/>
      <c r="C3" s="2"/>
    </row>
    <row r="4" spans="1:3" x14ac:dyDescent="0.2">
      <c r="B4" s="364" t="s">
        <v>1</v>
      </c>
      <c r="C4" s="364"/>
    </row>
    <row r="5" spans="1:3" x14ac:dyDescent="0.2">
      <c r="A5" s="98"/>
      <c r="B5" s="98"/>
      <c r="C5" s="98"/>
    </row>
    <row r="6" spans="1:3" x14ac:dyDescent="0.2">
      <c r="C6" s="97" t="s">
        <v>2</v>
      </c>
    </row>
    <row r="8" spans="1:3" x14ac:dyDescent="0.2">
      <c r="B8" s="365" t="s">
        <v>3</v>
      </c>
      <c r="C8" s="365"/>
    </row>
    <row r="11" spans="1:3" x14ac:dyDescent="0.2">
      <c r="B11" s="98" t="s">
        <v>4</v>
      </c>
    </row>
    <row r="12" spans="1:3" x14ac:dyDescent="0.2">
      <c r="B12" s="96" t="s">
        <v>52</v>
      </c>
    </row>
    <row r="13" spans="1:3" x14ac:dyDescent="0.2">
      <c r="A13" s="97" t="s">
        <v>5</v>
      </c>
      <c r="B13" s="64" t="s">
        <v>55</v>
      </c>
      <c r="C13" s="64"/>
    </row>
    <row r="14" spans="1:3" ht="22.5" x14ac:dyDescent="0.2">
      <c r="A14" s="97" t="s">
        <v>6</v>
      </c>
      <c r="B14" s="64" t="s">
        <v>490</v>
      </c>
      <c r="C14" s="64"/>
    </row>
    <row r="15" spans="1:3" x14ac:dyDescent="0.2">
      <c r="A15" s="97" t="s">
        <v>7</v>
      </c>
      <c r="B15" s="63" t="s">
        <v>402</v>
      </c>
      <c r="C15" s="63"/>
    </row>
    <row r="16" spans="1:3" x14ac:dyDescent="0.2">
      <c r="A16" s="97" t="s">
        <v>8</v>
      </c>
      <c r="B16" s="62" t="s">
        <v>209</v>
      </c>
      <c r="C16" s="62"/>
    </row>
    <row r="17" spans="1:3" ht="12" thickBot="1" x14ac:dyDescent="0.25"/>
    <row r="18" spans="1:3" x14ac:dyDescent="0.2">
      <c r="A18" s="3" t="s">
        <v>9</v>
      </c>
      <c r="B18" s="4" t="s">
        <v>10</v>
      </c>
      <c r="C18" s="5" t="s">
        <v>11</v>
      </c>
    </row>
    <row r="19" spans="1:3" ht="34.5" thickBot="1" x14ac:dyDescent="0.25">
      <c r="A19" s="66">
        <v>1</v>
      </c>
      <c r="B19" s="124" t="s">
        <v>491</v>
      </c>
      <c r="C19" s="6">
        <f>'Kops a'!E31</f>
        <v>0</v>
      </c>
    </row>
    <row r="20" spans="1:3" ht="12" thickBot="1" x14ac:dyDescent="0.25">
      <c r="A20" s="7"/>
      <c r="B20" s="8" t="s">
        <v>12</v>
      </c>
      <c r="C20" s="9">
        <f>SUM(C19:C19)</f>
        <v>0</v>
      </c>
    </row>
    <row r="21" spans="1:3" ht="12" thickBot="1" x14ac:dyDescent="0.25">
      <c r="B21" s="100"/>
      <c r="C21" s="10"/>
    </row>
    <row r="22" spans="1:3" ht="12" thickBot="1" x14ac:dyDescent="0.25">
      <c r="A22" s="366" t="s">
        <v>13</v>
      </c>
      <c r="B22" s="367"/>
      <c r="C22" s="11">
        <f>ROUND(C20*21%,2)</f>
        <v>0</v>
      </c>
    </row>
    <row r="25" spans="1:3" x14ac:dyDescent="0.2">
      <c r="A25" s="1" t="s">
        <v>14</v>
      </c>
      <c r="B25" s="368"/>
      <c r="C25" s="368"/>
    </row>
    <row r="26" spans="1:3" x14ac:dyDescent="0.2">
      <c r="B26" s="363" t="s">
        <v>15</v>
      </c>
      <c r="C26" s="363"/>
    </row>
    <row r="28" spans="1:3" x14ac:dyDescent="0.2">
      <c r="A28" s="1" t="s">
        <v>53</v>
      </c>
      <c r="B28" s="12"/>
      <c r="C28" s="12"/>
    </row>
    <row r="29" spans="1:3" x14ac:dyDescent="0.2">
      <c r="A29" s="12"/>
      <c r="B29" s="12"/>
      <c r="C29" s="12"/>
    </row>
    <row r="30" spans="1:3" x14ac:dyDescent="0.2">
      <c r="A30" s="1" t="s">
        <v>492</v>
      </c>
    </row>
    <row r="32" spans="1:3" x14ac:dyDescent="0.2">
      <c r="A32" s="74" t="s">
        <v>56</v>
      </c>
    </row>
    <row r="33" spans="1:1" x14ac:dyDescent="0.2">
      <c r="A33" s="74" t="s">
        <v>57</v>
      </c>
    </row>
  </sheetData>
  <mergeCells count="5">
    <mergeCell ref="B26:C26"/>
    <mergeCell ref="B4:C4"/>
    <mergeCell ref="B8:C8"/>
    <mergeCell ref="A22:B22"/>
    <mergeCell ref="B25:C25"/>
  </mergeCells>
  <conditionalFormatting sqref="C19:C20 C22">
    <cfRule type="cellIs" dxfId="239" priority="9" operator="equal">
      <formula>0</formula>
    </cfRule>
  </conditionalFormatting>
  <conditionalFormatting sqref="B13:B16">
    <cfRule type="cellIs" dxfId="238" priority="8" operator="equal">
      <formula>0</formula>
    </cfRule>
  </conditionalFormatting>
  <conditionalFormatting sqref="B19">
    <cfRule type="cellIs" dxfId="237" priority="7" operator="equal">
      <formula>0</formula>
    </cfRule>
  </conditionalFormatting>
  <conditionalFormatting sqref="B28">
    <cfRule type="cellIs" dxfId="236" priority="5" operator="equal">
      <formula>0</formula>
    </cfRule>
  </conditionalFormatting>
  <conditionalFormatting sqref="B25:C25">
    <cfRule type="cellIs" dxfId="235" priority="3" operator="equal">
      <formula>0</formula>
    </cfRule>
  </conditionalFormatting>
  <conditionalFormatting sqref="A19">
    <cfRule type="cellIs" dxfId="234" priority="2" operator="equal">
      <formula>0</formula>
    </cfRule>
  </conditionalFormatting>
  <conditionalFormatting sqref="A30">
    <cfRule type="containsText" dxfId="233" priority="1" operator="containsText" text="Tāme sastādīta 20__. gada __. _________">
      <formula>NOT(ISERROR(SEARCH("Tāme sastādīta 20__. gada __. _________",A30)))</formula>
    </cfRule>
  </conditionalFormatting>
  <pageMargins left="0" right="0" top="0.78740157480314965" bottom="0.39370078740157483" header="0" footer="0.31496062992125984"/>
  <pageSetup orientation="landscape"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W84"/>
  <sheetViews>
    <sheetView zoomScale="130" zoomScaleNormal="130" zoomScaleSheetLayoutView="130" workbookViewId="0">
      <selection activeCell="G85" sqref="G85"/>
    </sheetView>
  </sheetViews>
  <sheetFormatPr defaultColWidth="9.140625" defaultRowHeight="11.25" x14ac:dyDescent="0.25"/>
  <cols>
    <col min="1" max="1" width="4.5703125" style="16" customWidth="1"/>
    <col min="2" max="2" width="5.28515625" style="16" customWidth="1"/>
    <col min="3" max="3" width="38.42578125" style="16" customWidth="1"/>
    <col min="4" max="4" width="5.85546875" style="16" customWidth="1"/>
    <col min="5" max="5" width="8.7109375" style="16" customWidth="1"/>
    <col min="6" max="6" width="5.42578125" style="16" customWidth="1"/>
    <col min="7" max="7" width="4.85546875" style="16" customWidth="1"/>
    <col min="8" max="10" width="6.7109375" style="16" customWidth="1"/>
    <col min="11" max="11" width="7" style="16" customWidth="1"/>
    <col min="12" max="15" width="7.7109375" style="16" customWidth="1"/>
    <col min="16" max="16" width="9" style="16" customWidth="1"/>
    <col min="17" max="17" width="16.140625" style="16" customWidth="1"/>
    <col min="18" max="18" width="13.140625" style="16" customWidth="1"/>
    <col min="19" max="16384" width="9.140625" style="16"/>
  </cols>
  <sheetData>
    <row r="1" spans="1:23" x14ac:dyDescent="0.25">
      <c r="C1" s="20" t="s">
        <v>38</v>
      </c>
      <c r="D1" s="37">
        <f>'Kops a'!A21</f>
        <v>7</v>
      </c>
      <c r="N1" s="21"/>
      <c r="O1" s="20"/>
      <c r="P1" s="21"/>
      <c r="Q1" s="21"/>
    </row>
    <row r="2" spans="1:23" x14ac:dyDescent="0.25">
      <c r="A2" s="22"/>
      <c r="B2" s="22"/>
      <c r="C2" s="410" t="s">
        <v>185</v>
      </c>
      <c r="D2" s="410"/>
      <c r="E2" s="410"/>
      <c r="F2" s="410"/>
      <c r="G2" s="410"/>
      <c r="H2" s="410"/>
      <c r="I2" s="410"/>
      <c r="J2" s="22"/>
    </row>
    <row r="3" spans="1:23" x14ac:dyDescent="0.25">
      <c r="A3" s="23"/>
      <c r="B3" s="23"/>
      <c r="C3" s="411" t="s">
        <v>17</v>
      </c>
      <c r="D3" s="411"/>
      <c r="E3" s="411"/>
      <c r="F3" s="411"/>
      <c r="G3" s="411"/>
      <c r="H3" s="411"/>
      <c r="I3" s="411"/>
      <c r="J3" s="23"/>
    </row>
    <row r="4" spans="1:23" x14ac:dyDescent="0.25">
      <c r="A4" s="23"/>
      <c r="B4" s="23"/>
      <c r="C4" s="412" t="s">
        <v>52</v>
      </c>
      <c r="D4" s="412"/>
      <c r="E4" s="412"/>
      <c r="F4" s="412"/>
      <c r="G4" s="412"/>
      <c r="H4" s="412"/>
      <c r="I4" s="412"/>
      <c r="J4" s="23"/>
    </row>
    <row r="5" spans="1:23" x14ac:dyDescent="0.25">
      <c r="C5" s="20" t="s">
        <v>5</v>
      </c>
      <c r="D5" s="425" t="str">
        <f>'Kops a'!D6</f>
        <v>Dzīvojamās ēkas vienkāršotā atjaunošana</v>
      </c>
      <c r="E5" s="425"/>
      <c r="F5" s="425"/>
      <c r="G5" s="425"/>
      <c r="H5" s="425"/>
      <c r="I5" s="425"/>
      <c r="J5" s="425"/>
      <c r="K5" s="425"/>
      <c r="L5" s="425"/>
      <c r="M5" s="24"/>
      <c r="N5" s="24"/>
      <c r="O5" s="24"/>
      <c r="P5" s="24"/>
      <c r="Q5" s="24"/>
    </row>
    <row r="6" spans="1:23" x14ac:dyDescent="0.25">
      <c r="C6" s="20" t="s">
        <v>6</v>
      </c>
      <c r="D6" s="425" t="str">
        <f>'Kops a'!D7</f>
        <v>Daudzdzīvokļu dzīvojamās mājas energoefektivitātes paaugstināšanas pasākumi</v>
      </c>
      <c r="E6" s="425"/>
      <c r="F6" s="425"/>
      <c r="G6" s="425"/>
      <c r="H6" s="425"/>
      <c r="I6" s="425"/>
      <c r="J6" s="425"/>
      <c r="K6" s="425"/>
      <c r="L6" s="425"/>
      <c r="M6" s="24"/>
      <c r="N6" s="24"/>
      <c r="O6" s="24"/>
      <c r="P6" s="24"/>
      <c r="Q6" s="24"/>
    </row>
    <row r="7" spans="1:23" x14ac:dyDescent="0.25">
      <c r="C7" s="20" t="s">
        <v>7</v>
      </c>
      <c r="D7" s="425" t="str">
        <f>'Kops a'!D8</f>
        <v xml:space="preserve">Atmodas bulvārī 12, Liepājā. </v>
      </c>
      <c r="E7" s="425"/>
      <c r="F7" s="425"/>
      <c r="G7" s="425"/>
      <c r="H7" s="425"/>
      <c r="I7" s="425"/>
      <c r="J7" s="425"/>
      <c r="K7" s="425"/>
      <c r="L7" s="425"/>
      <c r="M7" s="24"/>
      <c r="N7" s="24"/>
      <c r="O7" s="24"/>
      <c r="P7" s="24"/>
      <c r="Q7" s="24"/>
    </row>
    <row r="8" spans="1:23" x14ac:dyDescent="0.25">
      <c r="C8" s="20" t="s">
        <v>20</v>
      </c>
      <c r="D8" s="425" t="str">
        <f>'Kops a'!D9</f>
        <v>WS-5-18</v>
      </c>
      <c r="E8" s="425"/>
      <c r="F8" s="425"/>
      <c r="G8" s="425"/>
      <c r="H8" s="425"/>
      <c r="I8" s="425"/>
      <c r="J8" s="425"/>
      <c r="K8" s="425"/>
      <c r="L8" s="425"/>
      <c r="M8" s="24"/>
      <c r="N8" s="24"/>
      <c r="O8" s="24"/>
      <c r="P8" s="24"/>
      <c r="Q8" s="24"/>
    </row>
    <row r="9" spans="1:23" ht="11.25" customHeight="1" x14ac:dyDescent="0.25">
      <c r="A9" s="413" t="s">
        <v>493</v>
      </c>
      <c r="B9" s="413"/>
      <c r="C9" s="413"/>
      <c r="D9" s="413"/>
      <c r="E9" s="413"/>
      <c r="F9" s="413"/>
      <c r="G9" s="24"/>
      <c r="H9" s="24"/>
      <c r="I9" s="24"/>
      <c r="J9" s="417" t="s">
        <v>39</v>
      </c>
      <c r="K9" s="417"/>
      <c r="L9" s="417"/>
      <c r="M9" s="417"/>
      <c r="N9" s="424">
        <f>P69</f>
        <v>0</v>
      </c>
      <c r="O9" s="424"/>
      <c r="P9" s="24"/>
      <c r="Q9" s="24"/>
    </row>
    <row r="10" spans="1:23" x14ac:dyDescent="0.25">
      <c r="A10" s="25"/>
      <c r="B10" s="26"/>
      <c r="C10" s="20"/>
      <c r="L10" s="22"/>
      <c r="M10" s="22"/>
      <c r="O10" s="355"/>
      <c r="P10" s="126" t="str">
        <f>A75</f>
        <v>Tāme sastādīta 2021. gada</v>
      </c>
      <c r="Q10" s="126"/>
    </row>
    <row r="11" spans="1:23" ht="12" thickBot="1" x14ac:dyDescent="0.3">
      <c r="A11" s="25"/>
      <c r="B11" s="26"/>
      <c r="C11" s="20"/>
      <c r="L11" s="27"/>
      <c r="M11" s="27"/>
      <c r="N11" s="127"/>
      <c r="O11" s="21"/>
      <c r="R11" s="500"/>
      <c r="S11" s="500"/>
      <c r="T11" s="500"/>
      <c r="U11" s="500"/>
      <c r="V11" s="500"/>
      <c r="W11" s="500"/>
    </row>
    <row r="12" spans="1:23" x14ac:dyDescent="0.25">
      <c r="A12" s="383" t="s">
        <v>23</v>
      </c>
      <c r="B12" s="419" t="s">
        <v>40</v>
      </c>
      <c r="C12" s="415" t="s">
        <v>41</v>
      </c>
      <c r="D12" s="422" t="s">
        <v>42</v>
      </c>
      <c r="E12" s="431" t="s">
        <v>43</v>
      </c>
      <c r="F12" s="414" t="s">
        <v>44</v>
      </c>
      <c r="G12" s="415"/>
      <c r="H12" s="415"/>
      <c r="I12" s="415"/>
      <c r="J12" s="415"/>
      <c r="K12" s="416"/>
      <c r="L12" s="414" t="s">
        <v>45</v>
      </c>
      <c r="M12" s="415"/>
      <c r="N12" s="415"/>
      <c r="O12" s="415"/>
      <c r="P12" s="416"/>
      <c r="Q12" s="218"/>
      <c r="R12" s="500"/>
      <c r="S12" s="500"/>
      <c r="T12" s="500"/>
      <c r="U12" s="500"/>
      <c r="V12" s="500"/>
      <c r="W12" s="500"/>
    </row>
    <row r="13" spans="1:23" ht="81" customHeight="1" thickBot="1" x14ac:dyDescent="0.3">
      <c r="A13" s="418"/>
      <c r="B13" s="420"/>
      <c r="C13" s="421"/>
      <c r="D13" s="423"/>
      <c r="E13" s="432"/>
      <c r="F13" s="341" t="s">
        <v>46</v>
      </c>
      <c r="G13" s="342" t="s">
        <v>47</v>
      </c>
      <c r="H13" s="342" t="s">
        <v>48</v>
      </c>
      <c r="I13" s="342" t="s">
        <v>49</v>
      </c>
      <c r="J13" s="342" t="s">
        <v>50</v>
      </c>
      <c r="K13" s="46" t="s">
        <v>51</v>
      </c>
      <c r="L13" s="341" t="s">
        <v>46</v>
      </c>
      <c r="M13" s="342" t="s">
        <v>48</v>
      </c>
      <c r="N13" s="342" t="s">
        <v>49</v>
      </c>
      <c r="O13" s="342" t="s">
        <v>50</v>
      </c>
      <c r="P13" s="46" t="s">
        <v>51</v>
      </c>
      <c r="Q13" s="353"/>
      <c r="R13" s="500"/>
      <c r="S13" s="500"/>
      <c r="T13" s="500"/>
      <c r="U13" s="500"/>
      <c r="V13" s="500"/>
      <c r="W13" s="500"/>
    </row>
    <row r="14" spans="1:23" x14ac:dyDescent="0.25">
      <c r="A14" s="79">
        <f>IF(COUNTBLANK(B14)=1," ",COUNTA($B$13:B14))</f>
        <v>1</v>
      </c>
      <c r="B14" s="47" t="s">
        <v>58</v>
      </c>
      <c r="C14" s="128" t="s">
        <v>186</v>
      </c>
      <c r="D14" s="77" t="s">
        <v>59</v>
      </c>
      <c r="E14" s="52">
        <f>2*94.75</f>
        <v>189.5</v>
      </c>
      <c r="F14" s="53"/>
      <c r="G14" s="50"/>
      <c r="H14" s="50">
        <f>ROUND(F14*G14,2)</f>
        <v>0</v>
      </c>
      <c r="I14" s="50"/>
      <c r="J14" s="50"/>
      <c r="K14" s="51">
        <f>SUM(H14:J14)</f>
        <v>0</v>
      </c>
      <c r="L14" s="53">
        <f>ROUND(E14*F14,2)</f>
        <v>0</v>
      </c>
      <c r="M14" s="50">
        <f>ROUND(H14*E14,2)</f>
        <v>0</v>
      </c>
      <c r="N14" s="50">
        <f>ROUND(I14*E14,2)</f>
        <v>0</v>
      </c>
      <c r="O14" s="50">
        <f>ROUND(J14*E14,2)</f>
        <v>0</v>
      </c>
      <c r="P14" s="78">
        <f>SUM(M14:O14)</f>
        <v>0</v>
      </c>
      <c r="Q14" s="353"/>
      <c r="R14" s="349"/>
      <c r="S14" s="500"/>
      <c r="T14" s="500"/>
      <c r="U14" s="500"/>
      <c r="V14" s="500"/>
      <c r="W14" s="500"/>
    </row>
    <row r="15" spans="1:23" x14ac:dyDescent="0.25">
      <c r="A15" s="79">
        <f>IF(COUNTBLANK(B15)=1," ",COUNTA($B$13:B15))</f>
        <v>2</v>
      </c>
      <c r="B15" s="129" t="s">
        <v>58</v>
      </c>
      <c r="C15" s="130" t="s">
        <v>187</v>
      </c>
      <c r="D15" s="18" t="s">
        <v>59</v>
      </c>
      <c r="E15" s="52">
        <f>11*16</f>
        <v>176</v>
      </c>
      <c r="F15" s="53"/>
      <c r="G15" s="50"/>
      <c r="H15" s="50">
        <f t="shared" ref="H15" si="0">ROUND(F15*G15,2)</f>
        <v>0</v>
      </c>
      <c r="I15" s="50"/>
      <c r="J15" s="50"/>
      <c r="K15" s="51">
        <f t="shared" ref="K15" si="1">SUM(H15:J15)</f>
        <v>0</v>
      </c>
      <c r="L15" s="53">
        <f t="shared" ref="L15" si="2">ROUND(E15*F15,2)</f>
        <v>0</v>
      </c>
      <c r="M15" s="50">
        <f t="shared" ref="M15" si="3">ROUND(H15*E15,2)</f>
        <v>0</v>
      </c>
      <c r="N15" s="50">
        <f t="shared" ref="N15" si="4">ROUND(I15*E15,2)</f>
        <v>0</v>
      </c>
      <c r="O15" s="50">
        <f t="shared" ref="O15" si="5">ROUND(J15*E15,2)</f>
        <v>0</v>
      </c>
      <c r="P15" s="78">
        <f t="shared" ref="P15" si="6">SUM(M15:O15)</f>
        <v>0</v>
      </c>
      <c r="Q15" s="353"/>
      <c r="R15" s="349"/>
      <c r="S15" s="500"/>
      <c r="T15" s="500"/>
      <c r="U15" s="500"/>
      <c r="V15" s="500"/>
      <c r="W15" s="500"/>
    </row>
    <row r="16" spans="1:23" ht="22.5" x14ac:dyDescent="0.25">
      <c r="A16" s="79">
        <f>IF(COUNTBLANK(B16)=1," ",COUNTA($B$13:B16))</f>
        <v>3</v>
      </c>
      <c r="B16" s="129" t="s">
        <v>58</v>
      </c>
      <c r="C16" s="130" t="s">
        <v>188</v>
      </c>
      <c r="D16" s="18" t="s">
        <v>63</v>
      </c>
      <c r="E16" s="52">
        <f>E18</f>
        <v>1180</v>
      </c>
      <c r="F16" s="53"/>
      <c r="G16" s="50"/>
      <c r="H16" s="50">
        <f t="shared" ref="H16:H68" si="7">ROUND(F16*G16,2)</f>
        <v>0</v>
      </c>
      <c r="I16" s="50"/>
      <c r="J16" s="50"/>
      <c r="K16" s="51">
        <f t="shared" ref="K16:K68" si="8">SUM(H16:J16)</f>
        <v>0</v>
      </c>
      <c r="L16" s="53">
        <f t="shared" ref="L16:L68" si="9">ROUND(E16*F16,2)</f>
        <v>0</v>
      </c>
      <c r="M16" s="50">
        <f t="shared" ref="M16:M68" si="10">ROUND(H16*E16,2)</f>
        <v>0</v>
      </c>
      <c r="N16" s="50">
        <f t="shared" ref="N16:N68" si="11">ROUND(I16*E16,2)</f>
        <v>0</v>
      </c>
      <c r="O16" s="50">
        <f t="shared" ref="O16:O68" si="12">ROUND(J16*E16,2)</f>
        <v>0</v>
      </c>
      <c r="P16" s="78">
        <f t="shared" ref="P16:P68" si="13">SUM(M16:O16)</f>
        <v>0</v>
      </c>
      <c r="Q16" s="353"/>
      <c r="R16" s="349"/>
      <c r="S16" s="500"/>
      <c r="T16" s="500"/>
      <c r="U16" s="500"/>
      <c r="V16" s="500"/>
      <c r="W16" s="500"/>
    </row>
    <row r="17" spans="1:23" ht="22.5" x14ac:dyDescent="0.25">
      <c r="A17" s="79">
        <f>IF(COUNTBLANK(B17)=1," ",COUNTA($B$13:B17))</f>
        <v>4</v>
      </c>
      <c r="B17" s="129" t="s">
        <v>58</v>
      </c>
      <c r="C17" s="130" t="s">
        <v>463</v>
      </c>
      <c r="D17" s="18" t="s">
        <v>59</v>
      </c>
      <c r="E17" s="52">
        <v>188</v>
      </c>
      <c r="F17" s="53"/>
      <c r="G17" s="50"/>
      <c r="H17" s="50">
        <f t="shared" si="7"/>
        <v>0</v>
      </c>
      <c r="I17" s="50"/>
      <c r="J17" s="50"/>
      <c r="K17" s="51">
        <f t="shared" si="8"/>
        <v>0</v>
      </c>
      <c r="L17" s="53">
        <f t="shared" si="9"/>
        <v>0</v>
      </c>
      <c r="M17" s="50">
        <f t="shared" si="10"/>
        <v>0</v>
      </c>
      <c r="N17" s="50">
        <f t="shared" si="11"/>
        <v>0</v>
      </c>
      <c r="O17" s="50">
        <f t="shared" si="12"/>
        <v>0</v>
      </c>
      <c r="P17" s="78">
        <f t="shared" si="13"/>
        <v>0</v>
      </c>
      <c r="Q17" s="353"/>
      <c r="R17" s="349"/>
      <c r="S17" s="500"/>
      <c r="T17" s="500"/>
      <c r="U17" s="500"/>
      <c r="V17" s="500"/>
      <c r="W17" s="500"/>
    </row>
    <row r="18" spans="1:23" ht="33.75" x14ac:dyDescent="0.25">
      <c r="A18" s="163">
        <f>IF(COUNTBLANK(B18)=1," ",COUNTA($B$13:B18))</f>
        <v>5</v>
      </c>
      <c r="B18" s="356" t="s">
        <v>58</v>
      </c>
      <c r="C18" s="137" t="s">
        <v>192</v>
      </c>
      <c r="D18" s="175" t="s">
        <v>63</v>
      </c>
      <c r="E18" s="138">
        <v>1180</v>
      </c>
      <c r="F18" s="53"/>
      <c r="G18" s="50"/>
      <c r="H18" s="50">
        <f t="shared" si="7"/>
        <v>0</v>
      </c>
      <c r="I18" s="50"/>
      <c r="J18" s="50"/>
      <c r="K18" s="51">
        <f t="shared" si="8"/>
        <v>0</v>
      </c>
      <c r="L18" s="53">
        <f t="shared" si="9"/>
        <v>0</v>
      </c>
      <c r="M18" s="50">
        <f t="shared" si="10"/>
        <v>0</v>
      </c>
      <c r="N18" s="50">
        <f t="shared" si="11"/>
        <v>0</v>
      </c>
      <c r="O18" s="50">
        <f t="shared" si="12"/>
        <v>0</v>
      </c>
      <c r="P18" s="78">
        <f t="shared" si="13"/>
        <v>0</v>
      </c>
      <c r="Q18" s="353"/>
      <c r="R18" s="349"/>
      <c r="S18" s="500"/>
      <c r="T18" s="500"/>
      <c r="U18" s="500"/>
      <c r="V18" s="500"/>
      <c r="W18" s="500"/>
    </row>
    <row r="19" spans="1:23" x14ac:dyDescent="0.25">
      <c r="A19" s="79">
        <f>IF(COUNTBLANK(B19)=1," ",COUNTA($B$13:B19))</f>
        <v>6</v>
      </c>
      <c r="B19" s="129" t="s">
        <v>58</v>
      </c>
      <c r="C19" s="130" t="s">
        <v>189</v>
      </c>
      <c r="D19" s="18" t="s">
        <v>67</v>
      </c>
      <c r="E19" s="52">
        <f>E18*5%*0.032</f>
        <v>1.8880000000000001</v>
      </c>
      <c r="F19" s="53"/>
      <c r="G19" s="50"/>
      <c r="H19" s="50"/>
      <c r="I19" s="50"/>
      <c r="J19" s="50"/>
      <c r="K19" s="51"/>
      <c r="L19" s="53"/>
      <c r="M19" s="50"/>
      <c r="N19" s="50"/>
      <c r="O19" s="50"/>
      <c r="P19" s="78"/>
      <c r="Q19" s="353"/>
      <c r="R19" s="349"/>
      <c r="S19" s="500"/>
      <c r="T19" s="500"/>
      <c r="U19" s="500"/>
      <c r="V19" s="500"/>
      <c r="W19" s="500"/>
    </row>
    <row r="20" spans="1:23" x14ac:dyDescent="0.25">
      <c r="A20" s="79" t="str">
        <f>IF(COUNTBLANK(B20)=1," ",COUNTA($B$13:B20))</f>
        <v xml:space="preserve"> </v>
      </c>
      <c r="B20" s="129"/>
      <c r="C20" s="130" t="s">
        <v>100</v>
      </c>
      <c r="D20" s="18" t="s">
        <v>67</v>
      </c>
      <c r="E20" s="52">
        <f>E19*1.1</f>
        <v>2.0768000000000004</v>
      </c>
      <c r="F20" s="53"/>
      <c r="G20" s="50"/>
      <c r="H20" s="50"/>
      <c r="I20" s="50"/>
      <c r="J20" s="50"/>
      <c r="K20" s="51"/>
      <c r="L20" s="53"/>
      <c r="M20" s="50"/>
      <c r="N20" s="50"/>
      <c r="O20" s="50"/>
      <c r="P20" s="78"/>
      <c r="Q20" s="353"/>
      <c r="R20" s="349"/>
      <c r="S20" s="500"/>
      <c r="T20" s="500"/>
      <c r="U20" s="500"/>
      <c r="V20" s="500"/>
      <c r="W20" s="500"/>
    </row>
    <row r="21" spans="1:23" x14ac:dyDescent="0.25">
      <c r="A21" s="79" t="str">
        <f>IF(COUNTBLANK(B21)=1," ",COUNTA($B$13:B21))</f>
        <v xml:space="preserve"> </v>
      </c>
      <c r="B21" s="129"/>
      <c r="C21" s="130" t="s">
        <v>101</v>
      </c>
      <c r="D21" s="18" t="s">
        <v>64</v>
      </c>
      <c r="E21" s="52">
        <f>E20*50</f>
        <v>103.84000000000002</v>
      </c>
      <c r="F21" s="53"/>
      <c r="G21" s="50"/>
      <c r="H21" s="50"/>
      <c r="I21" s="50"/>
      <c r="J21" s="50"/>
      <c r="K21" s="51"/>
      <c r="L21" s="53"/>
      <c r="M21" s="50"/>
      <c r="N21" s="50"/>
      <c r="O21" s="50"/>
      <c r="P21" s="78"/>
      <c r="Q21" s="353"/>
      <c r="R21" s="349"/>
      <c r="S21" s="500"/>
      <c r="T21" s="500"/>
      <c r="U21" s="500"/>
      <c r="V21" s="500"/>
      <c r="W21" s="500"/>
    </row>
    <row r="22" spans="1:23" ht="33.75" x14ac:dyDescent="0.25">
      <c r="A22" s="79">
        <f>IF(COUNTBLANK(B22)=1," ",COUNTA($B$13:B22))</f>
        <v>7</v>
      </c>
      <c r="B22" s="129" t="s">
        <v>58</v>
      </c>
      <c r="C22" s="130" t="s">
        <v>464</v>
      </c>
      <c r="D22" s="18" t="s">
        <v>67</v>
      </c>
      <c r="E22" s="52">
        <f>(6.2*2)/0.55*95*0.07*0.025</f>
        <v>3.7481818181818181</v>
      </c>
      <c r="F22" s="53"/>
      <c r="G22" s="50"/>
      <c r="H22" s="50"/>
      <c r="I22" s="50"/>
      <c r="J22" s="50"/>
      <c r="K22" s="51"/>
      <c r="L22" s="53"/>
      <c r="M22" s="50"/>
      <c r="N22" s="50"/>
      <c r="O22" s="50"/>
      <c r="P22" s="78"/>
      <c r="Q22" s="353"/>
      <c r="R22" s="349"/>
      <c r="S22" s="500"/>
      <c r="T22" s="500"/>
      <c r="U22" s="500"/>
      <c r="V22" s="500"/>
      <c r="W22" s="500"/>
    </row>
    <row r="23" spans="1:23" ht="22.5" x14ac:dyDescent="0.25">
      <c r="A23" s="79" t="str">
        <f>IF(COUNTBLANK(B23)=1," ",COUNTA($B$13:B23))</f>
        <v xml:space="preserve"> </v>
      </c>
      <c r="B23" s="129"/>
      <c r="C23" s="130" t="s">
        <v>190</v>
      </c>
      <c r="D23" s="18" t="s">
        <v>67</v>
      </c>
      <c r="E23" s="52">
        <f>E22*1.15</f>
        <v>4.3104090909090909</v>
      </c>
      <c r="F23" s="53"/>
      <c r="G23" s="50"/>
      <c r="H23" s="50"/>
      <c r="I23" s="50"/>
      <c r="J23" s="50"/>
      <c r="K23" s="51"/>
      <c r="L23" s="53"/>
      <c r="M23" s="50"/>
      <c r="N23" s="50"/>
      <c r="O23" s="50"/>
      <c r="P23" s="78"/>
      <c r="Q23" s="353"/>
      <c r="R23" s="349"/>
      <c r="S23" s="500"/>
      <c r="T23" s="500"/>
      <c r="U23" s="500"/>
      <c r="V23" s="500"/>
      <c r="W23" s="500"/>
    </row>
    <row r="24" spans="1:23" x14ac:dyDescent="0.25">
      <c r="A24" s="79" t="str">
        <f>IF(COUNTBLANK(B24)=1," ",COUNTA($B$13:B24))</f>
        <v xml:space="preserve"> </v>
      </c>
      <c r="B24" s="129"/>
      <c r="C24" s="130" t="s">
        <v>101</v>
      </c>
      <c r="D24" s="18" t="s">
        <v>64</v>
      </c>
      <c r="E24" s="52">
        <f>E22*30</f>
        <v>112.44545454545454</v>
      </c>
      <c r="F24" s="53"/>
      <c r="G24" s="50"/>
      <c r="H24" s="50"/>
      <c r="I24" s="50"/>
      <c r="J24" s="50"/>
      <c r="K24" s="51"/>
      <c r="L24" s="53"/>
      <c r="M24" s="50"/>
      <c r="N24" s="50"/>
      <c r="O24" s="50"/>
      <c r="P24" s="78"/>
      <c r="Q24" s="353"/>
      <c r="R24" s="349"/>
      <c r="S24" s="500"/>
      <c r="T24" s="500"/>
      <c r="U24" s="500"/>
      <c r="V24" s="500"/>
      <c r="W24" s="500"/>
    </row>
    <row r="25" spans="1:23" x14ac:dyDescent="0.25">
      <c r="A25" s="79">
        <f>IF(COUNTBLANK(B25)=1," ",COUNTA($B$13:B25))</f>
        <v>8</v>
      </c>
      <c r="B25" s="129" t="s">
        <v>58</v>
      </c>
      <c r="C25" s="129" t="s">
        <v>307</v>
      </c>
      <c r="D25" s="18" t="s">
        <v>67</v>
      </c>
      <c r="E25" s="52">
        <f>(6.2*2)/0.6*95*0.025*0.1</f>
        <v>4.908333333333335</v>
      </c>
      <c r="F25" s="53"/>
      <c r="G25" s="50"/>
      <c r="H25" s="50"/>
      <c r="I25" s="50"/>
      <c r="J25" s="50"/>
      <c r="K25" s="51"/>
      <c r="L25" s="53"/>
      <c r="M25" s="50"/>
      <c r="N25" s="50"/>
      <c r="O25" s="50"/>
      <c r="P25" s="78"/>
      <c r="Q25" s="353"/>
      <c r="R25" s="349"/>
      <c r="S25" s="500"/>
      <c r="T25" s="500"/>
      <c r="U25" s="500"/>
      <c r="V25" s="500"/>
      <c r="W25" s="500"/>
    </row>
    <row r="26" spans="1:23" ht="22.5" x14ac:dyDescent="0.25">
      <c r="A26" s="79"/>
      <c r="B26" s="129"/>
      <c r="C26" s="130" t="s">
        <v>190</v>
      </c>
      <c r="D26" s="18" t="s">
        <v>67</v>
      </c>
      <c r="E26" s="52">
        <f>E25*1.15</f>
        <v>5.6445833333333351</v>
      </c>
      <c r="F26" s="53"/>
      <c r="G26" s="50"/>
      <c r="H26" s="50"/>
      <c r="I26" s="50"/>
      <c r="J26" s="50"/>
      <c r="K26" s="51"/>
      <c r="L26" s="53"/>
      <c r="M26" s="50"/>
      <c r="N26" s="50"/>
      <c r="O26" s="50"/>
      <c r="P26" s="78"/>
      <c r="Q26" s="353"/>
      <c r="R26" s="349"/>
      <c r="S26" s="500"/>
      <c r="T26" s="500"/>
      <c r="U26" s="500"/>
      <c r="V26" s="500"/>
      <c r="W26" s="500"/>
    </row>
    <row r="27" spans="1:23" x14ac:dyDescent="0.25">
      <c r="A27" s="79">
        <f>IF(COUNTBLANK(B27)=1," ",COUNTA($B$13:B27))</f>
        <v>9</v>
      </c>
      <c r="B27" s="129" t="s">
        <v>58</v>
      </c>
      <c r="C27" s="157" t="s">
        <v>296</v>
      </c>
      <c r="D27" s="281" t="s">
        <v>63</v>
      </c>
      <c r="E27" s="52">
        <v>1972</v>
      </c>
      <c r="F27" s="53"/>
      <c r="G27" s="50"/>
      <c r="H27" s="50"/>
      <c r="I27" s="50"/>
      <c r="J27" s="50"/>
      <c r="K27" s="51"/>
      <c r="L27" s="53"/>
      <c r="M27" s="50"/>
      <c r="N27" s="50"/>
      <c r="O27" s="50"/>
      <c r="P27" s="78"/>
      <c r="Q27" s="353"/>
      <c r="R27" s="349"/>
      <c r="S27" s="500"/>
      <c r="T27" s="500"/>
      <c r="U27" s="500"/>
      <c r="V27" s="500"/>
      <c r="W27" s="500"/>
    </row>
    <row r="28" spans="1:23" ht="22.5" x14ac:dyDescent="0.25">
      <c r="A28" s="79">
        <f>IF(COUNTBLANK(B28)=1," ",COUNTA($B$13:B28))</f>
        <v>10</v>
      </c>
      <c r="B28" s="129" t="s">
        <v>58</v>
      </c>
      <c r="C28" s="129" t="s">
        <v>306</v>
      </c>
      <c r="D28" s="18" t="s">
        <v>67</v>
      </c>
      <c r="E28" s="52">
        <f>(6.2*2)/0.6*95*0.025*0.075</f>
        <v>3.6812500000000004</v>
      </c>
      <c r="F28" s="53"/>
      <c r="G28" s="50"/>
      <c r="H28" s="50"/>
      <c r="I28" s="50"/>
      <c r="J28" s="50"/>
      <c r="K28" s="51"/>
      <c r="L28" s="53"/>
      <c r="M28" s="50"/>
      <c r="N28" s="50"/>
      <c r="O28" s="50"/>
      <c r="P28" s="78"/>
      <c r="Q28" s="353"/>
      <c r="R28" s="349"/>
      <c r="S28" s="500"/>
      <c r="T28" s="500"/>
      <c r="U28" s="500"/>
      <c r="V28" s="500"/>
      <c r="W28" s="500"/>
    </row>
    <row r="29" spans="1:23" ht="22.5" x14ac:dyDescent="0.25">
      <c r="A29" s="79"/>
      <c r="B29" s="129"/>
      <c r="C29" s="130" t="s">
        <v>190</v>
      </c>
      <c r="D29" s="18" t="s">
        <v>67</v>
      </c>
      <c r="E29" s="52">
        <f>E28*1.15</f>
        <v>4.2334375</v>
      </c>
      <c r="F29" s="53"/>
      <c r="G29" s="50"/>
      <c r="H29" s="50"/>
      <c r="I29" s="50"/>
      <c r="J29" s="50"/>
      <c r="K29" s="51"/>
      <c r="L29" s="53"/>
      <c r="M29" s="50"/>
      <c r="N29" s="50"/>
      <c r="O29" s="50"/>
      <c r="P29" s="78"/>
      <c r="Q29" s="353"/>
      <c r="R29" s="349"/>
      <c r="S29" s="500"/>
      <c r="T29" s="500"/>
      <c r="U29" s="500"/>
      <c r="V29" s="500"/>
      <c r="W29" s="500"/>
    </row>
    <row r="30" spans="1:23" ht="22.5" x14ac:dyDescent="0.25">
      <c r="A30" s="79">
        <f>IF(COUNTBLANK(B30)=1," ",COUNTA($B$13:B30))</f>
        <v>11</v>
      </c>
      <c r="B30" s="129" t="s">
        <v>58</v>
      </c>
      <c r="C30" s="129" t="s">
        <v>304</v>
      </c>
      <c r="D30" s="18" t="s">
        <v>67</v>
      </c>
      <c r="E30" s="52">
        <f>(6.2*2)/0.3*95*0.1*0.038</f>
        <v>14.921333333333337</v>
      </c>
      <c r="F30" s="53"/>
      <c r="G30" s="50"/>
      <c r="H30" s="50"/>
      <c r="I30" s="50"/>
      <c r="J30" s="50"/>
      <c r="K30" s="51"/>
      <c r="L30" s="53"/>
      <c r="M30" s="50"/>
      <c r="N30" s="50"/>
      <c r="O30" s="50"/>
      <c r="P30" s="78"/>
      <c r="Q30" s="353"/>
      <c r="R30" s="349"/>
      <c r="S30" s="500"/>
      <c r="T30" s="500"/>
      <c r="U30" s="500"/>
      <c r="V30" s="500"/>
      <c r="W30" s="500"/>
    </row>
    <row r="31" spans="1:23" ht="22.5" x14ac:dyDescent="0.25">
      <c r="A31" s="79"/>
      <c r="B31" s="129"/>
      <c r="C31" s="130" t="s">
        <v>190</v>
      </c>
      <c r="D31" s="18" t="s">
        <v>67</v>
      </c>
      <c r="E31" s="52">
        <f>E30*1.15</f>
        <v>17.159533333333336</v>
      </c>
      <c r="F31" s="53"/>
      <c r="G31" s="50"/>
      <c r="H31" s="50"/>
      <c r="I31" s="50"/>
      <c r="J31" s="50"/>
      <c r="K31" s="51"/>
      <c r="L31" s="53"/>
      <c r="M31" s="50"/>
      <c r="N31" s="50"/>
      <c r="O31" s="50"/>
      <c r="P31" s="78"/>
      <c r="Q31" s="353"/>
      <c r="R31" s="349"/>
      <c r="S31" s="500"/>
      <c r="T31" s="500"/>
      <c r="U31" s="500"/>
      <c r="V31" s="500"/>
      <c r="W31" s="500"/>
    </row>
    <row r="32" spans="1:23" ht="22.5" x14ac:dyDescent="0.25">
      <c r="A32" s="79">
        <f>IF(COUNTBLANK(B32)=1," ",COUNTA($B$13:B32))</f>
        <v>12</v>
      </c>
      <c r="B32" s="129" t="s">
        <v>58</v>
      </c>
      <c r="C32" s="139" t="s">
        <v>297</v>
      </c>
      <c r="D32" s="271" t="s">
        <v>63</v>
      </c>
      <c r="E32" s="116">
        <f>E18</f>
        <v>1180</v>
      </c>
      <c r="F32" s="257"/>
      <c r="G32" s="258"/>
      <c r="H32" s="258"/>
      <c r="I32" s="258"/>
      <c r="J32" s="258"/>
      <c r="K32" s="259"/>
      <c r="L32" s="257"/>
      <c r="M32" s="258"/>
      <c r="N32" s="258"/>
      <c r="O32" s="258"/>
      <c r="P32" s="260"/>
      <c r="Q32" s="353"/>
      <c r="R32" s="350"/>
      <c r="S32" s="500"/>
      <c r="T32" s="500"/>
      <c r="U32" s="500"/>
      <c r="V32" s="500"/>
      <c r="W32" s="500"/>
    </row>
    <row r="33" spans="1:23" x14ac:dyDescent="0.25">
      <c r="A33" s="79"/>
      <c r="B33" s="129"/>
      <c r="C33" s="340" t="s">
        <v>193</v>
      </c>
      <c r="D33" s="115" t="s">
        <v>63</v>
      </c>
      <c r="E33" s="116">
        <f>E32*1.15</f>
        <v>1357</v>
      </c>
      <c r="F33" s="257"/>
      <c r="G33" s="258"/>
      <c r="H33" s="258"/>
      <c r="I33" s="258"/>
      <c r="J33" s="258"/>
      <c r="K33" s="259"/>
      <c r="L33" s="257"/>
      <c r="M33" s="258"/>
      <c r="N33" s="258"/>
      <c r="O33" s="258"/>
      <c r="P33" s="260"/>
      <c r="Q33" s="353"/>
      <c r="R33" s="350"/>
      <c r="S33" s="500"/>
      <c r="T33" s="500"/>
      <c r="U33" s="500"/>
      <c r="V33" s="500"/>
      <c r="W33" s="500"/>
    </row>
    <row r="34" spans="1:23" x14ac:dyDescent="0.25">
      <c r="A34" s="79"/>
      <c r="B34" s="129"/>
      <c r="C34" s="340" t="s">
        <v>84</v>
      </c>
      <c r="D34" s="115" t="s">
        <v>85</v>
      </c>
      <c r="E34" s="116">
        <f>E32*6</f>
        <v>7080</v>
      </c>
      <c r="F34" s="257"/>
      <c r="G34" s="258"/>
      <c r="H34" s="258"/>
      <c r="I34" s="258"/>
      <c r="J34" s="258"/>
      <c r="K34" s="259"/>
      <c r="L34" s="257"/>
      <c r="M34" s="258"/>
      <c r="N34" s="258"/>
      <c r="O34" s="258"/>
      <c r="P34" s="260"/>
      <c r="Q34" s="353"/>
      <c r="R34" s="350"/>
      <c r="S34" s="500"/>
      <c r="T34" s="500"/>
      <c r="U34" s="500"/>
      <c r="V34" s="500"/>
      <c r="W34" s="500"/>
    </row>
    <row r="35" spans="1:23" x14ac:dyDescent="0.25">
      <c r="A35" s="79"/>
      <c r="B35" s="129"/>
      <c r="C35" s="340" t="s">
        <v>194</v>
      </c>
      <c r="D35" s="115" t="s">
        <v>59</v>
      </c>
      <c r="E35" s="116">
        <f>95*2+11*2+95*2</f>
        <v>402</v>
      </c>
      <c r="F35" s="257"/>
      <c r="G35" s="258"/>
      <c r="H35" s="258"/>
      <c r="I35" s="258"/>
      <c r="J35" s="258"/>
      <c r="K35" s="259"/>
      <c r="L35" s="257"/>
      <c r="M35" s="258"/>
      <c r="N35" s="258"/>
      <c r="O35" s="258"/>
      <c r="P35" s="260"/>
      <c r="Q35" s="353"/>
      <c r="R35" s="350"/>
      <c r="S35" s="500"/>
      <c r="T35" s="500"/>
      <c r="U35" s="500"/>
      <c r="V35" s="500"/>
      <c r="W35" s="500"/>
    </row>
    <row r="36" spans="1:23" ht="20.65" customHeight="1" x14ac:dyDescent="0.25">
      <c r="A36" s="79">
        <f>IF(COUNTBLANK(B36)=1," ",COUNTA($B$13:B36))</f>
        <v>13</v>
      </c>
      <c r="B36" s="129" t="s">
        <v>58</v>
      </c>
      <c r="C36" s="493" t="s">
        <v>488</v>
      </c>
      <c r="D36" s="159" t="s">
        <v>59</v>
      </c>
      <c r="E36" s="468">
        <f>6.2*4</f>
        <v>24.8</v>
      </c>
      <c r="F36" s="53"/>
      <c r="G36" s="50"/>
      <c r="H36" s="50"/>
      <c r="I36" s="50"/>
      <c r="J36" s="50"/>
      <c r="K36" s="51"/>
      <c r="L36" s="53"/>
      <c r="M36" s="50"/>
      <c r="N36" s="50"/>
      <c r="O36" s="50"/>
      <c r="P36" s="78"/>
      <c r="Q36" s="496"/>
      <c r="R36" s="501"/>
      <c r="S36" s="500"/>
      <c r="T36" s="500"/>
      <c r="U36" s="500"/>
      <c r="V36" s="500"/>
      <c r="W36" s="500"/>
    </row>
    <row r="37" spans="1:23" ht="22.5" x14ac:dyDescent="0.25">
      <c r="A37" s="79">
        <f>IF(COUNTBLANK(B37)=1," ",COUNTA($B$13:B37))</f>
        <v>14</v>
      </c>
      <c r="B37" s="129" t="s">
        <v>58</v>
      </c>
      <c r="C37" s="493" t="s">
        <v>489</v>
      </c>
      <c r="D37" s="159" t="s">
        <v>59</v>
      </c>
      <c r="E37" s="468">
        <f>94.75*2</f>
        <v>189.5</v>
      </c>
      <c r="F37" s="53"/>
      <c r="G37" s="50"/>
      <c r="H37" s="50"/>
      <c r="I37" s="50"/>
      <c r="J37" s="50"/>
      <c r="K37" s="51"/>
      <c r="L37" s="53"/>
      <c r="M37" s="50"/>
      <c r="N37" s="50"/>
      <c r="O37" s="50"/>
      <c r="P37" s="78"/>
      <c r="Q37" s="497"/>
      <c r="R37" s="501"/>
      <c r="S37" s="500"/>
      <c r="T37" s="500"/>
      <c r="U37" s="500"/>
      <c r="V37" s="500"/>
      <c r="W37" s="500"/>
    </row>
    <row r="38" spans="1:23" x14ac:dyDescent="0.25">
      <c r="A38" s="79">
        <f>IF(COUNTBLANK(B38)=1," ",COUNTA($B$13:B38))</f>
        <v>15</v>
      </c>
      <c r="B38" s="129" t="s">
        <v>58</v>
      </c>
      <c r="C38" s="502" t="s">
        <v>195</v>
      </c>
      <c r="D38" s="490" t="s">
        <v>59</v>
      </c>
      <c r="E38" s="468">
        <f>95</f>
        <v>95</v>
      </c>
      <c r="F38" s="53"/>
      <c r="G38" s="50"/>
      <c r="H38" s="50">
        <f t="shared" si="7"/>
        <v>0</v>
      </c>
      <c r="I38" s="50"/>
      <c r="J38" s="50"/>
      <c r="K38" s="51">
        <f t="shared" si="8"/>
        <v>0</v>
      </c>
      <c r="L38" s="53">
        <f t="shared" si="9"/>
        <v>0</v>
      </c>
      <c r="M38" s="50">
        <f t="shared" si="10"/>
        <v>0</v>
      </c>
      <c r="N38" s="50">
        <f t="shared" si="11"/>
        <v>0</v>
      </c>
      <c r="O38" s="50">
        <f t="shared" si="12"/>
        <v>0</v>
      </c>
      <c r="P38" s="78">
        <f t="shared" si="13"/>
        <v>0</v>
      </c>
      <c r="Q38" s="498"/>
      <c r="R38" s="349"/>
      <c r="S38" s="500"/>
      <c r="T38" s="500"/>
      <c r="U38" s="500"/>
      <c r="V38" s="500"/>
      <c r="W38" s="500"/>
    </row>
    <row r="39" spans="1:23" ht="22.5" x14ac:dyDescent="0.25">
      <c r="A39" s="79">
        <f>IF(COUNTBLANK(B39)=1," ",COUNTA($B$13:B39))</f>
        <v>16</v>
      </c>
      <c r="B39" s="129" t="s">
        <v>58</v>
      </c>
      <c r="C39" s="130" t="s">
        <v>196</v>
      </c>
      <c r="D39" s="18" t="s">
        <v>63</v>
      </c>
      <c r="E39" s="52">
        <f>E38*2*0.4</f>
        <v>76</v>
      </c>
      <c r="F39" s="53"/>
      <c r="G39" s="50"/>
      <c r="H39" s="50">
        <f t="shared" si="7"/>
        <v>0</v>
      </c>
      <c r="I39" s="50"/>
      <c r="J39" s="50"/>
      <c r="K39" s="51">
        <f t="shared" si="8"/>
        <v>0</v>
      </c>
      <c r="L39" s="53">
        <f t="shared" si="9"/>
        <v>0</v>
      </c>
      <c r="M39" s="50">
        <f t="shared" si="10"/>
        <v>0</v>
      </c>
      <c r="N39" s="50">
        <f t="shared" si="11"/>
        <v>0</v>
      </c>
      <c r="O39" s="50">
        <f t="shared" si="12"/>
        <v>0</v>
      </c>
      <c r="P39" s="78">
        <f t="shared" si="13"/>
        <v>0</v>
      </c>
      <c r="Q39" s="498"/>
      <c r="R39" s="349"/>
      <c r="S39" s="500"/>
      <c r="T39" s="500"/>
      <c r="U39" s="500"/>
      <c r="V39" s="500"/>
      <c r="W39" s="500"/>
    </row>
    <row r="40" spans="1:23" ht="12" thickBot="1" x14ac:dyDescent="0.3">
      <c r="A40" s="79" t="str">
        <f>IF(COUNTBLANK(B40)=1," ",COUNTA($B$13:B40))</f>
        <v xml:space="preserve"> </v>
      </c>
      <c r="B40" s="129"/>
      <c r="C40" s="130" t="s">
        <v>193</v>
      </c>
      <c r="D40" s="18" t="s">
        <v>63</v>
      </c>
      <c r="E40" s="52">
        <f>E39*1.15</f>
        <v>87.399999999999991</v>
      </c>
      <c r="F40" s="53"/>
      <c r="G40" s="50"/>
      <c r="H40" s="50">
        <f t="shared" si="7"/>
        <v>0</v>
      </c>
      <c r="I40" s="50"/>
      <c r="J40" s="50"/>
      <c r="K40" s="51">
        <f t="shared" si="8"/>
        <v>0</v>
      </c>
      <c r="L40" s="53">
        <f t="shared" si="9"/>
        <v>0</v>
      </c>
      <c r="M40" s="50">
        <f t="shared" si="10"/>
        <v>0</v>
      </c>
      <c r="N40" s="50">
        <f t="shared" si="11"/>
        <v>0</v>
      </c>
      <c r="O40" s="50">
        <f t="shared" si="12"/>
        <v>0</v>
      </c>
      <c r="P40" s="78">
        <f t="shared" si="13"/>
        <v>0</v>
      </c>
      <c r="Q40" s="499"/>
      <c r="R40" s="349"/>
      <c r="S40" s="500"/>
      <c r="T40" s="500"/>
      <c r="U40" s="500"/>
      <c r="V40" s="500"/>
      <c r="W40" s="500"/>
    </row>
    <row r="41" spans="1:23" ht="22.5" x14ac:dyDescent="0.25">
      <c r="A41" s="79">
        <f>IF(COUNTBLANK(B41)=1," ",COUNTA($B$13:B41))</f>
        <v>17</v>
      </c>
      <c r="B41" s="129" t="s">
        <v>58</v>
      </c>
      <c r="C41" s="130" t="s">
        <v>465</v>
      </c>
      <c r="D41" s="18" t="s">
        <v>67</v>
      </c>
      <c r="E41" s="52">
        <f>(6.2*2)/0.5*0.62*0.08*0.085*2</f>
        <v>0.20911360000000004</v>
      </c>
      <c r="F41" s="53"/>
      <c r="G41" s="50"/>
      <c r="H41" s="50"/>
      <c r="I41" s="50"/>
      <c r="J41" s="50"/>
      <c r="K41" s="51"/>
      <c r="L41" s="53"/>
      <c r="M41" s="50"/>
      <c r="N41" s="50"/>
      <c r="O41" s="50"/>
      <c r="P41" s="78"/>
      <c r="Q41" s="24"/>
      <c r="R41" s="349"/>
      <c r="S41" s="500"/>
      <c r="T41" s="500"/>
      <c r="U41" s="500"/>
      <c r="V41" s="500"/>
      <c r="W41" s="500"/>
    </row>
    <row r="42" spans="1:23" ht="22.5" x14ac:dyDescent="0.25">
      <c r="A42" s="79" t="str">
        <f>IF(COUNTBLANK(B42)=1," ",COUNTA($B$13:B42))</f>
        <v xml:space="preserve"> </v>
      </c>
      <c r="B42" s="129"/>
      <c r="C42" s="130" t="s">
        <v>190</v>
      </c>
      <c r="D42" s="18" t="s">
        <v>67</v>
      </c>
      <c r="E42" s="52">
        <f>E41*1.15</f>
        <v>0.24048064000000002</v>
      </c>
      <c r="F42" s="53"/>
      <c r="G42" s="50"/>
      <c r="H42" s="50"/>
      <c r="I42" s="50"/>
      <c r="J42" s="50"/>
      <c r="K42" s="51"/>
      <c r="L42" s="53"/>
      <c r="M42" s="50"/>
      <c r="N42" s="50"/>
      <c r="O42" s="50"/>
      <c r="P42" s="78"/>
      <c r="Q42" s="24"/>
      <c r="R42" s="349"/>
      <c r="S42" s="500"/>
      <c r="T42" s="500"/>
      <c r="U42" s="500"/>
      <c r="V42" s="500"/>
      <c r="W42" s="500"/>
    </row>
    <row r="43" spans="1:23" x14ac:dyDescent="0.25">
      <c r="A43" s="79" t="str">
        <f>IF(COUNTBLANK(B43)=1," ",COUNTA($B$13:B43))</f>
        <v xml:space="preserve"> </v>
      </c>
      <c r="B43" s="129"/>
      <c r="C43" s="130" t="s">
        <v>101</v>
      </c>
      <c r="D43" s="18" t="s">
        <v>64</v>
      </c>
      <c r="E43" s="52">
        <v>4.5900000000000007</v>
      </c>
      <c r="F43" s="53"/>
      <c r="G43" s="50"/>
      <c r="H43" s="50"/>
      <c r="I43" s="50"/>
      <c r="J43" s="50"/>
      <c r="K43" s="51"/>
      <c r="L43" s="53"/>
      <c r="M43" s="50"/>
      <c r="N43" s="50"/>
      <c r="O43" s="50"/>
      <c r="P43" s="78"/>
      <c r="Q43" s="24"/>
      <c r="R43" s="349"/>
      <c r="S43" s="500"/>
      <c r="T43" s="500"/>
      <c r="U43" s="500"/>
      <c r="V43" s="500"/>
      <c r="W43" s="500"/>
    </row>
    <row r="44" spans="1:23" ht="22.5" x14ac:dyDescent="0.25">
      <c r="A44" s="79">
        <f>IF(COUNTBLANK(B44)=1," ",COUNTA($B$13:B44))</f>
        <v>18</v>
      </c>
      <c r="B44" s="129" t="s">
        <v>58</v>
      </c>
      <c r="C44" s="130" t="s">
        <v>466</v>
      </c>
      <c r="D44" s="18" t="s">
        <v>63</v>
      </c>
      <c r="E44" s="52">
        <f>6.2*4*0.5</f>
        <v>12.4</v>
      </c>
      <c r="F44" s="53"/>
      <c r="G44" s="50"/>
      <c r="H44" s="50"/>
      <c r="I44" s="50"/>
      <c r="J44" s="50"/>
      <c r="K44" s="51"/>
      <c r="L44" s="53"/>
      <c r="M44" s="50"/>
      <c r="N44" s="50"/>
      <c r="O44" s="50"/>
      <c r="P44" s="78"/>
      <c r="Q44" s="24"/>
      <c r="R44" s="349"/>
      <c r="S44" s="500"/>
      <c r="T44" s="500"/>
      <c r="U44" s="500"/>
      <c r="V44" s="500"/>
      <c r="W44" s="500"/>
    </row>
    <row r="45" spans="1:23" ht="22.5" x14ac:dyDescent="0.25">
      <c r="A45" s="79" t="str">
        <f>IF(COUNTBLANK(B45)=1," ",COUNTA($B$13:B45))</f>
        <v xml:space="preserve"> </v>
      </c>
      <c r="B45" s="129"/>
      <c r="C45" s="130" t="s">
        <v>190</v>
      </c>
      <c r="D45" s="18" t="s">
        <v>67</v>
      </c>
      <c r="E45" s="52">
        <f>E44*0.02*0.1*1.15</f>
        <v>2.852E-2</v>
      </c>
      <c r="F45" s="53"/>
      <c r="G45" s="50"/>
      <c r="H45" s="50"/>
      <c r="I45" s="50"/>
      <c r="J45" s="50"/>
      <c r="K45" s="51"/>
      <c r="L45" s="53"/>
      <c r="M45" s="50"/>
      <c r="N45" s="50"/>
      <c r="O45" s="50"/>
      <c r="P45" s="78"/>
      <c r="Q45" s="24"/>
      <c r="R45" s="349"/>
      <c r="S45" s="500"/>
      <c r="T45" s="500"/>
      <c r="U45" s="500"/>
      <c r="V45" s="500"/>
      <c r="W45" s="500"/>
    </row>
    <row r="46" spans="1:23" x14ac:dyDescent="0.25">
      <c r="A46" s="79" t="str">
        <f>IF(COUNTBLANK(B46)=1," ",COUNTA($B$13:B46))</f>
        <v xml:space="preserve"> </v>
      </c>
      <c r="B46" s="129"/>
      <c r="C46" s="130" t="s">
        <v>101</v>
      </c>
      <c r="D46" s="18" t="s">
        <v>64</v>
      </c>
      <c r="E46" s="52">
        <f>30*E45</f>
        <v>0.85560000000000003</v>
      </c>
      <c r="F46" s="53"/>
      <c r="G46" s="50"/>
      <c r="H46" s="50"/>
      <c r="I46" s="50"/>
      <c r="J46" s="50"/>
      <c r="K46" s="51"/>
      <c r="L46" s="53"/>
      <c r="M46" s="50"/>
      <c r="N46" s="50"/>
      <c r="O46" s="50"/>
      <c r="P46" s="78"/>
      <c r="Q46" s="24"/>
      <c r="R46" s="349"/>
      <c r="S46" s="500"/>
      <c r="T46" s="500"/>
      <c r="U46" s="500"/>
      <c r="V46" s="500"/>
      <c r="W46" s="500"/>
    </row>
    <row r="47" spans="1:23" x14ac:dyDescent="0.25">
      <c r="A47" s="79">
        <f>IF(COUNTBLANK(B47)=1," ",COUNTA($B$13:B47))</f>
        <v>19</v>
      </c>
      <c r="B47" s="129" t="s">
        <v>58</v>
      </c>
      <c r="C47" s="130" t="s">
        <v>467</v>
      </c>
      <c r="D47" s="18" t="s">
        <v>63</v>
      </c>
      <c r="E47" s="52">
        <f>6.2*4*0.5</f>
        <v>12.4</v>
      </c>
      <c r="F47" s="53"/>
      <c r="G47" s="50"/>
      <c r="H47" s="50"/>
      <c r="I47" s="50"/>
      <c r="J47" s="50"/>
      <c r="K47" s="51"/>
      <c r="L47" s="53"/>
      <c r="M47" s="50"/>
      <c r="N47" s="50"/>
      <c r="O47" s="50"/>
      <c r="P47" s="78"/>
      <c r="Q47" s="24"/>
      <c r="R47" s="349"/>
      <c r="S47" s="500"/>
      <c r="T47" s="500"/>
      <c r="U47" s="500"/>
      <c r="V47" s="500"/>
      <c r="W47" s="500"/>
    </row>
    <row r="48" spans="1:23" x14ac:dyDescent="0.25">
      <c r="A48" s="79" t="str">
        <f>IF(COUNTBLANK(B48)=1," ",COUNTA($B$13:B48))</f>
        <v xml:space="preserve"> </v>
      </c>
      <c r="B48" s="129"/>
      <c r="C48" s="130" t="s">
        <v>191</v>
      </c>
      <c r="D48" s="18" t="s">
        <v>63</v>
      </c>
      <c r="E48" s="52">
        <f>E47*1.15</f>
        <v>14.26</v>
      </c>
      <c r="F48" s="53"/>
      <c r="G48" s="50"/>
      <c r="H48" s="50"/>
      <c r="I48" s="50"/>
      <c r="J48" s="50"/>
      <c r="K48" s="51"/>
      <c r="L48" s="53"/>
      <c r="M48" s="50"/>
      <c r="N48" s="50"/>
      <c r="O48" s="50"/>
      <c r="P48" s="78"/>
      <c r="Q48" s="24"/>
      <c r="R48" s="349"/>
      <c r="S48" s="500"/>
      <c r="T48" s="500"/>
      <c r="U48" s="500"/>
      <c r="V48" s="500"/>
      <c r="W48" s="500"/>
    </row>
    <row r="49" spans="1:23" x14ac:dyDescent="0.25">
      <c r="A49" s="79">
        <f>IF(COUNTBLANK(B49)=1," ",COUNTA($B$13:B49))</f>
        <v>20</v>
      </c>
      <c r="B49" s="129" t="s">
        <v>58</v>
      </c>
      <c r="C49" s="130" t="s">
        <v>197</v>
      </c>
      <c r="D49" s="18" t="s">
        <v>59</v>
      </c>
      <c r="E49" s="52">
        <f>10.5*3*6</f>
        <v>189</v>
      </c>
      <c r="F49" s="53"/>
      <c r="G49" s="50"/>
      <c r="H49" s="50">
        <f t="shared" si="7"/>
        <v>0</v>
      </c>
      <c r="I49" s="50"/>
      <c r="J49" s="50"/>
      <c r="K49" s="51">
        <f t="shared" si="8"/>
        <v>0</v>
      </c>
      <c r="L49" s="53">
        <f t="shared" si="9"/>
        <v>0</v>
      </c>
      <c r="M49" s="50">
        <f t="shared" si="10"/>
        <v>0</v>
      </c>
      <c r="N49" s="50">
        <f t="shared" si="11"/>
        <v>0</v>
      </c>
      <c r="O49" s="50">
        <f t="shared" si="12"/>
        <v>0</v>
      </c>
      <c r="P49" s="78">
        <f t="shared" si="13"/>
        <v>0</v>
      </c>
      <c r="Q49" s="24"/>
      <c r="R49" s="349"/>
      <c r="S49" s="500"/>
      <c r="T49" s="500"/>
      <c r="U49" s="500"/>
      <c r="V49" s="500"/>
      <c r="W49" s="500"/>
    </row>
    <row r="50" spans="1:23" ht="22.5" x14ac:dyDescent="0.25">
      <c r="A50" s="79">
        <f>IF(COUNTBLANK(B50)=1," ",COUNTA($B$13:B50))</f>
        <v>21</v>
      </c>
      <c r="B50" s="129" t="s">
        <v>58</v>
      </c>
      <c r="C50" s="130" t="s">
        <v>300</v>
      </c>
      <c r="D50" s="18" t="s">
        <v>67</v>
      </c>
      <c r="E50" s="52">
        <f>0.35*3*6</f>
        <v>6.2999999999999989</v>
      </c>
      <c r="F50" s="53"/>
      <c r="G50" s="50"/>
      <c r="H50" s="50">
        <f t="shared" si="7"/>
        <v>0</v>
      </c>
      <c r="I50" s="50"/>
      <c r="J50" s="50"/>
      <c r="K50" s="51">
        <f t="shared" si="8"/>
        <v>0</v>
      </c>
      <c r="L50" s="53">
        <f t="shared" si="9"/>
        <v>0</v>
      </c>
      <c r="M50" s="50">
        <f t="shared" si="10"/>
        <v>0</v>
      </c>
      <c r="N50" s="50">
        <f t="shared" si="11"/>
        <v>0</v>
      </c>
      <c r="O50" s="50">
        <f t="shared" si="12"/>
        <v>0</v>
      </c>
      <c r="P50" s="78">
        <f t="shared" si="13"/>
        <v>0</v>
      </c>
      <c r="Q50" s="24"/>
      <c r="R50" s="349"/>
      <c r="S50" s="500"/>
      <c r="T50" s="500"/>
      <c r="U50" s="500"/>
      <c r="V50" s="500"/>
      <c r="W50" s="500"/>
    </row>
    <row r="51" spans="1:23" x14ac:dyDescent="0.25">
      <c r="A51" s="79" t="str">
        <f>IF(COUNTBLANK(B51)=1," ",COUNTA($B$13:B51))</f>
        <v xml:space="preserve"> </v>
      </c>
      <c r="B51" s="129"/>
      <c r="C51" s="130" t="s">
        <v>94</v>
      </c>
      <c r="D51" s="18" t="s">
        <v>67</v>
      </c>
      <c r="E51" s="52">
        <f>E52</f>
        <v>2381.3999999999996</v>
      </c>
      <c r="F51" s="53"/>
      <c r="G51" s="50"/>
      <c r="H51" s="50">
        <f t="shared" si="7"/>
        <v>0</v>
      </c>
      <c r="I51" s="50"/>
      <c r="J51" s="50"/>
      <c r="K51" s="51">
        <f t="shared" si="8"/>
        <v>0</v>
      </c>
      <c r="L51" s="53">
        <f t="shared" si="9"/>
        <v>0</v>
      </c>
      <c r="M51" s="50">
        <f t="shared" si="10"/>
        <v>0</v>
      </c>
      <c r="N51" s="50">
        <f t="shared" si="11"/>
        <v>0</v>
      </c>
      <c r="O51" s="50">
        <f t="shared" si="12"/>
        <v>0</v>
      </c>
      <c r="P51" s="78">
        <f t="shared" si="13"/>
        <v>0</v>
      </c>
      <c r="Q51" s="24"/>
      <c r="R51" s="349"/>
      <c r="S51" s="500"/>
      <c r="T51" s="500"/>
      <c r="U51" s="500"/>
      <c r="V51" s="500"/>
      <c r="W51" s="500"/>
    </row>
    <row r="52" spans="1:23" x14ac:dyDescent="0.25">
      <c r="A52" s="79" t="str">
        <f>IF(COUNTBLANK(B52)=1," ",COUNTA($B$13:B52))</f>
        <v xml:space="preserve"> </v>
      </c>
      <c r="B52" s="129"/>
      <c r="C52" s="130" t="s">
        <v>95</v>
      </c>
      <c r="D52" s="18" t="s">
        <v>85</v>
      </c>
      <c r="E52" s="52">
        <f>E50*378</f>
        <v>2381.3999999999996</v>
      </c>
      <c r="F52" s="53"/>
      <c r="G52" s="50"/>
      <c r="H52" s="50">
        <f t="shared" si="7"/>
        <v>0</v>
      </c>
      <c r="I52" s="50"/>
      <c r="J52" s="50"/>
      <c r="K52" s="51">
        <f t="shared" si="8"/>
        <v>0</v>
      </c>
      <c r="L52" s="53">
        <f t="shared" si="9"/>
        <v>0</v>
      </c>
      <c r="M52" s="50">
        <f t="shared" si="10"/>
        <v>0</v>
      </c>
      <c r="N52" s="50">
        <f t="shared" si="11"/>
        <v>0</v>
      </c>
      <c r="O52" s="50">
        <f t="shared" si="12"/>
        <v>0</v>
      </c>
      <c r="P52" s="78">
        <f t="shared" si="13"/>
        <v>0</v>
      </c>
      <c r="Q52" s="24"/>
      <c r="R52" s="349"/>
      <c r="S52" s="500"/>
      <c r="T52" s="500"/>
      <c r="U52" s="500"/>
      <c r="V52" s="500"/>
      <c r="W52" s="500"/>
    </row>
    <row r="53" spans="1:23" ht="22.5" x14ac:dyDescent="0.25">
      <c r="A53" s="79">
        <f>IF(COUNTBLANK(B53)=1," ",COUNTA($B$13:B53))</f>
        <v>22</v>
      </c>
      <c r="B53" s="129" t="s">
        <v>58</v>
      </c>
      <c r="C53" s="340" t="s">
        <v>390</v>
      </c>
      <c r="D53" s="115" t="s">
        <v>63</v>
      </c>
      <c r="E53" s="116">
        <v>133</v>
      </c>
      <c r="F53" s="257"/>
      <c r="G53" s="258"/>
      <c r="H53" s="258">
        <f t="shared" si="7"/>
        <v>0</v>
      </c>
      <c r="I53" s="258"/>
      <c r="J53" s="258"/>
      <c r="K53" s="259">
        <f t="shared" si="8"/>
        <v>0</v>
      </c>
      <c r="L53" s="257">
        <f t="shared" si="9"/>
        <v>0</v>
      </c>
      <c r="M53" s="258">
        <f t="shared" si="10"/>
        <v>0</v>
      </c>
      <c r="N53" s="258">
        <f t="shared" si="11"/>
        <v>0</v>
      </c>
      <c r="O53" s="258">
        <f t="shared" si="12"/>
        <v>0</v>
      </c>
      <c r="P53" s="260">
        <f t="shared" si="13"/>
        <v>0</v>
      </c>
      <c r="Q53" s="24"/>
      <c r="R53" s="350"/>
      <c r="S53" s="500"/>
      <c r="T53" s="500"/>
      <c r="U53" s="500"/>
      <c r="V53" s="500"/>
      <c r="W53" s="500"/>
    </row>
    <row r="54" spans="1:23" x14ac:dyDescent="0.25">
      <c r="A54" s="79" t="str">
        <f>IF(COUNTBLANK(B54)=1," ",COUNTA($B$13:B54))</f>
        <v xml:space="preserve"> </v>
      </c>
      <c r="B54" s="129"/>
      <c r="C54" s="340" t="s">
        <v>104</v>
      </c>
      <c r="D54" s="115" t="s">
        <v>64</v>
      </c>
      <c r="E54" s="116">
        <f>E53*0.3</f>
        <v>39.9</v>
      </c>
      <c r="F54" s="257"/>
      <c r="G54" s="258"/>
      <c r="H54" s="258">
        <f t="shared" si="7"/>
        <v>0</v>
      </c>
      <c r="I54" s="258"/>
      <c r="J54" s="258"/>
      <c r="K54" s="259">
        <f t="shared" si="8"/>
        <v>0</v>
      </c>
      <c r="L54" s="257">
        <f t="shared" si="9"/>
        <v>0</v>
      </c>
      <c r="M54" s="258">
        <f t="shared" si="10"/>
        <v>0</v>
      </c>
      <c r="N54" s="258">
        <f t="shared" si="11"/>
        <v>0</v>
      </c>
      <c r="O54" s="258">
        <f t="shared" si="12"/>
        <v>0</v>
      </c>
      <c r="P54" s="260">
        <f t="shared" si="13"/>
        <v>0</v>
      </c>
      <c r="Q54" s="24"/>
      <c r="R54" s="350"/>
      <c r="S54" s="500"/>
      <c r="T54" s="500"/>
      <c r="U54" s="500"/>
      <c r="V54" s="500"/>
      <c r="W54" s="500"/>
    </row>
    <row r="55" spans="1:23" x14ac:dyDescent="0.25">
      <c r="A55" s="79" t="str">
        <f>IF(COUNTBLANK(B55)=1," ",COUNTA($B$13:B55))</f>
        <v xml:space="preserve"> </v>
      </c>
      <c r="B55" s="129"/>
      <c r="C55" s="340" t="s">
        <v>198</v>
      </c>
      <c r="D55" s="115" t="s">
        <v>63</v>
      </c>
      <c r="E55" s="116">
        <f>E53*1.15</f>
        <v>152.94999999999999</v>
      </c>
      <c r="F55" s="257"/>
      <c r="G55" s="258"/>
      <c r="H55" s="258">
        <f t="shared" si="7"/>
        <v>0</v>
      </c>
      <c r="I55" s="258"/>
      <c r="J55" s="258"/>
      <c r="K55" s="259">
        <f t="shared" si="8"/>
        <v>0</v>
      </c>
      <c r="L55" s="257">
        <f t="shared" si="9"/>
        <v>0</v>
      </c>
      <c r="M55" s="258">
        <f t="shared" si="10"/>
        <v>0</v>
      </c>
      <c r="N55" s="258">
        <f t="shared" si="11"/>
        <v>0</v>
      </c>
      <c r="O55" s="258">
        <f t="shared" si="12"/>
        <v>0</v>
      </c>
      <c r="P55" s="260">
        <f t="shared" si="13"/>
        <v>0</v>
      </c>
      <c r="Q55" s="24"/>
      <c r="R55" s="350"/>
      <c r="S55" s="500"/>
      <c r="T55" s="500"/>
      <c r="U55" s="500"/>
      <c r="V55" s="500"/>
      <c r="W55" s="500"/>
    </row>
    <row r="56" spans="1:23" x14ac:dyDescent="0.25">
      <c r="A56" s="79" t="str">
        <f>IF(COUNTBLANK(B56)=1," ",COUNTA($B$13:B56))</f>
        <v xml:space="preserve"> </v>
      </c>
      <c r="B56" s="129"/>
      <c r="C56" s="340" t="s">
        <v>94</v>
      </c>
      <c r="D56" s="115" t="s">
        <v>64</v>
      </c>
      <c r="E56" s="116">
        <f>E53*5</f>
        <v>665</v>
      </c>
      <c r="F56" s="257"/>
      <c r="G56" s="258"/>
      <c r="H56" s="258">
        <f t="shared" si="7"/>
        <v>0</v>
      </c>
      <c r="I56" s="258"/>
      <c r="J56" s="258"/>
      <c r="K56" s="259">
        <f t="shared" si="8"/>
        <v>0</v>
      </c>
      <c r="L56" s="257">
        <f t="shared" si="9"/>
        <v>0</v>
      </c>
      <c r="M56" s="258">
        <f t="shared" si="10"/>
        <v>0</v>
      </c>
      <c r="N56" s="258">
        <f t="shared" si="11"/>
        <v>0</v>
      </c>
      <c r="O56" s="258">
        <f t="shared" si="12"/>
        <v>0</v>
      </c>
      <c r="P56" s="260">
        <f t="shared" si="13"/>
        <v>0</v>
      </c>
      <c r="Q56" s="24"/>
      <c r="R56" s="350"/>
      <c r="S56" s="500"/>
      <c r="T56" s="500"/>
      <c r="U56" s="500"/>
      <c r="V56" s="500"/>
      <c r="W56" s="500"/>
    </row>
    <row r="57" spans="1:23" x14ac:dyDescent="0.25">
      <c r="A57" s="79" t="str">
        <f>IF(COUNTBLANK(B57)=1," ",COUNTA($B$13:B57))</f>
        <v xml:space="preserve"> </v>
      </c>
      <c r="B57" s="129"/>
      <c r="C57" s="340" t="s">
        <v>104</v>
      </c>
      <c r="D57" s="115" t="s">
        <v>64</v>
      </c>
      <c r="E57" s="116">
        <f>E53*0.3</f>
        <v>39.9</v>
      </c>
      <c r="F57" s="257"/>
      <c r="G57" s="258"/>
      <c r="H57" s="258">
        <f t="shared" si="7"/>
        <v>0</v>
      </c>
      <c r="I57" s="258"/>
      <c r="J57" s="258"/>
      <c r="K57" s="259">
        <f t="shared" si="8"/>
        <v>0</v>
      </c>
      <c r="L57" s="257">
        <f t="shared" si="9"/>
        <v>0</v>
      </c>
      <c r="M57" s="258">
        <f t="shared" si="10"/>
        <v>0</v>
      </c>
      <c r="N57" s="258">
        <f t="shared" si="11"/>
        <v>0</v>
      </c>
      <c r="O57" s="258">
        <f t="shared" si="12"/>
        <v>0</v>
      </c>
      <c r="P57" s="260">
        <f t="shared" si="13"/>
        <v>0</v>
      </c>
      <c r="Q57" s="24"/>
      <c r="R57" s="350"/>
      <c r="S57" s="500"/>
      <c r="T57" s="500"/>
      <c r="U57" s="500"/>
      <c r="V57" s="500"/>
      <c r="W57" s="500"/>
    </row>
    <row r="58" spans="1:23" x14ac:dyDescent="0.25">
      <c r="A58" s="79" t="str">
        <f>IF(COUNTBLANK(B58)=1," ",COUNTA($B$13:B58))</f>
        <v xml:space="preserve"> </v>
      </c>
      <c r="B58" s="129"/>
      <c r="C58" s="340" t="s">
        <v>199</v>
      </c>
      <c r="D58" s="115" t="s">
        <v>64</v>
      </c>
      <c r="E58" s="116">
        <f>E53*0.35</f>
        <v>46.55</v>
      </c>
      <c r="F58" s="257"/>
      <c r="G58" s="258"/>
      <c r="H58" s="258">
        <f t="shared" si="7"/>
        <v>0</v>
      </c>
      <c r="I58" s="258"/>
      <c r="J58" s="258"/>
      <c r="K58" s="259">
        <f t="shared" si="8"/>
        <v>0</v>
      </c>
      <c r="L58" s="257">
        <f t="shared" si="9"/>
        <v>0</v>
      </c>
      <c r="M58" s="258">
        <f t="shared" si="10"/>
        <v>0</v>
      </c>
      <c r="N58" s="258">
        <f t="shared" si="11"/>
        <v>0</v>
      </c>
      <c r="O58" s="258">
        <f t="shared" si="12"/>
        <v>0</v>
      </c>
      <c r="P58" s="260">
        <f t="shared" si="13"/>
        <v>0</v>
      </c>
      <c r="Q58" s="24"/>
      <c r="R58" s="350"/>
      <c r="S58" s="500"/>
      <c r="T58" s="500"/>
      <c r="U58" s="500"/>
      <c r="V58" s="500"/>
      <c r="W58" s="500"/>
    </row>
    <row r="59" spans="1:23" x14ac:dyDescent="0.25">
      <c r="A59" s="79">
        <f>IF(COUNTBLANK(B59)=1," ",COUNTA($B$13:B59))</f>
        <v>23</v>
      </c>
      <c r="B59" s="129" t="s">
        <v>58</v>
      </c>
      <c r="C59" s="130" t="s">
        <v>308</v>
      </c>
      <c r="D59" s="18" t="s">
        <v>61</v>
      </c>
      <c r="E59" s="52">
        <v>2</v>
      </c>
      <c r="F59" s="53"/>
      <c r="G59" s="50"/>
      <c r="H59" s="50"/>
      <c r="I59" s="50"/>
      <c r="J59" s="50"/>
      <c r="K59" s="51"/>
      <c r="L59" s="53"/>
      <c r="M59" s="50"/>
      <c r="N59" s="50"/>
      <c r="O59" s="50"/>
      <c r="P59" s="78"/>
      <c r="Q59" s="24"/>
      <c r="R59" s="349"/>
      <c r="S59" s="500"/>
      <c r="T59" s="500"/>
      <c r="U59" s="500"/>
      <c r="V59" s="500"/>
      <c r="W59" s="500"/>
    </row>
    <row r="60" spans="1:23" ht="33.75" x14ac:dyDescent="0.25">
      <c r="A60" s="79">
        <f>IF(COUNTBLANK(B60)=1," ",COUNTA($B$13:B60))</f>
        <v>24</v>
      </c>
      <c r="B60" s="129" t="s">
        <v>58</v>
      </c>
      <c r="C60" s="130" t="s">
        <v>301</v>
      </c>
      <c r="D60" s="18" t="s">
        <v>59</v>
      </c>
      <c r="E60" s="52">
        <f>95*2</f>
        <v>190</v>
      </c>
      <c r="F60" s="53"/>
      <c r="G60" s="50"/>
      <c r="H60" s="50">
        <f t="shared" si="7"/>
        <v>0</v>
      </c>
      <c r="I60" s="50"/>
      <c r="J60" s="50"/>
      <c r="K60" s="51">
        <f t="shared" si="8"/>
        <v>0</v>
      </c>
      <c r="L60" s="53">
        <f t="shared" si="9"/>
        <v>0</v>
      </c>
      <c r="M60" s="50">
        <f t="shared" si="10"/>
        <v>0</v>
      </c>
      <c r="N60" s="50">
        <f t="shared" si="11"/>
        <v>0</v>
      </c>
      <c r="O60" s="50">
        <f t="shared" si="12"/>
        <v>0</v>
      </c>
      <c r="P60" s="78">
        <f t="shared" si="13"/>
        <v>0</v>
      </c>
      <c r="Q60" s="24"/>
      <c r="R60" s="349"/>
      <c r="S60" s="500"/>
      <c r="T60" s="500"/>
      <c r="U60" s="500"/>
      <c r="V60" s="500"/>
      <c r="W60" s="500"/>
    </row>
    <row r="61" spans="1:23" ht="33.75" x14ac:dyDescent="0.25">
      <c r="A61" s="79">
        <f>IF(COUNTBLANK(B61)=1," ",COUNTA($B$13:B61))</f>
        <v>25</v>
      </c>
      <c r="B61" s="129" t="s">
        <v>58</v>
      </c>
      <c r="C61" s="130" t="s">
        <v>302</v>
      </c>
      <c r="D61" s="18" t="s">
        <v>59</v>
      </c>
      <c r="E61" s="52">
        <f>11*16</f>
        <v>176</v>
      </c>
      <c r="F61" s="53"/>
      <c r="G61" s="50"/>
      <c r="H61" s="50">
        <f t="shared" si="7"/>
        <v>0</v>
      </c>
      <c r="I61" s="50"/>
      <c r="J61" s="50"/>
      <c r="K61" s="51">
        <f t="shared" si="8"/>
        <v>0</v>
      </c>
      <c r="L61" s="53">
        <f t="shared" si="9"/>
        <v>0</v>
      </c>
      <c r="M61" s="50">
        <f t="shared" si="10"/>
        <v>0</v>
      </c>
      <c r="N61" s="50">
        <f t="shared" si="11"/>
        <v>0</v>
      </c>
      <c r="O61" s="50">
        <f t="shared" si="12"/>
        <v>0</v>
      </c>
      <c r="P61" s="78">
        <f t="shared" si="13"/>
        <v>0</v>
      </c>
      <c r="Q61" s="24"/>
      <c r="R61" s="349"/>
      <c r="S61" s="500"/>
      <c r="T61" s="500"/>
      <c r="U61" s="500"/>
      <c r="V61" s="500"/>
      <c r="W61" s="500"/>
    </row>
    <row r="62" spans="1:23" x14ac:dyDescent="0.25">
      <c r="A62" s="79">
        <f>IF(COUNTBLANK(B62)=1," ",COUNTA($B$13:B62))</f>
        <v>26</v>
      </c>
      <c r="B62" s="129" t="s">
        <v>58</v>
      </c>
      <c r="C62" s="340" t="s">
        <v>303</v>
      </c>
      <c r="D62" s="115" t="s">
        <v>61</v>
      </c>
      <c r="E62" s="116">
        <v>12</v>
      </c>
      <c r="F62" s="257"/>
      <c r="G62" s="258"/>
      <c r="H62" s="258">
        <f t="shared" si="7"/>
        <v>0</v>
      </c>
      <c r="I62" s="258"/>
      <c r="J62" s="258"/>
      <c r="K62" s="259">
        <f t="shared" si="8"/>
        <v>0</v>
      </c>
      <c r="L62" s="257">
        <f t="shared" si="9"/>
        <v>0</v>
      </c>
      <c r="M62" s="258">
        <f t="shared" si="10"/>
        <v>0</v>
      </c>
      <c r="N62" s="258">
        <f t="shared" si="11"/>
        <v>0</v>
      </c>
      <c r="O62" s="258">
        <f t="shared" si="12"/>
        <v>0</v>
      </c>
      <c r="P62" s="260">
        <f t="shared" si="13"/>
        <v>0</v>
      </c>
      <c r="Q62" s="24"/>
      <c r="R62" s="350"/>
      <c r="S62" s="500"/>
      <c r="T62" s="500"/>
      <c r="U62" s="500"/>
      <c r="V62" s="500"/>
      <c r="W62" s="500"/>
    </row>
    <row r="63" spans="1:23" ht="22.5" x14ac:dyDescent="0.25">
      <c r="A63" s="103">
        <f t="shared" ref="A63:A66" si="14">IF(COUNTBLANK(B63)=1," ",COUNTA($B$13:B63))</f>
        <v>27</v>
      </c>
      <c r="B63" s="120" t="s">
        <v>58</v>
      </c>
      <c r="C63" s="273" t="s">
        <v>204</v>
      </c>
      <c r="D63" s="274" t="s">
        <v>141</v>
      </c>
      <c r="E63" s="123">
        <v>17</v>
      </c>
      <c r="F63" s="272"/>
      <c r="G63" s="258"/>
      <c r="H63" s="258"/>
      <c r="I63" s="258"/>
      <c r="J63" s="258"/>
      <c r="K63" s="259"/>
      <c r="L63" s="257"/>
      <c r="M63" s="258"/>
      <c r="N63" s="258"/>
      <c r="O63" s="258"/>
      <c r="P63" s="260"/>
      <c r="Q63" s="24"/>
      <c r="R63" s="350"/>
      <c r="S63" s="500"/>
      <c r="T63" s="500"/>
      <c r="U63" s="500"/>
      <c r="V63" s="500"/>
      <c r="W63" s="500"/>
    </row>
    <row r="64" spans="1:23" x14ac:dyDescent="0.25">
      <c r="A64" s="103" t="str">
        <f t="shared" si="14"/>
        <v xml:space="preserve"> </v>
      </c>
      <c r="B64" s="122"/>
      <c r="C64" s="273" t="s">
        <v>205</v>
      </c>
      <c r="D64" s="275" t="s">
        <v>64</v>
      </c>
      <c r="E64" s="276">
        <f>E63*16.3959</f>
        <v>278.7303</v>
      </c>
      <c r="F64" s="257"/>
      <c r="G64" s="258"/>
      <c r="H64" s="258"/>
      <c r="I64" s="258"/>
      <c r="J64" s="258"/>
      <c r="K64" s="259"/>
      <c r="L64" s="257"/>
      <c r="M64" s="258"/>
      <c r="N64" s="258"/>
      <c r="O64" s="258"/>
      <c r="P64" s="260"/>
      <c r="Q64" s="24"/>
      <c r="R64" s="350"/>
      <c r="S64" s="500"/>
      <c r="T64" s="500"/>
      <c r="U64" s="500"/>
      <c r="V64" s="500"/>
      <c r="W64" s="500"/>
    </row>
    <row r="65" spans="1:23" ht="22.5" x14ac:dyDescent="0.25">
      <c r="A65" s="103" t="str">
        <f t="shared" si="14"/>
        <v xml:space="preserve"> </v>
      </c>
      <c r="B65" s="122"/>
      <c r="C65" s="273" t="s">
        <v>206</v>
      </c>
      <c r="D65" s="275" t="s">
        <v>85</v>
      </c>
      <c r="E65" s="276">
        <f>E63*6.15</f>
        <v>104.55000000000001</v>
      </c>
      <c r="F65" s="257"/>
      <c r="G65" s="258"/>
      <c r="H65" s="258"/>
      <c r="I65" s="258"/>
      <c r="J65" s="258"/>
      <c r="K65" s="259"/>
      <c r="L65" s="257"/>
      <c r="M65" s="258"/>
      <c r="N65" s="258"/>
      <c r="O65" s="258"/>
      <c r="P65" s="260"/>
      <c r="Q65" s="24"/>
      <c r="R65" s="350"/>
      <c r="S65" s="500"/>
      <c r="T65" s="277"/>
      <c r="U65" s="277"/>
      <c r="V65" s="360"/>
      <c r="W65" s="500"/>
    </row>
    <row r="66" spans="1:23" ht="22.5" x14ac:dyDescent="0.25">
      <c r="A66" s="103" t="str">
        <f t="shared" si="14"/>
        <v xml:space="preserve"> </v>
      </c>
      <c r="B66" s="122"/>
      <c r="C66" s="273" t="s">
        <v>204</v>
      </c>
      <c r="D66" s="275" t="s">
        <v>63</v>
      </c>
      <c r="E66" s="276">
        <f>E63*1.85*1.2</f>
        <v>37.74</v>
      </c>
      <c r="F66" s="257"/>
      <c r="G66" s="258"/>
      <c r="H66" s="258"/>
      <c r="I66" s="258"/>
      <c r="J66" s="258"/>
      <c r="K66" s="259"/>
      <c r="L66" s="257"/>
      <c r="M66" s="258"/>
      <c r="N66" s="258"/>
      <c r="O66" s="258"/>
      <c r="P66" s="260"/>
      <c r="Q66" s="24"/>
      <c r="R66" s="350"/>
      <c r="S66" s="500"/>
      <c r="T66" s="277"/>
      <c r="U66" s="277"/>
      <c r="V66" s="360"/>
      <c r="W66" s="500"/>
    </row>
    <row r="67" spans="1:23" x14ac:dyDescent="0.25">
      <c r="A67" s="79" t="str">
        <f>IF(COUNTBLANK(B67)=1," ",COUNTA($B$13:B67))</f>
        <v xml:space="preserve"> </v>
      </c>
      <c r="B67" s="129"/>
      <c r="C67" s="130" t="s">
        <v>200</v>
      </c>
      <c r="D67" s="18"/>
      <c r="E67" s="52"/>
      <c r="F67" s="53"/>
      <c r="G67" s="50"/>
      <c r="H67" s="50">
        <f t="shared" si="7"/>
        <v>0</v>
      </c>
      <c r="I67" s="50"/>
      <c r="J67" s="50"/>
      <c r="K67" s="51">
        <f t="shared" si="8"/>
        <v>0</v>
      </c>
      <c r="L67" s="53">
        <f t="shared" si="9"/>
        <v>0</v>
      </c>
      <c r="M67" s="50">
        <f t="shared" si="10"/>
        <v>0</v>
      </c>
      <c r="N67" s="50">
        <f t="shared" si="11"/>
        <v>0</v>
      </c>
      <c r="O67" s="50">
        <f t="shared" si="12"/>
        <v>0</v>
      </c>
      <c r="P67" s="78">
        <f t="shared" si="13"/>
        <v>0</v>
      </c>
      <c r="Q67" s="24"/>
      <c r="R67" s="349"/>
      <c r="S67" s="500"/>
      <c r="T67" s="500"/>
      <c r="U67" s="500"/>
      <c r="V67" s="500"/>
      <c r="W67" s="500"/>
    </row>
    <row r="68" spans="1:23" ht="12" thickBot="1" x14ac:dyDescent="0.3">
      <c r="A68" s="79">
        <f>IF(COUNTBLANK(B68)=1," ",COUNTA($B$13:B68))</f>
        <v>28</v>
      </c>
      <c r="B68" s="129" t="s">
        <v>58</v>
      </c>
      <c r="C68" s="130" t="s">
        <v>201</v>
      </c>
      <c r="D68" s="18" t="s">
        <v>141</v>
      </c>
      <c r="E68" s="52">
        <v>1</v>
      </c>
      <c r="F68" s="53"/>
      <c r="G68" s="50"/>
      <c r="H68" s="50">
        <f t="shared" si="7"/>
        <v>0</v>
      </c>
      <c r="I68" s="50"/>
      <c r="J68" s="50"/>
      <c r="K68" s="51">
        <f t="shared" si="8"/>
        <v>0</v>
      </c>
      <c r="L68" s="53">
        <f t="shared" si="9"/>
        <v>0</v>
      </c>
      <c r="M68" s="50">
        <f t="shared" si="10"/>
        <v>0</v>
      </c>
      <c r="N68" s="50">
        <f t="shared" si="11"/>
        <v>0</v>
      </c>
      <c r="O68" s="50">
        <f t="shared" si="12"/>
        <v>0</v>
      </c>
      <c r="P68" s="78">
        <f t="shared" si="13"/>
        <v>0</v>
      </c>
      <c r="Q68" s="24"/>
      <c r="R68" s="349"/>
      <c r="S68" s="500"/>
      <c r="T68" s="500"/>
      <c r="U68" s="500"/>
      <c r="V68" s="500"/>
      <c r="W68" s="500"/>
    </row>
    <row r="69" spans="1:23" ht="10.7" customHeight="1" thickBot="1" x14ac:dyDescent="0.3">
      <c r="A69" s="428" t="s">
        <v>486</v>
      </c>
      <c r="B69" s="429"/>
      <c r="C69" s="429"/>
      <c r="D69" s="429"/>
      <c r="E69" s="429"/>
      <c r="F69" s="429"/>
      <c r="G69" s="429"/>
      <c r="H69" s="429"/>
      <c r="I69" s="429"/>
      <c r="J69" s="429"/>
      <c r="K69" s="430"/>
      <c r="L69" s="54">
        <f>SUM(L14:L68)</f>
        <v>0</v>
      </c>
      <c r="M69" s="55">
        <f>SUM(M14:M68)</f>
        <v>0</v>
      </c>
      <c r="N69" s="55">
        <f>SUM(N14:N68)</f>
        <v>0</v>
      </c>
      <c r="O69" s="55">
        <f>SUM(O14:O68)</f>
        <v>0</v>
      </c>
      <c r="P69" s="56">
        <f>SUM(P14:P68)</f>
        <v>0</v>
      </c>
      <c r="Q69" s="24"/>
      <c r="R69" s="500"/>
      <c r="S69" s="500"/>
      <c r="T69" s="500"/>
      <c r="U69" s="500"/>
      <c r="V69" s="500"/>
      <c r="W69" s="500"/>
    </row>
    <row r="70" spans="1:23" x14ac:dyDescent="0.25">
      <c r="A70" s="24"/>
      <c r="B70" s="24"/>
      <c r="C70" s="24"/>
      <c r="D70" s="24"/>
      <c r="E70" s="24"/>
      <c r="F70" s="24"/>
      <c r="G70" s="24"/>
      <c r="H70" s="24"/>
      <c r="I70" s="24"/>
      <c r="J70" s="24"/>
      <c r="K70" s="24"/>
      <c r="L70" s="24"/>
      <c r="M70" s="24"/>
      <c r="N70" s="24"/>
      <c r="O70" s="24"/>
      <c r="P70" s="24"/>
      <c r="Q70" s="24"/>
      <c r="R70" s="500"/>
      <c r="S70" s="500"/>
      <c r="T70" s="500"/>
      <c r="U70" s="500"/>
      <c r="V70" s="500"/>
      <c r="W70" s="500"/>
    </row>
    <row r="71" spans="1:23" x14ac:dyDescent="0.25">
      <c r="A71" s="24"/>
      <c r="B71" s="24"/>
      <c r="C71" s="24"/>
      <c r="D71" s="24"/>
      <c r="E71" s="24"/>
      <c r="F71" s="24"/>
      <c r="G71" s="24"/>
      <c r="H71" s="24"/>
      <c r="I71" s="24"/>
      <c r="J71" s="24"/>
      <c r="K71" s="24"/>
      <c r="L71" s="24"/>
      <c r="M71" s="24"/>
      <c r="N71" s="24"/>
      <c r="O71" s="24"/>
      <c r="P71" s="24"/>
      <c r="Q71" s="24"/>
      <c r="R71" s="500"/>
      <c r="S71" s="500"/>
      <c r="T71" s="500"/>
      <c r="U71" s="500"/>
      <c r="V71" s="500"/>
      <c r="W71" s="500"/>
    </row>
    <row r="72" spans="1:23" x14ac:dyDescent="0.25">
      <c r="A72" s="16" t="s">
        <v>14</v>
      </c>
      <c r="B72" s="24"/>
      <c r="C72" s="427">
        <f>'Kops a'!C38:H38</f>
        <v>0</v>
      </c>
      <c r="D72" s="427"/>
      <c r="E72" s="427"/>
      <c r="F72" s="427"/>
      <c r="G72" s="427"/>
      <c r="H72" s="427"/>
      <c r="I72" s="24"/>
      <c r="J72" s="24"/>
      <c r="K72" s="24"/>
      <c r="L72" s="24"/>
      <c r="M72" s="24"/>
      <c r="N72" s="24"/>
      <c r="O72" s="24"/>
      <c r="P72" s="24"/>
      <c r="Q72" s="24"/>
      <c r="R72" s="500"/>
      <c r="S72" s="500"/>
      <c r="T72" s="500"/>
      <c r="U72" s="500"/>
      <c r="V72" s="500"/>
      <c r="W72" s="500"/>
    </row>
    <row r="73" spans="1:23" x14ac:dyDescent="0.25">
      <c r="A73" s="24"/>
      <c r="B73" s="24"/>
      <c r="C73" s="426" t="s">
        <v>15</v>
      </c>
      <c r="D73" s="426"/>
      <c r="E73" s="426"/>
      <c r="F73" s="426"/>
      <c r="G73" s="426"/>
      <c r="H73" s="426"/>
      <c r="I73" s="24"/>
      <c r="J73" s="24"/>
      <c r="K73" s="24"/>
      <c r="L73" s="24"/>
      <c r="M73" s="24"/>
      <c r="N73" s="24"/>
      <c r="O73" s="24"/>
      <c r="P73" s="24"/>
      <c r="Q73" s="24"/>
    </row>
    <row r="74" spans="1:23" x14ac:dyDescent="0.25">
      <c r="A74" s="24"/>
      <c r="B74" s="24"/>
      <c r="C74" s="24"/>
      <c r="D74" s="24"/>
      <c r="E74" s="24"/>
      <c r="F74" s="24"/>
      <c r="G74" s="24"/>
      <c r="H74" s="24"/>
      <c r="I74" s="24"/>
      <c r="J74" s="24"/>
      <c r="K74" s="24"/>
      <c r="L74" s="24"/>
      <c r="M74" s="24"/>
      <c r="N74" s="24"/>
      <c r="O74" s="24"/>
      <c r="P74" s="24"/>
      <c r="Q74" s="24"/>
    </row>
    <row r="75" spans="1:23" x14ac:dyDescent="0.25">
      <c r="A75" s="132" t="str">
        <f>'Kops a'!A41</f>
        <v>Tāme sastādīta 2021. gada</v>
      </c>
      <c r="B75" s="133"/>
      <c r="C75" s="133"/>
      <c r="D75" s="133"/>
      <c r="E75" s="24"/>
      <c r="F75" s="24"/>
      <c r="G75" s="24"/>
      <c r="H75" s="24"/>
      <c r="I75" s="24"/>
      <c r="J75" s="24"/>
      <c r="K75" s="24"/>
      <c r="L75" s="24"/>
      <c r="M75" s="24"/>
      <c r="N75" s="24"/>
      <c r="O75" s="24"/>
      <c r="P75" s="24"/>
      <c r="Q75" s="24"/>
    </row>
    <row r="76" spans="1:23" x14ac:dyDescent="0.25">
      <c r="A76" s="24"/>
      <c r="B76" s="24"/>
      <c r="C76" s="24"/>
      <c r="D76" s="24"/>
      <c r="E76" s="24"/>
      <c r="F76" s="24"/>
      <c r="G76" s="24"/>
      <c r="H76" s="24"/>
      <c r="I76" s="24"/>
      <c r="J76" s="24"/>
      <c r="K76" s="24"/>
      <c r="L76" s="24"/>
      <c r="M76" s="24"/>
      <c r="N76" s="24"/>
      <c r="O76" s="24"/>
      <c r="P76" s="24"/>
      <c r="Q76" s="24"/>
    </row>
    <row r="77" spans="1:23" x14ac:dyDescent="0.25">
      <c r="A77" s="16" t="s">
        <v>37</v>
      </c>
      <c r="B77" s="24"/>
      <c r="C77" s="427">
        <f>'Kops a'!C43:H43</f>
        <v>0</v>
      </c>
      <c r="D77" s="427"/>
      <c r="E77" s="427"/>
      <c r="F77" s="427"/>
      <c r="G77" s="427"/>
      <c r="H77" s="427"/>
      <c r="I77" s="24"/>
      <c r="J77" s="24"/>
      <c r="K77" s="24"/>
      <c r="L77" s="24"/>
      <c r="M77" s="24"/>
      <c r="N77" s="24"/>
      <c r="O77" s="24"/>
      <c r="P77" s="24"/>
      <c r="Q77" s="24"/>
    </row>
    <row r="78" spans="1:23" x14ac:dyDescent="0.25">
      <c r="A78" s="24"/>
      <c r="B78" s="24"/>
      <c r="C78" s="426" t="s">
        <v>15</v>
      </c>
      <c r="D78" s="426"/>
      <c r="E78" s="426"/>
      <c r="F78" s="426"/>
      <c r="G78" s="426"/>
      <c r="H78" s="426"/>
      <c r="I78" s="24"/>
      <c r="J78" s="24"/>
      <c r="K78" s="24"/>
      <c r="L78" s="24"/>
      <c r="M78" s="24"/>
      <c r="N78" s="24"/>
      <c r="O78" s="24"/>
      <c r="P78" s="24"/>
      <c r="Q78" s="24"/>
    </row>
    <row r="79" spans="1:23" x14ac:dyDescent="0.25">
      <c r="A79" s="24"/>
      <c r="B79" s="24"/>
      <c r="C79" s="24"/>
      <c r="D79" s="24"/>
      <c r="E79" s="24"/>
      <c r="F79" s="24"/>
      <c r="G79" s="24"/>
      <c r="H79" s="24"/>
      <c r="I79" s="24"/>
      <c r="J79" s="24"/>
      <c r="K79" s="24"/>
      <c r="L79" s="24"/>
      <c r="M79" s="24"/>
      <c r="N79" s="24"/>
      <c r="O79" s="24"/>
      <c r="P79" s="24"/>
      <c r="Q79" s="24"/>
    </row>
    <row r="80" spans="1:23" x14ac:dyDescent="0.25">
      <c r="A80" s="132" t="s">
        <v>54</v>
      </c>
      <c r="B80" s="133"/>
      <c r="C80" s="134">
        <f>'Kops a'!C46</f>
        <v>0</v>
      </c>
      <c r="D80" s="133"/>
      <c r="E80" s="24"/>
      <c r="F80" s="24"/>
      <c r="G80" s="24"/>
      <c r="H80" s="24"/>
      <c r="I80" s="24"/>
      <c r="J80" s="24"/>
      <c r="K80" s="24"/>
      <c r="L80" s="24"/>
      <c r="M80" s="24"/>
      <c r="N80" s="24"/>
      <c r="O80" s="24"/>
      <c r="P80" s="24"/>
      <c r="Q80" s="24"/>
    </row>
    <row r="81" spans="1:17" x14ac:dyDescent="0.25">
      <c r="A81" s="24"/>
      <c r="B81" s="24"/>
      <c r="C81" s="24"/>
      <c r="D81" s="24"/>
      <c r="E81" s="24"/>
      <c r="F81" s="24"/>
      <c r="G81" s="24"/>
      <c r="H81" s="24"/>
      <c r="I81" s="24"/>
      <c r="J81" s="24"/>
      <c r="K81" s="24"/>
      <c r="L81" s="24"/>
      <c r="M81" s="24"/>
      <c r="N81" s="24"/>
      <c r="O81" s="24"/>
      <c r="P81" s="24"/>
      <c r="Q81" s="24"/>
    </row>
    <row r="82" spans="1:17" ht="12" x14ac:dyDescent="0.25">
      <c r="A82" s="135" t="s">
        <v>89</v>
      </c>
      <c r="B82" s="136"/>
      <c r="C82" s="109"/>
      <c r="D82" s="109"/>
      <c r="E82" s="109"/>
      <c r="F82" s="110"/>
      <c r="G82" s="109"/>
      <c r="H82" s="111"/>
      <c r="I82" s="111"/>
      <c r="J82" s="112"/>
      <c r="K82" s="113"/>
      <c r="L82" s="113"/>
      <c r="M82" s="113"/>
      <c r="N82" s="113"/>
      <c r="O82" s="113"/>
    </row>
    <row r="83" spans="1:17" ht="12" x14ac:dyDescent="0.25">
      <c r="A83" s="409" t="s">
        <v>90</v>
      </c>
      <c r="B83" s="409"/>
      <c r="C83" s="409"/>
      <c r="D83" s="409"/>
      <c r="E83" s="409"/>
      <c r="F83" s="409"/>
      <c r="G83" s="409"/>
      <c r="H83" s="409"/>
      <c r="I83" s="409"/>
      <c r="J83" s="409"/>
      <c r="K83" s="409"/>
      <c r="L83" s="409"/>
      <c r="M83" s="409"/>
      <c r="N83" s="409"/>
      <c r="O83" s="409"/>
    </row>
    <row r="84" spans="1:17" ht="12" x14ac:dyDescent="0.25">
      <c r="A84" s="409" t="s">
        <v>91</v>
      </c>
      <c r="B84" s="409"/>
      <c r="C84" s="409"/>
      <c r="D84" s="409"/>
      <c r="E84" s="409"/>
      <c r="F84" s="409"/>
      <c r="G84" s="409"/>
      <c r="H84" s="409"/>
      <c r="I84" s="409"/>
      <c r="J84" s="409"/>
      <c r="K84" s="409"/>
      <c r="L84" s="409"/>
      <c r="M84" s="409"/>
      <c r="N84" s="409"/>
      <c r="O84" s="409"/>
    </row>
  </sheetData>
  <mergeCells count="25">
    <mergeCell ref="D7:L7"/>
    <mergeCell ref="C2:I2"/>
    <mergeCell ref="C3:I3"/>
    <mergeCell ref="C4:I4"/>
    <mergeCell ref="D5:L5"/>
    <mergeCell ref="D6:L6"/>
    <mergeCell ref="D8:L8"/>
    <mergeCell ref="A9:F9"/>
    <mergeCell ref="J9:M9"/>
    <mergeCell ref="N9:O9"/>
    <mergeCell ref="A12:A13"/>
    <mergeCell ref="B12:B13"/>
    <mergeCell ref="C12:C13"/>
    <mergeCell ref="D12:D13"/>
    <mergeCell ref="E12:E13"/>
    <mergeCell ref="F12:K12"/>
    <mergeCell ref="Q36:Q37"/>
    <mergeCell ref="A83:O83"/>
    <mergeCell ref="A84:O84"/>
    <mergeCell ref="L12:P12"/>
    <mergeCell ref="A69:K69"/>
    <mergeCell ref="C72:H72"/>
    <mergeCell ref="C73:H73"/>
    <mergeCell ref="C77:H77"/>
    <mergeCell ref="C78:H78"/>
  </mergeCells>
  <conditionalFormatting sqref="A38:G40 C25 F41:G48 A49:G62 I67:J68 A67:G68 A14:A18 B15:G18 C27:G27 F19:G26 C28 I14:J62 A25:B37 C30 F28:G31 C32:G37">
    <cfRule type="cellIs" dxfId="82" priority="34" operator="equal">
      <formula>0</formula>
    </cfRule>
  </conditionalFormatting>
  <conditionalFormatting sqref="N9:O9 K67:P68 H67:H68 H14:H62 K14:P62">
    <cfRule type="cellIs" dxfId="81" priority="33" operator="equal">
      <formula>0</formula>
    </cfRule>
  </conditionalFormatting>
  <conditionalFormatting sqref="A9:F9">
    <cfRule type="containsText" dxfId="80" priority="32"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79" priority="31" operator="equal">
      <formula>0</formula>
    </cfRule>
  </conditionalFormatting>
  <conditionalFormatting sqref="O10">
    <cfRule type="cellIs" dxfId="78" priority="30" operator="equal">
      <formula>"20__. gada __. _________"</formula>
    </cfRule>
  </conditionalFormatting>
  <conditionalFormatting sqref="L69:P69">
    <cfRule type="cellIs" dxfId="77" priority="28" operator="equal">
      <formula>0</formula>
    </cfRule>
  </conditionalFormatting>
  <conditionalFormatting sqref="C4:I4">
    <cfRule type="cellIs" dxfId="76" priority="27" operator="equal">
      <formula>0</formula>
    </cfRule>
  </conditionalFormatting>
  <conditionalFormatting sqref="D5:L8">
    <cfRule type="cellIs" dxfId="75" priority="25" operator="equal">
      <formula>0</formula>
    </cfRule>
  </conditionalFormatting>
  <conditionalFormatting sqref="B14 D14:G14">
    <cfRule type="cellIs" dxfId="74" priority="24" operator="equal">
      <formula>0</formula>
    </cfRule>
  </conditionalFormatting>
  <conditionalFormatting sqref="C14">
    <cfRule type="cellIs" dxfId="73" priority="23" operator="equal">
      <formula>0</formula>
    </cfRule>
  </conditionalFormatting>
  <conditionalFormatting sqref="P10:Q10">
    <cfRule type="cellIs" dxfId="72" priority="21" operator="equal">
      <formula>"20__. gada __. _________"</formula>
    </cfRule>
  </conditionalFormatting>
  <conditionalFormatting sqref="C77:H77">
    <cfRule type="cellIs" dxfId="71" priority="18" operator="equal">
      <formula>0</formula>
    </cfRule>
  </conditionalFormatting>
  <conditionalFormatting sqref="C72:H72">
    <cfRule type="cellIs" dxfId="70" priority="17" operator="equal">
      <formula>0</formula>
    </cfRule>
  </conditionalFormatting>
  <conditionalFormatting sqref="C77:H77 C80 C72:H72">
    <cfRule type="cellIs" dxfId="69" priority="16" operator="equal">
      <formula>0</formula>
    </cfRule>
  </conditionalFormatting>
  <conditionalFormatting sqref="D1">
    <cfRule type="cellIs" dxfId="68" priority="15" operator="equal">
      <formula>0</formula>
    </cfRule>
  </conditionalFormatting>
  <conditionalFormatting sqref="I63:J66 A63:G66">
    <cfRule type="cellIs" dxfId="67" priority="13" operator="equal">
      <formula>0</formula>
    </cfRule>
  </conditionalFormatting>
  <conditionalFormatting sqref="H63:H66 K63:P66">
    <cfRule type="cellIs" dxfId="66" priority="12" operator="equal">
      <formula>0</formula>
    </cfRule>
  </conditionalFormatting>
  <conditionalFormatting sqref="A19:E24">
    <cfRule type="cellIs" dxfId="65" priority="10" operator="equal">
      <formula>0</formula>
    </cfRule>
  </conditionalFormatting>
  <conditionalFormatting sqref="A41:D41 A42:E48">
    <cfRule type="cellIs" dxfId="64" priority="9" operator="equal">
      <formula>0</formula>
    </cfRule>
  </conditionalFormatting>
  <conditionalFormatting sqref="C26">
    <cfRule type="cellIs" dxfId="63" priority="8" operator="equal">
      <formula>0</formula>
    </cfRule>
  </conditionalFormatting>
  <conditionalFormatting sqref="D25:E26">
    <cfRule type="cellIs" dxfId="62" priority="7" operator="equal">
      <formula>0</formula>
    </cfRule>
  </conditionalFormatting>
  <conditionalFormatting sqref="D28:E29">
    <cfRule type="cellIs" dxfId="61" priority="6" operator="equal">
      <formula>0</formula>
    </cfRule>
  </conditionalFormatting>
  <conditionalFormatting sqref="C29">
    <cfRule type="cellIs" dxfId="60" priority="5" operator="equal">
      <formula>0</formula>
    </cfRule>
  </conditionalFormatting>
  <conditionalFormatting sqref="D30:E31">
    <cfRule type="cellIs" dxfId="59" priority="4" operator="equal">
      <formula>0</formula>
    </cfRule>
  </conditionalFormatting>
  <conditionalFormatting sqref="C31">
    <cfRule type="cellIs" dxfId="58" priority="3" operator="equal">
      <formula>0</formula>
    </cfRule>
  </conditionalFormatting>
  <conditionalFormatting sqref="E41">
    <cfRule type="cellIs" dxfId="57" priority="2" operator="equal">
      <formula>0</formula>
    </cfRule>
  </conditionalFormatting>
  <conditionalFormatting sqref="A69:K69">
    <cfRule type="containsText" dxfId="56" priority="1" operator="containsText" text="Tiešās izmaksas kopā, t. sk. darba devēja sociālais nodoklis __.__% ">
      <formula>NOT(ISERROR(SEARCH("Tiešās izmaksas kopā, t. sk. darba devēja sociālais nodoklis __.__% ",A69)))</formula>
    </cfRule>
  </conditionalFormatting>
  <pageMargins left="0" right="0" top="0.78740157480314965" bottom="0.39370078740157483" header="0" footer="0.31496062992125984"/>
  <pageSetup scale="78" orientation="landscape" r:id="rId1"/>
  <ignoredErrors>
    <ignoredError sqref="E30:E31" formula="1"/>
  </ignoredErrors>
  <legacyDrawing r:id="rId2"/>
  <extLst>
    <ext xmlns:x14="http://schemas.microsoft.com/office/spreadsheetml/2009/9/main" uri="{78C0D931-6437-407d-A8EE-F0AAD7539E65}">
      <x14:conditionalFormattings>
        <x14:conditionalFormatting xmlns:xm="http://schemas.microsoft.com/office/excel/2006/main">
          <x14:cfRule type="containsText" priority="20" operator="containsText" id="{1B7D6FAC-35A8-45F6-9A73-E88655E02A72}">
            <xm:f>NOT(ISERROR(SEARCH("Tāme sastādīta ____. gada ___. ______________",A75)))</xm:f>
            <xm:f>"Tāme sastādīta ____. gada ___. ______________"</xm:f>
            <x14:dxf>
              <font>
                <color auto="1"/>
              </font>
              <fill>
                <patternFill>
                  <bgColor rgb="FFC6EFCE"/>
                </patternFill>
              </fill>
            </x14:dxf>
          </x14:cfRule>
          <xm:sqref>A75</xm:sqref>
        </x14:conditionalFormatting>
        <x14:conditionalFormatting xmlns:xm="http://schemas.microsoft.com/office/excel/2006/main">
          <x14:cfRule type="containsText" priority="19" operator="containsText" id="{F7372EA0-43FF-4B85-9330-1DCDDC6C5BDF}">
            <xm:f>NOT(ISERROR(SEARCH("Sertifikāta Nr. _________________________________",A80)))</xm:f>
            <xm:f>"Sertifikāta Nr. _________________________________"</xm:f>
            <x14:dxf>
              <font>
                <color auto="1"/>
              </font>
              <fill>
                <patternFill>
                  <bgColor rgb="FFC6EFCE"/>
                </patternFill>
              </fill>
            </x14:dxf>
          </x14:cfRule>
          <xm:sqref>A80</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U68"/>
  <sheetViews>
    <sheetView topLeftCell="A28" zoomScale="115" zoomScaleNormal="115" zoomScaleSheetLayoutView="130" workbookViewId="0">
      <selection activeCell="G85" sqref="G85"/>
    </sheetView>
  </sheetViews>
  <sheetFormatPr defaultColWidth="9.140625" defaultRowHeight="11.25" x14ac:dyDescent="0.2"/>
  <cols>
    <col min="1" max="1" width="4.5703125" style="1" customWidth="1"/>
    <col min="2" max="2" width="5.28515625" style="1" customWidth="1"/>
    <col min="3" max="3" width="59.140625" style="1" bestFit="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17" style="1" customWidth="1"/>
    <col min="18" max="18" width="53.140625" style="1" bestFit="1" customWidth="1"/>
    <col min="19" max="16384" width="9.140625" style="1"/>
  </cols>
  <sheetData>
    <row r="1" spans="1:17" x14ac:dyDescent="0.2">
      <c r="A1" s="16"/>
      <c r="B1" s="16"/>
      <c r="C1" s="20" t="s">
        <v>38</v>
      </c>
      <c r="D1" s="37">
        <f>'Kops a'!A21</f>
        <v>7</v>
      </c>
      <c r="E1" s="16"/>
      <c r="F1" s="16"/>
      <c r="G1" s="16"/>
      <c r="H1" s="16"/>
      <c r="I1" s="16"/>
      <c r="J1" s="16"/>
      <c r="N1" s="19"/>
      <c r="O1" s="20"/>
      <c r="P1" s="21"/>
    </row>
    <row r="2" spans="1:17" x14ac:dyDescent="0.2">
      <c r="A2" s="22"/>
      <c r="B2" s="22"/>
      <c r="C2" s="410" t="s">
        <v>290</v>
      </c>
      <c r="D2" s="410"/>
      <c r="E2" s="410"/>
      <c r="F2" s="410"/>
      <c r="G2" s="410"/>
      <c r="H2" s="410"/>
      <c r="I2" s="410"/>
      <c r="J2" s="22"/>
    </row>
    <row r="3" spans="1:17" x14ac:dyDescent="0.2">
      <c r="A3" s="23"/>
      <c r="B3" s="23"/>
      <c r="C3" s="372" t="s">
        <v>17</v>
      </c>
      <c r="D3" s="372"/>
      <c r="E3" s="372"/>
      <c r="F3" s="372"/>
      <c r="G3" s="372"/>
      <c r="H3" s="372"/>
      <c r="I3" s="372"/>
      <c r="J3" s="23"/>
    </row>
    <row r="4" spans="1:17" x14ac:dyDescent="0.2">
      <c r="A4" s="23"/>
      <c r="B4" s="23"/>
      <c r="C4" s="412" t="s">
        <v>52</v>
      </c>
      <c r="D4" s="412"/>
      <c r="E4" s="412"/>
      <c r="F4" s="412"/>
      <c r="G4" s="412"/>
      <c r="H4" s="412"/>
      <c r="I4" s="412"/>
      <c r="J4" s="23"/>
    </row>
    <row r="5" spans="1:17" x14ac:dyDescent="0.2">
      <c r="A5" s="16"/>
      <c r="B5" s="16"/>
      <c r="C5" s="20" t="s">
        <v>5</v>
      </c>
      <c r="D5" s="433" t="str">
        <f>'Kops a'!D6</f>
        <v>Dzīvojamās ēkas vienkāršotā atjaunošana</v>
      </c>
      <c r="E5" s="433"/>
      <c r="F5" s="433"/>
      <c r="G5" s="433"/>
      <c r="H5" s="433"/>
      <c r="I5" s="433"/>
      <c r="J5" s="433"/>
      <c r="K5" s="433"/>
      <c r="L5" s="433"/>
      <c r="M5" s="12"/>
      <c r="N5" s="12"/>
      <c r="O5" s="12"/>
      <c r="P5" s="12"/>
    </row>
    <row r="6" spans="1:17" x14ac:dyDescent="0.2">
      <c r="A6" s="16"/>
      <c r="B6" s="16"/>
      <c r="C6" s="20" t="s">
        <v>6</v>
      </c>
      <c r="D6" s="433" t="str">
        <f>'Kops a'!D7</f>
        <v>Daudzdzīvokļu dzīvojamās mājas energoefektivitātes paaugstināšanas pasākumi</v>
      </c>
      <c r="E6" s="433"/>
      <c r="F6" s="433"/>
      <c r="G6" s="433"/>
      <c r="H6" s="433"/>
      <c r="I6" s="433"/>
      <c r="J6" s="433"/>
      <c r="K6" s="433"/>
      <c r="L6" s="433"/>
      <c r="M6" s="12"/>
      <c r="N6" s="12"/>
      <c r="O6" s="12"/>
      <c r="P6" s="12"/>
    </row>
    <row r="7" spans="1:17" x14ac:dyDescent="0.2">
      <c r="A7" s="16"/>
      <c r="B7" s="16"/>
      <c r="C7" s="20" t="s">
        <v>7</v>
      </c>
      <c r="D7" s="433" t="str">
        <f>'Kops a'!D8</f>
        <v xml:space="preserve">Atmodas bulvārī 12, Liepājā. </v>
      </c>
      <c r="E7" s="433"/>
      <c r="F7" s="433"/>
      <c r="G7" s="433"/>
      <c r="H7" s="433"/>
      <c r="I7" s="433"/>
      <c r="J7" s="433"/>
      <c r="K7" s="433"/>
      <c r="L7" s="433"/>
      <c r="M7" s="12"/>
      <c r="N7" s="12"/>
      <c r="O7" s="12"/>
      <c r="P7" s="12"/>
    </row>
    <row r="8" spans="1:17" x14ac:dyDescent="0.2">
      <c r="A8" s="16"/>
      <c r="B8" s="16"/>
      <c r="C8" s="97" t="s">
        <v>20</v>
      </c>
      <c r="D8" s="433" t="str">
        <f>'Kops a'!D9</f>
        <v>WS-5-18</v>
      </c>
      <c r="E8" s="433"/>
      <c r="F8" s="433"/>
      <c r="G8" s="433"/>
      <c r="H8" s="433"/>
      <c r="I8" s="433"/>
      <c r="J8" s="433"/>
      <c r="K8" s="433"/>
      <c r="L8" s="433"/>
      <c r="M8" s="12"/>
      <c r="N8" s="12"/>
      <c r="O8" s="12"/>
      <c r="P8" s="12"/>
    </row>
    <row r="9" spans="1:17" ht="11.25" customHeight="1" x14ac:dyDescent="0.2">
      <c r="A9" s="413" t="s">
        <v>493</v>
      </c>
      <c r="B9" s="413"/>
      <c r="C9" s="413"/>
      <c r="D9" s="413"/>
      <c r="E9" s="413"/>
      <c r="F9" s="413"/>
      <c r="G9" s="24"/>
      <c r="H9" s="24"/>
      <c r="I9" s="24"/>
      <c r="J9" s="417" t="s">
        <v>39</v>
      </c>
      <c r="K9" s="417"/>
      <c r="L9" s="417"/>
      <c r="M9" s="417"/>
      <c r="N9" s="424">
        <f>P53</f>
        <v>0</v>
      </c>
      <c r="O9" s="424"/>
      <c r="P9" s="24"/>
    </row>
    <row r="10" spans="1:17" x14ac:dyDescent="0.2">
      <c r="A10" s="25"/>
      <c r="B10" s="26"/>
      <c r="C10" s="97"/>
      <c r="D10" s="16"/>
      <c r="E10" s="16"/>
      <c r="F10" s="16"/>
      <c r="G10" s="16"/>
      <c r="H10" s="16"/>
      <c r="I10" s="16"/>
      <c r="J10" s="16"/>
      <c r="K10" s="16"/>
      <c r="L10" s="22"/>
      <c r="M10" s="22"/>
      <c r="O10" s="71"/>
      <c r="P10" s="70" t="str">
        <f>A59</f>
        <v>Tāme sastādīta 2021. gada</v>
      </c>
    </row>
    <row r="11" spans="1:17" ht="12" thickBot="1" x14ac:dyDescent="0.25">
      <c r="A11" s="25"/>
      <c r="B11" s="26"/>
      <c r="C11" s="97"/>
      <c r="D11" s="16"/>
      <c r="E11" s="16"/>
      <c r="F11" s="16"/>
      <c r="G11" s="16"/>
      <c r="H11" s="16"/>
      <c r="I11" s="16"/>
      <c r="J11" s="16"/>
      <c r="K11" s="16"/>
      <c r="L11" s="27"/>
      <c r="M11" s="27"/>
      <c r="N11" s="28"/>
      <c r="O11" s="19"/>
      <c r="P11" s="16"/>
    </row>
    <row r="12" spans="1:17" x14ac:dyDescent="0.2">
      <c r="A12" s="383" t="s">
        <v>23</v>
      </c>
      <c r="B12" s="419" t="s">
        <v>40</v>
      </c>
      <c r="C12" s="415" t="s">
        <v>41</v>
      </c>
      <c r="D12" s="422" t="s">
        <v>42</v>
      </c>
      <c r="E12" s="431" t="s">
        <v>43</v>
      </c>
      <c r="F12" s="414" t="s">
        <v>44</v>
      </c>
      <c r="G12" s="415"/>
      <c r="H12" s="415"/>
      <c r="I12" s="415"/>
      <c r="J12" s="415"/>
      <c r="K12" s="416"/>
      <c r="L12" s="414" t="s">
        <v>45</v>
      </c>
      <c r="M12" s="415"/>
      <c r="N12" s="415"/>
      <c r="O12" s="415"/>
      <c r="P12" s="416"/>
    </row>
    <row r="13" spans="1:17" ht="88.9" customHeight="1" thickBot="1" x14ac:dyDescent="0.25">
      <c r="A13" s="418"/>
      <c r="B13" s="420"/>
      <c r="C13" s="421"/>
      <c r="D13" s="423"/>
      <c r="E13" s="432"/>
      <c r="F13" s="101" t="s">
        <v>46</v>
      </c>
      <c r="G13" s="102" t="s">
        <v>47</v>
      </c>
      <c r="H13" s="102" t="s">
        <v>48</v>
      </c>
      <c r="I13" s="102" t="s">
        <v>49</v>
      </c>
      <c r="J13" s="102" t="s">
        <v>50</v>
      </c>
      <c r="K13" s="46" t="s">
        <v>51</v>
      </c>
      <c r="L13" s="101" t="s">
        <v>46</v>
      </c>
      <c r="M13" s="102" t="s">
        <v>48</v>
      </c>
      <c r="N13" s="102" t="s">
        <v>49</v>
      </c>
      <c r="O13" s="102" t="s">
        <v>50</v>
      </c>
      <c r="P13" s="46" t="s">
        <v>51</v>
      </c>
    </row>
    <row r="14" spans="1:17" x14ac:dyDescent="0.2">
      <c r="A14" s="178">
        <f>IF(COUNTBLANK(B14)=1," ",COUNTA($B$13:B14))</f>
        <v>1</v>
      </c>
      <c r="B14" s="179" t="s">
        <v>58</v>
      </c>
      <c r="C14" s="180" t="s">
        <v>309</v>
      </c>
      <c r="D14" s="269" t="s">
        <v>85</v>
      </c>
      <c r="E14" s="270">
        <v>34</v>
      </c>
      <c r="F14" s="257"/>
      <c r="G14" s="258"/>
      <c r="H14" s="258">
        <f>ROUND(F14*G14,2)</f>
        <v>0</v>
      </c>
      <c r="I14" s="258"/>
      <c r="J14" s="258"/>
      <c r="K14" s="259">
        <f>SUM(H14:J14)</f>
        <v>0</v>
      </c>
      <c r="L14" s="257">
        <f>ROUND(E14*F14,2)</f>
        <v>0</v>
      </c>
      <c r="M14" s="258">
        <f>ROUND(H14*E14,2)</f>
        <v>0</v>
      </c>
      <c r="N14" s="258">
        <f>ROUND(I14*E14,2)</f>
        <v>0</v>
      </c>
      <c r="O14" s="258">
        <f>ROUND(J14*E14,2)</f>
        <v>0</v>
      </c>
      <c r="P14" s="260">
        <f>SUM(M14:O14)</f>
        <v>0</v>
      </c>
      <c r="Q14" s="262"/>
    </row>
    <row r="15" spans="1:17" x14ac:dyDescent="0.2">
      <c r="A15" s="178" t="str">
        <f>IF(COUNTBLANK(B15)=1," ",COUNTA($B$13:B15))</f>
        <v xml:space="preserve"> </v>
      </c>
      <c r="B15" s="179"/>
      <c r="C15" s="183" t="s">
        <v>337</v>
      </c>
      <c r="D15" s="184"/>
      <c r="E15" s="182">
        <v>56</v>
      </c>
      <c r="F15" s="53"/>
      <c r="G15" s="50"/>
      <c r="H15" s="50">
        <f t="shared" ref="H15:H52" si="0">ROUND(F15*G15,2)</f>
        <v>0</v>
      </c>
      <c r="I15" s="50"/>
      <c r="J15" s="50"/>
      <c r="K15" s="51">
        <f t="shared" ref="K15:K52" si="1">SUM(H15:J15)</f>
        <v>0</v>
      </c>
      <c r="L15" s="53">
        <f t="shared" ref="L15:L52" si="2">ROUND(E15*F15,2)</f>
        <v>0</v>
      </c>
      <c r="M15" s="50">
        <f t="shared" ref="M15:M52" si="3">ROUND(H15*E15,2)</f>
        <v>0</v>
      </c>
      <c r="N15" s="50">
        <f t="shared" ref="N15:N52" si="4">ROUND(I15*E15,2)</f>
        <v>0</v>
      </c>
      <c r="O15" s="50">
        <f t="shared" ref="O15:O52" si="5">ROUND(J15*E15,2)</f>
        <v>0</v>
      </c>
      <c r="P15" s="78">
        <f t="shared" ref="P15:P52" si="6">SUM(M15:O15)</f>
        <v>0</v>
      </c>
      <c r="Q15" s="223"/>
    </row>
    <row r="16" spans="1:17" ht="22.5" x14ac:dyDescent="0.2">
      <c r="A16" s="178">
        <f>IF(COUNTBLANK(B16)=1," ",COUNTA($B$13:B16))</f>
        <v>2</v>
      </c>
      <c r="B16" s="179" t="s">
        <v>58</v>
      </c>
      <c r="C16" s="180" t="s">
        <v>310</v>
      </c>
      <c r="D16" s="181" t="s">
        <v>63</v>
      </c>
      <c r="E16" s="185">
        <f>E15*(3.2*1+5*0.15)</f>
        <v>221.20000000000002</v>
      </c>
      <c r="F16" s="53"/>
      <c r="G16" s="50"/>
      <c r="H16" s="50">
        <f t="shared" si="0"/>
        <v>0</v>
      </c>
      <c r="I16" s="50"/>
      <c r="J16" s="50"/>
      <c r="K16" s="51">
        <f t="shared" si="1"/>
        <v>0</v>
      </c>
      <c r="L16" s="53">
        <f t="shared" si="2"/>
        <v>0</v>
      </c>
      <c r="M16" s="50">
        <f t="shared" si="3"/>
        <v>0</v>
      </c>
      <c r="N16" s="50">
        <f t="shared" si="4"/>
        <v>0</v>
      </c>
      <c r="O16" s="50">
        <f t="shared" si="5"/>
        <v>0</v>
      </c>
      <c r="P16" s="78">
        <f t="shared" si="6"/>
        <v>0</v>
      </c>
      <c r="Q16" s="225"/>
    </row>
    <row r="17" spans="1:17" x14ac:dyDescent="0.2">
      <c r="A17" s="178" t="str">
        <f>IF(COUNTBLANK(B17)=1," ",COUNTA($B$13:B17))</f>
        <v xml:space="preserve"> </v>
      </c>
      <c r="B17" s="184"/>
      <c r="C17" s="180" t="s">
        <v>391</v>
      </c>
      <c r="D17" s="181" t="s">
        <v>67</v>
      </c>
      <c r="E17" s="181">
        <f>E16*0.01</f>
        <v>2.2120000000000002</v>
      </c>
      <c r="F17" s="53"/>
      <c r="G17" s="50"/>
      <c r="H17" s="50">
        <f t="shared" si="0"/>
        <v>0</v>
      </c>
      <c r="I17" s="50"/>
      <c r="J17" s="50"/>
      <c r="K17" s="51">
        <f t="shared" si="1"/>
        <v>0</v>
      </c>
      <c r="L17" s="53">
        <f t="shared" si="2"/>
        <v>0</v>
      </c>
      <c r="M17" s="50">
        <f t="shared" si="3"/>
        <v>0</v>
      </c>
      <c r="N17" s="50">
        <f t="shared" si="4"/>
        <v>0</v>
      </c>
      <c r="O17" s="50">
        <f t="shared" si="5"/>
        <v>0</v>
      </c>
      <c r="P17" s="78">
        <f t="shared" si="6"/>
        <v>0</v>
      </c>
      <c r="Q17" s="225"/>
    </row>
    <row r="18" spans="1:17" ht="22.5" x14ac:dyDescent="0.2">
      <c r="A18" s="178">
        <f>IF(COUNTBLANK(B18)=1," ",COUNTA($B$13:B18))</f>
        <v>3</v>
      </c>
      <c r="B18" s="179" t="s">
        <v>58</v>
      </c>
      <c r="C18" s="180" t="s">
        <v>392</v>
      </c>
      <c r="D18" s="181" t="s">
        <v>63</v>
      </c>
      <c r="E18" s="182">
        <f>E16</f>
        <v>221.20000000000002</v>
      </c>
      <c r="F18" s="53"/>
      <c r="G18" s="50"/>
      <c r="H18" s="50">
        <f t="shared" si="0"/>
        <v>0</v>
      </c>
      <c r="I18" s="50"/>
      <c r="J18" s="50"/>
      <c r="K18" s="51">
        <f t="shared" si="1"/>
        <v>0</v>
      </c>
      <c r="L18" s="53">
        <f t="shared" si="2"/>
        <v>0</v>
      </c>
      <c r="M18" s="50">
        <f t="shared" si="3"/>
        <v>0</v>
      </c>
      <c r="N18" s="50">
        <f t="shared" si="4"/>
        <v>0</v>
      </c>
      <c r="O18" s="50">
        <f t="shared" si="5"/>
        <v>0</v>
      </c>
      <c r="P18" s="78">
        <f t="shared" si="6"/>
        <v>0</v>
      </c>
      <c r="Q18" s="225"/>
    </row>
    <row r="19" spans="1:17" x14ac:dyDescent="0.2">
      <c r="A19" s="178" t="str">
        <f>IF(COUNTBLANK(B19)=1," ",COUNTA($B$13:B19))</f>
        <v xml:space="preserve"> </v>
      </c>
      <c r="B19" s="184"/>
      <c r="C19" s="180" t="s">
        <v>393</v>
      </c>
      <c r="D19" s="181" t="s">
        <v>67</v>
      </c>
      <c r="E19" s="181">
        <f>E18*0.05</f>
        <v>11.060000000000002</v>
      </c>
      <c r="F19" s="53"/>
      <c r="G19" s="50"/>
      <c r="H19" s="50">
        <f t="shared" si="0"/>
        <v>0</v>
      </c>
      <c r="I19" s="50"/>
      <c r="J19" s="50"/>
      <c r="K19" s="51">
        <f t="shared" si="1"/>
        <v>0</v>
      </c>
      <c r="L19" s="53">
        <f t="shared" si="2"/>
        <v>0</v>
      </c>
      <c r="M19" s="50">
        <f t="shared" si="3"/>
        <v>0</v>
      </c>
      <c r="N19" s="50">
        <f t="shared" si="4"/>
        <v>0</v>
      </c>
      <c r="O19" s="50">
        <f t="shared" si="5"/>
        <v>0</v>
      </c>
      <c r="P19" s="78">
        <f t="shared" si="6"/>
        <v>0</v>
      </c>
      <c r="Q19" s="225"/>
    </row>
    <row r="20" spans="1:17" x14ac:dyDescent="0.2">
      <c r="A20" s="178">
        <f>IF(COUNTBLANK(B20)=1," ",COUNTA($B$13:B20))</f>
        <v>4</v>
      </c>
      <c r="B20" s="179" t="s">
        <v>58</v>
      </c>
      <c r="C20" s="180" t="s">
        <v>311</v>
      </c>
      <c r="D20" s="184" t="s">
        <v>63</v>
      </c>
      <c r="E20" s="182">
        <f>E16</f>
        <v>221.20000000000002</v>
      </c>
      <c r="F20" s="53"/>
      <c r="G20" s="50"/>
      <c r="H20" s="50">
        <f t="shared" si="0"/>
        <v>0</v>
      </c>
      <c r="I20" s="50"/>
      <c r="J20" s="50"/>
      <c r="K20" s="51">
        <f t="shared" si="1"/>
        <v>0</v>
      </c>
      <c r="L20" s="53">
        <f t="shared" si="2"/>
        <v>0</v>
      </c>
      <c r="M20" s="50">
        <f t="shared" si="3"/>
        <v>0</v>
      </c>
      <c r="N20" s="50">
        <f t="shared" si="4"/>
        <v>0</v>
      </c>
      <c r="O20" s="50">
        <f t="shared" si="5"/>
        <v>0</v>
      </c>
      <c r="P20" s="78">
        <f t="shared" si="6"/>
        <v>0</v>
      </c>
      <c r="Q20" s="225"/>
    </row>
    <row r="21" spans="1:17" ht="22.5" x14ac:dyDescent="0.2">
      <c r="A21" s="178">
        <f>IF(COUNTBLANK(B21)=1," ",COUNTA($B$13:B21))</f>
        <v>5</v>
      </c>
      <c r="B21" s="179" t="s">
        <v>58</v>
      </c>
      <c r="C21" s="180" t="s">
        <v>394</v>
      </c>
      <c r="D21" s="184" t="s">
        <v>63</v>
      </c>
      <c r="E21" s="182">
        <f>E20*0.3</f>
        <v>66.36</v>
      </c>
      <c r="F21" s="53"/>
      <c r="G21" s="50"/>
      <c r="H21" s="50">
        <f t="shared" si="0"/>
        <v>0</v>
      </c>
      <c r="I21" s="50"/>
      <c r="J21" s="50"/>
      <c r="K21" s="51">
        <f t="shared" si="1"/>
        <v>0</v>
      </c>
      <c r="L21" s="53">
        <f t="shared" si="2"/>
        <v>0</v>
      </c>
      <c r="M21" s="50">
        <f t="shared" si="3"/>
        <v>0</v>
      </c>
      <c r="N21" s="50">
        <f t="shared" si="4"/>
        <v>0</v>
      </c>
      <c r="O21" s="50">
        <f t="shared" si="5"/>
        <v>0</v>
      </c>
      <c r="P21" s="78">
        <f t="shared" si="6"/>
        <v>0</v>
      </c>
      <c r="Q21" s="225"/>
    </row>
    <row r="22" spans="1:17" x14ac:dyDescent="0.2">
      <c r="A22" s="178" t="str">
        <f>IF(COUNTBLANK(B22)=1," ",COUNTA($B$13:B22))</f>
        <v xml:space="preserve"> </v>
      </c>
      <c r="B22" s="179"/>
      <c r="C22" s="186" t="s">
        <v>395</v>
      </c>
      <c r="D22" s="184" t="s">
        <v>64</v>
      </c>
      <c r="E22" s="182">
        <f>E21*1.7</f>
        <v>112.812</v>
      </c>
      <c r="F22" s="53"/>
      <c r="G22" s="50"/>
      <c r="H22" s="50">
        <f t="shared" si="0"/>
        <v>0</v>
      </c>
      <c r="I22" s="50"/>
      <c r="J22" s="50"/>
      <c r="K22" s="51">
        <f t="shared" si="1"/>
        <v>0</v>
      </c>
      <c r="L22" s="53">
        <f t="shared" si="2"/>
        <v>0</v>
      </c>
      <c r="M22" s="50">
        <f t="shared" si="3"/>
        <v>0</v>
      </c>
      <c r="N22" s="50">
        <f t="shared" si="4"/>
        <v>0</v>
      </c>
      <c r="O22" s="50">
        <f t="shared" si="5"/>
        <v>0</v>
      </c>
      <c r="P22" s="78">
        <f t="shared" si="6"/>
        <v>0</v>
      </c>
      <c r="Q22" s="225"/>
    </row>
    <row r="23" spans="1:17" ht="33.75" x14ac:dyDescent="0.2">
      <c r="A23" s="178">
        <f>IF(COUNTBLANK(B23)=1," ",COUNTA($B$13:B23))</f>
        <v>6</v>
      </c>
      <c r="B23" s="179" t="s">
        <v>58</v>
      </c>
      <c r="C23" s="180" t="s">
        <v>396</v>
      </c>
      <c r="D23" s="184" t="s">
        <v>63</v>
      </c>
      <c r="E23" s="182">
        <f>E20</f>
        <v>221.20000000000002</v>
      </c>
      <c r="F23" s="53"/>
      <c r="G23" s="50"/>
      <c r="H23" s="50">
        <f t="shared" si="0"/>
        <v>0</v>
      </c>
      <c r="I23" s="50"/>
      <c r="J23" s="50"/>
      <c r="K23" s="51">
        <f t="shared" si="1"/>
        <v>0</v>
      </c>
      <c r="L23" s="53">
        <f t="shared" si="2"/>
        <v>0</v>
      </c>
      <c r="M23" s="50">
        <f t="shared" si="3"/>
        <v>0</v>
      </c>
      <c r="N23" s="50">
        <f t="shared" si="4"/>
        <v>0</v>
      </c>
      <c r="O23" s="50">
        <f t="shared" si="5"/>
        <v>0</v>
      </c>
      <c r="P23" s="78">
        <f t="shared" si="6"/>
        <v>0</v>
      </c>
      <c r="Q23" s="225"/>
    </row>
    <row r="24" spans="1:17" ht="22.5" x14ac:dyDescent="0.2">
      <c r="A24" s="178" t="str">
        <f>IF(COUNTBLANK(B24)=1," ",COUNTA($B$13:B24))</f>
        <v xml:space="preserve"> </v>
      </c>
      <c r="B24" s="179"/>
      <c r="C24" s="186" t="s">
        <v>397</v>
      </c>
      <c r="D24" s="184" t="s">
        <v>64</v>
      </c>
      <c r="E24" s="182">
        <f>E23*20*2</f>
        <v>8848</v>
      </c>
      <c r="F24" s="53"/>
      <c r="G24" s="50"/>
      <c r="H24" s="50">
        <f t="shared" si="0"/>
        <v>0</v>
      </c>
      <c r="I24" s="50"/>
      <c r="J24" s="50"/>
      <c r="K24" s="51">
        <f t="shared" si="1"/>
        <v>0</v>
      </c>
      <c r="L24" s="53">
        <f t="shared" si="2"/>
        <v>0</v>
      </c>
      <c r="M24" s="50">
        <f t="shared" si="3"/>
        <v>0</v>
      </c>
      <c r="N24" s="50">
        <f t="shared" si="4"/>
        <v>0</v>
      </c>
      <c r="O24" s="50">
        <f t="shared" si="5"/>
        <v>0</v>
      </c>
      <c r="P24" s="78">
        <f t="shared" si="6"/>
        <v>0</v>
      </c>
      <c r="Q24" s="225"/>
    </row>
    <row r="25" spans="1:17" ht="22.5" x14ac:dyDescent="0.2">
      <c r="A25" s="178">
        <f>IF(COUNTBLANK(B25)=1," ",COUNTA($B$13:B25))</f>
        <v>7</v>
      </c>
      <c r="B25" s="179" t="s">
        <v>58</v>
      </c>
      <c r="C25" s="180" t="s">
        <v>398</v>
      </c>
      <c r="D25" s="184" t="s">
        <v>63</v>
      </c>
      <c r="E25" s="182">
        <f>E15*(3*1)</f>
        <v>168</v>
      </c>
      <c r="F25" s="53"/>
      <c r="G25" s="50"/>
      <c r="H25" s="50">
        <f t="shared" si="0"/>
        <v>0</v>
      </c>
      <c r="I25" s="50"/>
      <c r="J25" s="50"/>
      <c r="K25" s="51">
        <f t="shared" si="1"/>
        <v>0</v>
      </c>
      <c r="L25" s="53">
        <f t="shared" si="2"/>
        <v>0</v>
      </c>
      <c r="M25" s="50">
        <f t="shared" si="3"/>
        <v>0</v>
      </c>
      <c r="N25" s="50">
        <f t="shared" si="4"/>
        <v>0</v>
      </c>
      <c r="O25" s="50">
        <f t="shared" si="5"/>
        <v>0</v>
      </c>
      <c r="P25" s="78">
        <f t="shared" si="6"/>
        <v>0</v>
      </c>
      <c r="Q25" s="223"/>
    </row>
    <row r="26" spans="1:17" x14ac:dyDescent="0.2">
      <c r="A26" s="178" t="str">
        <f>IF(COUNTBLANK(B26)=1," ",COUNTA($B$13:B26))</f>
        <v xml:space="preserve"> </v>
      </c>
      <c r="B26" s="179"/>
      <c r="C26" s="186" t="s">
        <v>399</v>
      </c>
      <c r="D26" s="184" t="s">
        <v>64</v>
      </c>
      <c r="E26" s="182">
        <f>E25*2*1.5</f>
        <v>504</v>
      </c>
      <c r="F26" s="53"/>
      <c r="G26" s="50"/>
      <c r="H26" s="50">
        <f t="shared" si="0"/>
        <v>0</v>
      </c>
      <c r="I26" s="50"/>
      <c r="J26" s="50"/>
      <c r="K26" s="51">
        <f t="shared" si="1"/>
        <v>0</v>
      </c>
      <c r="L26" s="53">
        <f t="shared" si="2"/>
        <v>0</v>
      </c>
      <c r="M26" s="50">
        <f t="shared" si="3"/>
        <v>0</v>
      </c>
      <c r="N26" s="50">
        <f t="shared" si="4"/>
        <v>0</v>
      </c>
      <c r="O26" s="50">
        <f t="shared" si="5"/>
        <v>0</v>
      </c>
      <c r="P26" s="78">
        <f t="shared" si="6"/>
        <v>0</v>
      </c>
      <c r="Q26" s="223"/>
    </row>
    <row r="27" spans="1:17" ht="22.5" x14ac:dyDescent="0.2">
      <c r="A27" s="178">
        <v>9</v>
      </c>
      <c r="B27" s="179" t="s">
        <v>58</v>
      </c>
      <c r="C27" s="180" t="s">
        <v>312</v>
      </c>
      <c r="D27" s="184" t="s">
        <v>63</v>
      </c>
      <c r="E27" s="181">
        <f>E25</f>
        <v>168</v>
      </c>
      <c r="F27" s="53"/>
      <c r="G27" s="50"/>
      <c r="H27" s="50">
        <f t="shared" si="0"/>
        <v>0</v>
      </c>
      <c r="I27" s="50"/>
      <c r="J27" s="50"/>
      <c r="K27" s="51">
        <f t="shared" si="1"/>
        <v>0</v>
      </c>
      <c r="L27" s="53">
        <f t="shared" si="2"/>
        <v>0</v>
      </c>
      <c r="M27" s="50">
        <f t="shared" si="3"/>
        <v>0</v>
      </c>
      <c r="N27" s="50">
        <f t="shared" si="4"/>
        <v>0</v>
      </c>
      <c r="O27" s="50">
        <f t="shared" si="5"/>
        <v>0</v>
      </c>
      <c r="P27" s="78">
        <f t="shared" si="6"/>
        <v>0</v>
      </c>
      <c r="Q27" s="223"/>
    </row>
    <row r="28" spans="1:17" ht="22.5" x14ac:dyDescent="0.2">
      <c r="A28" s="178"/>
      <c r="B28" s="179"/>
      <c r="C28" s="187" t="s">
        <v>400</v>
      </c>
      <c r="D28" s="184" t="s">
        <v>64</v>
      </c>
      <c r="E28" s="181">
        <f>E27*2.8</f>
        <v>470.4</v>
      </c>
      <c r="F28" s="53"/>
      <c r="G28" s="50"/>
      <c r="H28" s="50">
        <f t="shared" si="0"/>
        <v>0</v>
      </c>
      <c r="I28" s="50"/>
      <c r="J28" s="50"/>
      <c r="K28" s="51">
        <f t="shared" si="1"/>
        <v>0</v>
      </c>
      <c r="L28" s="53">
        <f t="shared" si="2"/>
        <v>0</v>
      </c>
      <c r="M28" s="50">
        <f t="shared" si="3"/>
        <v>0</v>
      </c>
      <c r="N28" s="50">
        <f t="shared" si="4"/>
        <v>0</v>
      </c>
      <c r="O28" s="50">
        <f t="shared" si="5"/>
        <v>0</v>
      </c>
      <c r="P28" s="78">
        <f t="shared" si="6"/>
        <v>0</v>
      </c>
      <c r="Q28" s="223"/>
    </row>
    <row r="29" spans="1:17" x14ac:dyDescent="0.2">
      <c r="A29" s="178"/>
      <c r="B29" s="179"/>
      <c r="C29" s="186" t="s">
        <v>313</v>
      </c>
      <c r="D29" s="184" t="s">
        <v>59</v>
      </c>
      <c r="E29" s="181">
        <f>E15*9</f>
        <v>504</v>
      </c>
      <c r="F29" s="53"/>
      <c r="G29" s="50"/>
      <c r="H29" s="50">
        <f t="shared" si="0"/>
        <v>0</v>
      </c>
      <c r="I29" s="50"/>
      <c r="J29" s="50"/>
      <c r="K29" s="51">
        <f t="shared" si="1"/>
        <v>0</v>
      </c>
      <c r="L29" s="53">
        <f t="shared" si="2"/>
        <v>0</v>
      </c>
      <c r="M29" s="50">
        <f t="shared" si="3"/>
        <v>0</v>
      </c>
      <c r="N29" s="50">
        <f t="shared" si="4"/>
        <v>0</v>
      </c>
      <c r="O29" s="50">
        <f t="shared" si="5"/>
        <v>0</v>
      </c>
      <c r="P29" s="78">
        <f t="shared" si="6"/>
        <v>0</v>
      </c>
      <c r="Q29" s="223"/>
    </row>
    <row r="30" spans="1:17" x14ac:dyDescent="0.2">
      <c r="A30" s="254"/>
      <c r="B30" s="255"/>
      <c r="C30" s="194" t="s">
        <v>468</v>
      </c>
      <c r="D30" s="223"/>
      <c r="E30" s="256"/>
      <c r="F30" s="53"/>
      <c r="G30" s="50"/>
      <c r="H30" s="50"/>
      <c r="I30" s="50"/>
      <c r="J30" s="50"/>
      <c r="K30" s="51"/>
      <c r="L30" s="53"/>
      <c r="M30" s="50"/>
      <c r="N30" s="50"/>
      <c r="O30" s="50"/>
      <c r="P30" s="78"/>
      <c r="Q30" s="223"/>
    </row>
    <row r="31" spans="1:17" x14ac:dyDescent="0.2">
      <c r="A31" s="178">
        <v>10</v>
      </c>
      <c r="B31" s="179" t="s">
        <v>58</v>
      </c>
      <c r="C31" s="183" t="s">
        <v>360</v>
      </c>
      <c r="D31" s="184" t="s">
        <v>63</v>
      </c>
      <c r="E31" s="181">
        <f>E23*1.05</f>
        <v>232.26000000000002</v>
      </c>
      <c r="F31" s="53"/>
      <c r="G31" s="50"/>
      <c r="H31" s="50">
        <f t="shared" si="0"/>
        <v>0</v>
      </c>
      <c r="I31" s="50"/>
      <c r="J31" s="50"/>
      <c r="K31" s="51">
        <f t="shared" si="1"/>
        <v>0</v>
      </c>
      <c r="L31" s="53">
        <f t="shared" si="2"/>
        <v>0</v>
      </c>
      <c r="M31" s="50">
        <f t="shared" si="3"/>
        <v>0</v>
      </c>
      <c r="N31" s="50">
        <f t="shared" si="4"/>
        <v>0</v>
      </c>
      <c r="O31" s="50">
        <f t="shared" si="5"/>
        <v>0</v>
      </c>
      <c r="P31" s="78">
        <f t="shared" si="6"/>
        <v>0</v>
      </c>
      <c r="Q31" s="223"/>
    </row>
    <row r="32" spans="1:17" ht="33.75" x14ac:dyDescent="0.2">
      <c r="A32" s="178"/>
      <c r="B32" s="179"/>
      <c r="C32" s="187" t="s">
        <v>401</v>
      </c>
      <c r="D32" s="184" t="s">
        <v>72</v>
      </c>
      <c r="E32" s="181">
        <f>E31*1.3</f>
        <v>301.93800000000005</v>
      </c>
      <c r="F32" s="53"/>
      <c r="G32" s="50"/>
      <c r="H32" s="50">
        <f t="shared" si="0"/>
        <v>0</v>
      </c>
      <c r="I32" s="50"/>
      <c r="J32" s="50"/>
      <c r="K32" s="51">
        <f t="shared" si="1"/>
        <v>0</v>
      </c>
      <c r="L32" s="53">
        <f t="shared" si="2"/>
        <v>0</v>
      </c>
      <c r="M32" s="50">
        <f t="shared" si="3"/>
        <v>0</v>
      </c>
      <c r="N32" s="50">
        <f t="shared" si="4"/>
        <v>0</v>
      </c>
      <c r="O32" s="50">
        <f t="shared" si="5"/>
        <v>0</v>
      </c>
      <c r="P32" s="78">
        <f t="shared" si="6"/>
        <v>0</v>
      </c>
      <c r="Q32" s="223"/>
    </row>
    <row r="33" spans="1:21" x14ac:dyDescent="0.2">
      <c r="A33" s="178">
        <f>IF(COUNTBLANK(B33)=1," ",COUNTA($B$13:B33))</f>
        <v>10</v>
      </c>
      <c r="B33" s="179" t="s">
        <v>58</v>
      </c>
      <c r="C33" s="183" t="s">
        <v>314</v>
      </c>
      <c r="D33" s="188"/>
      <c r="E33" s="16"/>
      <c r="F33" s="53"/>
      <c r="G33" s="50"/>
      <c r="H33" s="50">
        <f t="shared" si="0"/>
        <v>0</v>
      </c>
      <c r="I33" s="50"/>
      <c r="J33" s="50"/>
      <c r="K33" s="51">
        <f t="shared" si="1"/>
        <v>0</v>
      </c>
      <c r="L33" s="53">
        <f t="shared" si="2"/>
        <v>0</v>
      </c>
      <c r="M33" s="50">
        <f t="shared" si="3"/>
        <v>0</v>
      </c>
      <c r="N33" s="50">
        <f t="shared" si="4"/>
        <v>0</v>
      </c>
      <c r="O33" s="50">
        <f t="shared" si="5"/>
        <v>0</v>
      </c>
      <c r="P33" s="78">
        <f t="shared" si="6"/>
        <v>0</v>
      </c>
      <c r="Q33" s="223"/>
    </row>
    <row r="34" spans="1:21" x14ac:dyDescent="0.2">
      <c r="A34" s="178">
        <f>IF(COUNTBLANK(B34)=1," ",COUNTA($B$13:B34))</f>
        <v>11</v>
      </c>
      <c r="B34" s="179" t="s">
        <v>58</v>
      </c>
      <c r="C34" s="189" t="s">
        <v>315</v>
      </c>
      <c r="D34" s="190" t="s">
        <v>102</v>
      </c>
      <c r="E34" s="191">
        <v>56</v>
      </c>
      <c r="F34" s="53"/>
      <c r="G34" s="50"/>
      <c r="H34" s="50">
        <f t="shared" si="0"/>
        <v>0</v>
      </c>
      <c r="I34" s="50"/>
      <c r="J34" s="50"/>
      <c r="K34" s="51">
        <f t="shared" si="1"/>
        <v>0</v>
      </c>
      <c r="L34" s="53">
        <f t="shared" si="2"/>
        <v>0</v>
      </c>
      <c r="M34" s="50">
        <f t="shared" si="3"/>
        <v>0</v>
      </c>
      <c r="N34" s="50">
        <f t="shared" si="4"/>
        <v>0</v>
      </c>
      <c r="O34" s="50">
        <f t="shared" si="5"/>
        <v>0</v>
      </c>
      <c r="P34" s="78">
        <f t="shared" si="6"/>
        <v>0</v>
      </c>
      <c r="Q34" s="223"/>
    </row>
    <row r="35" spans="1:21" x14ac:dyDescent="0.2">
      <c r="A35" s="178">
        <f>IF(COUNTBLANK(B35)=1," ",COUNTA($B$13:B35))</f>
        <v>12</v>
      </c>
      <c r="B35" s="179" t="s">
        <v>58</v>
      </c>
      <c r="C35" s="250" t="s">
        <v>323</v>
      </c>
      <c r="D35" s="265" t="s">
        <v>64</v>
      </c>
      <c r="E35" s="266">
        <v>557.19999999999993</v>
      </c>
      <c r="F35" s="104"/>
      <c r="G35" s="50"/>
      <c r="H35" s="50">
        <f t="shared" si="0"/>
        <v>0</v>
      </c>
      <c r="I35" s="50"/>
      <c r="J35" s="50"/>
      <c r="K35" s="51">
        <f t="shared" si="1"/>
        <v>0</v>
      </c>
      <c r="L35" s="53">
        <f t="shared" si="2"/>
        <v>0</v>
      </c>
      <c r="M35" s="50">
        <f t="shared" si="3"/>
        <v>0</v>
      </c>
      <c r="N35" s="50">
        <f t="shared" si="4"/>
        <v>0</v>
      </c>
      <c r="O35" s="50">
        <f t="shared" si="5"/>
        <v>0</v>
      </c>
      <c r="P35" s="78">
        <f t="shared" si="6"/>
        <v>0</v>
      </c>
      <c r="Q35" s="223"/>
      <c r="S35" s="264"/>
      <c r="T35" s="264"/>
      <c r="U35" s="264"/>
    </row>
    <row r="36" spans="1:21" x14ac:dyDescent="0.2">
      <c r="A36" s="192">
        <f>IF(COUNTBLANK(B36)=1," ",COUNTA($B$13:B36))</f>
        <v>13</v>
      </c>
      <c r="B36" s="179" t="s">
        <v>58</v>
      </c>
      <c r="C36" s="250" t="s">
        <v>324</v>
      </c>
      <c r="D36" s="265" t="s">
        <v>64</v>
      </c>
      <c r="E36" s="266">
        <v>2162.16</v>
      </c>
      <c r="F36" s="104"/>
      <c r="G36" s="50"/>
      <c r="H36" s="50">
        <f t="shared" si="0"/>
        <v>0</v>
      </c>
      <c r="I36" s="50"/>
      <c r="J36" s="50"/>
      <c r="K36" s="51">
        <f t="shared" si="1"/>
        <v>0</v>
      </c>
      <c r="L36" s="53">
        <f t="shared" si="2"/>
        <v>0</v>
      </c>
      <c r="M36" s="50">
        <f t="shared" si="3"/>
        <v>0</v>
      </c>
      <c r="N36" s="50">
        <f t="shared" si="4"/>
        <v>0</v>
      </c>
      <c r="O36" s="50">
        <f t="shared" si="5"/>
        <v>0</v>
      </c>
      <c r="P36" s="78">
        <f t="shared" si="6"/>
        <v>0</v>
      </c>
      <c r="Q36" s="223"/>
      <c r="S36" s="264"/>
      <c r="T36" s="264"/>
      <c r="U36" s="264"/>
    </row>
    <row r="37" spans="1:21" x14ac:dyDescent="0.2">
      <c r="A37" s="192">
        <f>IF(COUNTBLANK(B37)=1," ",COUNTA($B$13:B37))</f>
        <v>14</v>
      </c>
      <c r="B37" s="179" t="s">
        <v>58</v>
      </c>
      <c r="C37" s="250" t="s">
        <v>325</v>
      </c>
      <c r="D37" s="265" t="s">
        <v>64</v>
      </c>
      <c r="E37" s="266">
        <v>393.12</v>
      </c>
      <c r="F37" s="104"/>
      <c r="G37" s="50"/>
      <c r="H37" s="50">
        <f t="shared" si="0"/>
        <v>0</v>
      </c>
      <c r="I37" s="50"/>
      <c r="J37" s="50"/>
      <c r="K37" s="51">
        <f t="shared" si="1"/>
        <v>0</v>
      </c>
      <c r="L37" s="53">
        <f t="shared" si="2"/>
        <v>0</v>
      </c>
      <c r="M37" s="50">
        <f t="shared" si="3"/>
        <v>0</v>
      </c>
      <c r="N37" s="50">
        <f t="shared" si="4"/>
        <v>0</v>
      </c>
      <c r="O37" s="50">
        <f t="shared" si="5"/>
        <v>0</v>
      </c>
      <c r="P37" s="78">
        <f t="shared" si="6"/>
        <v>0</v>
      </c>
      <c r="Q37" s="223"/>
      <c r="S37" s="264"/>
      <c r="T37" s="264"/>
      <c r="U37" s="264"/>
    </row>
    <row r="38" spans="1:21" x14ac:dyDescent="0.2">
      <c r="A38" s="192">
        <f>IF(COUNTBLANK(B38)=1," ",COUNTA($B$13:B38))</f>
        <v>15</v>
      </c>
      <c r="B38" s="179" t="s">
        <v>58</v>
      </c>
      <c r="C38" s="250" t="s">
        <v>326</v>
      </c>
      <c r="D38" s="265" t="s">
        <v>64</v>
      </c>
      <c r="E38" s="266">
        <v>2009.2799999999997</v>
      </c>
      <c r="F38" s="104"/>
      <c r="G38" s="50"/>
      <c r="H38" s="50">
        <f t="shared" si="0"/>
        <v>0</v>
      </c>
      <c r="I38" s="50"/>
      <c r="J38" s="50"/>
      <c r="K38" s="51">
        <f t="shared" si="1"/>
        <v>0</v>
      </c>
      <c r="L38" s="53">
        <f t="shared" si="2"/>
        <v>0</v>
      </c>
      <c r="M38" s="50">
        <f t="shared" si="3"/>
        <v>0</v>
      </c>
      <c r="N38" s="50">
        <f t="shared" si="4"/>
        <v>0</v>
      </c>
      <c r="O38" s="50">
        <f t="shared" si="5"/>
        <v>0</v>
      </c>
      <c r="P38" s="78">
        <f t="shared" si="6"/>
        <v>0</v>
      </c>
      <c r="Q38" s="223"/>
    </row>
    <row r="39" spans="1:21" x14ac:dyDescent="0.2">
      <c r="A39" s="192">
        <f>IF(COUNTBLANK(B39)=1," ",COUNTA($B$13:B39))</f>
        <v>16</v>
      </c>
      <c r="B39" s="179" t="s">
        <v>58</v>
      </c>
      <c r="C39" s="250" t="s">
        <v>327</v>
      </c>
      <c r="D39" s="265" t="s">
        <v>64</v>
      </c>
      <c r="E39" s="266">
        <v>739.06560000000002</v>
      </c>
      <c r="F39" s="104"/>
      <c r="G39" s="50"/>
      <c r="H39" s="50">
        <f t="shared" si="0"/>
        <v>0</v>
      </c>
      <c r="I39" s="50"/>
      <c r="J39" s="50"/>
      <c r="K39" s="51">
        <f t="shared" si="1"/>
        <v>0</v>
      </c>
      <c r="L39" s="53">
        <f t="shared" si="2"/>
        <v>0</v>
      </c>
      <c r="M39" s="50">
        <f t="shared" si="3"/>
        <v>0</v>
      </c>
      <c r="N39" s="50">
        <f t="shared" si="4"/>
        <v>0</v>
      </c>
      <c r="O39" s="50">
        <f t="shared" si="5"/>
        <v>0</v>
      </c>
      <c r="P39" s="78">
        <f t="shared" si="6"/>
        <v>0</v>
      </c>
      <c r="Q39" s="223"/>
    </row>
    <row r="40" spans="1:21" x14ac:dyDescent="0.2">
      <c r="A40" s="192">
        <f>IF(COUNTBLANK(B40)=1," ",COUNTA($B$13:B40))</f>
        <v>17</v>
      </c>
      <c r="B40" s="179" t="s">
        <v>58</v>
      </c>
      <c r="C40" s="251" t="s">
        <v>328</v>
      </c>
      <c r="D40" s="265" t="s">
        <v>64</v>
      </c>
      <c r="E40" s="266">
        <v>471.74399999999997</v>
      </c>
      <c r="F40" s="104"/>
      <c r="G40" s="50"/>
      <c r="H40" s="50">
        <f t="shared" si="0"/>
        <v>0</v>
      </c>
      <c r="I40" s="50"/>
      <c r="J40" s="50"/>
      <c r="K40" s="51">
        <f t="shared" si="1"/>
        <v>0</v>
      </c>
      <c r="L40" s="53">
        <f t="shared" si="2"/>
        <v>0</v>
      </c>
      <c r="M40" s="50">
        <f t="shared" si="3"/>
        <v>0</v>
      </c>
      <c r="N40" s="50">
        <f t="shared" si="4"/>
        <v>0</v>
      </c>
      <c r="O40" s="50">
        <f t="shared" si="5"/>
        <v>0</v>
      </c>
      <c r="P40" s="78">
        <f t="shared" si="6"/>
        <v>0</v>
      </c>
      <c r="Q40" s="223"/>
    </row>
    <row r="41" spans="1:21" x14ac:dyDescent="0.2">
      <c r="A41" s="192">
        <f>IF(COUNTBLANK(B41)=1," ",COUNTA($B$13:B41))</f>
        <v>18</v>
      </c>
      <c r="B41" s="179" t="s">
        <v>58</v>
      </c>
      <c r="C41" s="251" t="s">
        <v>329</v>
      </c>
      <c r="D41" s="265" t="s">
        <v>64</v>
      </c>
      <c r="E41" s="266">
        <v>279.55200000000002</v>
      </c>
      <c r="F41" s="104"/>
      <c r="G41" s="50"/>
      <c r="H41" s="50">
        <f t="shared" si="0"/>
        <v>0</v>
      </c>
      <c r="I41" s="50"/>
      <c r="J41" s="50"/>
      <c r="K41" s="51">
        <f t="shared" si="1"/>
        <v>0</v>
      </c>
      <c r="L41" s="53">
        <f t="shared" si="2"/>
        <v>0</v>
      </c>
      <c r="M41" s="50">
        <f t="shared" si="3"/>
        <v>0</v>
      </c>
      <c r="N41" s="50">
        <f t="shared" si="4"/>
        <v>0</v>
      </c>
      <c r="O41" s="50">
        <f t="shared" si="5"/>
        <v>0</v>
      </c>
      <c r="P41" s="78">
        <f t="shared" si="6"/>
        <v>0</v>
      </c>
      <c r="Q41" s="223"/>
    </row>
    <row r="42" spans="1:21" x14ac:dyDescent="0.2">
      <c r="A42" s="192">
        <f>IF(COUNTBLANK(B42)=1," ",COUNTA($B$13:B42))</f>
        <v>19</v>
      </c>
      <c r="B42" s="179" t="s">
        <v>58</v>
      </c>
      <c r="C42" s="251" t="s">
        <v>498</v>
      </c>
      <c r="D42" s="267" t="s">
        <v>61</v>
      </c>
      <c r="E42" s="266">
        <v>1008</v>
      </c>
      <c r="F42" s="104"/>
      <c r="G42" s="50"/>
      <c r="H42" s="50">
        <f t="shared" si="0"/>
        <v>0</v>
      </c>
      <c r="I42" s="50"/>
      <c r="J42" s="50"/>
      <c r="K42" s="51">
        <f t="shared" si="1"/>
        <v>0</v>
      </c>
      <c r="L42" s="53">
        <f t="shared" si="2"/>
        <v>0</v>
      </c>
      <c r="M42" s="50">
        <f t="shared" si="3"/>
        <v>0</v>
      </c>
      <c r="N42" s="50">
        <f t="shared" si="4"/>
        <v>0</v>
      </c>
      <c r="O42" s="50">
        <f t="shared" si="5"/>
        <v>0</v>
      </c>
      <c r="P42" s="78">
        <f t="shared" si="6"/>
        <v>0</v>
      </c>
      <c r="Q42" s="223"/>
    </row>
    <row r="43" spans="1:21" x14ac:dyDescent="0.2">
      <c r="A43" s="192">
        <f>IF(COUNTBLANK(B43)=1," ",COUNTA($B$13:B43))</f>
        <v>20</v>
      </c>
      <c r="B43" s="179" t="s">
        <v>58</v>
      </c>
      <c r="C43" s="251" t="s">
        <v>499</v>
      </c>
      <c r="D43" s="267" t="s">
        <v>61</v>
      </c>
      <c r="E43" s="266">
        <v>448</v>
      </c>
      <c r="F43" s="104"/>
      <c r="G43" s="50"/>
      <c r="H43" s="50">
        <f t="shared" si="0"/>
        <v>0</v>
      </c>
      <c r="I43" s="50"/>
      <c r="J43" s="50"/>
      <c r="K43" s="51">
        <f t="shared" si="1"/>
        <v>0</v>
      </c>
      <c r="L43" s="53">
        <f t="shared" si="2"/>
        <v>0</v>
      </c>
      <c r="M43" s="50">
        <f t="shared" si="3"/>
        <v>0</v>
      </c>
      <c r="N43" s="50">
        <f t="shared" si="4"/>
        <v>0</v>
      </c>
      <c r="O43" s="50">
        <f t="shared" si="5"/>
        <v>0</v>
      </c>
      <c r="P43" s="78">
        <f t="shared" si="6"/>
        <v>0</v>
      </c>
      <c r="Q43" s="223"/>
    </row>
    <row r="44" spans="1:21" x14ac:dyDescent="0.2">
      <c r="A44" s="192">
        <f>IF(COUNTBLANK(B44)=1," ",COUNTA($B$13:B44))</f>
        <v>21</v>
      </c>
      <c r="B44" s="179" t="s">
        <v>58</v>
      </c>
      <c r="C44" s="251" t="s">
        <v>332</v>
      </c>
      <c r="D44" s="268" t="s">
        <v>63</v>
      </c>
      <c r="E44" s="266">
        <v>249.76</v>
      </c>
      <c r="F44" s="104"/>
      <c r="G44" s="50"/>
      <c r="H44" s="50">
        <f t="shared" si="0"/>
        <v>0</v>
      </c>
      <c r="I44" s="50"/>
      <c r="J44" s="50"/>
      <c r="K44" s="51">
        <f t="shared" si="1"/>
        <v>0</v>
      </c>
      <c r="L44" s="53">
        <f t="shared" si="2"/>
        <v>0</v>
      </c>
      <c r="M44" s="50">
        <f t="shared" si="3"/>
        <v>0</v>
      </c>
      <c r="N44" s="50">
        <f t="shared" si="4"/>
        <v>0</v>
      </c>
      <c r="O44" s="50">
        <f t="shared" si="5"/>
        <v>0</v>
      </c>
      <c r="P44" s="78">
        <f t="shared" si="6"/>
        <v>0</v>
      </c>
      <c r="Q44" s="262"/>
    </row>
    <row r="45" spans="1:21" x14ac:dyDescent="0.2">
      <c r="A45" s="192">
        <f>IF(COUNTBLANK(B45)=1," ",COUNTA($B$13:B45))</f>
        <v>22</v>
      </c>
      <c r="B45" s="193" t="s">
        <v>58</v>
      </c>
      <c r="C45" s="194" t="s">
        <v>335</v>
      </c>
      <c r="D45" s="184" t="s">
        <v>63</v>
      </c>
      <c r="E45" s="195">
        <f>3.2*1*E34</f>
        <v>179.20000000000002</v>
      </c>
      <c r="F45" s="53"/>
      <c r="G45" s="50"/>
      <c r="H45" s="50">
        <f t="shared" si="0"/>
        <v>0</v>
      </c>
      <c r="I45" s="50"/>
      <c r="J45" s="50"/>
      <c r="K45" s="51">
        <f t="shared" si="1"/>
        <v>0</v>
      </c>
      <c r="L45" s="53">
        <f t="shared" si="2"/>
        <v>0</v>
      </c>
      <c r="M45" s="50">
        <f t="shared" si="3"/>
        <v>0</v>
      </c>
      <c r="N45" s="50">
        <f t="shared" si="4"/>
        <v>0</v>
      </c>
      <c r="O45" s="50">
        <f t="shared" si="5"/>
        <v>0</v>
      </c>
      <c r="P45" s="78">
        <f t="shared" si="6"/>
        <v>0</v>
      </c>
      <c r="Q45" s="223"/>
    </row>
    <row r="46" spans="1:21" x14ac:dyDescent="0.2">
      <c r="A46" s="192" t="str">
        <f>IF(COUNTBLANK(B46)=1," ",COUNTA($B$13:B46))</f>
        <v xml:space="preserve"> </v>
      </c>
      <c r="B46" s="184"/>
      <c r="C46" s="181" t="s">
        <v>316</v>
      </c>
      <c r="D46" s="181" t="s">
        <v>63</v>
      </c>
      <c r="E46" s="269">
        <f>E45*1.15</f>
        <v>206.08</v>
      </c>
      <c r="F46" s="53"/>
      <c r="G46" s="50"/>
      <c r="H46" s="50">
        <f t="shared" si="0"/>
        <v>0</v>
      </c>
      <c r="I46" s="50"/>
      <c r="J46" s="50"/>
      <c r="K46" s="51">
        <f t="shared" si="1"/>
        <v>0</v>
      </c>
      <c r="L46" s="53">
        <f t="shared" si="2"/>
        <v>0</v>
      </c>
      <c r="M46" s="50">
        <f t="shared" si="3"/>
        <v>0</v>
      </c>
      <c r="N46" s="50">
        <f t="shared" si="4"/>
        <v>0</v>
      </c>
      <c r="O46" s="50">
        <f t="shared" si="5"/>
        <v>0</v>
      </c>
      <c r="P46" s="78">
        <f t="shared" si="6"/>
        <v>0</v>
      </c>
      <c r="Q46" s="223"/>
    </row>
    <row r="47" spans="1:21" x14ac:dyDescent="0.2">
      <c r="A47" s="192" t="str">
        <f>IF(COUNTBLANK(B47)=1," ",COUNTA($B$13:B47))</f>
        <v xml:space="preserve"> </v>
      </c>
      <c r="B47" s="184"/>
      <c r="C47" s="196" t="s">
        <v>84</v>
      </c>
      <c r="D47" s="197" t="s">
        <v>61</v>
      </c>
      <c r="E47" s="269">
        <f>ROUNDUP(E45*6,0)</f>
        <v>1076</v>
      </c>
      <c r="F47" s="53"/>
      <c r="G47" s="50"/>
      <c r="H47" s="50">
        <f t="shared" si="0"/>
        <v>0</v>
      </c>
      <c r="I47" s="50"/>
      <c r="J47" s="50"/>
      <c r="K47" s="51">
        <f t="shared" si="1"/>
        <v>0</v>
      </c>
      <c r="L47" s="53">
        <f t="shared" si="2"/>
        <v>0</v>
      </c>
      <c r="M47" s="50">
        <f t="shared" si="3"/>
        <v>0</v>
      </c>
      <c r="N47" s="50">
        <f t="shared" si="4"/>
        <v>0</v>
      </c>
      <c r="O47" s="50">
        <f t="shared" si="5"/>
        <v>0</v>
      </c>
      <c r="P47" s="78">
        <f t="shared" si="6"/>
        <v>0</v>
      </c>
      <c r="Q47" s="223"/>
    </row>
    <row r="48" spans="1:21" x14ac:dyDescent="0.2">
      <c r="A48" s="192">
        <f>IF(COUNTBLANK(B48)=1," ",COUNTA($B$13:B48))</f>
        <v>23</v>
      </c>
      <c r="B48" s="193" t="s">
        <v>58</v>
      </c>
      <c r="C48" s="194" t="s">
        <v>336</v>
      </c>
      <c r="D48" s="184" t="s">
        <v>63</v>
      </c>
      <c r="E48" s="191">
        <f>0.81*1*E34*2</f>
        <v>90.72</v>
      </c>
      <c r="F48" s="53"/>
      <c r="G48" s="50"/>
      <c r="H48" s="50">
        <f t="shared" si="0"/>
        <v>0</v>
      </c>
      <c r="I48" s="50"/>
      <c r="J48" s="50"/>
      <c r="K48" s="51">
        <f t="shared" si="1"/>
        <v>0</v>
      </c>
      <c r="L48" s="53">
        <f t="shared" si="2"/>
        <v>0</v>
      </c>
      <c r="M48" s="50">
        <f t="shared" si="3"/>
        <v>0</v>
      </c>
      <c r="N48" s="50">
        <f t="shared" si="4"/>
        <v>0</v>
      </c>
      <c r="O48" s="50">
        <f t="shared" si="5"/>
        <v>0</v>
      </c>
      <c r="P48" s="78">
        <f t="shared" si="6"/>
        <v>0</v>
      </c>
      <c r="Q48" s="262"/>
      <c r="R48" s="249"/>
    </row>
    <row r="49" spans="1:17" x14ac:dyDescent="0.2">
      <c r="A49" s="192" t="str">
        <f>IF(COUNTBLANK(B49)=1," ",COUNTA($B$13:B49))</f>
        <v xml:space="preserve"> </v>
      </c>
      <c r="B49" s="184"/>
      <c r="C49" s="181" t="s">
        <v>316</v>
      </c>
      <c r="D49" s="181" t="s">
        <v>63</v>
      </c>
      <c r="E49" s="269">
        <f>E48*1.15</f>
        <v>104.32799999999999</v>
      </c>
      <c r="F49" s="53"/>
      <c r="G49" s="50"/>
      <c r="H49" s="50">
        <f t="shared" si="0"/>
        <v>0</v>
      </c>
      <c r="I49" s="50"/>
      <c r="J49" s="50"/>
      <c r="K49" s="51">
        <f t="shared" si="1"/>
        <v>0</v>
      </c>
      <c r="L49" s="53">
        <f t="shared" si="2"/>
        <v>0</v>
      </c>
      <c r="M49" s="50">
        <f t="shared" si="3"/>
        <v>0</v>
      </c>
      <c r="N49" s="50">
        <f t="shared" si="4"/>
        <v>0</v>
      </c>
      <c r="O49" s="50">
        <f t="shared" si="5"/>
        <v>0</v>
      </c>
      <c r="P49" s="78">
        <f t="shared" si="6"/>
        <v>0</v>
      </c>
      <c r="Q49" s="262"/>
    </row>
    <row r="50" spans="1:17" x14ac:dyDescent="0.2">
      <c r="A50" s="192" t="str">
        <f>IF(COUNTBLANK(B50)=1," ",COUNTA($B$13:B50))</f>
        <v xml:space="preserve"> </v>
      </c>
      <c r="B50" s="184"/>
      <c r="C50" s="196" t="s">
        <v>84</v>
      </c>
      <c r="D50" s="197" t="s">
        <v>61</v>
      </c>
      <c r="E50" s="269">
        <f>ROUNDUP(E48*6,0)</f>
        <v>545</v>
      </c>
      <c r="F50" s="53"/>
      <c r="G50" s="50"/>
      <c r="H50" s="50">
        <f t="shared" si="0"/>
        <v>0</v>
      </c>
      <c r="I50" s="50"/>
      <c r="J50" s="50"/>
      <c r="K50" s="51">
        <f t="shared" si="1"/>
        <v>0</v>
      </c>
      <c r="L50" s="53">
        <f t="shared" si="2"/>
        <v>0</v>
      </c>
      <c r="M50" s="50">
        <f t="shared" si="3"/>
        <v>0</v>
      </c>
      <c r="N50" s="50">
        <f t="shared" si="4"/>
        <v>0</v>
      </c>
      <c r="O50" s="50">
        <f t="shared" si="5"/>
        <v>0</v>
      </c>
      <c r="P50" s="78">
        <f t="shared" si="6"/>
        <v>0</v>
      </c>
      <c r="Q50" s="262"/>
    </row>
    <row r="51" spans="1:17" x14ac:dyDescent="0.2">
      <c r="A51" s="192">
        <f>IF(COUNTBLANK(B51)=1," ",COUNTA($B$13:B51))</f>
        <v>24</v>
      </c>
      <c r="B51" s="193" t="s">
        <v>58</v>
      </c>
      <c r="C51" s="198" t="s">
        <v>66</v>
      </c>
      <c r="D51" s="192" t="s">
        <v>67</v>
      </c>
      <c r="E51" s="199">
        <v>14</v>
      </c>
      <c r="F51" s="53"/>
      <c r="G51" s="50"/>
      <c r="H51" s="50">
        <f t="shared" si="0"/>
        <v>0</v>
      </c>
      <c r="I51" s="50"/>
      <c r="J51" s="50"/>
      <c r="K51" s="51">
        <f t="shared" si="1"/>
        <v>0</v>
      </c>
      <c r="L51" s="53">
        <f t="shared" si="2"/>
        <v>0</v>
      </c>
      <c r="M51" s="50">
        <f t="shared" si="3"/>
        <v>0</v>
      </c>
      <c r="N51" s="50">
        <f t="shared" si="4"/>
        <v>0</v>
      </c>
      <c r="O51" s="50">
        <f t="shared" si="5"/>
        <v>0</v>
      </c>
      <c r="P51" s="78">
        <f t="shared" si="6"/>
        <v>0</v>
      </c>
      <c r="Q51" s="262"/>
    </row>
    <row r="52" spans="1:17" ht="12" thickBot="1" x14ac:dyDescent="0.25">
      <c r="A52" s="192" t="str">
        <f>IF(COUNTBLANK(B52)=1," ",COUNTA($B$13:B52))</f>
        <v xml:space="preserve"> </v>
      </c>
      <c r="B52" s="193"/>
      <c r="C52" s="198" t="s">
        <v>68</v>
      </c>
      <c r="D52" s="192" t="s">
        <v>61</v>
      </c>
      <c r="E52" s="181">
        <v>2</v>
      </c>
      <c r="F52" s="53"/>
      <c r="G52" s="50"/>
      <c r="H52" s="50">
        <f t="shared" si="0"/>
        <v>0</v>
      </c>
      <c r="I52" s="50"/>
      <c r="J52" s="50"/>
      <c r="K52" s="51">
        <f t="shared" si="1"/>
        <v>0</v>
      </c>
      <c r="L52" s="53">
        <f t="shared" si="2"/>
        <v>0</v>
      </c>
      <c r="M52" s="50">
        <f t="shared" si="3"/>
        <v>0</v>
      </c>
      <c r="N52" s="50">
        <f t="shared" si="4"/>
        <v>0</v>
      </c>
      <c r="O52" s="50">
        <f t="shared" si="5"/>
        <v>0</v>
      </c>
      <c r="P52" s="78">
        <f t="shared" si="6"/>
        <v>0</v>
      </c>
      <c r="Q52" s="262"/>
    </row>
    <row r="53" spans="1:17" ht="10.7" customHeight="1" thickBot="1" x14ac:dyDescent="0.25">
      <c r="A53" s="428" t="s">
        <v>486</v>
      </c>
      <c r="B53" s="429"/>
      <c r="C53" s="429"/>
      <c r="D53" s="429"/>
      <c r="E53" s="429"/>
      <c r="F53" s="429"/>
      <c r="G53" s="429"/>
      <c r="H53" s="429"/>
      <c r="I53" s="429"/>
      <c r="J53" s="429"/>
      <c r="K53" s="430"/>
      <c r="L53" s="54">
        <f>SUM(L14:L52)</f>
        <v>0</v>
      </c>
      <c r="M53" s="55">
        <f>SUM(M14:M52)</f>
        <v>0</v>
      </c>
      <c r="N53" s="55">
        <f>SUM(N14:N52)</f>
        <v>0</v>
      </c>
      <c r="O53" s="55">
        <f>SUM(O14:O52)</f>
        <v>0</v>
      </c>
      <c r="P53" s="56">
        <f>SUM(P14:P52)</f>
        <v>0</v>
      </c>
    </row>
    <row r="54" spans="1:17" x14ac:dyDescent="0.2">
      <c r="A54" s="12"/>
      <c r="B54" s="12"/>
      <c r="C54" s="12"/>
      <c r="D54" s="12"/>
      <c r="E54" s="12"/>
      <c r="F54" s="12"/>
      <c r="G54" s="12"/>
      <c r="H54" s="12"/>
      <c r="I54" s="12"/>
      <c r="J54" s="12"/>
      <c r="K54" s="12"/>
      <c r="L54" s="12"/>
      <c r="M54" s="12"/>
      <c r="N54" s="12"/>
      <c r="O54" s="12"/>
      <c r="P54" s="12"/>
    </row>
    <row r="55" spans="1:17" x14ac:dyDescent="0.2">
      <c r="A55" s="12"/>
      <c r="B55" s="12"/>
      <c r="C55" s="12"/>
      <c r="D55" s="12"/>
      <c r="E55" s="12"/>
      <c r="F55" s="12"/>
      <c r="G55" s="12"/>
      <c r="H55" s="12"/>
      <c r="I55" s="12"/>
      <c r="J55" s="12"/>
      <c r="K55" s="12"/>
      <c r="L55" s="12"/>
      <c r="M55" s="12"/>
      <c r="N55" s="12"/>
      <c r="O55" s="12"/>
      <c r="P55" s="12"/>
    </row>
    <row r="56" spans="1:17" x14ac:dyDescent="0.2">
      <c r="A56" s="1" t="s">
        <v>14</v>
      </c>
      <c r="B56" s="12"/>
      <c r="C56" s="439">
        <f>'Kops a'!C38:H38</f>
        <v>0</v>
      </c>
      <c r="D56" s="439"/>
      <c r="E56" s="439"/>
      <c r="F56" s="439"/>
      <c r="G56" s="439"/>
      <c r="H56" s="439"/>
      <c r="I56" s="12"/>
      <c r="J56" s="12"/>
      <c r="K56" s="12"/>
      <c r="L56" s="12"/>
      <c r="M56" s="12"/>
      <c r="N56" s="12"/>
      <c r="O56" s="12"/>
      <c r="P56" s="12"/>
    </row>
    <row r="57" spans="1:17" x14ac:dyDescent="0.2">
      <c r="A57" s="12"/>
      <c r="B57" s="12"/>
      <c r="C57" s="363" t="s">
        <v>15</v>
      </c>
      <c r="D57" s="363"/>
      <c r="E57" s="363"/>
      <c r="F57" s="363"/>
      <c r="G57" s="363"/>
      <c r="H57" s="363"/>
      <c r="I57" s="12"/>
      <c r="J57" s="12"/>
      <c r="K57" s="12"/>
      <c r="L57" s="12"/>
      <c r="M57" s="12"/>
      <c r="N57" s="12"/>
      <c r="O57" s="12"/>
      <c r="P57" s="12"/>
    </row>
    <row r="58" spans="1:17" x14ac:dyDescent="0.2">
      <c r="A58" s="12"/>
      <c r="B58" s="12"/>
      <c r="C58" s="12"/>
      <c r="D58" s="12"/>
      <c r="E58" s="12"/>
      <c r="F58" s="12"/>
      <c r="G58" s="12"/>
      <c r="H58" s="12"/>
      <c r="I58" s="12"/>
      <c r="J58" s="12"/>
      <c r="K58" s="12"/>
      <c r="L58" s="12"/>
      <c r="M58" s="12"/>
      <c r="N58" s="12"/>
      <c r="O58" s="12"/>
      <c r="P58" s="12"/>
    </row>
    <row r="59" spans="1:17" x14ac:dyDescent="0.2">
      <c r="A59" s="68" t="str">
        <f>'Kops a'!A41</f>
        <v>Tāme sastādīta 2021. gada</v>
      </c>
      <c r="B59" s="69"/>
      <c r="C59" s="69"/>
      <c r="D59" s="69"/>
      <c r="E59" s="12"/>
      <c r="F59" s="12"/>
      <c r="G59" s="12"/>
      <c r="H59" s="12"/>
      <c r="I59" s="12"/>
      <c r="J59" s="12"/>
      <c r="K59" s="12"/>
      <c r="L59" s="12"/>
      <c r="M59" s="12"/>
      <c r="N59" s="12"/>
      <c r="O59" s="12"/>
      <c r="P59" s="12"/>
    </row>
    <row r="60" spans="1:17" x14ac:dyDescent="0.2">
      <c r="A60" s="12"/>
      <c r="B60" s="12"/>
      <c r="C60" s="12"/>
      <c r="D60" s="12"/>
      <c r="E60" s="12"/>
      <c r="F60" s="12"/>
      <c r="G60" s="12"/>
      <c r="H60" s="12"/>
      <c r="I60" s="12"/>
      <c r="J60" s="12"/>
      <c r="K60" s="12"/>
      <c r="L60" s="12"/>
      <c r="M60" s="12"/>
      <c r="N60" s="12"/>
      <c r="O60" s="12"/>
      <c r="P60" s="12"/>
    </row>
    <row r="61" spans="1:17" x14ac:dyDescent="0.2">
      <c r="A61" s="1" t="s">
        <v>37</v>
      </c>
      <c r="B61" s="12"/>
      <c r="C61" s="439">
        <f>'Kops a'!C43:H43</f>
        <v>0</v>
      </c>
      <c r="D61" s="439"/>
      <c r="E61" s="439"/>
      <c r="F61" s="439"/>
      <c r="G61" s="439"/>
      <c r="H61" s="439"/>
      <c r="I61" s="12"/>
      <c r="J61" s="12"/>
      <c r="K61" s="12"/>
      <c r="L61" s="12"/>
      <c r="M61" s="12"/>
      <c r="N61" s="12"/>
      <c r="O61" s="12"/>
      <c r="P61" s="12"/>
    </row>
    <row r="62" spans="1:17" x14ac:dyDescent="0.2">
      <c r="A62" s="12"/>
      <c r="B62" s="12"/>
      <c r="C62" s="363" t="s">
        <v>15</v>
      </c>
      <c r="D62" s="363"/>
      <c r="E62" s="363"/>
      <c r="F62" s="363"/>
      <c r="G62" s="363"/>
      <c r="H62" s="363"/>
      <c r="I62" s="12"/>
      <c r="J62" s="12"/>
      <c r="K62" s="12"/>
      <c r="L62" s="12"/>
      <c r="M62" s="12"/>
      <c r="N62" s="12"/>
      <c r="O62" s="12"/>
      <c r="P62" s="12"/>
    </row>
    <row r="63" spans="1:17" x14ac:dyDescent="0.2">
      <c r="A63" s="12"/>
      <c r="B63" s="12"/>
      <c r="C63" s="12"/>
      <c r="D63" s="12"/>
      <c r="E63" s="12"/>
      <c r="F63" s="12"/>
      <c r="G63" s="12"/>
      <c r="H63" s="12"/>
      <c r="I63" s="12"/>
      <c r="J63" s="12"/>
      <c r="K63" s="12"/>
      <c r="L63" s="12"/>
      <c r="M63" s="12"/>
      <c r="N63" s="12"/>
      <c r="O63" s="12"/>
      <c r="P63" s="12"/>
    </row>
    <row r="64" spans="1:17" x14ac:dyDescent="0.2">
      <c r="A64" s="68" t="s">
        <v>54</v>
      </c>
      <c r="B64" s="69"/>
      <c r="C64" s="72">
        <f>'Kops a'!C46</f>
        <v>0</v>
      </c>
      <c r="D64" s="36"/>
      <c r="E64" s="12"/>
      <c r="F64" s="12"/>
      <c r="G64" s="12"/>
      <c r="H64" s="12"/>
      <c r="I64" s="12"/>
      <c r="J64" s="12"/>
      <c r="K64" s="12"/>
      <c r="L64" s="12"/>
      <c r="M64" s="12"/>
      <c r="N64" s="12"/>
      <c r="O64" s="12"/>
      <c r="P64" s="12"/>
    </row>
    <row r="65" spans="1:16" x14ac:dyDescent="0.2">
      <c r="A65" s="12"/>
      <c r="B65" s="12"/>
      <c r="C65" s="12"/>
      <c r="D65" s="12"/>
      <c r="E65" s="12"/>
      <c r="F65" s="12"/>
      <c r="G65" s="12"/>
      <c r="H65" s="12"/>
      <c r="I65" s="12"/>
      <c r="J65" s="12"/>
      <c r="K65" s="12"/>
      <c r="L65" s="12"/>
      <c r="M65" s="12"/>
      <c r="N65" s="12"/>
      <c r="O65" s="12"/>
      <c r="P65" s="12"/>
    </row>
    <row r="66" spans="1:16" ht="12" x14ac:dyDescent="0.2">
      <c r="A66" s="106" t="s">
        <v>89</v>
      </c>
      <c r="B66" s="107"/>
      <c r="C66" s="108"/>
      <c r="D66" s="108"/>
      <c r="E66" s="109"/>
      <c r="F66" s="110"/>
      <c r="G66" s="109"/>
      <c r="H66" s="111"/>
      <c r="I66" s="111"/>
      <c r="J66" s="112"/>
      <c r="K66" s="113"/>
      <c r="L66" s="113"/>
      <c r="M66" s="113"/>
      <c r="N66" s="113"/>
      <c r="O66" s="113"/>
    </row>
    <row r="67" spans="1:16" ht="12" x14ac:dyDescent="0.2">
      <c r="A67" s="435" t="s">
        <v>90</v>
      </c>
      <c r="B67" s="435"/>
      <c r="C67" s="435"/>
      <c r="D67" s="435"/>
      <c r="E67" s="435"/>
      <c r="F67" s="435"/>
      <c r="G67" s="435"/>
      <c r="H67" s="435"/>
      <c r="I67" s="435"/>
      <c r="J67" s="435"/>
      <c r="K67" s="435"/>
      <c r="L67" s="435"/>
      <c r="M67" s="435"/>
      <c r="N67" s="435"/>
      <c r="O67" s="435"/>
    </row>
    <row r="68" spans="1:16" ht="12" x14ac:dyDescent="0.2">
      <c r="A68" s="435" t="s">
        <v>91</v>
      </c>
      <c r="B68" s="435"/>
      <c r="C68" s="435"/>
      <c r="D68" s="435"/>
      <c r="E68" s="435"/>
      <c r="F68" s="435"/>
      <c r="G68" s="435"/>
      <c r="H68" s="435"/>
      <c r="I68" s="435"/>
      <c r="J68" s="435"/>
      <c r="K68" s="435"/>
      <c r="L68" s="435"/>
      <c r="M68" s="435"/>
      <c r="N68" s="435"/>
      <c r="O68" s="435"/>
    </row>
  </sheetData>
  <mergeCells count="24">
    <mergeCell ref="D7:L7"/>
    <mergeCell ref="C2:I2"/>
    <mergeCell ref="C3:I3"/>
    <mergeCell ref="C4:I4"/>
    <mergeCell ref="D5:L5"/>
    <mergeCell ref="D6:L6"/>
    <mergeCell ref="D8:L8"/>
    <mergeCell ref="A9:F9"/>
    <mergeCell ref="J9:M9"/>
    <mergeCell ref="N9:O9"/>
    <mergeCell ref="A12:A13"/>
    <mergeCell ref="B12:B13"/>
    <mergeCell ref="C12:C13"/>
    <mergeCell ref="D12:D13"/>
    <mergeCell ref="E12:E13"/>
    <mergeCell ref="F12:K12"/>
    <mergeCell ref="A67:O67"/>
    <mergeCell ref="A68:O68"/>
    <mergeCell ref="L12:P12"/>
    <mergeCell ref="A53:K53"/>
    <mergeCell ref="C56:H56"/>
    <mergeCell ref="C57:H57"/>
    <mergeCell ref="C61:H61"/>
    <mergeCell ref="C62:H62"/>
  </mergeCells>
  <conditionalFormatting sqref="I14:J52 A14:A52 B15:G52">
    <cfRule type="cellIs" dxfId="53" priority="24" operator="equal">
      <formula>0</formula>
    </cfRule>
  </conditionalFormatting>
  <conditionalFormatting sqref="N9:O9 H14:H52 K14:P52">
    <cfRule type="cellIs" dxfId="52" priority="23" operator="equal">
      <formula>0</formula>
    </cfRule>
  </conditionalFormatting>
  <conditionalFormatting sqref="A9:F9">
    <cfRule type="containsText" dxfId="51" priority="22"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50" priority="21" operator="equal">
      <formula>0</formula>
    </cfRule>
  </conditionalFormatting>
  <conditionalFormatting sqref="O10">
    <cfRule type="cellIs" dxfId="49" priority="20" operator="equal">
      <formula>"20__. gada __. _________"</formula>
    </cfRule>
  </conditionalFormatting>
  <conditionalFormatting sqref="L53:P53">
    <cfRule type="cellIs" dxfId="48" priority="18" operator="equal">
      <formula>0</formula>
    </cfRule>
  </conditionalFormatting>
  <conditionalFormatting sqref="C4:I4">
    <cfRule type="cellIs" dxfId="47" priority="17" operator="equal">
      <formula>0</formula>
    </cfRule>
  </conditionalFormatting>
  <conditionalFormatting sqref="D5:L8">
    <cfRule type="cellIs" dxfId="46" priority="15" operator="equal">
      <formula>0</formula>
    </cfRule>
  </conditionalFormatting>
  <conditionalFormatting sqref="B14 D14:G14">
    <cfRule type="cellIs" dxfId="45" priority="14" operator="equal">
      <formula>0</formula>
    </cfRule>
  </conditionalFormatting>
  <conditionalFormatting sqref="C14">
    <cfRule type="cellIs" dxfId="44" priority="13" operator="equal">
      <formula>0</formula>
    </cfRule>
  </conditionalFormatting>
  <conditionalFormatting sqref="P10">
    <cfRule type="cellIs" dxfId="43" priority="11" operator="equal">
      <formula>"20__. gada __. _________"</formula>
    </cfRule>
  </conditionalFormatting>
  <conditionalFormatting sqref="C61:H61">
    <cfRule type="cellIs" dxfId="42" priority="8" operator="equal">
      <formula>0</formula>
    </cfRule>
  </conditionalFormatting>
  <conditionalFormatting sqref="C56:H56">
    <cfRule type="cellIs" dxfId="41" priority="7" operator="equal">
      <formula>0</formula>
    </cfRule>
  </conditionalFormatting>
  <conditionalFormatting sqref="C61:H61 C64 C56:H56">
    <cfRule type="cellIs" dxfId="40" priority="6" operator="equal">
      <formula>0</formula>
    </cfRule>
  </conditionalFormatting>
  <conditionalFormatting sqref="D1">
    <cfRule type="cellIs" dxfId="39" priority="5" operator="equal">
      <formula>0</formula>
    </cfRule>
  </conditionalFormatting>
  <conditionalFormatting sqref="A53:K53">
    <cfRule type="containsText" dxfId="38" priority="1" operator="containsText" text="Tiešās izmaksas kopā, t. sk. darba devēja sociālais nodoklis __.__% ">
      <formula>NOT(ISERROR(SEARCH("Tiešās izmaksas kopā, t. sk. darba devēja sociālais nodoklis __.__% ",A53)))</formula>
    </cfRule>
  </conditionalFormatting>
  <pageMargins left="0" right="0" top="0.78740157480314965" bottom="0.39370078740157483" header="0" footer="0.31496062992125984"/>
  <pageSetup scale="78" orientation="landscape" r:id="rId1"/>
  <rowBreaks count="1" manualBreakCount="1">
    <brk id="33" max="15"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2B8D6189-272C-4BF0-99B2-67740BA137B2}">
            <xm:f>NOT(ISERROR(SEARCH("Tāme sastādīta ____. gada ___. ______________",A59)))</xm:f>
            <xm:f>"Tāme sastādīta ____. gada ___. ______________"</xm:f>
            <x14:dxf>
              <font>
                <color auto="1"/>
              </font>
              <fill>
                <patternFill>
                  <bgColor rgb="FFC6EFCE"/>
                </patternFill>
              </fill>
            </x14:dxf>
          </x14:cfRule>
          <xm:sqref>A59</xm:sqref>
        </x14:conditionalFormatting>
        <x14:conditionalFormatting xmlns:xm="http://schemas.microsoft.com/office/excel/2006/main">
          <x14:cfRule type="containsText" priority="9" operator="containsText" id="{E61CED9B-8C32-4A7B-9136-6BD570F20074}">
            <xm:f>NOT(ISERROR(SEARCH("Sertifikāta Nr. _________________________________",A64)))</xm:f>
            <xm:f>"Sertifikāta Nr. _________________________________"</xm:f>
            <x14:dxf>
              <font>
                <color auto="1"/>
              </font>
              <fill>
                <patternFill>
                  <bgColor rgb="FFC6EFCE"/>
                </patternFill>
              </fill>
            </x14:dxf>
          </x14:cfRule>
          <xm:sqref>A64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S58"/>
  <sheetViews>
    <sheetView topLeftCell="A24" zoomScale="130" zoomScaleNormal="130" zoomScaleSheetLayoutView="115" workbookViewId="0">
      <selection activeCell="G85" sqref="G85"/>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9.140625" style="1"/>
    <col min="18" max="18" width="21.85546875" style="1" customWidth="1"/>
    <col min="19" max="16384" width="9.140625" style="1"/>
  </cols>
  <sheetData>
    <row r="1" spans="1:19" x14ac:dyDescent="0.2">
      <c r="A1" s="16"/>
      <c r="B1" s="16"/>
      <c r="C1" s="20" t="s">
        <v>38</v>
      </c>
      <c r="D1" s="37">
        <f>'Kops a'!A23</f>
        <v>9</v>
      </c>
      <c r="E1" s="16"/>
      <c r="F1" s="16"/>
      <c r="G1" s="16"/>
      <c r="H1" s="16"/>
      <c r="I1" s="16"/>
      <c r="J1" s="16"/>
      <c r="N1" s="19"/>
      <c r="O1" s="20"/>
      <c r="P1" s="21"/>
    </row>
    <row r="2" spans="1:19" x14ac:dyDescent="0.2">
      <c r="A2" s="22"/>
      <c r="B2" s="22"/>
      <c r="C2" s="410" t="s">
        <v>108</v>
      </c>
      <c r="D2" s="410"/>
      <c r="E2" s="410"/>
      <c r="F2" s="410"/>
      <c r="G2" s="410"/>
      <c r="H2" s="410"/>
      <c r="I2" s="410"/>
      <c r="J2" s="22"/>
    </row>
    <row r="3" spans="1:19" x14ac:dyDescent="0.2">
      <c r="A3" s="23"/>
      <c r="B3" s="23"/>
      <c r="C3" s="372" t="s">
        <v>17</v>
      </c>
      <c r="D3" s="372"/>
      <c r="E3" s="372"/>
      <c r="F3" s="372"/>
      <c r="G3" s="372"/>
      <c r="H3" s="372"/>
      <c r="I3" s="372"/>
      <c r="J3" s="23"/>
    </row>
    <row r="4" spans="1:19" x14ac:dyDescent="0.2">
      <c r="A4" s="23"/>
      <c r="B4" s="23"/>
      <c r="C4" s="412" t="s">
        <v>52</v>
      </c>
      <c r="D4" s="412"/>
      <c r="E4" s="412"/>
      <c r="F4" s="412"/>
      <c r="G4" s="412"/>
      <c r="H4" s="412"/>
      <c r="I4" s="412"/>
      <c r="J4" s="23"/>
    </row>
    <row r="5" spans="1:19" x14ac:dyDescent="0.2">
      <c r="A5" s="16"/>
      <c r="B5" s="16"/>
      <c r="C5" s="20" t="s">
        <v>5</v>
      </c>
      <c r="D5" s="433" t="str">
        <f>'Kops a'!D6</f>
        <v>Dzīvojamās ēkas vienkāršotā atjaunošana</v>
      </c>
      <c r="E5" s="433"/>
      <c r="F5" s="433"/>
      <c r="G5" s="433"/>
      <c r="H5" s="433"/>
      <c r="I5" s="433"/>
      <c r="J5" s="433"/>
      <c r="K5" s="433"/>
      <c r="L5" s="433"/>
      <c r="M5" s="12"/>
      <c r="N5" s="12"/>
      <c r="O5" s="12"/>
      <c r="P5" s="12"/>
    </row>
    <row r="6" spans="1:19" x14ac:dyDescent="0.2">
      <c r="A6" s="16"/>
      <c r="B6" s="16"/>
      <c r="C6" s="20" t="s">
        <v>6</v>
      </c>
      <c r="D6" s="433" t="str">
        <f>'Kops a'!D7</f>
        <v>Daudzdzīvokļu dzīvojamās mājas energoefektivitātes paaugstināšanas pasākumi</v>
      </c>
      <c r="E6" s="433"/>
      <c r="F6" s="433"/>
      <c r="G6" s="433"/>
      <c r="H6" s="433"/>
      <c r="I6" s="433"/>
      <c r="J6" s="433"/>
      <c r="K6" s="433"/>
      <c r="L6" s="433"/>
      <c r="M6" s="12"/>
      <c r="N6" s="12"/>
      <c r="O6" s="12"/>
      <c r="P6" s="12"/>
    </row>
    <row r="7" spans="1:19" x14ac:dyDescent="0.2">
      <c r="A7" s="16"/>
      <c r="B7" s="16"/>
      <c r="C7" s="20" t="s">
        <v>7</v>
      </c>
      <c r="D7" s="433" t="str">
        <f>'Kops a'!D8</f>
        <v xml:space="preserve">Atmodas bulvārī 12, Liepājā. </v>
      </c>
      <c r="E7" s="433"/>
      <c r="F7" s="433"/>
      <c r="G7" s="433"/>
      <c r="H7" s="433"/>
      <c r="I7" s="433"/>
      <c r="J7" s="433"/>
      <c r="K7" s="433"/>
      <c r="L7" s="433"/>
      <c r="M7" s="12"/>
      <c r="N7" s="12"/>
      <c r="O7" s="12"/>
      <c r="P7" s="12"/>
    </row>
    <row r="8" spans="1:19" x14ac:dyDescent="0.2">
      <c r="A8" s="16"/>
      <c r="B8" s="16"/>
      <c r="C8" s="97" t="s">
        <v>20</v>
      </c>
      <c r="D8" s="433" t="str">
        <f>'Kops a'!D9</f>
        <v>WS-5-18</v>
      </c>
      <c r="E8" s="433"/>
      <c r="F8" s="433"/>
      <c r="G8" s="433"/>
      <c r="H8" s="433"/>
      <c r="I8" s="433"/>
      <c r="J8" s="433"/>
      <c r="K8" s="433"/>
      <c r="L8" s="433"/>
      <c r="M8" s="12"/>
      <c r="N8" s="12"/>
      <c r="O8" s="12"/>
      <c r="P8" s="12"/>
    </row>
    <row r="9" spans="1:19" ht="11.25" customHeight="1" x14ac:dyDescent="0.2">
      <c r="A9" s="413" t="s">
        <v>362</v>
      </c>
      <c r="B9" s="413"/>
      <c r="C9" s="413"/>
      <c r="D9" s="413"/>
      <c r="E9" s="413"/>
      <c r="F9" s="413"/>
      <c r="G9" s="24"/>
      <c r="H9" s="24"/>
      <c r="I9" s="24"/>
      <c r="J9" s="417" t="s">
        <v>39</v>
      </c>
      <c r="K9" s="417"/>
      <c r="L9" s="417"/>
      <c r="M9" s="417"/>
      <c r="N9" s="424">
        <f>P43</f>
        <v>0</v>
      </c>
      <c r="O9" s="424"/>
      <c r="P9" s="24"/>
    </row>
    <row r="10" spans="1:19" x14ac:dyDescent="0.2">
      <c r="A10" s="25"/>
      <c r="B10" s="26"/>
      <c r="C10" s="97"/>
      <c r="D10" s="16"/>
      <c r="E10" s="16"/>
      <c r="F10" s="16"/>
      <c r="G10" s="16"/>
      <c r="H10" s="16"/>
      <c r="I10" s="16"/>
      <c r="J10" s="16"/>
      <c r="K10" s="16"/>
      <c r="L10" s="22"/>
      <c r="M10" s="22"/>
      <c r="O10" s="71"/>
      <c r="P10" s="70" t="str">
        <f>A49</f>
        <v>Tāme sastādīta 2021. gada</v>
      </c>
    </row>
    <row r="11" spans="1:19" ht="12" thickBot="1" x14ac:dyDescent="0.25">
      <c r="A11" s="25"/>
      <c r="B11" s="26"/>
      <c r="C11" s="97"/>
      <c r="D11" s="16"/>
      <c r="E11" s="16"/>
      <c r="F11" s="16"/>
      <c r="G11" s="16"/>
      <c r="H11" s="16"/>
      <c r="I11" s="16"/>
      <c r="J11" s="16"/>
      <c r="K11" s="16"/>
      <c r="L11" s="27"/>
      <c r="M11" s="27"/>
      <c r="N11" s="28"/>
      <c r="O11" s="19"/>
      <c r="P11" s="16"/>
    </row>
    <row r="12" spans="1:19" x14ac:dyDescent="0.2">
      <c r="A12" s="383" t="s">
        <v>23</v>
      </c>
      <c r="B12" s="419" t="s">
        <v>40</v>
      </c>
      <c r="C12" s="415" t="s">
        <v>41</v>
      </c>
      <c r="D12" s="422" t="s">
        <v>42</v>
      </c>
      <c r="E12" s="431" t="s">
        <v>43</v>
      </c>
      <c r="F12" s="414" t="s">
        <v>44</v>
      </c>
      <c r="G12" s="415"/>
      <c r="H12" s="415"/>
      <c r="I12" s="415"/>
      <c r="J12" s="415"/>
      <c r="K12" s="416"/>
      <c r="L12" s="414" t="s">
        <v>45</v>
      </c>
      <c r="M12" s="415"/>
      <c r="N12" s="415"/>
      <c r="O12" s="415"/>
      <c r="P12" s="416"/>
    </row>
    <row r="13" spans="1:19" ht="89.25" customHeight="1" thickBot="1" x14ac:dyDescent="0.25">
      <c r="A13" s="418"/>
      <c r="B13" s="420"/>
      <c r="C13" s="421"/>
      <c r="D13" s="423"/>
      <c r="E13" s="432"/>
      <c r="F13" s="101" t="s">
        <v>46</v>
      </c>
      <c r="G13" s="102" t="s">
        <v>47</v>
      </c>
      <c r="H13" s="102" t="s">
        <v>48</v>
      </c>
      <c r="I13" s="102" t="s">
        <v>49</v>
      </c>
      <c r="J13" s="102" t="s">
        <v>50</v>
      </c>
      <c r="K13" s="46" t="s">
        <v>51</v>
      </c>
      <c r="L13" s="101" t="s">
        <v>46</v>
      </c>
      <c r="M13" s="102" t="s">
        <v>48</v>
      </c>
      <c r="N13" s="102" t="s">
        <v>49</v>
      </c>
      <c r="O13" s="102" t="s">
        <v>50</v>
      </c>
      <c r="P13" s="46" t="s">
        <v>51</v>
      </c>
      <c r="R13" s="216"/>
      <c r="S13" s="216"/>
    </row>
    <row r="14" spans="1:19" ht="22.5" x14ac:dyDescent="0.2">
      <c r="A14" s="167">
        <v>1</v>
      </c>
      <c r="B14" s="167"/>
      <c r="C14" s="338" t="s">
        <v>265</v>
      </c>
      <c r="D14" s="339" t="s">
        <v>410</v>
      </c>
      <c r="E14" s="339">
        <v>6</v>
      </c>
      <c r="F14" s="257"/>
      <c r="G14" s="258"/>
      <c r="H14" s="258">
        <f t="shared" ref="H14:H15" si="0">ROUND(F14*G14,2)</f>
        <v>0</v>
      </c>
      <c r="I14" s="258"/>
      <c r="J14" s="258"/>
      <c r="K14" s="259">
        <f t="shared" ref="K14:K15" si="1">SUM(H14:J14)</f>
        <v>0</v>
      </c>
      <c r="L14" s="257">
        <f t="shared" ref="L14:L15" si="2">ROUND(E14*F14,2)</f>
        <v>0</v>
      </c>
      <c r="M14" s="258">
        <f t="shared" ref="M14:M15" si="3">ROUND(H14*E14,2)</f>
        <v>0</v>
      </c>
      <c r="N14" s="258">
        <f t="shared" ref="N14:N15" si="4">ROUND(I14*E14,2)</f>
        <v>0</v>
      </c>
      <c r="O14" s="258">
        <f t="shared" ref="O14:O15" si="5">ROUND(J14*E14,2)</f>
        <v>0</v>
      </c>
      <c r="P14" s="260">
        <f t="shared" ref="P14:P15" si="6">SUM(M14:O14)</f>
        <v>0</v>
      </c>
      <c r="Q14" s="503"/>
      <c r="R14" s="350"/>
      <c r="S14" s="216"/>
    </row>
    <row r="15" spans="1:19" ht="22.5" x14ac:dyDescent="0.2">
      <c r="A15" s="167">
        <v>2</v>
      </c>
      <c r="B15" s="167"/>
      <c r="C15" s="338" t="s">
        <v>266</v>
      </c>
      <c r="D15" s="339" t="s">
        <v>410</v>
      </c>
      <c r="E15" s="339">
        <v>1</v>
      </c>
      <c r="F15" s="257"/>
      <c r="G15" s="258"/>
      <c r="H15" s="258">
        <f t="shared" si="0"/>
        <v>0</v>
      </c>
      <c r="I15" s="258"/>
      <c r="J15" s="258"/>
      <c r="K15" s="259">
        <f t="shared" si="1"/>
        <v>0</v>
      </c>
      <c r="L15" s="257">
        <f t="shared" si="2"/>
        <v>0</v>
      </c>
      <c r="M15" s="258">
        <f t="shared" si="3"/>
        <v>0</v>
      </c>
      <c r="N15" s="258">
        <f t="shared" si="4"/>
        <v>0</v>
      </c>
      <c r="O15" s="258">
        <f t="shared" si="5"/>
        <v>0</v>
      </c>
      <c r="P15" s="260">
        <f t="shared" si="6"/>
        <v>0</v>
      </c>
      <c r="Q15" s="503"/>
      <c r="R15" s="350"/>
      <c r="S15" s="216"/>
    </row>
    <row r="16" spans="1:19" x14ac:dyDescent="0.2">
      <c r="A16" s="167">
        <v>3</v>
      </c>
      <c r="B16" s="167"/>
      <c r="C16" s="338" t="s">
        <v>267</v>
      </c>
      <c r="D16" s="339" t="s">
        <v>410</v>
      </c>
      <c r="E16" s="339">
        <v>4</v>
      </c>
      <c r="F16" s="257"/>
      <c r="G16" s="258"/>
      <c r="H16" s="258">
        <f t="shared" ref="H16:H42" si="7">ROUND(F16*G16,2)</f>
        <v>0</v>
      </c>
      <c r="I16" s="258"/>
      <c r="J16" s="258"/>
      <c r="K16" s="259">
        <f t="shared" ref="K16:K42" si="8">SUM(H16:J16)</f>
        <v>0</v>
      </c>
      <c r="L16" s="257">
        <f t="shared" ref="L16:L42" si="9">ROUND(E16*F16,2)</f>
        <v>0</v>
      </c>
      <c r="M16" s="258">
        <f t="shared" ref="M16:M42" si="10">ROUND(H16*E16,2)</f>
        <v>0</v>
      </c>
      <c r="N16" s="258">
        <f t="shared" ref="N16:N42" si="11">ROUND(I16*E16,2)</f>
        <v>0</v>
      </c>
      <c r="O16" s="258">
        <f t="shared" ref="O16:O42" si="12">ROUND(J16*E16,2)</f>
        <v>0</v>
      </c>
      <c r="P16" s="260">
        <f t="shared" ref="P16:P42" si="13">SUM(M16:O16)</f>
        <v>0</v>
      </c>
      <c r="Q16" s="503"/>
      <c r="R16" s="350"/>
      <c r="S16" s="216"/>
    </row>
    <row r="17" spans="1:19" x14ac:dyDescent="0.2">
      <c r="A17" s="167">
        <v>4</v>
      </c>
      <c r="B17" s="167"/>
      <c r="C17" s="338" t="s">
        <v>268</v>
      </c>
      <c r="D17" s="339" t="s">
        <v>59</v>
      </c>
      <c r="E17" s="339">
        <v>460</v>
      </c>
      <c r="F17" s="257"/>
      <c r="G17" s="258"/>
      <c r="H17" s="258">
        <f t="shared" si="7"/>
        <v>0</v>
      </c>
      <c r="I17" s="258"/>
      <c r="J17" s="258"/>
      <c r="K17" s="259">
        <f t="shared" si="8"/>
        <v>0</v>
      </c>
      <c r="L17" s="257">
        <f t="shared" si="9"/>
        <v>0</v>
      </c>
      <c r="M17" s="258">
        <f t="shared" si="10"/>
        <v>0</v>
      </c>
      <c r="N17" s="258">
        <f t="shared" si="11"/>
        <v>0</v>
      </c>
      <c r="O17" s="258">
        <f t="shared" si="12"/>
        <v>0</v>
      </c>
      <c r="P17" s="260">
        <f t="shared" si="13"/>
        <v>0</v>
      </c>
      <c r="Q17" s="503"/>
      <c r="R17" s="350"/>
      <c r="S17" s="216"/>
    </row>
    <row r="18" spans="1:19" x14ac:dyDescent="0.2">
      <c r="A18" s="167">
        <v>5</v>
      </c>
      <c r="B18" s="167"/>
      <c r="C18" s="338" t="s">
        <v>269</v>
      </c>
      <c r="D18" s="339" t="s">
        <v>59</v>
      </c>
      <c r="E18" s="339">
        <v>260</v>
      </c>
      <c r="F18" s="257"/>
      <c r="G18" s="258"/>
      <c r="H18" s="258">
        <f t="shared" si="7"/>
        <v>0</v>
      </c>
      <c r="I18" s="258"/>
      <c r="J18" s="258"/>
      <c r="K18" s="259">
        <f t="shared" si="8"/>
        <v>0</v>
      </c>
      <c r="L18" s="257">
        <f t="shared" si="9"/>
        <v>0</v>
      </c>
      <c r="M18" s="258">
        <f t="shared" si="10"/>
        <v>0</v>
      </c>
      <c r="N18" s="258">
        <f t="shared" si="11"/>
        <v>0</v>
      </c>
      <c r="O18" s="258">
        <f t="shared" si="12"/>
        <v>0</v>
      </c>
      <c r="P18" s="260">
        <f t="shared" si="13"/>
        <v>0</v>
      </c>
      <c r="Q18" s="503"/>
      <c r="R18" s="350"/>
      <c r="S18" s="216"/>
    </row>
    <row r="19" spans="1:19" x14ac:dyDescent="0.2">
      <c r="A19" s="167">
        <v>6</v>
      </c>
      <c r="B19" s="167"/>
      <c r="C19" s="338" t="s">
        <v>270</v>
      </c>
      <c r="D19" s="339" t="s">
        <v>59</v>
      </c>
      <c r="E19" s="339">
        <v>260</v>
      </c>
      <c r="F19" s="257"/>
      <c r="G19" s="258"/>
      <c r="H19" s="258">
        <f t="shared" si="7"/>
        <v>0</v>
      </c>
      <c r="I19" s="258"/>
      <c r="J19" s="258"/>
      <c r="K19" s="259">
        <f t="shared" si="8"/>
        <v>0</v>
      </c>
      <c r="L19" s="257">
        <f t="shared" si="9"/>
        <v>0</v>
      </c>
      <c r="M19" s="258">
        <f t="shared" si="10"/>
        <v>0</v>
      </c>
      <c r="N19" s="258">
        <f t="shared" si="11"/>
        <v>0</v>
      </c>
      <c r="O19" s="258">
        <f t="shared" si="12"/>
        <v>0</v>
      </c>
      <c r="P19" s="260">
        <f t="shared" si="13"/>
        <v>0</v>
      </c>
      <c r="Q19" s="503"/>
      <c r="R19" s="350"/>
      <c r="S19" s="216"/>
    </row>
    <row r="20" spans="1:19" x14ac:dyDescent="0.2">
      <c r="A20" s="167">
        <v>7</v>
      </c>
      <c r="B20" s="167"/>
      <c r="C20" s="338" t="s">
        <v>271</v>
      </c>
      <c r="D20" s="339" t="s">
        <v>59</v>
      </c>
      <c r="E20" s="339">
        <v>70</v>
      </c>
      <c r="F20" s="257"/>
      <c r="G20" s="258"/>
      <c r="H20" s="258">
        <f t="shared" si="7"/>
        <v>0</v>
      </c>
      <c r="I20" s="258"/>
      <c r="J20" s="258"/>
      <c r="K20" s="259">
        <f t="shared" si="8"/>
        <v>0</v>
      </c>
      <c r="L20" s="257">
        <f t="shared" si="9"/>
        <v>0</v>
      </c>
      <c r="M20" s="258">
        <f t="shared" si="10"/>
        <v>0</v>
      </c>
      <c r="N20" s="258">
        <f t="shared" si="11"/>
        <v>0</v>
      </c>
      <c r="O20" s="258">
        <f t="shared" si="12"/>
        <v>0</v>
      </c>
      <c r="P20" s="260">
        <f t="shared" si="13"/>
        <v>0</v>
      </c>
      <c r="Q20" s="503"/>
      <c r="R20" s="350"/>
      <c r="S20" s="216"/>
    </row>
    <row r="21" spans="1:19" ht="22.5" x14ac:dyDescent="0.2">
      <c r="A21" s="167">
        <v>8</v>
      </c>
      <c r="B21" s="167"/>
      <c r="C21" s="504" t="s">
        <v>500</v>
      </c>
      <c r="D21" s="339" t="s">
        <v>59</v>
      </c>
      <c r="E21" s="339">
        <v>120</v>
      </c>
      <c r="F21" s="257"/>
      <c r="G21" s="258"/>
      <c r="H21" s="258">
        <f t="shared" si="7"/>
        <v>0</v>
      </c>
      <c r="I21" s="258"/>
      <c r="J21" s="258"/>
      <c r="K21" s="259">
        <f t="shared" si="8"/>
        <v>0</v>
      </c>
      <c r="L21" s="257">
        <f t="shared" si="9"/>
        <v>0</v>
      </c>
      <c r="M21" s="258">
        <f t="shared" si="10"/>
        <v>0</v>
      </c>
      <c r="N21" s="258">
        <f t="shared" si="11"/>
        <v>0</v>
      </c>
      <c r="O21" s="258">
        <f t="shared" si="12"/>
        <v>0</v>
      </c>
      <c r="P21" s="260">
        <f t="shared" si="13"/>
        <v>0</v>
      </c>
      <c r="Q21" s="503"/>
      <c r="R21" s="350"/>
      <c r="S21" s="216"/>
    </row>
    <row r="22" spans="1:19" ht="22.5" x14ac:dyDescent="0.2">
      <c r="A22" s="167">
        <v>9</v>
      </c>
      <c r="B22" s="167"/>
      <c r="C22" s="504" t="s">
        <v>501</v>
      </c>
      <c r="D22" s="339" t="s">
        <v>59</v>
      </c>
      <c r="E22" s="339">
        <v>120</v>
      </c>
      <c r="F22" s="257"/>
      <c r="G22" s="258"/>
      <c r="H22" s="258"/>
      <c r="I22" s="258"/>
      <c r="J22" s="258"/>
      <c r="K22" s="259"/>
      <c r="L22" s="257"/>
      <c r="M22" s="258"/>
      <c r="N22" s="258"/>
      <c r="O22" s="258"/>
      <c r="P22" s="260"/>
      <c r="Q22" s="503"/>
      <c r="R22" s="350"/>
      <c r="S22" s="216"/>
    </row>
    <row r="23" spans="1:19" x14ac:dyDescent="0.2">
      <c r="A23" s="167">
        <v>10</v>
      </c>
      <c r="B23" s="167"/>
      <c r="C23" s="338" t="s">
        <v>272</v>
      </c>
      <c r="D23" s="339" t="s">
        <v>74</v>
      </c>
      <c r="E23" s="339">
        <v>140</v>
      </c>
      <c r="F23" s="257"/>
      <c r="G23" s="258"/>
      <c r="H23" s="258"/>
      <c r="I23" s="258"/>
      <c r="J23" s="258"/>
      <c r="K23" s="259"/>
      <c r="L23" s="257"/>
      <c r="M23" s="258"/>
      <c r="N23" s="258"/>
      <c r="O23" s="258"/>
      <c r="P23" s="260"/>
      <c r="Q23" s="503"/>
      <c r="R23" s="350"/>
      <c r="S23" s="216"/>
    </row>
    <row r="24" spans="1:19" x14ac:dyDescent="0.2">
      <c r="A24" s="167">
        <v>11</v>
      </c>
      <c r="B24" s="167"/>
      <c r="C24" s="338" t="s">
        <v>273</v>
      </c>
      <c r="D24" s="339" t="s">
        <v>74</v>
      </c>
      <c r="E24" s="339">
        <v>70</v>
      </c>
      <c r="F24" s="257"/>
      <c r="G24" s="258"/>
      <c r="H24" s="258"/>
      <c r="I24" s="258"/>
      <c r="J24" s="258"/>
      <c r="K24" s="259"/>
      <c r="L24" s="257"/>
      <c r="M24" s="258"/>
      <c r="N24" s="258"/>
      <c r="O24" s="258"/>
      <c r="P24" s="260"/>
      <c r="Q24" s="503"/>
      <c r="R24" s="350"/>
      <c r="S24" s="216"/>
    </row>
    <row r="25" spans="1:19" x14ac:dyDescent="0.2">
      <c r="A25" s="167">
        <v>12</v>
      </c>
      <c r="B25" s="167"/>
      <c r="C25" s="338" t="s">
        <v>274</v>
      </c>
      <c r="D25" s="339" t="s">
        <v>275</v>
      </c>
      <c r="E25" s="339">
        <v>110</v>
      </c>
      <c r="F25" s="257"/>
      <c r="G25" s="258"/>
      <c r="H25" s="258"/>
      <c r="I25" s="258"/>
      <c r="J25" s="258"/>
      <c r="K25" s="259"/>
      <c r="L25" s="257"/>
      <c r="M25" s="258"/>
      <c r="N25" s="258"/>
      <c r="O25" s="258"/>
      <c r="P25" s="260"/>
      <c r="Q25" s="503"/>
      <c r="R25" s="350"/>
      <c r="S25" s="216"/>
    </row>
    <row r="26" spans="1:19" x14ac:dyDescent="0.2">
      <c r="A26" s="167">
        <v>13</v>
      </c>
      <c r="B26" s="167"/>
      <c r="C26" s="338" t="s">
        <v>276</v>
      </c>
      <c r="D26" s="339" t="s">
        <v>74</v>
      </c>
      <c r="E26" s="339">
        <v>33</v>
      </c>
      <c r="F26" s="257"/>
      <c r="G26" s="258"/>
      <c r="H26" s="258"/>
      <c r="I26" s="258"/>
      <c r="J26" s="258"/>
      <c r="K26" s="259"/>
      <c r="L26" s="257"/>
      <c r="M26" s="258"/>
      <c r="N26" s="258"/>
      <c r="O26" s="258"/>
      <c r="P26" s="260"/>
      <c r="Q26" s="503"/>
      <c r="R26" s="350"/>
      <c r="S26" s="216"/>
    </row>
    <row r="27" spans="1:19" x14ac:dyDescent="0.2">
      <c r="A27" s="167">
        <v>14</v>
      </c>
      <c r="B27" s="167"/>
      <c r="C27" s="338" t="s">
        <v>277</v>
      </c>
      <c r="D27" s="339" t="s">
        <v>74</v>
      </c>
      <c r="E27" s="339">
        <v>13</v>
      </c>
      <c r="F27" s="257"/>
      <c r="G27" s="258"/>
      <c r="H27" s="258"/>
      <c r="I27" s="258"/>
      <c r="J27" s="258"/>
      <c r="K27" s="259"/>
      <c r="L27" s="257"/>
      <c r="M27" s="258"/>
      <c r="N27" s="258"/>
      <c r="O27" s="258"/>
      <c r="P27" s="260"/>
      <c r="Q27" s="503"/>
      <c r="R27" s="350"/>
      <c r="S27" s="216"/>
    </row>
    <row r="28" spans="1:19" x14ac:dyDescent="0.2">
      <c r="A28" s="167">
        <v>15</v>
      </c>
      <c r="B28" s="167"/>
      <c r="C28" s="338" t="s">
        <v>278</v>
      </c>
      <c r="D28" s="339" t="s">
        <v>74</v>
      </c>
      <c r="E28" s="339">
        <v>13</v>
      </c>
      <c r="F28" s="257"/>
      <c r="G28" s="258"/>
      <c r="H28" s="258"/>
      <c r="I28" s="258"/>
      <c r="J28" s="258"/>
      <c r="K28" s="259"/>
      <c r="L28" s="257"/>
      <c r="M28" s="258"/>
      <c r="N28" s="258"/>
      <c r="O28" s="258"/>
      <c r="P28" s="260"/>
      <c r="Q28" s="503"/>
      <c r="R28" s="350"/>
      <c r="S28" s="216"/>
    </row>
    <row r="29" spans="1:19" x14ac:dyDescent="0.2">
      <c r="A29" s="167">
        <v>16</v>
      </c>
      <c r="B29" s="167"/>
      <c r="C29" s="338" t="s">
        <v>279</v>
      </c>
      <c r="D29" s="339" t="s">
        <v>74</v>
      </c>
      <c r="E29" s="339">
        <v>13</v>
      </c>
      <c r="F29" s="257"/>
      <c r="G29" s="258"/>
      <c r="H29" s="258"/>
      <c r="I29" s="258"/>
      <c r="J29" s="258"/>
      <c r="K29" s="259"/>
      <c r="L29" s="257"/>
      <c r="M29" s="258"/>
      <c r="N29" s="258"/>
      <c r="O29" s="258"/>
      <c r="P29" s="260"/>
      <c r="Q29" s="503"/>
      <c r="R29" s="350"/>
      <c r="S29" s="216"/>
    </row>
    <row r="30" spans="1:19" x14ac:dyDescent="0.2">
      <c r="A30" s="167">
        <v>17</v>
      </c>
      <c r="B30" s="167"/>
      <c r="C30" s="338" t="s">
        <v>280</v>
      </c>
      <c r="D30" s="339" t="s">
        <v>74</v>
      </c>
      <c r="E30" s="339">
        <v>13</v>
      </c>
      <c r="F30" s="257"/>
      <c r="G30" s="258"/>
      <c r="H30" s="258"/>
      <c r="I30" s="258"/>
      <c r="J30" s="258"/>
      <c r="K30" s="259"/>
      <c r="L30" s="257"/>
      <c r="M30" s="258"/>
      <c r="N30" s="258"/>
      <c r="O30" s="258"/>
      <c r="P30" s="260"/>
      <c r="Q30" s="503"/>
      <c r="R30" s="350"/>
      <c r="S30" s="216"/>
    </row>
    <row r="31" spans="1:19" x14ac:dyDescent="0.2">
      <c r="A31" s="167">
        <v>18</v>
      </c>
      <c r="B31" s="167"/>
      <c r="C31" s="338" t="s">
        <v>281</v>
      </c>
      <c r="D31" s="339" t="s">
        <v>275</v>
      </c>
      <c r="E31" s="339">
        <v>55</v>
      </c>
      <c r="F31" s="257"/>
      <c r="G31" s="258"/>
      <c r="H31" s="258"/>
      <c r="I31" s="258"/>
      <c r="J31" s="258"/>
      <c r="K31" s="259"/>
      <c r="L31" s="257"/>
      <c r="M31" s="258"/>
      <c r="N31" s="258"/>
      <c r="O31" s="258"/>
      <c r="P31" s="260"/>
      <c r="Q31" s="503"/>
      <c r="R31" s="350"/>
      <c r="S31" s="216"/>
    </row>
    <row r="32" spans="1:19" x14ac:dyDescent="0.2">
      <c r="A32" s="167">
        <v>19</v>
      </c>
      <c r="B32" s="167"/>
      <c r="C32" s="338" t="s">
        <v>282</v>
      </c>
      <c r="D32" s="339" t="s">
        <v>74</v>
      </c>
      <c r="E32" s="339">
        <v>13</v>
      </c>
      <c r="F32" s="257"/>
      <c r="G32" s="258"/>
      <c r="H32" s="258"/>
      <c r="I32" s="258"/>
      <c r="J32" s="258"/>
      <c r="K32" s="259"/>
      <c r="L32" s="257"/>
      <c r="M32" s="258"/>
      <c r="N32" s="258"/>
      <c r="O32" s="258"/>
      <c r="P32" s="260"/>
      <c r="Q32" s="503"/>
      <c r="R32" s="350"/>
      <c r="S32" s="216"/>
    </row>
    <row r="33" spans="1:19" x14ac:dyDescent="0.2">
      <c r="A33" s="167">
        <v>20</v>
      </c>
      <c r="B33" s="167"/>
      <c r="C33" s="338" t="s">
        <v>283</v>
      </c>
      <c r="D33" s="339" t="s">
        <v>74</v>
      </c>
      <c r="E33" s="339">
        <v>13</v>
      </c>
      <c r="F33" s="257"/>
      <c r="G33" s="258"/>
      <c r="H33" s="258"/>
      <c r="I33" s="258"/>
      <c r="J33" s="258"/>
      <c r="K33" s="259"/>
      <c r="L33" s="257"/>
      <c r="M33" s="258"/>
      <c r="N33" s="258"/>
      <c r="O33" s="258"/>
      <c r="P33" s="260"/>
      <c r="Q33" s="503"/>
      <c r="R33" s="350"/>
      <c r="S33" s="216"/>
    </row>
    <row r="34" spans="1:19" x14ac:dyDescent="0.2">
      <c r="A34" s="167">
        <v>21</v>
      </c>
      <c r="B34" s="167"/>
      <c r="C34" s="338" t="s">
        <v>284</v>
      </c>
      <c r="D34" s="339" t="s">
        <v>59</v>
      </c>
      <c r="E34" s="339">
        <v>170</v>
      </c>
      <c r="F34" s="257"/>
      <c r="G34" s="258"/>
      <c r="H34" s="258"/>
      <c r="I34" s="258"/>
      <c r="J34" s="258"/>
      <c r="K34" s="259"/>
      <c r="L34" s="257"/>
      <c r="M34" s="258"/>
      <c r="N34" s="258"/>
      <c r="O34" s="258"/>
      <c r="P34" s="260"/>
      <c r="Q34" s="503"/>
      <c r="R34" s="350"/>
      <c r="S34" s="216"/>
    </row>
    <row r="35" spans="1:19" ht="22.5" x14ac:dyDescent="0.2">
      <c r="A35" s="167">
        <v>22</v>
      </c>
      <c r="B35" s="167"/>
      <c r="C35" s="338" t="s">
        <v>285</v>
      </c>
      <c r="D35" s="339" t="s">
        <v>59</v>
      </c>
      <c r="E35" s="339">
        <v>170</v>
      </c>
      <c r="F35" s="257"/>
      <c r="G35" s="258"/>
      <c r="H35" s="258"/>
      <c r="I35" s="258"/>
      <c r="J35" s="258"/>
      <c r="K35" s="259"/>
      <c r="L35" s="257"/>
      <c r="M35" s="258"/>
      <c r="N35" s="258"/>
      <c r="O35" s="258"/>
      <c r="P35" s="260"/>
      <c r="Q35" s="503"/>
      <c r="R35" s="350"/>
      <c r="S35" s="216"/>
    </row>
    <row r="36" spans="1:19" x14ac:dyDescent="0.2">
      <c r="A36" s="167">
        <v>23</v>
      </c>
      <c r="B36" s="167"/>
      <c r="C36" s="338" t="s">
        <v>286</v>
      </c>
      <c r="D36" s="339" t="s">
        <v>74</v>
      </c>
      <c r="E36" s="339">
        <v>33</v>
      </c>
      <c r="F36" s="257"/>
      <c r="G36" s="258"/>
      <c r="H36" s="258">
        <f t="shared" si="7"/>
        <v>0</v>
      </c>
      <c r="I36" s="258"/>
      <c r="J36" s="258"/>
      <c r="K36" s="259">
        <f t="shared" si="8"/>
        <v>0</v>
      </c>
      <c r="L36" s="257">
        <f t="shared" si="9"/>
        <v>0</v>
      </c>
      <c r="M36" s="258">
        <f t="shared" si="10"/>
        <v>0</v>
      </c>
      <c r="N36" s="258">
        <f t="shared" si="11"/>
        <v>0</v>
      </c>
      <c r="O36" s="258">
        <f t="shared" si="12"/>
        <v>0</v>
      </c>
      <c r="P36" s="260">
        <f t="shared" si="13"/>
        <v>0</v>
      </c>
      <c r="Q36" s="503"/>
      <c r="R36" s="350"/>
      <c r="S36" s="216"/>
    </row>
    <row r="37" spans="1:19" ht="22.5" x14ac:dyDescent="0.2">
      <c r="A37" s="167">
        <v>24</v>
      </c>
      <c r="B37" s="167"/>
      <c r="C37" s="338" t="s">
        <v>287</v>
      </c>
      <c r="D37" s="339" t="s">
        <v>410</v>
      </c>
      <c r="E37" s="339">
        <v>1</v>
      </c>
      <c r="F37" s="257"/>
      <c r="G37" s="258"/>
      <c r="H37" s="258">
        <f t="shared" si="7"/>
        <v>0</v>
      </c>
      <c r="I37" s="258"/>
      <c r="J37" s="258"/>
      <c r="K37" s="259">
        <f t="shared" si="8"/>
        <v>0</v>
      </c>
      <c r="L37" s="257">
        <f t="shared" si="9"/>
        <v>0</v>
      </c>
      <c r="M37" s="258">
        <f t="shared" si="10"/>
        <v>0</v>
      </c>
      <c r="N37" s="258">
        <f t="shared" si="11"/>
        <v>0</v>
      </c>
      <c r="O37" s="258">
        <f t="shared" si="12"/>
        <v>0</v>
      </c>
      <c r="P37" s="260">
        <f t="shared" si="13"/>
        <v>0</v>
      </c>
      <c r="Q37" s="503"/>
      <c r="R37" s="350"/>
      <c r="S37" s="216"/>
    </row>
    <row r="38" spans="1:19" x14ac:dyDescent="0.2">
      <c r="A38" s="167">
        <v>25</v>
      </c>
      <c r="B38" s="167"/>
      <c r="C38" s="338" t="s">
        <v>86</v>
      </c>
      <c r="D38" s="339" t="s">
        <v>410</v>
      </c>
      <c r="E38" s="339">
        <v>1</v>
      </c>
      <c r="F38" s="257"/>
      <c r="G38" s="258"/>
      <c r="H38" s="258">
        <f t="shared" si="7"/>
        <v>0</v>
      </c>
      <c r="I38" s="258"/>
      <c r="J38" s="258"/>
      <c r="K38" s="259">
        <f t="shared" si="8"/>
        <v>0</v>
      </c>
      <c r="L38" s="257">
        <f t="shared" si="9"/>
        <v>0</v>
      </c>
      <c r="M38" s="258">
        <f t="shared" si="10"/>
        <v>0</v>
      </c>
      <c r="N38" s="258">
        <f t="shared" si="11"/>
        <v>0</v>
      </c>
      <c r="O38" s="258">
        <f t="shared" si="12"/>
        <v>0</v>
      </c>
      <c r="P38" s="260">
        <f t="shared" si="13"/>
        <v>0</v>
      </c>
      <c r="Q38" s="503"/>
      <c r="R38" s="350"/>
      <c r="S38" s="216"/>
    </row>
    <row r="39" spans="1:19" x14ac:dyDescent="0.2">
      <c r="A39" s="167">
        <v>26</v>
      </c>
      <c r="B39" s="167"/>
      <c r="C39" s="338" t="s">
        <v>288</v>
      </c>
      <c r="D39" s="339" t="s">
        <v>411</v>
      </c>
      <c r="E39" s="339">
        <v>8</v>
      </c>
      <c r="F39" s="257"/>
      <c r="G39" s="258"/>
      <c r="H39" s="258">
        <f t="shared" si="7"/>
        <v>0</v>
      </c>
      <c r="I39" s="258"/>
      <c r="J39" s="258"/>
      <c r="K39" s="259">
        <f t="shared" si="8"/>
        <v>0</v>
      </c>
      <c r="L39" s="257">
        <f t="shared" si="9"/>
        <v>0</v>
      </c>
      <c r="M39" s="258">
        <f t="shared" si="10"/>
        <v>0</v>
      </c>
      <c r="N39" s="258">
        <f t="shared" si="11"/>
        <v>0</v>
      </c>
      <c r="O39" s="258">
        <f t="shared" si="12"/>
        <v>0</v>
      </c>
      <c r="P39" s="260">
        <f t="shared" si="13"/>
        <v>0</v>
      </c>
      <c r="Q39" s="503"/>
      <c r="R39" s="350"/>
      <c r="S39" s="216"/>
    </row>
    <row r="40" spans="1:19" x14ac:dyDescent="0.2">
      <c r="A40" s="167">
        <v>27</v>
      </c>
      <c r="B40" s="167"/>
      <c r="C40" s="338" t="s">
        <v>289</v>
      </c>
      <c r="D40" s="339" t="s">
        <v>63</v>
      </c>
      <c r="E40" s="339">
        <v>85</v>
      </c>
      <c r="F40" s="257"/>
      <c r="G40" s="258"/>
      <c r="H40" s="258">
        <f t="shared" si="7"/>
        <v>0</v>
      </c>
      <c r="I40" s="258"/>
      <c r="J40" s="258"/>
      <c r="K40" s="259">
        <f t="shared" si="8"/>
        <v>0</v>
      </c>
      <c r="L40" s="257">
        <f t="shared" si="9"/>
        <v>0</v>
      </c>
      <c r="M40" s="258">
        <f t="shared" si="10"/>
        <v>0</v>
      </c>
      <c r="N40" s="258">
        <f t="shared" si="11"/>
        <v>0</v>
      </c>
      <c r="O40" s="258">
        <f t="shared" si="12"/>
        <v>0</v>
      </c>
      <c r="P40" s="260">
        <f t="shared" si="13"/>
        <v>0</v>
      </c>
      <c r="Q40" s="503"/>
      <c r="R40" s="350"/>
      <c r="S40" s="216"/>
    </row>
    <row r="41" spans="1:19" x14ac:dyDescent="0.2">
      <c r="A41" s="167">
        <v>28</v>
      </c>
      <c r="B41" s="167"/>
      <c r="C41" s="338" t="s">
        <v>87</v>
      </c>
      <c r="D41" s="339" t="s">
        <v>410</v>
      </c>
      <c r="E41" s="339">
        <v>1</v>
      </c>
      <c r="F41" s="257"/>
      <c r="G41" s="258"/>
      <c r="H41" s="258">
        <f t="shared" si="7"/>
        <v>0</v>
      </c>
      <c r="I41" s="258"/>
      <c r="J41" s="258"/>
      <c r="K41" s="259">
        <f t="shared" si="8"/>
        <v>0</v>
      </c>
      <c r="L41" s="257">
        <f t="shared" si="9"/>
        <v>0</v>
      </c>
      <c r="M41" s="258">
        <f t="shared" si="10"/>
        <v>0</v>
      </c>
      <c r="N41" s="258">
        <f t="shared" si="11"/>
        <v>0</v>
      </c>
      <c r="O41" s="258">
        <f t="shared" si="12"/>
        <v>0</v>
      </c>
      <c r="P41" s="260">
        <f t="shared" si="13"/>
        <v>0</v>
      </c>
      <c r="Q41" s="503"/>
      <c r="R41" s="350"/>
      <c r="S41" s="216"/>
    </row>
    <row r="42" spans="1:19" ht="12" thickBot="1" x14ac:dyDescent="0.25">
      <c r="A42" s="167">
        <v>29</v>
      </c>
      <c r="B42" s="167"/>
      <c r="C42" s="338" t="s">
        <v>88</v>
      </c>
      <c r="D42" s="339" t="s">
        <v>410</v>
      </c>
      <c r="E42" s="339">
        <v>1</v>
      </c>
      <c r="F42" s="257"/>
      <c r="G42" s="258"/>
      <c r="H42" s="258">
        <f t="shared" si="7"/>
        <v>0</v>
      </c>
      <c r="I42" s="258"/>
      <c r="J42" s="258"/>
      <c r="K42" s="259">
        <f t="shared" si="8"/>
        <v>0</v>
      </c>
      <c r="L42" s="257">
        <f t="shared" si="9"/>
        <v>0</v>
      </c>
      <c r="M42" s="258">
        <f t="shared" si="10"/>
        <v>0</v>
      </c>
      <c r="N42" s="258">
        <f t="shared" si="11"/>
        <v>0</v>
      </c>
      <c r="O42" s="258">
        <f t="shared" si="12"/>
        <v>0</v>
      </c>
      <c r="P42" s="260">
        <f t="shared" si="13"/>
        <v>0</v>
      </c>
      <c r="Q42" s="503"/>
      <c r="R42" s="350"/>
      <c r="S42" s="216"/>
    </row>
    <row r="43" spans="1:19" ht="10.7" customHeight="1" thickBot="1" x14ac:dyDescent="0.25">
      <c r="A43" s="428" t="s">
        <v>486</v>
      </c>
      <c r="B43" s="429"/>
      <c r="C43" s="429"/>
      <c r="D43" s="429"/>
      <c r="E43" s="429"/>
      <c r="F43" s="429"/>
      <c r="G43" s="429"/>
      <c r="H43" s="429"/>
      <c r="I43" s="429"/>
      <c r="J43" s="429"/>
      <c r="K43" s="430"/>
      <c r="L43" s="54">
        <f>SUM(L14:L42)</f>
        <v>0</v>
      </c>
      <c r="M43" s="55">
        <f>SUM(M14:M42)</f>
        <v>0</v>
      </c>
      <c r="N43" s="55">
        <f>SUM(N14:N42)</f>
        <v>0</v>
      </c>
      <c r="O43" s="55">
        <f>SUM(O14:O42)</f>
        <v>0</v>
      </c>
      <c r="P43" s="56">
        <f>SUM(P14:P42)</f>
        <v>0</v>
      </c>
      <c r="R43" s="216"/>
      <c r="S43" s="216"/>
    </row>
    <row r="44" spans="1:19" x14ac:dyDescent="0.2">
      <c r="A44" s="12"/>
      <c r="B44" s="12"/>
      <c r="C44" s="12"/>
      <c r="D44" s="12"/>
      <c r="E44" s="12"/>
      <c r="F44" s="12"/>
      <c r="G44" s="12"/>
      <c r="H44" s="12"/>
      <c r="I44" s="12"/>
      <c r="J44" s="12"/>
      <c r="K44" s="12"/>
      <c r="L44" s="12"/>
      <c r="M44" s="12"/>
      <c r="N44" s="12"/>
      <c r="O44" s="12"/>
      <c r="P44" s="12"/>
      <c r="R44" s="216"/>
      <c r="S44" s="216"/>
    </row>
    <row r="45" spans="1:19" x14ac:dyDescent="0.2">
      <c r="A45" s="12"/>
      <c r="B45" s="12"/>
      <c r="C45" s="12"/>
      <c r="D45" s="12"/>
      <c r="E45" s="12"/>
      <c r="F45" s="12"/>
      <c r="G45" s="12"/>
      <c r="H45" s="12"/>
      <c r="I45" s="12"/>
      <c r="J45" s="12"/>
      <c r="K45" s="12"/>
      <c r="L45" s="12"/>
      <c r="M45" s="12"/>
      <c r="N45" s="12"/>
      <c r="O45" s="12"/>
      <c r="P45" s="12"/>
    </row>
    <row r="46" spans="1:19" x14ac:dyDescent="0.2">
      <c r="A46" s="1" t="s">
        <v>14</v>
      </c>
      <c r="B46" s="12"/>
      <c r="C46" s="439">
        <f>'Kops a'!C38:H38</f>
        <v>0</v>
      </c>
      <c r="D46" s="439"/>
      <c r="E46" s="439"/>
      <c r="F46" s="439"/>
      <c r="G46" s="439"/>
      <c r="H46" s="439"/>
      <c r="I46" s="12"/>
      <c r="J46" s="12"/>
      <c r="K46" s="12"/>
      <c r="L46" s="12"/>
      <c r="M46" s="12"/>
      <c r="N46" s="12"/>
      <c r="O46" s="12"/>
      <c r="P46" s="12"/>
    </row>
    <row r="47" spans="1:19" x14ac:dyDescent="0.2">
      <c r="A47" s="12"/>
      <c r="B47" s="12"/>
      <c r="C47" s="363" t="s">
        <v>15</v>
      </c>
      <c r="D47" s="363"/>
      <c r="E47" s="363"/>
      <c r="F47" s="363"/>
      <c r="G47" s="363"/>
      <c r="H47" s="363"/>
      <c r="I47" s="12"/>
      <c r="J47" s="12"/>
      <c r="K47" s="12"/>
      <c r="L47" s="12"/>
      <c r="M47" s="12"/>
      <c r="N47" s="12"/>
      <c r="O47" s="12"/>
      <c r="P47" s="12"/>
    </row>
    <row r="48" spans="1:19" x14ac:dyDescent="0.2">
      <c r="A48" s="12"/>
      <c r="B48" s="12"/>
      <c r="C48" s="12"/>
      <c r="D48" s="12"/>
      <c r="E48" s="12"/>
      <c r="F48" s="12"/>
      <c r="G48" s="12"/>
      <c r="H48" s="12"/>
      <c r="I48" s="12"/>
      <c r="J48" s="12"/>
      <c r="K48" s="12"/>
      <c r="L48" s="12"/>
      <c r="M48" s="12"/>
      <c r="N48" s="12"/>
      <c r="O48" s="12"/>
      <c r="P48" s="12"/>
    </row>
    <row r="49" spans="1:16" x14ac:dyDescent="0.2">
      <c r="A49" s="68" t="str">
        <f>'Kops a'!A41</f>
        <v>Tāme sastādīta 2021. gada</v>
      </c>
      <c r="B49" s="69"/>
      <c r="C49" s="69"/>
      <c r="D49" s="69"/>
      <c r="E49" s="12"/>
      <c r="F49" s="12"/>
      <c r="G49" s="12"/>
      <c r="H49" s="12"/>
      <c r="I49" s="12"/>
      <c r="J49" s="12"/>
      <c r="K49" s="12"/>
      <c r="L49" s="12"/>
      <c r="M49" s="12"/>
      <c r="N49" s="12"/>
      <c r="O49" s="12"/>
      <c r="P49" s="12"/>
    </row>
    <row r="50" spans="1:16" x14ac:dyDescent="0.2">
      <c r="A50" s="12"/>
      <c r="B50" s="12"/>
      <c r="C50" s="12"/>
      <c r="D50" s="12"/>
      <c r="E50" s="12"/>
      <c r="F50" s="12"/>
      <c r="G50" s="12"/>
      <c r="H50" s="12"/>
      <c r="I50" s="12"/>
      <c r="J50" s="12"/>
      <c r="K50" s="12"/>
      <c r="L50" s="12"/>
      <c r="M50" s="12"/>
      <c r="N50" s="12"/>
      <c r="O50" s="12"/>
      <c r="P50" s="12"/>
    </row>
    <row r="51" spans="1:16" x14ac:dyDescent="0.2">
      <c r="A51" s="1" t="s">
        <v>37</v>
      </c>
      <c r="B51" s="12"/>
      <c r="C51" s="439">
        <f>'Kops a'!C43:H43</f>
        <v>0</v>
      </c>
      <c r="D51" s="439"/>
      <c r="E51" s="439"/>
      <c r="F51" s="439"/>
      <c r="G51" s="439"/>
      <c r="H51" s="439"/>
      <c r="I51" s="12"/>
      <c r="J51" s="12"/>
      <c r="K51" s="12"/>
      <c r="L51" s="12"/>
      <c r="M51" s="12"/>
      <c r="N51" s="12"/>
      <c r="O51" s="12"/>
      <c r="P51" s="12"/>
    </row>
    <row r="52" spans="1:16" x14ac:dyDescent="0.2">
      <c r="A52" s="12"/>
      <c r="B52" s="12"/>
      <c r="C52" s="363" t="s">
        <v>15</v>
      </c>
      <c r="D52" s="363"/>
      <c r="E52" s="363"/>
      <c r="F52" s="363"/>
      <c r="G52" s="363"/>
      <c r="H52" s="363"/>
      <c r="I52" s="12"/>
      <c r="J52" s="12"/>
      <c r="K52" s="12"/>
      <c r="L52" s="12"/>
      <c r="M52" s="12"/>
      <c r="N52" s="12"/>
      <c r="O52" s="12"/>
      <c r="P52" s="12"/>
    </row>
    <row r="53" spans="1:16" x14ac:dyDescent="0.2">
      <c r="A53" s="12"/>
      <c r="B53" s="12"/>
      <c r="C53" s="12"/>
      <c r="D53" s="12"/>
      <c r="E53" s="12"/>
      <c r="F53" s="12"/>
      <c r="G53" s="12"/>
      <c r="H53" s="12"/>
      <c r="I53" s="12"/>
      <c r="J53" s="12"/>
      <c r="K53" s="12"/>
      <c r="L53" s="12"/>
      <c r="M53" s="12"/>
      <c r="N53" s="12"/>
      <c r="O53" s="12"/>
      <c r="P53" s="12"/>
    </row>
    <row r="54" spans="1:16" x14ac:dyDescent="0.2">
      <c r="A54" s="68" t="s">
        <v>54</v>
      </c>
      <c r="B54" s="69"/>
      <c r="C54" s="72">
        <f>'Kops a'!C46</f>
        <v>0</v>
      </c>
      <c r="D54" s="36"/>
      <c r="E54" s="12"/>
      <c r="F54" s="12"/>
      <c r="G54" s="12"/>
      <c r="H54" s="12"/>
      <c r="I54" s="12"/>
      <c r="J54" s="12"/>
      <c r="K54" s="12"/>
      <c r="L54" s="12"/>
      <c r="M54" s="12"/>
      <c r="N54" s="12"/>
      <c r="O54" s="12"/>
      <c r="P54" s="12"/>
    </row>
    <row r="55" spans="1:16" x14ac:dyDescent="0.2">
      <c r="A55" s="12"/>
      <c r="B55" s="12"/>
      <c r="C55" s="12"/>
      <c r="D55" s="12"/>
      <c r="E55" s="12"/>
      <c r="F55" s="12"/>
      <c r="G55" s="12"/>
      <c r="H55" s="12"/>
      <c r="I55" s="12"/>
      <c r="J55" s="12"/>
      <c r="K55" s="12"/>
      <c r="L55" s="12"/>
      <c r="M55" s="12"/>
      <c r="N55" s="12"/>
      <c r="O55" s="12"/>
      <c r="P55" s="12"/>
    </row>
    <row r="56" spans="1:16" ht="12" x14ac:dyDescent="0.2">
      <c r="A56" s="106" t="s">
        <v>89</v>
      </c>
      <c r="B56" s="107"/>
      <c r="C56" s="108"/>
      <c r="D56" s="108"/>
      <c r="E56" s="109"/>
      <c r="F56" s="110"/>
      <c r="G56" s="109"/>
      <c r="H56" s="111"/>
      <c r="I56" s="111"/>
      <c r="J56" s="112"/>
      <c r="K56" s="113"/>
      <c r="L56" s="113"/>
      <c r="M56" s="113"/>
      <c r="N56" s="113"/>
      <c r="O56" s="113"/>
    </row>
    <row r="57" spans="1:16" ht="12" x14ac:dyDescent="0.2">
      <c r="A57" s="435" t="s">
        <v>90</v>
      </c>
      <c r="B57" s="435"/>
      <c r="C57" s="435"/>
      <c r="D57" s="435"/>
      <c r="E57" s="435"/>
      <c r="F57" s="435"/>
      <c r="G57" s="435"/>
      <c r="H57" s="435"/>
      <c r="I57" s="435"/>
      <c r="J57" s="435"/>
      <c r="K57" s="435"/>
      <c r="L57" s="435"/>
      <c r="M57" s="435"/>
      <c r="N57" s="435"/>
      <c r="O57" s="435"/>
    </row>
    <row r="58" spans="1:16" ht="12" x14ac:dyDescent="0.2">
      <c r="A58" s="435" t="s">
        <v>91</v>
      </c>
      <c r="B58" s="435"/>
      <c r="C58" s="435"/>
      <c r="D58" s="435"/>
      <c r="E58" s="435"/>
      <c r="F58" s="435"/>
      <c r="G58" s="435"/>
      <c r="H58" s="435"/>
      <c r="I58" s="435"/>
      <c r="J58" s="435"/>
      <c r="K58" s="435"/>
      <c r="L58" s="435"/>
      <c r="M58" s="435"/>
      <c r="N58" s="435"/>
      <c r="O58" s="435"/>
    </row>
  </sheetData>
  <mergeCells count="24">
    <mergeCell ref="D7:L7"/>
    <mergeCell ref="C2:I2"/>
    <mergeCell ref="C3:I3"/>
    <mergeCell ref="C4:I4"/>
    <mergeCell ref="D5:L5"/>
    <mergeCell ref="D6:L6"/>
    <mergeCell ref="D8:L8"/>
    <mergeCell ref="A9:F9"/>
    <mergeCell ref="J9:M9"/>
    <mergeCell ref="N9:O9"/>
    <mergeCell ref="A12:A13"/>
    <mergeCell ref="B12:B13"/>
    <mergeCell ref="C12:C13"/>
    <mergeCell ref="D12:D13"/>
    <mergeCell ref="E12:E13"/>
    <mergeCell ref="F12:K12"/>
    <mergeCell ref="A57:O57"/>
    <mergeCell ref="A58:O58"/>
    <mergeCell ref="L12:P12"/>
    <mergeCell ref="A43:K43"/>
    <mergeCell ref="C46:H46"/>
    <mergeCell ref="C47:H47"/>
    <mergeCell ref="C51:H51"/>
    <mergeCell ref="C52:H52"/>
  </mergeCells>
  <conditionalFormatting sqref="C14:G42 I14:J42">
    <cfRule type="cellIs" dxfId="35" priority="23" operator="equal">
      <formula>0</formula>
    </cfRule>
  </conditionalFormatting>
  <conditionalFormatting sqref="N9:O9 H14:H42 K14:P42">
    <cfRule type="cellIs" dxfId="34" priority="22" operator="equal">
      <formula>0</formula>
    </cfRule>
  </conditionalFormatting>
  <conditionalFormatting sqref="A9:F9">
    <cfRule type="containsText" dxfId="33" priority="21"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32" priority="20" operator="equal">
      <formula>0</formula>
    </cfRule>
  </conditionalFormatting>
  <conditionalFormatting sqref="O10">
    <cfRule type="cellIs" dxfId="31" priority="19" operator="equal">
      <formula>"20__. gada __. _________"</formula>
    </cfRule>
  </conditionalFormatting>
  <conditionalFormatting sqref="L43:P43">
    <cfRule type="cellIs" dxfId="30" priority="17" operator="equal">
      <formula>0</formula>
    </cfRule>
  </conditionalFormatting>
  <conditionalFormatting sqref="C4:I4">
    <cfRule type="cellIs" dxfId="29" priority="16" operator="equal">
      <formula>0</formula>
    </cfRule>
  </conditionalFormatting>
  <conditionalFormatting sqref="D5:L8">
    <cfRule type="cellIs" dxfId="28" priority="14" operator="equal">
      <formula>0</formula>
    </cfRule>
  </conditionalFormatting>
  <conditionalFormatting sqref="P10">
    <cfRule type="cellIs" dxfId="27" priority="10" operator="equal">
      <formula>"20__. gada __. _________"</formula>
    </cfRule>
  </conditionalFormatting>
  <conditionalFormatting sqref="C51:H51">
    <cfRule type="cellIs" dxfId="26" priority="7" operator="equal">
      <formula>0</formula>
    </cfRule>
  </conditionalFormatting>
  <conditionalFormatting sqref="C46:H46">
    <cfRule type="cellIs" dxfId="25" priority="6" operator="equal">
      <formula>0</formula>
    </cfRule>
  </conditionalFormatting>
  <conditionalFormatting sqref="C51:H51 C54 C46:H46">
    <cfRule type="cellIs" dxfId="24" priority="5" operator="equal">
      <formula>0</formula>
    </cfRule>
  </conditionalFormatting>
  <conditionalFormatting sqref="D1">
    <cfRule type="cellIs" dxfId="23" priority="4" operator="equal">
      <formula>0</formula>
    </cfRule>
  </conditionalFormatting>
  <conditionalFormatting sqref="B14:B42">
    <cfRule type="cellIs" dxfId="22" priority="3" operator="equal">
      <formula>0</formula>
    </cfRule>
  </conditionalFormatting>
  <conditionalFormatting sqref="A14:A42">
    <cfRule type="cellIs" dxfId="21" priority="2" operator="equal">
      <formula>0</formula>
    </cfRule>
  </conditionalFormatting>
  <conditionalFormatting sqref="A43:K43">
    <cfRule type="containsText" dxfId="20" priority="1" operator="containsText" text="Tiešās izmaksas kopā, t. sk. darba devēja sociālais nodoklis __.__% ">
      <formula>NOT(ISERROR(SEARCH("Tiešās izmaksas kopā, t. sk. darba devēja sociālais nodoklis __.__% ",A43)))</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9" operator="containsText" id="{D33798FE-9BE6-4A26-AF27-2F7878121D57}">
            <xm:f>NOT(ISERROR(SEARCH("Tāme sastādīta ____. gada ___. ______________",A49)))</xm:f>
            <xm:f>"Tāme sastādīta ____. gada ___. ______________"</xm:f>
            <x14:dxf>
              <font>
                <color auto="1"/>
              </font>
              <fill>
                <patternFill>
                  <bgColor rgb="FFC6EFCE"/>
                </patternFill>
              </fill>
            </x14:dxf>
          </x14:cfRule>
          <xm:sqref>A49</xm:sqref>
        </x14:conditionalFormatting>
        <x14:conditionalFormatting xmlns:xm="http://schemas.microsoft.com/office/excel/2006/main">
          <x14:cfRule type="containsText" priority="8" operator="containsText" id="{6584EE2F-77B2-4A93-9205-AD5CD423DC0D}">
            <xm:f>NOT(ISERROR(SEARCH("Sertifikāta Nr. _________________________________",A54)))</xm:f>
            <xm:f>"Sertifikāta Nr. _________________________________"</xm:f>
            <x14:dxf>
              <font>
                <color auto="1"/>
              </font>
              <fill>
                <patternFill>
                  <bgColor rgb="FFC6EFCE"/>
                </patternFill>
              </fill>
            </x14:dxf>
          </x14:cfRule>
          <xm:sqref>A54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V77"/>
  <sheetViews>
    <sheetView topLeftCell="A49" zoomScale="115" zoomScaleNormal="115" workbookViewId="0">
      <selection activeCell="G85" sqref="G85"/>
    </sheetView>
  </sheetViews>
  <sheetFormatPr defaultColWidth="9.140625" defaultRowHeight="11.25" x14ac:dyDescent="0.2"/>
  <cols>
    <col min="1" max="1" width="4.5703125" style="1" customWidth="1"/>
    <col min="2" max="2" width="12.85546875" style="1" customWidth="1"/>
    <col min="3" max="3" width="54.42578125" style="1" customWidth="1"/>
    <col min="4" max="4" width="9.7109375" style="1" bestFit="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9.140625" style="1"/>
    <col min="18" max="18" width="10.7109375" style="1" customWidth="1"/>
    <col min="19" max="19" width="8.85546875" style="1" bestFit="1" customWidth="1"/>
    <col min="20" max="20" width="3.5703125" style="1" bestFit="1" customWidth="1"/>
    <col min="21" max="16384" width="9.140625" style="1"/>
  </cols>
  <sheetData>
    <row r="1" spans="1:21" x14ac:dyDescent="0.2">
      <c r="A1" s="16"/>
      <c r="B1" s="16"/>
      <c r="C1" s="20" t="s">
        <v>38</v>
      </c>
      <c r="D1" s="37">
        <f>'Kops a'!A24</f>
        <v>10</v>
      </c>
      <c r="E1" s="16"/>
      <c r="F1" s="16"/>
      <c r="G1" s="16"/>
      <c r="H1" s="16"/>
      <c r="I1" s="16"/>
      <c r="J1" s="16"/>
      <c r="N1" s="19"/>
      <c r="O1" s="20"/>
      <c r="P1" s="21"/>
    </row>
    <row r="2" spans="1:21" x14ac:dyDescent="0.2">
      <c r="A2" s="22"/>
      <c r="B2" s="22"/>
      <c r="C2" s="410" t="s">
        <v>426</v>
      </c>
      <c r="D2" s="410"/>
      <c r="E2" s="410"/>
      <c r="F2" s="410"/>
      <c r="G2" s="410"/>
      <c r="H2" s="410"/>
      <c r="I2" s="410"/>
      <c r="J2" s="22"/>
    </row>
    <row r="3" spans="1:21" x14ac:dyDescent="0.2">
      <c r="A3" s="23"/>
      <c r="B3" s="23"/>
      <c r="C3" s="372" t="s">
        <v>17</v>
      </c>
      <c r="D3" s="372"/>
      <c r="E3" s="372"/>
      <c r="F3" s="372"/>
      <c r="G3" s="372"/>
      <c r="H3" s="372"/>
      <c r="I3" s="372"/>
      <c r="J3" s="23"/>
    </row>
    <row r="4" spans="1:21" x14ac:dyDescent="0.2">
      <c r="A4" s="23"/>
      <c r="B4" s="23"/>
      <c r="C4" s="412" t="s">
        <v>52</v>
      </c>
      <c r="D4" s="412"/>
      <c r="E4" s="412"/>
      <c r="F4" s="412"/>
      <c r="G4" s="412"/>
      <c r="H4" s="412"/>
      <c r="I4" s="412"/>
      <c r="J4" s="23"/>
    </row>
    <row r="5" spans="1:21" x14ac:dyDescent="0.2">
      <c r="A5" s="16"/>
      <c r="B5" s="16"/>
      <c r="C5" s="20" t="s">
        <v>5</v>
      </c>
      <c r="D5" s="433" t="str">
        <f>'Kops a'!D6</f>
        <v>Dzīvojamās ēkas vienkāršotā atjaunošana</v>
      </c>
      <c r="E5" s="433"/>
      <c r="F5" s="433"/>
      <c r="G5" s="433"/>
      <c r="H5" s="433"/>
      <c r="I5" s="433"/>
      <c r="J5" s="433"/>
      <c r="K5" s="433"/>
      <c r="L5" s="433"/>
      <c r="M5" s="12"/>
      <c r="N5" s="12"/>
      <c r="O5" s="12"/>
      <c r="P5" s="12"/>
    </row>
    <row r="6" spans="1:21" x14ac:dyDescent="0.2">
      <c r="A6" s="16"/>
      <c r="B6" s="16"/>
      <c r="C6" s="20" t="s">
        <v>6</v>
      </c>
      <c r="D6" s="433" t="str">
        <f>'Kops a'!D7</f>
        <v>Daudzdzīvokļu dzīvojamās mājas energoefektivitātes paaugstināšanas pasākumi</v>
      </c>
      <c r="E6" s="433"/>
      <c r="F6" s="433"/>
      <c r="G6" s="433"/>
      <c r="H6" s="433"/>
      <c r="I6" s="433"/>
      <c r="J6" s="433"/>
      <c r="K6" s="433"/>
      <c r="L6" s="433"/>
      <c r="M6" s="12"/>
      <c r="N6" s="12"/>
      <c r="O6" s="12"/>
      <c r="P6" s="12"/>
    </row>
    <row r="7" spans="1:21" x14ac:dyDescent="0.2">
      <c r="A7" s="16"/>
      <c r="B7" s="16"/>
      <c r="C7" s="20" t="s">
        <v>7</v>
      </c>
      <c r="D7" s="433" t="str">
        <f>'Kops a'!D8</f>
        <v xml:space="preserve">Atmodas bulvārī 12, Liepājā. </v>
      </c>
      <c r="E7" s="433"/>
      <c r="F7" s="433"/>
      <c r="G7" s="433"/>
      <c r="H7" s="433"/>
      <c r="I7" s="433"/>
      <c r="J7" s="433"/>
      <c r="K7" s="433"/>
      <c r="L7" s="433"/>
      <c r="M7" s="12"/>
      <c r="N7" s="12"/>
      <c r="O7" s="12"/>
      <c r="P7" s="12"/>
    </row>
    <row r="8" spans="1:21" x14ac:dyDescent="0.2">
      <c r="A8" s="16"/>
      <c r="B8" s="16"/>
      <c r="C8" s="237" t="s">
        <v>20</v>
      </c>
      <c r="D8" s="433" t="str">
        <f>'Kops a'!D9</f>
        <v>WS-5-18</v>
      </c>
      <c r="E8" s="433"/>
      <c r="F8" s="433"/>
      <c r="G8" s="433"/>
      <c r="H8" s="433"/>
      <c r="I8" s="433"/>
      <c r="J8" s="433"/>
      <c r="K8" s="433"/>
      <c r="L8" s="433"/>
      <c r="M8" s="12"/>
      <c r="N8" s="12"/>
      <c r="O8" s="12"/>
      <c r="P8" s="12"/>
    </row>
    <row r="9" spans="1:21" x14ac:dyDescent="0.2">
      <c r="A9" s="413" t="s">
        <v>493</v>
      </c>
      <c r="B9" s="413"/>
      <c r="C9" s="413"/>
      <c r="D9" s="413"/>
      <c r="E9" s="413"/>
      <c r="F9" s="413"/>
      <c r="G9" s="24"/>
      <c r="H9" s="24"/>
      <c r="I9" s="24"/>
      <c r="J9" s="417" t="s">
        <v>39</v>
      </c>
      <c r="K9" s="417"/>
      <c r="L9" s="417"/>
      <c r="M9" s="417"/>
      <c r="N9" s="424">
        <f>P62</f>
        <v>0</v>
      </c>
      <c r="O9" s="424"/>
      <c r="P9" s="24"/>
    </row>
    <row r="10" spans="1:21" x14ac:dyDescent="0.2">
      <c r="A10" s="25"/>
      <c r="B10" s="26"/>
      <c r="C10" s="237"/>
      <c r="D10" s="16"/>
      <c r="E10" s="16"/>
      <c r="F10" s="16"/>
      <c r="G10" s="16"/>
      <c r="H10" s="16"/>
      <c r="I10" s="16"/>
      <c r="J10" s="16"/>
      <c r="K10" s="16"/>
      <c r="L10" s="22"/>
      <c r="M10" s="22"/>
      <c r="O10" s="71"/>
      <c r="P10" s="70" t="str">
        <f>A68</f>
        <v>Tāme sastādīta 2021. gada</v>
      </c>
    </row>
    <row r="11" spans="1:21" ht="12" thickBot="1" x14ac:dyDescent="0.25">
      <c r="A11" s="25"/>
      <c r="B11" s="26"/>
      <c r="C11" s="237"/>
      <c r="D11" s="16"/>
      <c r="E11" s="16"/>
      <c r="F11" s="16"/>
      <c r="G11" s="16"/>
      <c r="H11" s="16"/>
      <c r="I11" s="16"/>
      <c r="J11" s="16"/>
      <c r="K11" s="16"/>
      <c r="L11" s="27"/>
      <c r="M11" s="27"/>
      <c r="N11" s="28"/>
      <c r="O11" s="19"/>
      <c r="P11" s="16"/>
    </row>
    <row r="12" spans="1:21" x14ac:dyDescent="0.2">
      <c r="A12" s="383" t="s">
        <v>23</v>
      </c>
      <c r="B12" s="419" t="s">
        <v>40</v>
      </c>
      <c r="C12" s="415" t="s">
        <v>41</v>
      </c>
      <c r="D12" s="422" t="s">
        <v>42</v>
      </c>
      <c r="E12" s="431" t="s">
        <v>43</v>
      </c>
      <c r="F12" s="414" t="s">
        <v>44</v>
      </c>
      <c r="G12" s="415"/>
      <c r="H12" s="415"/>
      <c r="I12" s="415"/>
      <c r="J12" s="415"/>
      <c r="K12" s="416"/>
      <c r="L12" s="414" t="s">
        <v>45</v>
      </c>
      <c r="M12" s="415"/>
      <c r="N12" s="415"/>
      <c r="O12" s="415"/>
      <c r="P12" s="416"/>
    </row>
    <row r="13" spans="1:21" ht="61.7" customHeight="1" thickBot="1" x14ac:dyDescent="0.25">
      <c r="A13" s="418"/>
      <c r="B13" s="420"/>
      <c r="C13" s="459"/>
      <c r="D13" s="460"/>
      <c r="E13" s="461"/>
      <c r="F13" s="238" t="s">
        <v>46</v>
      </c>
      <c r="G13" s="239" t="s">
        <v>47</v>
      </c>
      <c r="H13" s="239" t="s">
        <v>48</v>
      </c>
      <c r="I13" s="239" t="s">
        <v>49</v>
      </c>
      <c r="J13" s="239" t="s">
        <v>50</v>
      </c>
      <c r="K13" s="46" t="s">
        <v>51</v>
      </c>
      <c r="L13" s="238" t="s">
        <v>46</v>
      </c>
      <c r="M13" s="239" t="s">
        <v>48</v>
      </c>
      <c r="N13" s="239" t="s">
        <v>49</v>
      </c>
      <c r="O13" s="239" t="s">
        <v>50</v>
      </c>
      <c r="P13" s="46" t="s">
        <v>51</v>
      </c>
      <c r="R13" s="216"/>
      <c r="S13" s="216"/>
      <c r="T13" s="216"/>
    </row>
    <row r="14" spans="1:21" x14ac:dyDescent="0.2">
      <c r="A14" s="167"/>
      <c r="B14" s="278"/>
      <c r="C14" s="279" t="s">
        <v>412</v>
      </c>
      <c r="D14" s="280"/>
      <c r="E14" s="280"/>
      <c r="F14" s="104"/>
      <c r="G14" s="50"/>
      <c r="H14" s="50">
        <f t="shared" ref="H14:H39" si="0">ROUND(F14*G14,2)</f>
        <v>0</v>
      </c>
      <c r="I14" s="50"/>
      <c r="J14" s="50"/>
      <c r="K14" s="51">
        <f t="shared" ref="K14:K39" si="1">SUM(H14:J14)</f>
        <v>0</v>
      </c>
      <c r="L14" s="53">
        <f t="shared" ref="L14:L39" si="2">ROUND(E14*F14,2)</f>
        <v>0</v>
      </c>
      <c r="M14" s="50">
        <f t="shared" ref="M14:M39" si="3">ROUND(H14*E14,2)</f>
        <v>0</v>
      </c>
      <c r="N14" s="50">
        <f t="shared" ref="N14:N39" si="4">ROUND(I14*E14,2)</f>
        <v>0</v>
      </c>
      <c r="O14" s="50">
        <f t="shared" ref="O14:O39" si="5">ROUND(J14*E14,2)</f>
        <v>0</v>
      </c>
      <c r="P14" s="51">
        <f t="shared" ref="P14:P39" si="6">SUM(M14:O14)</f>
        <v>0</v>
      </c>
      <c r="R14" s="242"/>
      <c r="S14" s="217"/>
      <c r="T14" s="218"/>
    </row>
    <row r="15" spans="1:21" ht="22.5" customHeight="1" x14ac:dyDescent="0.2">
      <c r="A15" s="281">
        <v>1</v>
      </c>
      <c r="B15" s="282" t="s">
        <v>339</v>
      </c>
      <c r="C15" s="283" t="s">
        <v>338</v>
      </c>
      <c r="D15" s="223" t="s">
        <v>59</v>
      </c>
      <c r="E15" s="223">
        <v>400</v>
      </c>
      <c r="F15" s="224"/>
      <c r="G15" s="81"/>
      <c r="H15" s="81">
        <f t="shared" si="0"/>
        <v>0</v>
      </c>
      <c r="I15" s="81"/>
      <c r="J15" s="81"/>
      <c r="K15" s="82">
        <f t="shared" si="1"/>
        <v>0</v>
      </c>
      <c r="L15" s="80">
        <f t="shared" si="2"/>
        <v>0</v>
      </c>
      <c r="M15" s="81">
        <f t="shared" si="3"/>
        <v>0</v>
      </c>
      <c r="N15" s="81">
        <f t="shared" si="4"/>
        <v>0</v>
      </c>
      <c r="O15" s="81">
        <f t="shared" si="5"/>
        <v>0</v>
      </c>
      <c r="P15" s="83">
        <f t="shared" si="6"/>
        <v>0</v>
      </c>
      <c r="Q15" s="262"/>
      <c r="R15" s="277"/>
      <c r="S15" s="277"/>
      <c r="T15" s="277"/>
      <c r="U15" s="277"/>
    </row>
    <row r="16" spans="1:21" x14ac:dyDescent="0.2">
      <c r="A16" s="281">
        <f>A15+1</f>
        <v>2</v>
      </c>
      <c r="B16" s="284" t="s">
        <v>421</v>
      </c>
      <c r="C16" s="285" t="s">
        <v>340</v>
      </c>
      <c r="D16" s="286" t="s">
        <v>59</v>
      </c>
      <c r="E16" s="286">
        <v>12</v>
      </c>
      <c r="F16" s="224"/>
      <c r="G16" s="81"/>
      <c r="H16" s="81">
        <f t="shared" si="0"/>
        <v>0</v>
      </c>
      <c r="I16" s="81"/>
      <c r="J16" s="81"/>
      <c r="K16" s="82">
        <f t="shared" si="1"/>
        <v>0</v>
      </c>
      <c r="L16" s="80">
        <f t="shared" si="2"/>
        <v>0</v>
      </c>
      <c r="M16" s="81">
        <f t="shared" si="3"/>
        <v>0</v>
      </c>
      <c r="N16" s="81">
        <f t="shared" si="4"/>
        <v>0</v>
      </c>
      <c r="O16" s="81">
        <f t="shared" si="5"/>
        <v>0</v>
      </c>
      <c r="P16" s="83">
        <f t="shared" si="6"/>
        <v>0</v>
      </c>
      <c r="Q16" s="262"/>
      <c r="R16" s="277"/>
      <c r="S16" s="277"/>
      <c r="T16" s="277"/>
      <c r="U16" s="277"/>
    </row>
    <row r="17" spans="1:22" x14ac:dyDescent="0.2">
      <c r="A17" s="281">
        <f t="shared" ref="A17:A61" si="7">A16+1</f>
        <v>3</v>
      </c>
      <c r="B17" s="287" t="s">
        <v>348</v>
      </c>
      <c r="C17" s="288" t="s">
        <v>413</v>
      </c>
      <c r="D17" s="289" t="s">
        <v>59</v>
      </c>
      <c r="E17" s="289">
        <v>345</v>
      </c>
      <c r="F17" s="224"/>
      <c r="G17" s="81"/>
      <c r="H17" s="81">
        <f t="shared" si="0"/>
        <v>0</v>
      </c>
      <c r="I17" s="81"/>
      <c r="J17" s="81"/>
      <c r="K17" s="82">
        <f t="shared" si="1"/>
        <v>0</v>
      </c>
      <c r="L17" s="80">
        <f t="shared" si="2"/>
        <v>0</v>
      </c>
      <c r="M17" s="81">
        <f t="shared" si="3"/>
        <v>0</v>
      </c>
      <c r="N17" s="81">
        <f t="shared" si="4"/>
        <v>0</v>
      </c>
      <c r="O17" s="81">
        <f t="shared" si="5"/>
        <v>0</v>
      </c>
      <c r="P17" s="83">
        <f t="shared" si="6"/>
        <v>0</v>
      </c>
      <c r="Q17" s="262"/>
      <c r="R17" s="453"/>
      <c r="S17" s="219"/>
      <c r="T17" s="218"/>
    </row>
    <row r="18" spans="1:22" x14ac:dyDescent="0.2">
      <c r="A18" s="281">
        <f t="shared" si="7"/>
        <v>4</v>
      </c>
      <c r="B18" s="287" t="s">
        <v>348</v>
      </c>
      <c r="C18" s="288" t="s">
        <v>414</v>
      </c>
      <c r="D18" s="289" t="s">
        <v>59</v>
      </c>
      <c r="E18" s="289">
        <v>30</v>
      </c>
      <c r="F18" s="224"/>
      <c r="G18" s="81"/>
      <c r="H18" s="81">
        <f t="shared" si="0"/>
        <v>0</v>
      </c>
      <c r="I18" s="81"/>
      <c r="J18" s="81"/>
      <c r="K18" s="82">
        <f t="shared" si="1"/>
        <v>0</v>
      </c>
      <c r="L18" s="80">
        <f t="shared" si="2"/>
        <v>0</v>
      </c>
      <c r="M18" s="81">
        <f t="shared" si="3"/>
        <v>0</v>
      </c>
      <c r="N18" s="81">
        <f t="shared" si="4"/>
        <v>0</v>
      </c>
      <c r="O18" s="81">
        <f t="shared" si="5"/>
        <v>0</v>
      </c>
      <c r="P18" s="83">
        <f t="shared" si="6"/>
        <v>0</v>
      </c>
      <c r="Q18" s="262"/>
      <c r="R18" s="453"/>
      <c r="S18" s="219"/>
      <c r="T18" s="218"/>
    </row>
    <row r="19" spans="1:22" ht="33.75" x14ac:dyDescent="0.2">
      <c r="A19" s="281">
        <f t="shared" si="7"/>
        <v>5</v>
      </c>
      <c r="B19" s="290" t="s">
        <v>341</v>
      </c>
      <c r="C19" s="291" t="s">
        <v>502</v>
      </c>
      <c r="D19" s="292" t="s">
        <v>59</v>
      </c>
      <c r="E19" s="292">
        <v>35</v>
      </c>
      <c r="F19" s="224"/>
      <c r="G19" s="81"/>
      <c r="H19" s="81">
        <f t="shared" si="0"/>
        <v>0</v>
      </c>
      <c r="I19" s="81"/>
      <c r="J19" s="81"/>
      <c r="K19" s="82">
        <f t="shared" si="1"/>
        <v>0</v>
      </c>
      <c r="L19" s="80">
        <f t="shared" si="2"/>
        <v>0</v>
      </c>
      <c r="M19" s="81">
        <f t="shared" si="3"/>
        <v>0</v>
      </c>
      <c r="N19" s="81">
        <f t="shared" si="4"/>
        <v>0</v>
      </c>
      <c r="O19" s="81">
        <f t="shared" si="5"/>
        <v>0</v>
      </c>
      <c r="P19" s="83">
        <f t="shared" si="6"/>
        <v>0</v>
      </c>
      <c r="Q19" s="262"/>
      <c r="R19" s="335"/>
      <c r="S19" s="335"/>
      <c r="T19" s="335"/>
      <c r="U19" s="335"/>
    </row>
    <row r="20" spans="1:22" x14ac:dyDescent="0.2">
      <c r="A20" s="281">
        <f t="shared" si="7"/>
        <v>6</v>
      </c>
      <c r="B20" s="284" t="s">
        <v>343</v>
      </c>
      <c r="C20" s="454" t="s">
        <v>342</v>
      </c>
      <c r="D20" s="286" t="s">
        <v>85</v>
      </c>
      <c r="E20" s="286">
        <v>87</v>
      </c>
      <c r="F20" s="224"/>
      <c r="G20" s="81"/>
      <c r="H20" s="81">
        <f t="shared" si="0"/>
        <v>0</v>
      </c>
      <c r="I20" s="81"/>
      <c r="J20" s="81"/>
      <c r="K20" s="82">
        <f t="shared" si="1"/>
        <v>0</v>
      </c>
      <c r="L20" s="80">
        <f t="shared" si="2"/>
        <v>0</v>
      </c>
      <c r="M20" s="81">
        <f t="shared" si="3"/>
        <v>0</v>
      </c>
      <c r="N20" s="81">
        <f t="shared" si="4"/>
        <v>0</v>
      </c>
      <c r="O20" s="81">
        <f t="shared" si="5"/>
        <v>0</v>
      </c>
      <c r="P20" s="83">
        <f t="shared" si="6"/>
        <v>0</v>
      </c>
      <c r="Q20" s="262"/>
      <c r="R20" s="335"/>
      <c r="S20" s="335"/>
      <c r="T20" s="335"/>
      <c r="U20" s="335"/>
    </row>
    <row r="21" spans="1:22" x14ac:dyDescent="0.2">
      <c r="A21" s="281">
        <f t="shared" si="7"/>
        <v>7</v>
      </c>
      <c r="B21" s="284" t="s">
        <v>345</v>
      </c>
      <c r="C21" s="455"/>
      <c r="D21" s="286" t="s">
        <v>85</v>
      </c>
      <c r="E21" s="286">
        <v>75</v>
      </c>
      <c r="F21" s="224"/>
      <c r="G21" s="81"/>
      <c r="H21" s="81">
        <f t="shared" si="0"/>
        <v>0</v>
      </c>
      <c r="I21" s="81"/>
      <c r="J21" s="81"/>
      <c r="K21" s="82">
        <f t="shared" si="1"/>
        <v>0</v>
      </c>
      <c r="L21" s="80">
        <f t="shared" si="2"/>
        <v>0</v>
      </c>
      <c r="M21" s="81">
        <f t="shared" si="3"/>
        <v>0</v>
      </c>
      <c r="N21" s="81">
        <f t="shared" si="4"/>
        <v>0</v>
      </c>
      <c r="O21" s="81">
        <f t="shared" si="5"/>
        <v>0</v>
      </c>
      <c r="P21" s="83">
        <f t="shared" si="6"/>
        <v>0</v>
      </c>
      <c r="Q21" s="262"/>
      <c r="R21" s="335"/>
      <c r="S21" s="335"/>
      <c r="T21" s="335"/>
      <c r="U21" s="335"/>
    </row>
    <row r="22" spans="1:22" x14ac:dyDescent="0.2">
      <c r="A22" s="281">
        <f t="shared" si="7"/>
        <v>8</v>
      </c>
      <c r="B22" s="284" t="s">
        <v>344</v>
      </c>
      <c r="C22" s="456" t="s">
        <v>346</v>
      </c>
      <c r="D22" s="286" t="s">
        <v>85</v>
      </c>
      <c r="E22" s="286">
        <v>30</v>
      </c>
      <c r="F22" s="224"/>
      <c r="G22" s="81"/>
      <c r="H22" s="81"/>
      <c r="I22" s="81"/>
      <c r="J22" s="81"/>
      <c r="K22" s="82"/>
      <c r="L22" s="80"/>
      <c r="M22" s="81"/>
      <c r="N22" s="81"/>
      <c r="O22" s="81"/>
      <c r="P22" s="83"/>
      <c r="Q22" s="262"/>
      <c r="R22" s="335"/>
      <c r="S22" s="335"/>
      <c r="T22" s="335"/>
      <c r="U22" s="335"/>
    </row>
    <row r="23" spans="1:22" x14ac:dyDescent="0.2">
      <c r="A23" s="281">
        <f t="shared" si="7"/>
        <v>9</v>
      </c>
      <c r="B23" s="284" t="s">
        <v>343</v>
      </c>
      <c r="C23" s="456"/>
      <c r="D23" s="286" t="s">
        <v>85</v>
      </c>
      <c r="E23" s="286">
        <v>200</v>
      </c>
      <c r="F23" s="224"/>
      <c r="G23" s="81"/>
      <c r="H23" s="81"/>
      <c r="I23" s="81"/>
      <c r="J23" s="81"/>
      <c r="K23" s="82"/>
      <c r="L23" s="80"/>
      <c r="M23" s="81"/>
      <c r="N23" s="81"/>
      <c r="O23" s="81"/>
      <c r="P23" s="83"/>
      <c r="Q23" s="262"/>
      <c r="R23" s="335"/>
      <c r="S23" s="335"/>
      <c r="T23" s="335"/>
      <c r="U23" s="335"/>
    </row>
    <row r="24" spans="1:22" x14ac:dyDescent="0.2">
      <c r="A24" s="281">
        <f t="shared" si="7"/>
        <v>10</v>
      </c>
      <c r="B24" s="287" t="s">
        <v>422</v>
      </c>
      <c r="C24" s="293" t="s">
        <v>503</v>
      </c>
      <c r="D24" s="286" t="s">
        <v>85</v>
      </c>
      <c r="E24" s="286">
        <v>16</v>
      </c>
      <c r="F24" s="224"/>
      <c r="G24" s="81"/>
      <c r="H24" s="81"/>
      <c r="I24" s="81"/>
      <c r="J24" s="81"/>
      <c r="K24" s="82"/>
      <c r="L24" s="80"/>
      <c r="M24" s="81"/>
      <c r="N24" s="81"/>
      <c r="O24" s="81"/>
      <c r="P24" s="83"/>
      <c r="Q24" s="262"/>
      <c r="R24" s="336"/>
      <c r="S24" s="219"/>
      <c r="T24" s="218"/>
    </row>
    <row r="25" spans="1:22" ht="33.75" x14ac:dyDescent="0.2">
      <c r="A25" s="281">
        <f t="shared" si="7"/>
        <v>11</v>
      </c>
      <c r="B25" s="284" t="s">
        <v>348</v>
      </c>
      <c r="C25" s="294" t="s">
        <v>504</v>
      </c>
      <c r="D25" s="286" t="s">
        <v>141</v>
      </c>
      <c r="E25" s="505">
        <v>16</v>
      </c>
      <c r="F25" s="224"/>
      <c r="G25" s="81"/>
      <c r="H25" s="81"/>
      <c r="I25" s="81"/>
      <c r="J25" s="81"/>
      <c r="K25" s="82"/>
      <c r="L25" s="80"/>
      <c r="M25" s="81"/>
      <c r="N25" s="81"/>
      <c r="O25" s="81"/>
      <c r="P25" s="83"/>
      <c r="Q25" s="354"/>
      <c r="R25" s="336"/>
      <c r="S25" s="336"/>
      <c r="T25" s="336"/>
      <c r="U25" s="336"/>
      <c r="V25" s="336"/>
    </row>
    <row r="26" spans="1:22" x14ac:dyDescent="0.2">
      <c r="A26" s="281">
        <f t="shared" si="7"/>
        <v>12</v>
      </c>
      <c r="B26" s="295" t="s">
        <v>350</v>
      </c>
      <c r="C26" s="296" t="s">
        <v>349</v>
      </c>
      <c r="D26" s="292" t="s">
        <v>85</v>
      </c>
      <c r="E26" s="292">
        <v>345</v>
      </c>
      <c r="F26" s="224"/>
      <c r="G26" s="81"/>
      <c r="H26" s="81"/>
      <c r="I26" s="81"/>
      <c r="J26" s="81"/>
      <c r="K26" s="82"/>
      <c r="L26" s="80"/>
      <c r="M26" s="81"/>
      <c r="N26" s="81"/>
      <c r="O26" s="81"/>
      <c r="P26" s="83"/>
      <c r="Q26" s="262"/>
      <c r="R26" s="336"/>
      <c r="S26" s="336"/>
      <c r="T26" s="336"/>
      <c r="U26" s="336"/>
      <c r="V26" s="336"/>
    </row>
    <row r="27" spans="1:22" x14ac:dyDescent="0.2">
      <c r="A27" s="281">
        <f t="shared" si="7"/>
        <v>13</v>
      </c>
      <c r="B27" s="295" t="s">
        <v>352</v>
      </c>
      <c r="C27" s="291" t="s">
        <v>351</v>
      </c>
      <c r="D27" s="292" t="s">
        <v>85</v>
      </c>
      <c r="E27" s="292">
        <v>345</v>
      </c>
      <c r="F27" s="224"/>
      <c r="G27" s="81"/>
      <c r="H27" s="81"/>
      <c r="I27" s="81"/>
      <c r="J27" s="81"/>
      <c r="K27" s="82"/>
      <c r="L27" s="80"/>
      <c r="M27" s="81"/>
      <c r="N27" s="81"/>
      <c r="O27" s="81"/>
      <c r="P27" s="83"/>
      <c r="Q27" s="262"/>
      <c r="R27" s="336"/>
      <c r="S27" s="219"/>
      <c r="T27" s="218"/>
    </row>
    <row r="28" spans="1:22" x14ac:dyDescent="0.2">
      <c r="A28" s="281">
        <f t="shared" si="7"/>
        <v>14</v>
      </c>
      <c r="B28" s="295" t="s">
        <v>352</v>
      </c>
      <c r="C28" s="291" t="s">
        <v>353</v>
      </c>
      <c r="D28" s="292" t="s">
        <v>59</v>
      </c>
      <c r="E28" s="292">
        <v>120</v>
      </c>
      <c r="F28" s="224"/>
      <c r="G28" s="81"/>
      <c r="H28" s="81"/>
      <c r="I28" s="81"/>
      <c r="J28" s="81"/>
      <c r="K28" s="82"/>
      <c r="L28" s="80"/>
      <c r="M28" s="81"/>
      <c r="N28" s="81"/>
      <c r="O28" s="81"/>
      <c r="P28" s="83"/>
      <c r="Q28" s="262"/>
      <c r="R28" s="336"/>
      <c r="S28" s="219"/>
      <c r="T28" s="218"/>
    </row>
    <row r="29" spans="1:22" x14ac:dyDescent="0.2">
      <c r="A29" s="281">
        <f t="shared" si="7"/>
        <v>15</v>
      </c>
      <c r="B29" s="284" t="s">
        <v>355</v>
      </c>
      <c r="C29" s="457" t="s">
        <v>354</v>
      </c>
      <c r="D29" s="292" t="s">
        <v>141</v>
      </c>
      <c r="E29" s="292">
        <v>80</v>
      </c>
      <c r="F29" s="224"/>
      <c r="G29" s="81"/>
      <c r="H29" s="81"/>
      <c r="I29" s="81"/>
      <c r="J29" s="81"/>
      <c r="K29" s="82"/>
      <c r="L29" s="80"/>
      <c r="M29" s="81"/>
      <c r="N29" s="81"/>
      <c r="O29" s="81"/>
      <c r="P29" s="83"/>
      <c r="Q29" s="262"/>
      <c r="R29" s="252"/>
      <c r="S29" s="219"/>
      <c r="T29" s="218"/>
    </row>
    <row r="30" spans="1:22" x14ac:dyDescent="0.2">
      <c r="A30" s="281">
        <f t="shared" si="7"/>
        <v>16</v>
      </c>
      <c r="B30" s="284" t="s">
        <v>356</v>
      </c>
      <c r="C30" s="458"/>
      <c r="D30" s="292" t="s">
        <v>141</v>
      </c>
      <c r="E30" s="292">
        <v>80</v>
      </c>
      <c r="F30" s="224"/>
      <c r="G30" s="81"/>
      <c r="H30" s="81"/>
      <c r="I30" s="81"/>
      <c r="J30" s="81"/>
      <c r="K30" s="82"/>
      <c r="L30" s="80"/>
      <c r="M30" s="81"/>
      <c r="N30" s="81"/>
      <c r="O30" s="81"/>
      <c r="P30" s="83"/>
      <c r="Q30" s="262"/>
      <c r="R30" s="252"/>
      <c r="S30" s="219"/>
      <c r="T30" s="218"/>
    </row>
    <row r="31" spans="1:22" ht="11.25" customHeight="1" x14ac:dyDescent="0.2">
      <c r="A31" s="281">
        <f t="shared" si="7"/>
        <v>17</v>
      </c>
      <c r="B31" s="297" t="s">
        <v>423</v>
      </c>
      <c r="C31" s="293" t="s">
        <v>415</v>
      </c>
      <c r="D31" s="298" t="s">
        <v>85</v>
      </c>
      <c r="E31" s="286">
        <v>6</v>
      </c>
      <c r="F31" s="224"/>
      <c r="G31" s="81"/>
      <c r="H31" s="81"/>
      <c r="I31" s="81"/>
      <c r="J31" s="81"/>
      <c r="K31" s="82"/>
      <c r="L31" s="80"/>
      <c r="M31" s="81"/>
      <c r="N31" s="81"/>
      <c r="O31" s="81"/>
      <c r="P31" s="83"/>
      <c r="Q31" s="262"/>
      <c r="R31" s="335"/>
      <c r="S31" s="220"/>
      <c r="T31" s="218"/>
    </row>
    <row r="32" spans="1:22" x14ac:dyDescent="0.2">
      <c r="A32" s="281">
        <f t="shared" si="7"/>
        <v>18</v>
      </c>
      <c r="B32" s="297" t="s">
        <v>348</v>
      </c>
      <c r="C32" s="293" t="s">
        <v>416</v>
      </c>
      <c r="D32" s="298" t="s">
        <v>141</v>
      </c>
      <c r="E32" s="286">
        <v>6</v>
      </c>
      <c r="F32" s="224"/>
      <c r="G32" s="81"/>
      <c r="H32" s="81"/>
      <c r="I32" s="81"/>
      <c r="J32" s="81"/>
      <c r="K32" s="82"/>
      <c r="L32" s="80"/>
      <c r="M32" s="81"/>
      <c r="N32" s="81"/>
      <c r="O32" s="81"/>
      <c r="P32" s="83"/>
      <c r="Q32" s="262"/>
      <c r="R32" s="335"/>
      <c r="S32" s="220"/>
      <c r="T32" s="218"/>
    </row>
    <row r="33" spans="1:20" x14ac:dyDescent="0.2">
      <c r="A33" s="281">
        <f t="shared" si="7"/>
        <v>19</v>
      </c>
      <c r="B33" s="299" t="s">
        <v>424</v>
      </c>
      <c r="C33" s="300" t="s">
        <v>417</v>
      </c>
      <c r="D33" s="299" t="s">
        <v>67</v>
      </c>
      <c r="E33" s="286">
        <v>7</v>
      </c>
      <c r="F33" s="224"/>
      <c r="G33" s="81"/>
      <c r="H33" s="81"/>
      <c r="I33" s="81"/>
      <c r="J33" s="81"/>
      <c r="K33" s="82"/>
      <c r="L33" s="80"/>
      <c r="M33" s="81"/>
      <c r="N33" s="81"/>
      <c r="O33" s="81"/>
      <c r="P33" s="83"/>
      <c r="Q33" s="262"/>
      <c r="R33" s="253"/>
      <c r="S33" s="220"/>
      <c r="T33" s="218"/>
    </row>
    <row r="34" spans="1:20" x14ac:dyDescent="0.2">
      <c r="A34" s="281">
        <f t="shared" si="7"/>
        <v>20</v>
      </c>
      <c r="B34" s="299" t="s">
        <v>425</v>
      </c>
      <c r="C34" s="300" t="s">
        <v>418</v>
      </c>
      <c r="D34" s="299" t="s">
        <v>67</v>
      </c>
      <c r="E34" s="286">
        <v>23</v>
      </c>
      <c r="F34" s="224"/>
      <c r="G34" s="81"/>
      <c r="H34" s="81"/>
      <c r="I34" s="81"/>
      <c r="J34" s="81"/>
      <c r="K34" s="82"/>
      <c r="L34" s="80"/>
      <c r="M34" s="81"/>
      <c r="N34" s="81"/>
      <c r="O34" s="81"/>
      <c r="P34" s="83"/>
      <c r="Q34" s="262"/>
      <c r="R34" s="253"/>
      <c r="S34" s="220"/>
      <c r="T34" s="218"/>
    </row>
    <row r="35" spans="1:20" x14ac:dyDescent="0.2">
      <c r="A35" s="281">
        <f t="shared" si="7"/>
        <v>21</v>
      </c>
      <c r="B35" s="299"/>
      <c r="C35" s="300" t="s">
        <v>419</v>
      </c>
      <c r="D35" s="299" t="s">
        <v>67</v>
      </c>
      <c r="E35" s="286">
        <v>12</v>
      </c>
      <c r="F35" s="224"/>
      <c r="G35" s="81"/>
      <c r="H35" s="81"/>
      <c r="I35" s="81"/>
      <c r="J35" s="81"/>
      <c r="K35" s="82"/>
      <c r="L35" s="80"/>
      <c r="M35" s="81"/>
      <c r="N35" s="81"/>
      <c r="O35" s="81"/>
      <c r="P35" s="83"/>
      <c r="Q35" s="262"/>
      <c r="R35" s="337"/>
      <c r="S35" s="219"/>
      <c r="T35" s="218"/>
    </row>
    <row r="36" spans="1:20" x14ac:dyDescent="0.2">
      <c r="A36" s="281">
        <f t="shared" si="7"/>
        <v>22</v>
      </c>
      <c r="B36" s="299"/>
      <c r="C36" s="301" t="s">
        <v>420</v>
      </c>
      <c r="D36" s="299" t="s">
        <v>63</v>
      </c>
      <c r="E36" s="286">
        <v>24</v>
      </c>
      <c r="F36" s="224"/>
      <c r="G36" s="81"/>
      <c r="H36" s="81">
        <f t="shared" si="0"/>
        <v>0</v>
      </c>
      <c r="I36" s="81"/>
      <c r="J36" s="81"/>
      <c r="K36" s="82">
        <f t="shared" si="1"/>
        <v>0</v>
      </c>
      <c r="L36" s="80">
        <f t="shared" si="2"/>
        <v>0</v>
      </c>
      <c r="M36" s="81">
        <f t="shared" si="3"/>
        <v>0</v>
      </c>
      <c r="N36" s="81">
        <f t="shared" si="4"/>
        <v>0</v>
      </c>
      <c r="O36" s="81">
        <f t="shared" si="5"/>
        <v>0</v>
      </c>
      <c r="P36" s="83">
        <f t="shared" si="6"/>
        <v>0</v>
      </c>
      <c r="Q36" s="262"/>
      <c r="R36" s="337"/>
      <c r="S36" s="219"/>
      <c r="T36" s="218"/>
    </row>
    <row r="37" spans="1:20" x14ac:dyDescent="0.2">
      <c r="A37" s="281">
        <f t="shared" si="7"/>
        <v>23</v>
      </c>
      <c r="B37" s="284" t="s">
        <v>348</v>
      </c>
      <c r="C37" s="288" t="s">
        <v>347</v>
      </c>
      <c r="D37" s="286" t="s">
        <v>85</v>
      </c>
      <c r="E37" s="286">
        <v>44</v>
      </c>
      <c r="F37" s="224"/>
      <c r="G37" s="81"/>
      <c r="H37" s="81">
        <f t="shared" si="0"/>
        <v>0</v>
      </c>
      <c r="I37" s="81"/>
      <c r="J37" s="81"/>
      <c r="K37" s="82">
        <f t="shared" si="1"/>
        <v>0</v>
      </c>
      <c r="L37" s="80">
        <f t="shared" si="2"/>
        <v>0</v>
      </c>
      <c r="M37" s="81">
        <f t="shared" si="3"/>
        <v>0</v>
      </c>
      <c r="N37" s="81">
        <f t="shared" si="4"/>
        <v>0</v>
      </c>
      <c r="O37" s="81">
        <f t="shared" si="5"/>
        <v>0</v>
      </c>
      <c r="P37" s="83">
        <f t="shared" si="6"/>
        <v>0</v>
      </c>
      <c r="Q37" s="262"/>
      <c r="R37" s="243"/>
      <c r="S37" s="221"/>
      <c r="T37" s="218"/>
    </row>
    <row r="38" spans="1:20" x14ac:dyDescent="0.2">
      <c r="A38" s="281"/>
      <c r="B38" s="302"/>
      <c r="C38" s="303" t="s">
        <v>357</v>
      </c>
      <c r="D38" s="304"/>
      <c r="E38" s="304"/>
      <c r="F38" s="224"/>
      <c r="G38" s="81"/>
      <c r="H38" s="81">
        <f t="shared" si="0"/>
        <v>0</v>
      </c>
      <c r="I38" s="81"/>
      <c r="J38" s="81"/>
      <c r="K38" s="82">
        <f t="shared" si="1"/>
        <v>0</v>
      </c>
      <c r="L38" s="80">
        <f t="shared" si="2"/>
        <v>0</v>
      </c>
      <c r="M38" s="81">
        <f t="shared" si="3"/>
        <v>0</v>
      </c>
      <c r="N38" s="81">
        <f t="shared" si="4"/>
        <v>0</v>
      </c>
      <c r="O38" s="81">
        <f t="shared" si="5"/>
        <v>0</v>
      </c>
      <c r="P38" s="83">
        <f t="shared" si="6"/>
        <v>0</v>
      </c>
      <c r="Q38" s="262"/>
      <c r="R38" s="337"/>
      <c r="S38" s="219"/>
      <c r="T38" s="218"/>
    </row>
    <row r="39" spans="1:20" ht="45" x14ac:dyDescent="0.2">
      <c r="A39" s="281">
        <f t="shared" si="7"/>
        <v>1</v>
      </c>
      <c r="B39" s="284" t="s">
        <v>462</v>
      </c>
      <c r="C39" s="305" t="s">
        <v>505</v>
      </c>
      <c r="D39" s="292" t="s">
        <v>141</v>
      </c>
      <c r="E39" s="358">
        <v>19</v>
      </c>
      <c r="F39" s="224"/>
      <c r="G39" s="81"/>
      <c r="H39" s="81">
        <f t="shared" si="0"/>
        <v>0</v>
      </c>
      <c r="I39" s="81"/>
      <c r="J39" s="81"/>
      <c r="K39" s="82">
        <f t="shared" si="1"/>
        <v>0</v>
      </c>
      <c r="L39" s="80">
        <f t="shared" si="2"/>
        <v>0</v>
      </c>
      <c r="M39" s="81">
        <f t="shared" si="3"/>
        <v>0</v>
      </c>
      <c r="N39" s="81">
        <f t="shared" si="4"/>
        <v>0</v>
      </c>
      <c r="O39" s="81">
        <f t="shared" si="5"/>
        <v>0</v>
      </c>
      <c r="P39" s="83">
        <f t="shared" si="6"/>
        <v>0</v>
      </c>
      <c r="Q39" s="354"/>
      <c r="R39" s="337"/>
      <c r="S39" s="219"/>
      <c r="T39" s="218"/>
    </row>
    <row r="40" spans="1:20" ht="12" x14ac:dyDescent="0.2">
      <c r="A40" s="281"/>
      <c r="B40" s="306"/>
      <c r="C40" s="307" t="s">
        <v>427</v>
      </c>
      <c r="D40" s="306"/>
      <c r="E40" s="306"/>
      <c r="F40" s="240"/>
      <c r="G40" s="240"/>
      <c r="H40" s="240"/>
      <c r="I40" s="240"/>
      <c r="J40" s="240"/>
      <c r="K40" s="241"/>
      <c r="L40" s="240"/>
      <c r="M40" s="240"/>
      <c r="N40" s="240"/>
      <c r="O40" s="240"/>
      <c r="P40" s="241"/>
      <c r="Q40" s="262"/>
      <c r="R40" s="244"/>
      <c r="S40" s="219"/>
      <c r="T40" s="218"/>
    </row>
    <row r="41" spans="1:20" ht="33.75" x14ac:dyDescent="0.2">
      <c r="A41" s="281">
        <f t="shared" si="7"/>
        <v>1</v>
      </c>
      <c r="B41" s="308" t="s">
        <v>444</v>
      </c>
      <c r="C41" s="309" t="s">
        <v>428</v>
      </c>
      <c r="D41" s="310" t="s">
        <v>59</v>
      </c>
      <c r="E41" s="311">
        <v>225</v>
      </c>
      <c r="F41" s="240"/>
      <c r="G41" s="240"/>
      <c r="H41" s="240"/>
      <c r="I41" s="240"/>
      <c r="J41" s="240"/>
      <c r="K41" s="241"/>
      <c r="L41" s="240"/>
      <c r="M41" s="240"/>
      <c r="N41" s="240"/>
      <c r="O41" s="240"/>
      <c r="P41" s="241"/>
      <c r="Q41" s="262"/>
      <c r="R41" s="244"/>
      <c r="S41" s="219"/>
      <c r="T41" s="218"/>
    </row>
    <row r="42" spans="1:20" x14ac:dyDescent="0.2">
      <c r="A42" s="281">
        <f t="shared" si="7"/>
        <v>2</v>
      </c>
      <c r="B42" s="312" t="s">
        <v>445</v>
      </c>
      <c r="C42" s="313" t="s">
        <v>429</v>
      </c>
      <c r="D42" s="314" t="s">
        <v>457</v>
      </c>
      <c r="E42" s="314">
        <v>15</v>
      </c>
      <c r="F42" s="240"/>
      <c r="G42" s="240"/>
      <c r="H42" s="240"/>
      <c r="I42" s="240"/>
      <c r="J42" s="240"/>
      <c r="K42" s="241"/>
      <c r="L42" s="240"/>
      <c r="M42" s="240"/>
      <c r="N42" s="240"/>
      <c r="O42" s="240"/>
      <c r="P42" s="241"/>
      <c r="Q42" s="262"/>
      <c r="R42" s="244"/>
      <c r="S42" s="219"/>
      <c r="T42" s="218"/>
    </row>
    <row r="43" spans="1:20" ht="22.5" x14ac:dyDescent="0.2">
      <c r="A43" s="281">
        <f t="shared" si="7"/>
        <v>3</v>
      </c>
      <c r="B43" s="312" t="s">
        <v>445</v>
      </c>
      <c r="C43" s="313" t="s">
        <v>430</v>
      </c>
      <c r="D43" s="314" t="s">
        <v>141</v>
      </c>
      <c r="E43" s="314">
        <v>75</v>
      </c>
      <c r="F43" s="240"/>
      <c r="G43" s="240"/>
      <c r="H43" s="240"/>
      <c r="I43" s="240"/>
      <c r="J43" s="240"/>
      <c r="K43" s="241"/>
      <c r="L43" s="240"/>
      <c r="M43" s="240"/>
      <c r="N43" s="240"/>
      <c r="O43" s="240"/>
      <c r="P43" s="241"/>
      <c r="Q43" s="262"/>
      <c r="R43" s="244"/>
      <c r="S43" s="219"/>
      <c r="T43" s="218"/>
    </row>
    <row r="44" spans="1:20" ht="22.5" x14ac:dyDescent="0.2">
      <c r="A44" s="281">
        <f t="shared" si="7"/>
        <v>4</v>
      </c>
      <c r="B44" s="315" t="s">
        <v>446</v>
      </c>
      <c r="C44" s="316" t="s">
        <v>431</v>
      </c>
      <c r="D44" s="314" t="s">
        <v>59</v>
      </c>
      <c r="E44" s="314">
        <v>225</v>
      </c>
      <c r="F44" s="240"/>
      <c r="G44" s="240"/>
      <c r="H44" s="240"/>
      <c r="I44" s="240"/>
      <c r="J44" s="240"/>
      <c r="K44" s="241"/>
      <c r="L44" s="240"/>
      <c r="M44" s="240"/>
      <c r="N44" s="240"/>
      <c r="O44" s="240"/>
      <c r="P44" s="241"/>
      <c r="Q44" s="262"/>
      <c r="R44" s="244"/>
      <c r="S44" s="219"/>
      <c r="T44" s="218"/>
    </row>
    <row r="45" spans="1:20" ht="33.75" x14ac:dyDescent="0.2">
      <c r="A45" s="281">
        <f t="shared" si="7"/>
        <v>5</v>
      </c>
      <c r="B45" s="312" t="s">
        <v>447</v>
      </c>
      <c r="C45" s="316" t="s">
        <v>506</v>
      </c>
      <c r="D45" s="314" t="s">
        <v>59</v>
      </c>
      <c r="E45" s="314">
        <v>225</v>
      </c>
      <c r="F45" s="240"/>
      <c r="G45" s="240"/>
      <c r="H45" s="240"/>
      <c r="I45" s="240"/>
      <c r="J45" s="240"/>
      <c r="K45" s="241"/>
      <c r="L45" s="240"/>
      <c r="M45" s="240"/>
      <c r="N45" s="240"/>
      <c r="O45" s="240"/>
      <c r="P45" s="241"/>
      <c r="Q45" s="262"/>
      <c r="R45" s="244"/>
      <c r="S45" s="219"/>
      <c r="T45" s="218"/>
    </row>
    <row r="46" spans="1:20" x14ac:dyDescent="0.2">
      <c r="A46" s="281">
        <f t="shared" si="7"/>
        <v>6</v>
      </c>
      <c r="B46" s="315" t="s">
        <v>448</v>
      </c>
      <c r="C46" s="316" t="s">
        <v>432</v>
      </c>
      <c r="D46" s="314" t="s">
        <v>85</v>
      </c>
      <c r="E46" s="314">
        <v>225</v>
      </c>
      <c r="F46" s="240"/>
      <c r="G46" s="240"/>
      <c r="H46" s="240"/>
      <c r="I46" s="240"/>
      <c r="J46" s="240"/>
      <c r="K46" s="241"/>
      <c r="L46" s="240"/>
      <c r="M46" s="240"/>
      <c r="N46" s="240"/>
      <c r="O46" s="240"/>
      <c r="P46" s="241"/>
      <c r="Q46" s="262"/>
      <c r="R46" s="244"/>
      <c r="S46" s="219"/>
      <c r="T46" s="218"/>
    </row>
    <row r="47" spans="1:20" x14ac:dyDescent="0.2">
      <c r="A47" s="281">
        <f t="shared" si="7"/>
        <v>7</v>
      </c>
      <c r="B47" s="315" t="s">
        <v>352</v>
      </c>
      <c r="C47" s="316" t="s">
        <v>433</v>
      </c>
      <c r="D47" s="314" t="s">
        <v>85</v>
      </c>
      <c r="E47" s="314">
        <v>225</v>
      </c>
      <c r="F47" s="240"/>
      <c r="G47" s="240"/>
      <c r="H47" s="240"/>
      <c r="I47" s="240"/>
      <c r="J47" s="240"/>
      <c r="K47" s="241"/>
      <c r="L47" s="240"/>
      <c r="M47" s="240"/>
      <c r="N47" s="240"/>
      <c r="O47" s="240"/>
      <c r="P47" s="241"/>
      <c r="Q47" s="262"/>
      <c r="R47" s="244"/>
      <c r="S47" s="219"/>
      <c r="T47" s="218"/>
    </row>
    <row r="48" spans="1:20" x14ac:dyDescent="0.2">
      <c r="A48" s="281">
        <f t="shared" si="7"/>
        <v>8</v>
      </c>
      <c r="B48" s="315" t="s">
        <v>352</v>
      </c>
      <c r="C48" s="316" t="s">
        <v>353</v>
      </c>
      <c r="D48" s="314" t="s">
        <v>59</v>
      </c>
      <c r="E48" s="314">
        <v>130</v>
      </c>
      <c r="F48" s="240"/>
      <c r="G48" s="240"/>
      <c r="H48" s="240"/>
      <c r="I48" s="240"/>
      <c r="J48" s="240"/>
      <c r="K48" s="241"/>
      <c r="L48" s="240"/>
      <c r="M48" s="240"/>
      <c r="N48" s="240"/>
      <c r="O48" s="240"/>
      <c r="P48" s="241"/>
      <c r="Q48" s="262"/>
      <c r="R48" s="244"/>
      <c r="S48" s="219"/>
      <c r="T48" s="218"/>
    </row>
    <row r="49" spans="1:20" x14ac:dyDescent="0.2">
      <c r="A49" s="281">
        <f t="shared" si="7"/>
        <v>9</v>
      </c>
      <c r="B49" s="315" t="s">
        <v>449</v>
      </c>
      <c r="C49" s="316" t="s">
        <v>434</v>
      </c>
      <c r="D49" s="314" t="s">
        <v>85</v>
      </c>
      <c r="E49" s="314">
        <v>22</v>
      </c>
      <c r="F49" s="240"/>
      <c r="G49" s="240"/>
      <c r="H49" s="240"/>
      <c r="I49" s="240"/>
      <c r="J49" s="240"/>
      <c r="K49" s="241"/>
      <c r="L49" s="240"/>
      <c r="M49" s="240"/>
      <c r="N49" s="240"/>
      <c r="O49" s="240"/>
      <c r="P49" s="241"/>
      <c r="Q49" s="262"/>
      <c r="R49" s="244"/>
      <c r="S49" s="219"/>
      <c r="T49" s="218"/>
    </row>
    <row r="50" spans="1:20" x14ac:dyDescent="0.2">
      <c r="A50" s="281">
        <f t="shared" si="7"/>
        <v>10</v>
      </c>
      <c r="B50" s="315" t="s">
        <v>450</v>
      </c>
      <c r="C50" s="316" t="s">
        <v>435</v>
      </c>
      <c r="D50" s="314" t="s">
        <v>85</v>
      </c>
      <c r="E50" s="314">
        <v>15</v>
      </c>
      <c r="F50" s="240"/>
      <c r="G50" s="240"/>
      <c r="H50" s="240"/>
      <c r="I50" s="240"/>
      <c r="J50" s="240"/>
      <c r="K50" s="241"/>
      <c r="L50" s="240"/>
      <c r="M50" s="240"/>
      <c r="N50" s="240"/>
      <c r="O50" s="240"/>
      <c r="P50" s="241"/>
      <c r="Q50" s="262"/>
      <c r="R50" s="244"/>
      <c r="S50" s="219"/>
      <c r="T50" s="218"/>
    </row>
    <row r="51" spans="1:20" x14ac:dyDescent="0.2">
      <c r="A51" s="281">
        <f t="shared" si="7"/>
        <v>11</v>
      </c>
      <c r="B51" s="315" t="s">
        <v>451</v>
      </c>
      <c r="C51" s="317" t="s">
        <v>436</v>
      </c>
      <c r="D51" s="314" t="s">
        <v>85</v>
      </c>
      <c r="E51" s="314">
        <v>15</v>
      </c>
      <c r="F51" s="240"/>
      <c r="G51" s="240"/>
      <c r="H51" s="240"/>
      <c r="I51" s="240"/>
      <c r="J51" s="240"/>
      <c r="K51" s="241"/>
      <c r="L51" s="240"/>
      <c r="M51" s="240"/>
      <c r="N51" s="240"/>
      <c r="O51" s="240"/>
      <c r="P51" s="241"/>
      <c r="Q51" s="262"/>
      <c r="R51" s="244"/>
      <c r="S51" s="219"/>
      <c r="T51" s="218"/>
    </row>
    <row r="52" spans="1:20" x14ac:dyDescent="0.2">
      <c r="A52" s="281">
        <f t="shared" si="7"/>
        <v>12</v>
      </c>
      <c r="B52" s="318"/>
      <c r="C52" s="319" t="s">
        <v>437</v>
      </c>
      <c r="D52" s="320" t="s">
        <v>141</v>
      </c>
      <c r="E52" s="321">
        <v>1</v>
      </c>
      <c r="F52" s="240"/>
      <c r="G52" s="240"/>
      <c r="H52" s="240"/>
      <c r="I52" s="240"/>
      <c r="J52" s="240"/>
      <c r="K52" s="241"/>
      <c r="L52" s="240"/>
      <c r="M52" s="240"/>
      <c r="N52" s="240"/>
      <c r="O52" s="240"/>
      <c r="P52" s="241"/>
      <c r="Q52" s="262"/>
      <c r="R52" s="244"/>
      <c r="S52" s="219"/>
      <c r="T52" s="218"/>
    </row>
    <row r="53" spans="1:20" ht="12" x14ac:dyDescent="0.2">
      <c r="A53" s="281"/>
      <c r="B53" s="322"/>
      <c r="C53" s="323" t="s">
        <v>438</v>
      </c>
      <c r="D53" s="324"/>
      <c r="E53" s="325"/>
      <c r="F53" s="240"/>
      <c r="G53" s="240"/>
      <c r="H53" s="240"/>
      <c r="I53" s="240"/>
      <c r="J53" s="240"/>
      <c r="K53" s="241"/>
      <c r="L53" s="240"/>
      <c r="M53" s="240"/>
      <c r="N53" s="240"/>
      <c r="O53" s="240"/>
      <c r="P53" s="241"/>
      <c r="Q53" s="262"/>
      <c r="R53" s="244"/>
      <c r="S53" s="219"/>
      <c r="T53" s="218"/>
    </row>
    <row r="54" spans="1:20" ht="22.5" x14ac:dyDescent="0.2">
      <c r="A54" s="281">
        <f t="shared" si="7"/>
        <v>1</v>
      </c>
      <c r="B54" s="315" t="s">
        <v>452</v>
      </c>
      <c r="C54" s="316" t="s">
        <v>509</v>
      </c>
      <c r="D54" s="314" t="s">
        <v>85</v>
      </c>
      <c r="E54" s="314">
        <v>75</v>
      </c>
      <c r="F54" s="240"/>
      <c r="G54" s="240"/>
      <c r="H54" s="240"/>
      <c r="I54" s="240"/>
      <c r="J54" s="240"/>
      <c r="K54" s="241"/>
      <c r="L54" s="240"/>
      <c r="M54" s="240"/>
      <c r="N54" s="240"/>
      <c r="O54" s="240"/>
      <c r="P54" s="241"/>
      <c r="Q54" s="262"/>
      <c r="R54" s="244"/>
      <c r="S54" s="219"/>
      <c r="T54" s="218"/>
    </row>
    <row r="55" spans="1:20" x14ac:dyDescent="0.2">
      <c r="A55" s="281">
        <f t="shared" si="7"/>
        <v>2</v>
      </c>
      <c r="B55" s="315" t="s">
        <v>453</v>
      </c>
      <c r="C55" s="316" t="s">
        <v>439</v>
      </c>
      <c r="D55" s="314" t="s">
        <v>85</v>
      </c>
      <c r="E55" s="314">
        <v>75</v>
      </c>
      <c r="F55" s="240"/>
      <c r="G55" s="240"/>
      <c r="H55" s="240"/>
      <c r="I55" s="240"/>
      <c r="J55" s="240"/>
      <c r="K55" s="241"/>
      <c r="L55" s="240"/>
      <c r="M55" s="240"/>
      <c r="N55" s="240"/>
      <c r="O55" s="240"/>
      <c r="P55" s="241"/>
      <c r="Q55" s="262"/>
      <c r="R55" s="244"/>
      <c r="S55" s="219"/>
      <c r="T55" s="218"/>
    </row>
    <row r="56" spans="1:20" x14ac:dyDescent="0.2">
      <c r="A56" s="281">
        <f t="shared" si="7"/>
        <v>3</v>
      </c>
      <c r="B56" s="326" t="s">
        <v>454</v>
      </c>
      <c r="C56" s="327" t="s">
        <v>440</v>
      </c>
      <c r="D56" s="328" t="s">
        <v>85</v>
      </c>
      <c r="E56" s="328">
        <v>150</v>
      </c>
      <c r="F56" s="240"/>
      <c r="G56" s="240"/>
      <c r="H56" s="240"/>
      <c r="I56" s="240"/>
      <c r="J56" s="240"/>
      <c r="K56" s="241"/>
      <c r="L56" s="240"/>
      <c r="M56" s="240"/>
      <c r="N56" s="240"/>
      <c r="O56" s="240"/>
      <c r="P56" s="241"/>
      <c r="Q56" s="262"/>
      <c r="R56" s="244"/>
      <c r="S56" s="219"/>
      <c r="T56" s="218"/>
    </row>
    <row r="57" spans="1:20" x14ac:dyDescent="0.2">
      <c r="A57" s="281">
        <f t="shared" si="7"/>
        <v>4</v>
      </c>
      <c r="B57" s="326" t="s">
        <v>454</v>
      </c>
      <c r="C57" s="327" t="s">
        <v>441</v>
      </c>
      <c r="D57" s="328" t="s">
        <v>85</v>
      </c>
      <c r="E57" s="328">
        <v>75</v>
      </c>
      <c r="F57" s="240"/>
      <c r="G57" s="240"/>
      <c r="H57" s="240"/>
      <c r="I57" s="240"/>
      <c r="J57" s="240"/>
      <c r="K57" s="241"/>
      <c r="L57" s="240"/>
      <c r="M57" s="240"/>
      <c r="N57" s="240"/>
      <c r="O57" s="240"/>
      <c r="P57" s="241"/>
      <c r="Q57" s="262"/>
      <c r="R57" s="244"/>
      <c r="S57" s="219"/>
      <c r="T57" s="218"/>
    </row>
    <row r="58" spans="1:20" x14ac:dyDescent="0.2">
      <c r="A58" s="281">
        <f t="shared" si="7"/>
        <v>5</v>
      </c>
      <c r="B58" s="326" t="s">
        <v>454</v>
      </c>
      <c r="C58" s="327" t="s">
        <v>442</v>
      </c>
      <c r="D58" s="328" t="s">
        <v>85</v>
      </c>
      <c r="E58" s="328">
        <v>75</v>
      </c>
      <c r="F58" s="240"/>
      <c r="G58" s="240"/>
      <c r="H58" s="240"/>
      <c r="I58" s="240"/>
      <c r="J58" s="240"/>
      <c r="K58" s="241"/>
      <c r="L58" s="240"/>
      <c r="M58" s="240"/>
      <c r="N58" s="240"/>
      <c r="O58" s="240"/>
      <c r="P58" s="241"/>
      <c r="Q58" s="262"/>
      <c r="R58" s="244"/>
      <c r="S58" s="219"/>
      <c r="T58" s="218"/>
    </row>
    <row r="59" spans="1:20" ht="12" x14ac:dyDescent="0.2">
      <c r="A59" s="281"/>
      <c r="B59" s="329"/>
      <c r="C59" s="330" t="s">
        <v>443</v>
      </c>
      <c r="D59" s="331"/>
      <c r="E59" s="332"/>
      <c r="F59" s="240"/>
      <c r="G59" s="240"/>
      <c r="H59" s="240"/>
      <c r="I59" s="240"/>
      <c r="J59" s="240"/>
      <c r="K59" s="241"/>
      <c r="L59" s="240"/>
      <c r="M59" s="240"/>
      <c r="N59" s="240"/>
      <c r="O59" s="240"/>
      <c r="P59" s="241"/>
      <c r="Q59" s="262"/>
      <c r="R59" s="244"/>
      <c r="S59" s="219"/>
      <c r="T59" s="218"/>
    </row>
    <row r="60" spans="1:20" x14ac:dyDescent="0.2">
      <c r="A60" s="281">
        <f t="shared" si="7"/>
        <v>1</v>
      </c>
      <c r="B60" s="312" t="s">
        <v>455</v>
      </c>
      <c r="C60" s="333" t="s">
        <v>507</v>
      </c>
      <c r="D60" s="314" t="s">
        <v>63</v>
      </c>
      <c r="E60" s="334">
        <v>5</v>
      </c>
      <c r="F60" s="240"/>
      <c r="G60" s="240"/>
      <c r="H60" s="240"/>
      <c r="I60" s="240"/>
      <c r="J60" s="240"/>
      <c r="K60" s="241"/>
      <c r="L60" s="240"/>
      <c r="M60" s="240"/>
      <c r="N60" s="240"/>
      <c r="O60" s="240"/>
      <c r="P60" s="241"/>
      <c r="Q60" s="262"/>
      <c r="R60" s="244"/>
      <c r="S60" s="219"/>
      <c r="T60" s="218"/>
    </row>
    <row r="61" spans="1:20" ht="23.25" thickBot="1" x14ac:dyDescent="0.25">
      <c r="A61" s="281">
        <f t="shared" si="7"/>
        <v>2</v>
      </c>
      <c r="B61" s="312" t="s">
        <v>456</v>
      </c>
      <c r="C61" s="316" t="s">
        <v>508</v>
      </c>
      <c r="D61" s="314" t="s">
        <v>458</v>
      </c>
      <c r="E61" s="334">
        <v>4</v>
      </c>
      <c r="F61" s="240"/>
      <c r="G61" s="240"/>
      <c r="H61" s="240"/>
      <c r="I61" s="240"/>
      <c r="J61" s="240"/>
      <c r="K61" s="241"/>
      <c r="L61" s="240"/>
      <c r="M61" s="240"/>
      <c r="N61" s="240"/>
      <c r="O61" s="240"/>
      <c r="P61" s="241"/>
      <c r="Q61" s="262"/>
      <c r="R61" s="244"/>
      <c r="S61" s="219"/>
      <c r="T61" s="218"/>
    </row>
    <row r="62" spans="1:20" ht="10.7" customHeight="1" thickBot="1" x14ac:dyDescent="0.25">
      <c r="A62" s="428" t="s">
        <v>486</v>
      </c>
      <c r="B62" s="429"/>
      <c r="C62" s="429"/>
      <c r="D62" s="429"/>
      <c r="E62" s="429"/>
      <c r="F62" s="429"/>
      <c r="G62" s="429"/>
      <c r="H62" s="429"/>
      <c r="I62" s="429"/>
      <c r="J62" s="429"/>
      <c r="K62" s="430"/>
      <c r="L62" s="232">
        <f>SUM(L14:L39)</f>
        <v>0</v>
      </c>
      <c r="M62" s="233">
        <f>SUM(M14:M39)</f>
        <v>0</v>
      </c>
      <c r="N62" s="233">
        <f>SUM(N14:N39)</f>
        <v>0</v>
      </c>
      <c r="O62" s="233">
        <f>SUM(O14:O39)</f>
        <v>0</v>
      </c>
      <c r="P62" s="234">
        <f>SUM(P14:P39)</f>
        <v>0</v>
      </c>
      <c r="R62" s="216"/>
      <c r="S62" s="216"/>
      <c r="T62" s="216"/>
    </row>
    <row r="63" spans="1:20" x14ac:dyDescent="0.2">
      <c r="A63" s="12"/>
      <c r="B63" s="12"/>
      <c r="C63" s="12"/>
      <c r="D63" s="12"/>
      <c r="E63" s="12"/>
      <c r="F63" s="12"/>
      <c r="G63" s="12"/>
      <c r="H63" s="12"/>
      <c r="I63" s="12"/>
      <c r="J63" s="12"/>
      <c r="K63" s="12"/>
      <c r="L63" s="12"/>
      <c r="M63" s="12"/>
      <c r="N63" s="12"/>
      <c r="O63" s="12"/>
      <c r="P63" s="12"/>
    </row>
    <row r="64" spans="1:20" x14ac:dyDescent="0.2">
      <c r="A64" s="12"/>
      <c r="B64" s="12"/>
      <c r="C64" s="12"/>
      <c r="D64" s="12"/>
      <c r="E64" s="12"/>
      <c r="F64" s="12"/>
      <c r="G64" s="12"/>
      <c r="H64" s="12"/>
      <c r="I64" s="12"/>
      <c r="J64" s="12"/>
      <c r="K64" s="12"/>
      <c r="L64" s="12"/>
      <c r="M64" s="12"/>
      <c r="N64" s="12"/>
      <c r="O64" s="12"/>
      <c r="P64" s="12"/>
    </row>
    <row r="65" spans="1:16" x14ac:dyDescent="0.2">
      <c r="A65" s="1" t="s">
        <v>14</v>
      </c>
      <c r="B65" s="12"/>
      <c r="C65" s="439">
        <f>'Kops a'!C38:H38</f>
        <v>0</v>
      </c>
      <c r="D65" s="439"/>
      <c r="E65" s="439"/>
      <c r="F65" s="439"/>
      <c r="G65" s="439"/>
      <c r="H65" s="439"/>
      <c r="I65" s="12"/>
      <c r="J65" s="12"/>
      <c r="K65" s="12"/>
      <c r="L65" s="12"/>
      <c r="M65" s="12"/>
      <c r="N65" s="12"/>
      <c r="O65" s="12"/>
      <c r="P65" s="12"/>
    </row>
    <row r="66" spans="1:16" x14ac:dyDescent="0.2">
      <c r="A66" s="12"/>
      <c r="B66" s="12"/>
      <c r="C66" s="363" t="s">
        <v>15</v>
      </c>
      <c r="D66" s="363"/>
      <c r="E66" s="363"/>
      <c r="F66" s="363"/>
      <c r="G66" s="363"/>
      <c r="H66" s="363"/>
      <c r="I66" s="12"/>
      <c r="J66" s="12"/>
      <c r="K66" s="12"/>
      <c r="L66" s="12"/>
      <c r="M66" s="12"/>
      <c r="N66" s="12"/>
      <c r="O66" s="12"/>
      <c r="P66" s="12"/>
    </row>
    <row r="67" spans="1:16" x14ac:dyDescent="0.2">
      <c r="A67" s="12"/>
      <c r="B67" s="12"/>
      <c r="C67" s="12"/>
      <c r="D67" s="12"/>
      <c r="E67" s="12"/>
      <c r="F67" s="12"/>
      <c r="G67" s="12"/>
      <c r="H67" s="12"/>
      <c r="I67" s="12"/>
      <c r="J67" s="12"/>
      <c r="K67" s="12"/>
      <c r="L67" s="12"/>
      <c r="M67" s="12"/>
      <c r="N67" s="12"/>
      <c r="O67" s="12"/>
      <c r="P67" s="12"/>
    </row>
    <row r="68" spans="1:16" x14ac:dyDescent="0.2">
      <c r="A68" s="68" t="str">
        <f>'Kops a'!A41</f>
        <v>Tāme sastādīta 2021. gada</v>
      </c>
      <c r="B68" s="69"/>
      <c r="C68" s="69"/>
      <c r="D68" s="69"/>
      <c r="E68" s="12"/>
      <c r="F68" s="12"/>
      <c r="G68" s="12"/>
      <c r="H68" s="12"/>
      <c r="I68" s="12"/>
      <c r="J68" s="12"/>
      <c r="K68" s="12"/>
      <c r="L68" s="12"/>
      <c r="M68" s="12"/>
      <c r="N68" s="12"/>
      <c r="O68" s="12"/>
      <c r="P68" s="12"/>
    </row>
    <row r="69" spans="1:16" x14ac:dyDescent="0.2">
      <c r="A69" s="12"/>
      <c r="B69" s="12"/>
      <c r="C69" s="12"/>
      <c r="D69" s="12"/>
      <c r="E69" s="12"/>
      <c r="F69" s="12"/>
      <c r="G69" s="12"/>
      <c r="H69" s="12"/>
      <c r="I69" s="12"/>
      <c r="J69" s="12"/>
      <c r="K69" s="12"/>
      <c r="L69" s="12"/>
      <c r="M69" s="12"/>
      <c r="N69" s="12"/>
      <c r="O69" s="12"/>
      <c r="P69" s="12"/>
    </row>
    <row r="70" spans="1:16" x14ac:dyDescent="0.2">
      <c r="A70" s="1" t="s">
        <v>37</v>
      </c>
      <c r="B70" s="12"/>
      <c r="C70" s="439">
        <f>'Kops a'!C43:H43</f>
        <v>0</v>
      </c>
      <c r="D70" s="439"/>
      <c r="E70" s="439"/>
      <c r="F70" s="439"/>
      <c r="G70" s="439"/>
      <c r="H70" s="439"/>
      <c r="I70" s="12"/>
      <c r="J70" s="12"/>
      <c r="K70" s="12"/>
      <c r="L70" s="12"/>
      <c r="M70" s="12"/>
      <c r="N70" s="12"/>
      <c r="O70" s="12"/>
      <c r="P70" s="12"/>
    </row>
    <row r="71" spans="1:16" x14ac:dyDescent="0.2">
      <c r="A71" s="12"/>
      <c r="B71" s="12"/>
      <c r="C71" s="363" t="s">
        <v>15</v>
      </c>
      <c r="D71" s="363"/>
      <c r="E71" s="363"/>
      <c r="F71" s="363"/>
      <c r="G71" s="363"/>
      <c r="H71" s="363"/>
      <c r="I71" s="12"/>
      <c r="J71" s="12"/>
      <c r="K71" s="12"/>
      <c r="L71" s="12"/>
      <c r="M71" s="12"/>
      <c r="N71" s="12"/>
      <c r="O71" s="12"/>
      <c r="P71" s="12"/>
    </row>
    <row r="72" spans="1:16" x14ac:dyDescent="0.2">
      <c r="A72" s="12"/>
      <c r="B72" s="12"/>
      <c r="C72" s="12"/>
      <c r="D72" s="12"/>
      <c r="E72" s="12"/>
      <c r="F72" s="12"/>
      <c r="G72" s="12"/>
      <c r="H72" s="12"/>
      <c r="I72" s="12"/>
      <c r="J72" s="12"/>
      <c r="K72" s="12"/>
      <c r="L72" s="12"/>
      <c r="M72" s="12"/>
      <c r="N72" s="12"/>
      <c r="O72" s="12"/>
      <c r="P72" s="12"/>
    </row>
    <row r="73" spans="1:16" x14ac:dyDescent="0.2">
      <c r="A73" s="68" t="s">
        <v>54</v>
      </c>
      <c r="B73" s="69"/>
      <c r="C73" s="72">
        <f>'Kops a'!C46</f>
        <v>0</v>
      </c>
      <c r="D73" s="36"/>
      <c r="E73" s="12"/>
      <c r="F73" s="12"/>
      <c r="G73" s="12"/>
      <c r="H73" s="12"/>
      <c r="I73" s="12"/>
      <c r="J73" s="12"/>
      <c r="K73" s="12"/>
      <c r="L73" s="12"/>
      <c r="M73" s="12"/>
      <c r="N73" s="12"/>
      <c r="O73" s="12"/>
      <c r="P73" s="12"/>
    </row>
    <row r="74" spans="1:16" x14ac:dyDescent="0.2">
      <c r="A74" s="12"/>
      <c r="B74" s="12"/>
      <c r="C74" s="12"/>
      <c r="D74" s="12"/>
      <c r="E74" s="12"/>
      <c r="F74" s="12"/>
      <c r="G74" s="12"/>
      <c r="H74" s="12"/>
      <c r="I74" s="12"/>
      <c r="J74" s="12"/>
      <c r="K74" s="12"/>
      <c r="L74" s="12"/>
      <c r="M74" s="12"/>
      <c r="N74" s="12"/>
      <c r="O74" s="12"/>
      <c r="P74" s="12"/>
    </row>
    <row r="75" spans="1:16" x14ac:dyDescent="0.2">
      <c r="A75" s="74" t="s">
        <v>89</v>
      </c>
      <c r="B75" s="12"/>
      <c r="E75" s="16"/>
      <c r="F75" s="245"/>
      <c r="G75" s="16"/>
      <c r="H75" s="246"/>
      <c r="I75" s="246"/>
      <c r="J75" s="247"/>
      <c r="K75" s="248"/>
      <c r="L75" s="248"/>
      <c r="M75" s="248"/>
      <c r="N75" s="248"/>
      <c r="O75" s="248"/>
    </row>
    <row r="76" spans="1:16" x14ac:dyDescent="0.2">
      <c r="A76" s="452" t="s">
        <v>90</v>
      </c>
      <c r="B76" s="452"/>
      <c r="C76" s="452"/>
      <c r="D76" s="452"/>
      <c r="E76" s="452"/>
      <c r="F76" s="452"/>
      <c r="G76" s="452"/>
      <c r="H76" s="452"/>
      <c r="I76" s="452"/>
      <c r="J76" s="452"/>
      <c r="K76" s="452"/>
      <c r="L76" s="452"/>
      <c r="M76" s="452"/>
      <c r="N76" s="452"/>
      <c r="O76" s="452"/>
    </row>
    <row r="77" spans="1:16" x14ac:dyDescent="0.2">
      <c r="A77" s="452" t="s">
        <v>91</v>
      </c>
      <c r="B77" s="452"/>
      <c r="C77" s="452"/>
      <c r="D77" s="452"/>
      <c r="E77" s="452"/>
      <c r="F77" s="452"/>
      <c r="G77" s="452"/>
      <c r="H77" s="452"/>
      <c r="I77" s="452"/>
      <c r="J77" s="452"/>
      <c r="K77" s="452"/>
      <c r="L77" s="452"/>
      <c r="M77" s="452"/>
      <c r="N77" s="452"/>
      <c r="O77" s="452"/>
    </row>
  </sheetData>
  <mergeCells count="28">
    <mergeCell ref="D7:L7"/>
    <mergeCell ref="C2:I2"/>
    <mergeCell ref="C3:I3"/>
    <mergeCell ref="C4:I4"/>
    <mergeCell ref="D5:L5"/>
    <mergeCell ref="D6:L6"/>
    <mergeCell ref="D8:L8"/>
    <mergeCell ref="A9:F9"/>
    <mergeCell ref="J9:M9"/>
    <mergeCell ref="N9:O9"/>
    <mergeCell ref="A12:A13"/>
    <mergeCell ref="B12:B13"/>
    <mergeCell ref="C12:C13"/>
    <mergeCell ref="D12:D13"/>
    <mergeCell ref="E12:E13"/>
    <mergeCell ref="F12:K12"/>
    <mergeCell ref="L12:P12"/>
    <mergeCell ref="A76:O76"/>
    <mergeCell ref="A77:O77"/>
    <mergeCell ref="R17:R18"/>
    <mergeCell ref="C71:H71"/>
    <mergeCell ref="A62:K62"/>
    <mergeCell ref="C65:H65"/>
    <mergeCell ref="C66:H66"/>
    <mergeCell ref="C70:H70"/>
    <mergeCell ref="C20:C21"/>
    <mergeCell ref="C22:C23"/>
    <mergeCell ref="C29:C30"/>
  </mergeCells>
  <conditionalFormatting sqref="A14:A61">
    <cfRule type="cellIs" dxfId="17" priority="2" operator="equal">
      <formula>0</formula>
    </cfRule>
  </conditionalFormatting>
  <conditionalFormatting sqref="I14:J61 F14:G61">
    <cfRule type="cellIs" dxfId="16" priority="19" operator="equal">
      <formula>0</formula>
    </cfRule>
  </conditionalFormatting>
  <conditionalFormatting sqref="N9:O9 H14:H61 K14:P61">
    <cfRule type="cellIs" dxfId="15" priority="18" operator="equal">
      <formula>0</formula>
    </cfRule>
  </conditionalFormatting>
  <conditionalFormatting sqref="A9:F9">
    <cfRule type="containsText" dxfId="14" priority="17"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3" priority="16" operator="equal">
      <formula>0</formula>
    </cfRule>
  </conditionalFormatting>
  <conditionalFormatting sqref="O10">
    <cfRule type="cellIs" dxfId="12" priority="15" operator="equal">
      <formula>"20__. gada __. _________"</formula>
    </cfRule>
  </conditionalFormatting>
  <conditionalFormatting sqref="L62:P62">
    <cfRule type="cellIs" dxfId="11" priority="13" operator="equal">
      <formula>0</formula>
    </cfRule>
  </conditionalFormatting>
  <conditionalFormatting sqref="C4:I4">
    <cfRule type="cellIs" dxfId="10" priority="12" operator="equal">
      <formula>0</formula>
    </cfRule>
  </conditionalFormatting>
  <conditionalFormatting sqref="D5:L8">
    <cfRule type="cellIs" dxfId="9" priority="11" operator="equal">
      <formula>0</formula>
    </cfRule>
  </conditionalFormatting>
  <conditionalFormatting sqref="P10">
    <cfRule type="cellIs" dxfId="8" priority="10" operator="equal">
      <formula>"20__. gada __. _________"</formula>
    </cfRule>
  </conditionalFormatting>
  <conditionalFormatting sqref="C70:H70">
    <cfRule type="cellIs" dxfId="7" priority="7" operator="equal">
      <formula>0</formula>
    </cfRule>
  </conditionalFormatting>
  <conditionalFormatting sqref="C65:H65">
    <cfRule type="cellIs" dxfId="6" priority="6" operator="equal">
      <formula>0</formula>
    </cfRule>
  </conditionalFormatting>
  <conditionalFormatting sqref="C70:H70 C73 C65:H65">
    <cfRule type="cellIs" dxfId="5" priority="5" operator="equal">
      <formula>0</formula>
    </cfRule>
  </conditionalFormatting>
  <conditionalFormatting sqref="D1">
    <cfRule type="cellIs" dxfId="4" priority="4" operator="equal">
      <formula>0</formula>
    </cfRule>
  </conditionalFormatting>
  <conditionalFormatting sqref="B14:B61">
    <cfRule type="cellIs" dxfId="3" priority="3" operator="equal">
      <formula>0</formula>
    </cfRule>
  </conditionalFormatting>
  <conditionalFormatting sqref="A62:K62">
    <cfRule type="containsText" dxfId="2" priority="1" operator="containsText" text="Tiešās izmaksas kopā, t. sk. darba devēja sociālais nodoklis __.__% ">
      <formula>NOT(ISERROR(SEARCH("Tiešās izmaksas kopā, t. sk. darba devēja sociālais nodoklis __.__% ",A62)))</formula>
    </cfRule>
  </conditionalFormatting>
  <pageMargins left="0.7" right="0.7" top="0.75" bottom="0.75" header="0.3" footer="0.3"/>
  <pageSetup paperSize="8"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9" operator="containsText" id="{579B9908-4699-43ED-8D85-7EB94CA40E0B}">
            <xm:f>NOT(ISERROR(SEARCH("Tāme sastādīta ____. gada ___. ______________",A68)))</xm:f>
            <xm:f>"Tāme sastādīta ____. gada ___. ______________"</xm:f>
            <x14:dxf>
              <font>
                <color auto="1"/>
              </font>
              <fill>
                <patternFill>
                  <bgColor rgb="FFC6EFCE"/>
                </patternFill>
              </fill>
            </x14:dxf>
          </x14:cfRule>
          <xm:sqref>A68</xm:sqref>
        </x14:conditionalFormatting>
        <x14:conditionalFormatting xmlns:xm="http://schemas.microsoft.com/office/excel/2006/main">
          <x14:cfRule type="containsText" priority="8" operator="containsText" id="{798DD9FC-718D-4948-8B66-BA0970A322CA}">
            <xm:f>NOT(ISERROR(SEARCH("Sertifikāta Nr. _________________________________",A73)))</xm:f>
            <xm:f>"Sertifikāta Nr. _________________________________"</xm:f>
            <x14:dxf>
              <font>
                <color auto="1"/>
              </font>
              <fill>
                <patternFill>
                  <bgColor rgb="FFC6EFCE"/>
                </patternFill>
              </fill>
            </x14:dxf>
          </x14:cfRule>
          <xm:sqref>A73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sheetPr>
  <dimension ref="A1:I56"/>
  <sheetViews>
    <sheetView tabSelected="1" zoomScale="130" zoomScaleNormal="130" zoomScaleSheetLayoutView="85" workbookViewId="0">
      <selection activeCell="G85" sqref="G85"/>
    </sheetView>
  </sheetViews>
  <sheetFormatPr defaultColWidth="3.7109375" defaultRowHeight="11.25" x14ac:dyDescent="0.2"/>
  <cols>
    <col min="1" max="1" width="4" style="1" customWidth="1"/>
    <col min="2" max="2" width="5.28515625" style="1" customWidth="1"/>
    <col min="3" max="3" width="28.42578125" style="1" customWidth="1"/>
    <col min="4" max="4" width="6.85546875" style="1" customWidth="1"/>
    <col min="5" max="5" width="11.85546875" style="1" customWidth="1"/>
    <col min="6" max="6" width="9.85546875" style="1" customWidth="1"/>
    <col min="7" max="7" width="10" style="1" customWidth="1"/>
    <col min="8" max="8" width="8.7109375" style="1" customWidth="1"/>
    <col min="9" max="171" width="9.140625" style="1" customWidth="1"/>
    <col min="172" max="172" width="3.7109375" style="1"/>
    <col min="173" max="173" width="4.5703125" style="1" customWidth="1"/>
    <col min="174" max="174" width="5.85546875" style="1" customWidth="1"/>
    <col min="175" max="175" width="36" style="1" customWidth="1"/>
    <col min="176" max="176" width="9.7109375" style="1" customWidth="1"/>
    <col min="177" max="177" width="11.85546875" style="1" customWidth="1"/>
    <col min="178" max="178" width="9" style="1" customWidth="1"/>
    <col min="179" max="179" width="9.7109375" style="1" customWidth="1"/>
    <col min="180" max="180" width="9.28515625" style="1" customWidth="1"/>
    <col min="181" max="181" width="8.7109375" style="1" customWidth="1"/>
    <col min="182" max="182" width="6.85546875" style="1" customWidth="1"/>
    <col min="183" max="427" width="9.140625" style="1" customWidth="1"/>
    <col min="428" max="428" width="3.7109375" style="1"/>
    <col min="429" max="429" width="4.5703125" style="1" customWidth="1"/>
    <col min="430" max="430" width="5.85546875" style="1" customWidth="1"/>
    <col min="431" max="431" width="36" style="1" customWidth="1"/>
    <col min="432" max="432" width="9.7109375" style="1" customWidth="1"/>
    <col min="433" max="433" width="11.85546875" style="1" customWidth="1"/>
    <col min="434" max="434" width="9" style="1" customWidth="1"/>
    <col min="435" max="435" width="9.7109375" style="1" customWidth="1"/>
    <col min="436" max="436" width="9.28515625" style="1" customWidth="1"/>
    <col min="437" max="437" width="8.7109375" style="1" customWidth="1"/>
    <col min="438" max="438" width="6.85546875" style="1" customWidth="1"/>
    <col min="439" max="683" width="9.140625" style="1" customWidth="1"/>
    <col min="684" max="684" width="3.7109375" style="1"/>
    <col min="685" max="685" width="4.5703125" style="1" customWidth="1"/>
    <col min="686" max="686" width="5.85546875" style="1" customWidth="1"/>
    <col min="687" max="687" width="36" style="1" customWidth="1"/>
    <col min="688" max="688" width="9.7109375" style="1" customWidth="1"/>
    <col min="689" max="689" width="11.85546875" style="1" customWidth="1"/>
    <col min="690" max="690" width="9" style="1" customWidth="1"/>
    <col min="691" max="691" width="9.7109375" style="1" customWidth="1"/>
    <col min="692" max="692" width="9.28515625" style="1" customWidth="1"/>
    <col min="693" max="693" width="8.7109375" style="1" customWidth="1"/>
    <col min="694" max="694" width="6.85546875" style="1" customWidth="1"/>
    <col min="695" max="939" width="9.140625" style="1" customWidth="1"/>
    <col min="940" max="940" width="3.7109375" style="1"/>
    <col min="941" max="941" width="4.5703125" style="1" customWidth="1"/>
    <col min="942" max="942" width="5.85546875" style="1" customWidth="1"/>
    <col min="943" max="943" width="36" style="1" customWidth="1"/>
    <col min="944" max="944" width="9.7109375" style="1" customWidth="1"/>
    <col min="945" max="945" width="11.85546875" style="1" customWidth="1"/>
    <col min="946" max="946" width="9" style="1" customWidth="1"/>
    <col min="947" max="947" width="9.7109375" style="1" customWidth="1"/>
    <col min="948" max="948" width="9.28515625" style="1" customWidth="1"/>
    <col min="949" max="949" width="8.7109375" style="1" customWidth="1"/>
    <col min="950" max="950" width="6.85546875" style="1" customWidth="1"/>
    <col min="951" max="1195" width="9.140625" style="1" customWidth="1"/>
    <col min="1196" max="1196" width="3.7109375" style="1"/>
    <col min="1197" max="1197" width="4.5703125" style="1" customWidth="1"/>
    <col min="1198" max="1198" width="5.85546875" style="1" customWidth="1"/>
    <col min="1199" max="1199" width="36" style="1" customWidth="1"/>
    <col min="1200" max="1200" width="9.7109375" style="1" customWidth="1"/>
    <col min="1201" max="1201" width="11.85546875" style="1" customWidth="1"/>
    <col min="1202" max="1202" width="9" style="1" customWidth="1"/>
    <col min="1203" max="1203" width="9.7109375" style="1" customWidth="1"/>
    <col min="1204" max="1204" width="9.28515625" style="1" customWidth="1"/>
    <col min="1205" max="1205" width="8.7109375" style="1" customWidth="1"/>
    <col min="1206" max="1206" width="6.85546875" style="1" customWidth="1"/>
    <col min="1207" max="1451" width="9.140625" style="1" customWidth="1"/>
    <col min="1452" max="1452" width="3.7109375" style="1"/>
    <col min="1453" max="1453" width="4.5703125" style="1" customWidth="1"/>
    <col min="1454" max="1454" width="5.85546875" style="1" customWidth="1"/>
    <col min="1455" max="1455" width="36" style="1" customWidth="1"/>
    <col min="1456" max="1456" width="9.7109375" style="1" customWidth="1"/>
    <col min="1457" max="1457" width="11.85546875" style="1" customWidth="1"/>
    <col min="1458" max="1458" width="9" style="1" customWidth="1"/>
    <col min="1459" max="1459" width="9.7109375" style="1" customWidth="1"/>
    <col min="1460" max="1460" width="9.28515625" style="1" customWidth="1"/>
    <col min="1461" max="1461" width="8.7109375" style="1" customWidth="1"/>
    <col min="1462" max="1462" width="6.85546875" style="1" customWidth="1"/>
    <col min="1463" max="1707" width="9.140625" style="1" customWidth="1"/>
    <col min="1708" max="1708" width="3.7109375" style="1"/>
    <col min="1709" max="1709" width="4.5703125" style="1" customWidth="1"/>
    <col min="1710" max="1710" width="5.85546875" style="1" customWidth="1"/>
    <col min="1711" max="1711" width="36" style="1" customWidth="1"/>
    <col min="1712" max="1712" width="9.7109375" style="1" customWidth="1"/>
    <col min="1713" max="1713" width="11.85546875" style="1" customWidth="1"/>
    <col min="1714" max="1714" width="9" style="1" customWidth="1"/>
    <col min="1715" max="1715" width="9.7109375" style="1" customWidth="1"/>
    <col min="1716" max="1716" width="9.28515625" style="1" customWidth="1"/>
    <col min="1717" max="1717" width="8.7109375" style="1" customWidth="1"/>
    <col min="1718" max="1718" width="6.85546875" style="1" customWidth="1"/>
    <col min="1719" max="1963" width="9.140625" style="1" customWidth="1"/>
    <col min="1964" max="1964" width="3.7109375" style="1"/>
    <col min="1965" max="1965" width="4.5703125" style="1" customWidth="1"/>
    <col min="1966" max="1966" width="5.85546875" style="1" customWidth="1"/>
    <col min="1967" max="1967" width="36" style="1" customWidth="1"/>
    <col min="1968" max="1968" width="9.7109375" style="1" customWidth="1"/>
    <col min="1969" max="1969" width="11.85546875" style="1" customWidth="1"/>
    <col min="1970" max="1970" width="9" style="1" customWidth="1"/>
    <col min="1971" max="1971" width="9.7109375" style="1" customWidth="1"/>
    <col min="1972" max="1972" width="9.28515625" style="1" customWidth="1"/>
    <col min="1973" max="1973" width="8.7109375" style="1" customWidth="1"/>
    <col min="1974" max="1974" width="6.85546875" style="1" customWidth="1"/>
    <col min="1975" max="2219" width="9.140625" style="1" customWidth="1"/>
    <col min="2220" max="2220" width="3.7109375" style="1"/>
    <col min="2221" max="2221" width="4.5703125" style="1" customWidth="1"/>
    <col min="2222" max="2222" width="5.85546875" style="1" customWidth="1"/>
    <col min="2223" max="2223" width="36" style="1" customWidth="1"/>
    <col min="2224" max="2224" width="9.7109375" style="1" customWidth="1"/>
    <col min="2225" max="2225" width="11.85546875" style="1" customWidth="1"/>
    <col min="2226" max="2226" width="9" style="1" customWidth="1"/>
    <col min="2227" max="2227" width="9.7109375" style="1" customWidth="1"/>
    <col min="2228" max="2228" width="9.28515625" style="1" customWidth="1"/>
    <col min="2229" max="2229" width="8.7109375" style="1" customWidth="1"/>
    <col min="2230" max="2230" width="6.85546875" style="1" customWidth="1"/>
    <col min="2231" max="2475" width="9.140625" style="1" customWidth="1"/>
    <col min="2476" max="2476" width="3.7109375" style="1"/>
    <col min="2477" max="2477" width="4.5703125" style="1" customWidth="1"/>
    <col min="2478" max="2478" width="5.85546875" style="1" customWidth="1"/>
    <col min="2479" max="2479" width="36" style="1" customWidth="1"/>
    <col min="2480" max="2480" width="9.7109375" style="1" customWidth="1"/>
    <col min="2481" max="2481" width="11.85546875" style="1" customWidth="1"/>
    <col min="2482" max="2482" width="9" style="1" customWidth="1"/>
    <col min="2483" max="2483" width="9.7109375" style="1" customWidth="1"/>
    <col min="2484" max="2484" width="9.28515625" style="1" customWidth="1"/>
    <col min="2485" max="2485" width="8.7109375" style="1" customWidth="1"/>
    <col min="2486" max="2486" width="6.85546875" style="1" customWidth="1"/>
    <col min="2487" max="2731" width="9.140625" style="1" customWidth="1"/>
    <col min="2732" max="2732" width="3.7109375" style="1"/>
    <col min="2733" max="2733" width="4.5703125" style="1" customWidth="1"/>
    <col min="2734" max="2734" width="5.85546875" style="1" customWidth="1"/>
    <col min="2735" max="2735" width="36" style="1" customWidth="1"/>
    <col min="2736" max="2736" width="9.7109375" style="1" customWidth="1"/>
    <col min="2737" max="2737" width="11.85546875" style="1" customWidth="1"/>
    <col min="2738" max="2738" width="9" style="1" customWidth="1"/>
    <col min="2739" max="2739" width="9.7109375" style="1" customWidth="1"/>
    <col min="2740" max="2740" width="9.28515625" style="1" customWidth="1"/>
    <col min="2741" max="2741" width="8.7109375" style="1" customWidth="1"/>
    <col min="2742" max="2742" width="6.85546875" style="1" customWidth="1"/>
    <col min="2743" max="2987" width="9.140625" style="1" customWidth="1"/>
    <col min="2988" max="2988" width="3.7109375" style="1"/>
    <col min="2989" max="2989" width="4.5703125" style="1" customWidth="1"/>
    <col min="2990" max="2990" width="5.85546875" style="1" customWidth="1"/>
    <col min="2991" max="2991" width="36" style="1" customWidth="1"/>
    <col min="2992" max="2992" width="9.7109375" style="1" customWidth="1"/>
    <col min="2993" max="2993" width="11.85546875" style="1" customWidth="1"/>
    <col min="2994" max="2994" width="9" style="1" customWidth="1"/>
    <col min="2995" max="2995" width="9.7109375" style="1" customWidth="1"/>
    <col min="2996" max="2996" width="9.28515625" style="1" customWidth="1"/>
    <col min="2997" max="2997" width="8.7109375" style="1" customWidth="1"/>
    <col min="2998" max="2998" width="6.85546875" style="1" customWidth="1"/>
    <col min="2999" max="3243" width="9.140625" style="1" customWidth="1"/>
    <col min="3244" max="3244" width="3.7109375" style="1"/>
    <col min="3245" max="3245" width="4.5703125" style="1" customWidth="1"/>
    <col min="3246" max="3246" width="5.85546875" style="1" customWidth="1"/>
    <col min="3247" max="3247" width="36" style="1" customWidth="1"/>
    <col min="3248" max="3248" width="9.7109375" style="1" customWidth="1"/>
    <col min="3249" max="3249" width="11.85546875" style="1" customWidth="1"/>
    <col min="3250" max="3250" width="9" style="1" customWidth="1"/>
    <col min="3251" max="3251" width="9.7109375" style="1" customWidth="1"/>
    <col min="3252" max="3252" width="9.28515625" style="1" customWidth="1"/>
    <col min="3253" max="3253" width="8.7109375" style="1" customWidth="1"/>
    <col min="3254" max="3254" width="6.85546875" style="1" customWidth="1"/>
    <col min="3255" max="3499" width="9.140625" style="1" customWidth="1"/>
    <col min="3500" max="3500" width="3.7109375" style="1"/>
    <col min="3501" max="3501" width="4.5703125" style="1" customWidth="1"/>
    <col min="3502" max="3502" width="5.85546875" style="1" customWidth="1"/>
    <col min="3503" max="3503" width="36" style="1" customWidth="1"/>
    <col min="3504" max="3504" width="9.7109375" style="1" customWidth="1"/>
    <col min="3505" max="3505" width="11.85546875" style="1" customWidth="1"/>
    <col min="3506" max="3506" width="9" style="1" customWidth="1"/>
    <col min="3507" max="3507" width="9.7109375" style="1" customWidth="1"/>
    <col min="3508" max="3508" width="9.28515625" style="1" customWidth="1"/>
    <col min="3509" max="3509" width="8.7109375" style="1" customWidth="1"/>
    <col min="3510" max="3510" width="6.85546875" style="1" customWidth="1"/>
    <col min="3511" max="3755" width="9.140625" style="1" customWidth="1"/>
    <col min="3756" max="3756" width="3.7109375" style="1"/>
    <col min="3757" max="3757" width="4.5703125" style="1" customWidth="1"/>
    <col min="3758" max="3758" width="5.85546875" style="1" customWidth="1"/>
    <col min="3759" max="3759" width="36" style="1" customWidth="1"/>
    <col min="3760" max="3760" width="9.7109375" style="1" customWidth="1"/>
    <col min="3761" max="3761" width="11.85546875" style="1" customWidth="1"/>
    <col min="3762" max="3762" width="9" style="1" customWidth="1"/>
    <col min="3763" max="3763" width="9.7109375" style="1" customWidth="1"/>
    <col min="3764" max="3764" width="9.28515625" style="1" customWidth="1"/>
    <col min="3765" max="3765" width="8.7109375" style="1" customWidth="1"/>
    <col min="3766" max="3766" width="6.85546875" style="1" customWidth="1"/>
    <col min="3767" max="4011" width="9.140625" style="1" customWidth="1"/>
    <col min="4012" max="4012" width="3.7109375" style="1"/>
    <col min="4013" max="4013" width="4.5703125" style="1" customWidth="1"/>
    <col min="4014" max="4014" width="5.85546875" style="1" customWidth="1"/>
    <col min="4015" max="4015" width="36" style="1" customWidth="1"/>
    <col min="4016" max="4016" width="9.7109375" style="1" customWidth="1"/>
    <col min="4017" max="4017" width="11.85546875" style="1" customWidth="1"/>
    <col min="4018" max="4018" width="9" style="1" customWidth="1"/>
    <col min="4019" max="4019" width="9.7109375" style="1" customWidth="1"/>
    <col min="4020" max="4020" width="9.28515625" style="1" customWidth="1"/>
    <col min="4021" max="4021" width="8.7109375" style="1" customWidth="1"/>
    <col min="4022" max="4022" width="6.85546875" style="1" customWidth="1"/>
    <col min="4023" max="4267" width="9.140625" style="1" customWidth="1"/>
    <col min="4268" max="4268" width="3.7109375" style="1"/>
    <col min="4269" max="4269" width="4.5703125" style="1" customWidth="1"/>
    <col min="4270" max="4270" width="5.85546875" style="1" customWidth="1"/>
    <col min="4271" max="4271" width="36" style="1" customWidth="1"/>
    <col min="4272" max="4272" width="9.7109375" style="1" customWidth="1"/>
    <col min="4273" max="4273" width="11.85546875" style="1" customWidth="1"/>
    <col min="4274" max="4274" width="9" style="1" customWidth="1"/>
    <col min="4275" max="4275" width="9.7109375" style="1" customWidth="1"/>
    <col min="4276" max="4276" width="9.28515625" style="1" customWidth="1"/>
    <col min="4277" max="4277" width="8.7109375" style="1" customWidth="1"/>
    <col min="4278" max="4278" width="6.85546875" style="1" customWidth="1"/>
    <col min="4279" max="4523" width="9.140625" style="1" customWidth="1"/>
    <col min="4524" max="4524" width="3.7109375" style="1"/>
    <col min="4525" max="4525" width="4.5703125" style="1" customWidth="1"/>
    <col min="4526" max="4526" width="5.85546875" style="1" customWidth="1"/>
    <col min="4527" max="4527" width="36" style="1" customWidth="1"/>
    <col min="4528" max="4528" width="9.7109375" style="1" customWidth="1"/>
    <col min="4529" max="4529" width="11.85546875" style="1" customWidth="1"/>
    <col min="4530" max="4530" width="9" style="1" customWidth="1"/>
    <col min="4531" max="4531" width="9.7109375" style="1" customWidth="1"/>
    <col min="4532" max="4532" width="9.28515625" style="1" customWidth="1"/>
    <col min="4533" max="4533" width="8.7109375" style="1" customWidth="1"/>
    <col min="4534" max="4534" width="6.85546875" style="1" customWidth="1"/>
    <col min="4535" max="4779" width="9.140625" style="1" customWidth="1"/>
    <col min="4780" max="4780" width="3.7109375" style="1"/>
    <col min="4781" max="4781" width="4.5703125" style="1" customWidth="1"/>
    <col min="4782" max="4782" width="5.85546875" style="1" customWidth="1"/>
    <col min="4783" max="4783" width="36" style="1" customWidth="1"/>
    <col min="4784" max="4784" width="9.7109375" style="1" customWidth="1"/>
    <col min="4785" max="4785" width="11.85546875" style="1" customWidth="1"/>
    <col min="4786" max="4786" width="9" style="1" customWidth="1"/>
    <col min="4787" max="4787" width="9.7109375" style="1" customWidth="1"/>
    <col min="4788" max="4788" width="9.28515625" style="1" customWidth="1"/>
    <col min="4789" max="4789" width="8.7109375" style="1" customWidth="1"/>
    <col min="4790" max="4790" width="6.85546875" style="1" customWidth="1"/>
    <col min="4791" max="5035" width="9.140625" style="1" customWidth="1"/>
    <col min="5036" max="5036" width="3.7109375" style="1"/>
    <col min="5037" max="5037" width="4.5703125" style="1" customWidth="1"/>
    <col min="5038" max="5038" width="5.85546875" style="1" customWidth="1"/>
    <col min="5039" max="5039" width="36" style="1" customWidth="1"/>
    <col min="5040" max="5040" width="9.7109375" style="1" customWidth="1"/>
    <col min="5041" max="5041" width="11.85546875" style="1" customWidth="1"/>
    <col min="5042" max="5042" width="9" style="1" customWidth="1"/>
    <col min="5043" max="5043" width="9.7109375" style="1" customWidth="1"/>
    <col min="5044" max="5044" width="9.28515625" style="1" customWidth="1"/>
    <col min="5045" max="5045" width="8.7109375" style="1" customWidth="1"/>
    <col min="5046" max="5046" width="6.85546875" style="1" customWidth="1"/>
    <col min="5047" max="5291" width="9.140625" style="1" customWidth="1"/>
    <col min="5292" max="5292" width="3.7109375" style="1"/>
    <col min="5293" max="5293" width="4.5703125" style="1" customWidth="1"/>
    <col min="5294" max="5294" width="5.85546875" style="1" customWidth="1"/>
    <col min="5295" max="5295" width="36" style="1" customWidth="1"/>
    <col min="5296" max="5296" width="9.7109375" style="1" customWidth="1"/>
    <col min="5297" max="5297" width="11.85546875" style="1" customWidth="1"/>
    <col min="5298" max="5298" width="9" style="1" customWidth="1"/>
    <col min="5299" max="5299" width="9.7109375" style="1" customWidth="1"/>
    <col min="5300" max="5300" width="9.28515625" style="1" customWidth="1"/>
    <col min="5301" max="5301" width="8.7109375" style="1" customWidth="1"/>
    <col min="5302" max="5302" width="6.85546875" style="1" customWidth="1"/>
    <col min="5303" max="5547" width="9.140625" style="1" customWidth="1"/>
    <col min="5548" max="5548" width="3.7109375" style="1"/>
    <col min="5549" max="5549" width="4.5703125" style="1" customWidth="1"/>
    <col min="5550" max="5550" width="5.85546875" style="1" customWidth="1"/>
    <col min="5551" max="5551" width="36" style="1" customWidth="1"/>
    <col min="5552" max="5552" width="9.7109375" style="1" customWidth="1"/>
    <col min="5553" max="5553" width="11.85546875" style="1" customWidth="1"/>
    <col min="5554" max="5554" width="9" style="1" customWidth="1"/>
    <col min="5555" max="5555" width="9.7109375" style="1" customWidth="1"/>
    <col min="5556" max="5556" width="9.28515625" style="1" customWidth="1"/>
    <col min="5557" max="5557" width="8.7109375" style="1" customWidth="1"/>
    <col min="5558" max="5558" width="6.85546875" style="1" customWidth="1"/>
    <col min="5559" max="5803" width="9.140625" style="1" customWidth="1"/>
    <col min="5804" max="5804" width="3.7109375" style="1"/>
    <col min="5805" max="5805" width="4.5703125" style="1" customWidth="1"/>
    <col min="5806" max="5806" width="5.85546875" style="1" customWidth="1"/>
    <col min="5807" max="5807" width="36" style="1" customWidth="1"/>
    <col min="5808" max="5808" width="9.7109375" style="1" customWidth="1"/>
    <col min="5809" max="5809" width="11.85546875" style="1" customWidth="1"/>
    <col min="5810" max="5810" width="9" style="1" customWidth="1"/>
    <col min="5811" max="5811" width="9.7109375" style="1" customWidth="1"/>
    <col min="5812" max="5812" width="9.28515625" style="1" customWidth="1"/>
    <col min="5813" max="5813" width="8.7109375" style="1" customWidth="1"/>
    <col min="5814" max="5814" width="6.85546875" style="1" customWidth="1"/>
    <col min="5815" max="6059" width="9.140625" style="1" customWidth="1"/>
    <col min="6060" max="6060" width="3.7109375" style="1"/>
    <col min="6061" max="6061" width="4.5703125" style="1" customWidth="1"/>
    <col min="6062" max="6062" width="5.85546875" style="1" customWidth="1"/>
    <col min="6063" max="6063" width="36" style="1" customWidth="1"/>
    <col min="6064" max="6064" width="9.7109375" style="1" customWidth="1"/>
    <col min="6065" max="6065" width="11.85546875" style="1" customWidth="1"/>
    <col min="6066" max="6066" width="9" style="1" customWidth="1"/>
    <col min="6067" max="6067" width="9.7109375" style="1" customWidth="1"/>
    <col min="6068" max="6068" width="9.28515625" style="1" customWidth="1"/>
    <col min="6069" max="6069" width="8.7109375" style="1" customWidth="1"/>
    <col min="6070" max="6070" width="6.85546875" style="1" customWidth="1"/>
    <col min="6071" max="6315" width="9.140625" style="1" customWidth="1"/>
    <col min="6316" max="6316" width="3.7109375" style="1"/>
    <col min="6317" max="6317" width="4.5703125" style="1" customWidth="1"/>
    <col min="6318" max="6318" width="5.85546875" style="1" customWidth="1"/>
    <col min="6319" max="6319" width="36" style="1" customWidth="1"/>
    <col min="6320" max="6320" width="9.7109375" style="1" customWidth="1"/>
    <col min="6321" max="6321" width="11.85546875" style="1" customWidth="1"/>
    <col min="6322" max="6322" width="9" style="1" customWidth="1"/>
    <col min="6323" max="6323" width="9.7109375" style="1" customWidth="1"/>
    <col min="6324" max="6324" width="9.28515625" style="1" customWidth="1"/>
    <col min="6325" max="6325" width="8.7109375" style="1" customWidth="1"/>
    <col min="6326" max="6326" width="6.85546875" style="1" customWidth="1"/>
    <col min="6327" max="6571" width="9.140625" style="1" customWidth="1"/>
    <col min="6572" max="6572" width="3.7109375" style="1"/>
    <col min="6573" max="6573" width="4.5703125" style="1" customWidth="1"/>
    <col min="6574" max="6574" width="5.85546875" style="1" customWidth="1"/>
    <col min="6575" max="6575" width="36" style="1" customWidth="1"/>
    <col min="6576" max="6576" width="9.7109375" style="1" customWidth="1"/>
    <col min="6577" max="6577" width="11.85546875" style="1" customWidth="1"/>
    <col min="6578" max="6578" width="9" style="1" customWidth="1"/>
    <col min="6579" max="6579" width="9.7109375" style="1" customWidth="1"/>
    <col min="6580" max="6580" width="9.28515625" style="1" customWidth="1"/>
    <col min="6581" max="6581" width="8.7109375" style="1" customWidth="1"/>
    <col min="6582" max="6582" width="6.85546875" style="1" customWidth="1"/>
    <col min="6583" max="6827" width="9.140625" style="1" customWidth="1"/>
    <col min="6828" max="6828" width="3.7109375" style="1"/>
    <col min="6829" max="6829" width="4.5703125" style="1" customWidth="1"/>
    <col min="6830" max="6830" width="5.85546875" style="1" customWidth="1"/>
    <col min="6831" max="6831" width="36" style="1" customWidth="1"/>
    <col min="6832" max="6832" width="9.7109375" style="1" customWidth="1"/>
    <col min="6833" max="6833" width="11.85546875" style="1" customWidth="1"/>
    <col min="6834" max="6834" width="9" style="1" customWidth="1"/>
    <col min="6835" max="6835" width="9.7109375" style="1" customWidth="1"/>
    <col min="6836" max="6836" width="9.28515625" style="1" customWidth="1"/>
    <col min="6837" max="6837" width="8.7109375" style="1" customWidth="1"/>
    <col min="6838" max="6838" width="6.85546875" style="1" customWidth="1"/>
    <col min="6839" max="7083" width="9.140625" style="1" customWidth="1"/>
    <col min="7084" max="7084" width="3.7109375" style="1"/>
    <col min="7085" max="7085" width="4.5703125" style="1" customWidth="1"/>
    <col min="7086" max="7086" width="5.85546875" style="1" customWidth="1"/>
    <col min="7087" max="7087" width="36" style="1" customWidth="1"/>
    <col min="7088" max="7088" width="9.7109375" style="1" customWidth="1"/>
    <col min="7089" max="7089" width="11.85546875" style="1" customWidth="1"/>
    <col min="7090" max="7090" width="9" style="1" customWidth="1"/>
    <col min="7091" max="7091" width="9.7109375" style="1" customWidth="1"/>
    <col min="7092" max="7092" width="9.28515625" style="1" customWidth="1"/>
    <col min="7093" max="7093" width="8.7109375" style="1" customWidth="1"/>
    <col min="7094" max="7094" width="6.85546875" style="1" customWidth="1"/>
    <col min="7095" max="7339" width="9.140625" style="1" customWidth="1"/>
    <col min="7340" max="7340" width="3.7109375" style="1"/>
    <col min="7341" max="7341" width="4.5703125" style="1" customWidth="1"/>
    <col min="7342" max="7342" width="5.85546875" style="1" customWidth="1"/>
    <col min="7343" max="7343" width="36" style="1" customWidth="1"/>
    <col min="7344" max="7344" width="9.7109375" style="1" customWidth="1"/>
    <col min="7345" max="7345" width="11.85546875" style="1" customWidth="1"/>
    <col min="7346" max="7346" width="9" style="1" customWidth="1"/>
    <col min="7347" max="7347" width="9.7109375" style="1" customWidth="1"/>
    <col min="7348" max="7348" width="9.28515625" style="1" customWidth="1"/>
    <col min="7349" max="7349" width="8.7109375" style="1" customWidth="1"/>
    <col min="7350" max="7350" width="6.85546875" style="1" customWidth="1"/>
    <col min="7351" max="7595" width="9.140625" style="1" customWidth="1"/>
    <col min="7596" max="7596" width="3.7109375" style="1"/>
    <col min="7597" max="7597" width="4.5703125" style="1" customWidth="1"/>
    <col min="7598" max="7598" width="5.85546875" style="1" customWidth="1"/>
    <col min="7599" max="7599" width="36" style="1" customWidth="1"/>
    <col min="7600" max="7600" width="9.7109375" style="1" customWidth="1"/>
    <col min="7601" max="7601" width="11.85546875" style="1" customWidth="1"/>
    <col min="7602" max="7602" width="9" style="1" customWidth="1"/>
    <col min="7603" max="7603" width="9.7109375" style="1" customWidth="1"/>
    <col min="7604" max="7604" width="9.28515625" style="1" customWidth="1"/>
    <col min="7605" max="7605" width="8.7109375" style="1" customWidth="1"/>
    <col min="7606" max="7606" width="6.85546875" style="1" customWidth="1"/>
    <col min="7607" max="7851" width="9.140625" style="1" customWidth="1"/>
    <col min="7852" max="7852" width="3.7109375" style="1"/>
    <col min="7853" max="7853" width="4.5703125" style="1" customWidth="1"/>
    <col min="7854" max="7854" width="5.85546875" style="1" customWidth="1"/>
    <col min="7855" max="7855" width="36" style="1" customWidth="1"/>
    <col min="7856" max="7856" width="9.7109375" style="1" customWidth="1"/>
    <col min="7857" max="7857" width="11.85546875" style="1" customWidth="1"/>
    <col min="7858" max="7858" width="9" style="1" customWidth="1"/>
    <col min="7859" max="7859" width="9.7109375" style="1" customWidth="1"/>
    <col min="7860" max="7860" width="9.28515625" style="1" customWidth="1"/>
    <col min="7861" max="7861" width="8.7109375" style="1" customWidth="1"/>
    <col min="7862" max="7862" width="6.85546875" style="1" customWidth="1"/>
    <col min="7863" max="8107" width="9.140625" style="1" customWidth="1"/>
    <col min="8108" max="8108" width="3.7109375" style="1"/>
    <col min="8109" max="8109" width="4.5703125" style="1" customWidth="1"/>
    <col min="8110" max="8110" width="5.85546875" style="1" customWidth="1"/>
    <col min="8111" max="8111" width="36" style="1" customWidth="1"/>
    <col min="8112" max="8112" width="9.7109375" style="1" customWidth="1"/>
    <col min="8113" max="8113" width="11.85546875" style="1" customWidth="1"/>
    <col min="8114" max="8114" width="9" style="1" customWidth="1"/>
    <col min="8115" max="8115" width="9.7109375" style="1" customWidth="1"/>
    <col min="8116" max="8116" width="9.28515625" style="1" customWidth="1"/>
    <col min="8117" max="8117" width="8.7109375" style="1" customWidth="1"/>
    <col min="8118" max="8118" width="6.85546875" style="1" customWidth="1"/>
    <col min="8119" max="8363" width="9.140625" style="1" customWidth="1"/>
    <col min="8364" max="8364" width="3.7109375" style="1"/>
    <col min="8365" max="8365" width="4.5703125" style="1" customWidth="1"/>
    <col min="8366" max="8366" width="5.85546875" style="1" customWidth="1"/>
    <col min="8367" max="8367" width="36" style="1" customWidth="1"/>
    <col min="8368" max="8368" width="9.7109375" style="1" customWidth="1"/>
    <col min="8369" max="8369" width="11.85546875" style="1" customWidth="1"/>
    <col min="8370" max="8370" width="9" style="1" customWidth="1"/>
    <col min="8371" max="8371" width="9.7109375" style="1" customWidth="1"/>
    <col min="8372" max="8372" width="9.28515625" style="1" customWidth="1"/>
    <col min="8373" max="8373" width="8.7109375" style="1" customWidth="1"/>
    <col min="8374" max="8374" width="6.85546875" style="1" customWidth="1"/>
    <col min="8375" max="8619" width="9.140625" style="1" customWidth="1"/>
    <col min="8620" max="8620" width="3.7109375" style="1"/>
    <col min="8621" max="8621" width="4.5703125" style="1" customWidth="1"/>
    <col min="8622" max="8622" width="5.85546875" style="1" customWidth="1"/>
    <col min="8623" max="8623" width="36" style="1" customWidth="1"/>
    <col min="8624" max="8624" width="9.7109375" style="1" customWidth="1"/>
    <col min="8625" max="8625" width="11.85546875" style="1" customWidth="1"/>
    <col min="8626" max="8626" width="9" style="1" customWidth="1"/>
    <col min="8627" max="8627" width="9.7109375" style="1" customWidth="1"/>
    <col min="8628" max="8628" width="9.28515625" style="1" customWidth="1"/>
    <col min="8629" max="8629" width="8.7109375" style="1" customWidth="1"/>
    <col min="8630" max="8630" width="6.85546875" style="1" customWidth="1"/>
    <col min="8631" max="8875" width="9.140625" style="1" customWidth="1"/>
    <col min="8876" max="8876" width="3.7109375" style="1"/>
    <col min="8877" max="8877" width="4.5703125" style="1" customWidth="1"/>
    <col min="8878" max="8878" width="5.85546875" style="1" customWidth="1"/>
    <col min="8879" max="8879" width="36" style="1" customWidth="1"/>
    <col min="8880" max="8880" width="9.7109375" style="1" customWidth="1"/>
    <col min="8881" max="8881" width="11.85546875" style="1" customWidth="1"/>
    <col min="8882" max="8882" width="9" style="1" customWidth="1"/>
    <col min="8883" max="8883" width="9.7109375" style="1" customWidth="1"/>
    <col min="8884" max="8884" width="9.28515625" style="1" customWidth="1"/>
    <col min="8885" max="8885" width="8.7109375" style="1" customWidth="1"/>
    <col min="8886" max="8886" width="6.85546875" style="1" customWidth="1"/>
    <col min="8887" max="9131" width="9.140625" style="1" customWidth="1"/>
    <col min="9132" max="9132" width="3.7109375" style="1"/>
    <col min="9133" max="9133" width="4.5703125" style="1" customWidth="1"/>
    <col min="9134" max="9134" width="5.85546875" style="1" customWidth="1"/>
    <col min="9135" max="9135" width="36" style="1" customWidth="1"/>
    <col min="9136" max="9136" width="9.7109375" style="1" customWidth="1"/>
    <col min="9137" max="9137" width="11.85546875" style="1" customWidth="1"/>
    <col min="9138" max="9138" width="9" style="1" customWidth="1"/>
    <col min="9139" max="9139" width="9.7109375" style="1" customWidth="1"/>
    <col min="9140" max="9140" width="9.28515625" style="1" customWidth="1"/>
    <col min="9141" max="9141" width="8.7109375" style="1" customWidth="1"/>
    <col min="9142" max="9142" width="6.85546875" style="1" customWidth="1"/>
    <col min="9143" max="9387" width="9.140625" style="1" customWidth="1"/>
    <col min="9388" max="9388" width="3.7109375" style="1"/>
    <col min="9389" max="9389" width="4.5703125" style="1" customWidth="1"/>
    <col min="9390" max="9390" width="5.85546875" style="1" customWidth="1"/>
    <col min="9391" max="9391" width="36" style="1" customWidth="1"/>
    <col min="9392" max="9392" width="9.7109375" style="1" customWidth="1"/>
    <col min="9393" max="9393" width="11.85546875" style="1" customWidth="1"/>
    <col min="9394" max="9394" width="9" style="1" customWidth="1"/>
    <col min="9395" max="9395" width="9.7109375" style="1" customWidth="1"/>
    <col min="9396" max="9396" width="9.28515625" style="1" customWidth="1"/>
    <col min="9397" max="9397" width="8.7109375" style="1" customWidth="1"/>
    <col min="9398" max="9398" width="6.85546875" style="1" customWidth="1"/>
    <col min="9399" max="9643" width="9.140625" style="1" customWidth="1"/>
    <col min="9644" max="9644" width="3.7109375" style="1"/>
    <col min="9645" max="9645" width="4.5703125" style="1" customWidth="1"/>
    <col min="9646" max="9646" width="5.85546875" style="1" customWidth="1"/>
    <col min="9647" max="9647" width="36" style="1" customWidth="1"/>
    <col min="9648" max="9648" width="9.7109375" style="1" customWidth="1"/>
    <col min="9649" max="9649" width="11.85546875" style="1" customWidth="1"/>
    <col min="9650" max="9650" width="9" style="1" customWidth="1"/>
    <col min="9651" max="9651" width="9.7109375" style="1" customWidth="1"/>
    <col min="9652" max="9652" width="9.28515625" style="1" customWidth="1"/>
    <col min="9653" max="9653" width="8.7109375" style="1" customWidth="1"/>
    <col min="9654" max="9654" width="6.85546875" style="1" customWidth="1"/>
    <col min="9655" max="9899" width="9.140625" style="1" customWidth="1"/>
    <col min="9900" max="9900" width="3.7109375" style="1"/>
    <col min="9901" max="9901" width="4.5703125" style="1" customWidth="1"/>
    <col min="9902" max="9902" width="5.85546875" style="1" customWidth="1"/>
    <col min="9903" max="9903" width="36" style="1" customWidth="1"/>
    <col min="9904" max="9904" width="9.7109375" style="1" customWidth="1"/>
    <col min="9905" max="9905" width="11.85546875" style="1" customWidth="1"/>
    <col min="9906" max="9906" width="9" style="1" customWidth="1"/>
    <col min="9907" max="9907" width="9.7109375" style="1" customWidth="1"/>
    <col min="9908" max="9908" width="9.28515625" style="1" customWidth="1"/>
    <col min="9909" max="9909" width="8.7109375" style="1" customWidth="1"/>
    <col min="9910" max="9910" width="6.85546875" style="1" customWidth="1"/>
    <col min="9911" max="10155" width="9.140625" style="1" customWidth="1"/>
    <col min="10156" max="10156" width="3.7109375" style="1"/>
    <col min="10157" max="10157" width="4.5703125" style="1" customWidth="1"/>
    <col min="10158" max="10158" width="5.85546875" style="1" customWidth="1"/>
    <col min="10159" max="10159" width="36" style="1" customWidth="1"/>
    <col min="10160" max="10160" width="9.7109375" style="1" customWidth="1"/>
    <col min="10161" max="10161" width="11.85546875" style="1" customWidth="1"/>
    <col min="10162" max="10162" width="9" style="1" customWidth="1"/>
    <col min="10163" max="10163" width="9.7109375" style="1" customWidth="1"/>
    <col min="10164" max="10164" width="9.28515625" style="1" customWidth="1"/>
    <col min="10165" max="10165" width="8.7109375" style="1" customWidth="1"/>
    <col min="10166" max="10166" width="6.85546875" style="1" customWidth="1"/>
    <col min="10167" max="10411" width="9.140625" style="1" customWidth="1"/>
    <col min="10412" max="10412" width="3.7109375" style="1"/>
    <col min="10413" max="10413" width="4.5703125" style="1" customWidth="1"/>
    <col min="10414" max="10414" width="5.85546875" style="1" customWidth="1"/>
    <col min="10415" max="10415" width="36" style="1" customWidth="1"/>
    <col min="10416" max="10416" width="9.7109375" style="1" customWidth="1"/>
    <col min="10417" max="10417" width="11.85546875" style="1" customWidth="1"/>
    <col min="10418" max="10418" width="9" style="1" customWidth="1"/>
    <col min="10419" max="10419" width="9.7109375" style="1" customWidth="1"/>
    <col min="10420" max="10420" width="9.28515625" style="1" customWidth="1"/>
    <col min="10421" max="10421" width="8.7109375" style="1" customWidth="1"/>
    <col min="10422" max="10422" width="6.85546875" style="1" customWidth="1"/>
    <col min="10423" max="10667" width="9.140625" style="1" customWidth="1"/>
    <col min="10668" max="10668" width="3.7109375" style="1"/>
    <col min="10669" max="10669" width="4.5703125" style="1" customWidth="1"/>
    <col min="10670" max="10670" width="5.85546875" style="1" customWidth="1"/>
    <col min="10671" max="10671" width="36" style="1" customWidth="1"/>
    <col min="10672" max="10672" width="9.7109375" style="1" customWidth="1"/>
    <col min="10673" max="10673" width="11.85546875" style="1" customWidth="1"/>
    <col min="10674" max="10674" width="9" style="1" customWidth="1"/>
    <col min="10675" max="10675" width="9.7109375" style="1" customWidth="1"/>
    <col min="10676" max="10676" width="9.28515625" style="1" customWidth="1"/>
    <col min="10677" max="10677" width="8.7109375" style="1" customWidth="1"/>
    <col min="10678" max="10678" width="6.85546875" style="1" customWidth="1"/>
    <col min="10679" max="10923" width="9.140625" style="1" customWidth="1"/>
    <col min="10924" max="10924" width="3.7109375" style="1"/>
    <col min="10925" max="10925" width="4.5703125" style="1" customWidth="1"/>
    <col min="10926" max="10926" width="5.85546875" style="1" customWidth="1"/>
    <col min="10927" max="10927" width="36" style="1" customWidth="1"/>
    <col min="10928" max="10928" width="9.7109375" style="1" customWidth="1"/>
    <col min="10929" max="10929" width="11.85546875" style="1" customWidth="1"/>
    <col min="10930" max="10930" width="9" style="1" customWidth="1"/>
    <col min="10931" max="10931" width="9.7109375" style="1" customWidth="1"/>
    <col min="10932" max="10932" width="9.28515625" style="1" customWidth="1"/>
    <col min="10933" max="10933" width="8.7109375" style="1" customWidth="1"/>
    <col min="10934" max="10934" width="6.85546875" style="1" customWidth="1"/>
    <col min="10935" max="11179" width="9.140625" style="1" customWidth="1"/>
    <col min="11180" max="11180" width="3.7109375" style="1"/>
    <col min="11181" max="11181" width="4.5703125" style="1" customWidth="1"/>
    <col min="11182" max="11182" width="5.85546875" style="1" customWidth="1"/>
    <col min="11183" max="11183" width="36" style="1" customWidth="1"/>
    <col min="11184" max="11184" width="9.7109375" style="1" customWidth="1"/>
    <col min="11185" max="11185" width="11.85546875" style="1" customWidth="1"/>
    <col min="11186" max="11186" width="9" style="1" customWidth="1"/>
    <col min="11187" max="11187" width="9.7109375" style="1" customWidth="1"/>
    <col min="11188" max="11188" width="9.28515625" style="1" customWidth="1"/>
    <col min="11189" max="11189" width="8.7109375" style="1" customWidth="1"/>
    <col min="11190" max="11190" width="6.85546875" style="1" customWidth="1"/>
    <col min="11191" max="11435" width="9.140625" style="1" customWidth="1"/>
    <col min="11436" max="11436" width="3.7109375" style="1"/>
    <col min="11437" max="11437" width="4.5703125" style="1" customWidth="1"/>
    <col min="11438" max="11438" width="5.85546875" style="1" customWidth="1"/>
    <col min="11439" max="11439" width="36" style="1" customWidth="1"/>
    <col min="11440" max="11440" width="9.7109375" style="1" customWidth="1"/>
    <col min="11441" max="11441" width="11.85546875" style="1" customWidth="1"/>
    <col min="11442" max="11442" width="9" style="1" customWidth="1"/>
    <col min="11443" max="11443" width="9.7109375" style="1" customWidth="1"/>
    <col min="11444" max="11444" width="9.28515625" style="1" customWidth="1"/>
    <col min="11445" max="11445" width="8.7109375" style="1" customWidth="1"/>
    <col min="11446" max="11446" width="6.85546875" style="1" customWidth="1"/>
    <col min="11447" max="11691" width="9.140625" style="1" customWidth="1"/>
    <col min="11692" max="11692" width="3.7109375" style="1"/>
    <col min="11693" max="11693" width="4.5703125" style="1" customWidth="1"/>
    <col min="11694" max="11694" width="5.85546875" style="1" customWidth="1"/>
    <col min="11695" max="11695" width="36" style="1" customWidth="1"/>
    <col min="11696" max="11696" width="9.7109375" style="1" customWidth="1"/>
    <col min="11697" max="11697" width="11.85546875" style="1" customWidth="1"/>
    <col min="11698" max="11698" width="9" style="1" customWidth="1"/>
    <col min="11699" max="11699" width="9.7109375" style="1" customWidth="1"/>
    <col min="11700" max="11700" width="9.28515625" style="1" customWidth="1"/>
    <col min="11701" max="11701" width="8.7109375" style="1" customWidth="1"/>
    <col min="11702" max="11702" width="6.85546875" style="1" customWidth="1"/>
    <col min="11703" max="11947" width="9.140625" style="1" customWidth="1"/>
    <col min="11948" max="11948" width="3.7109375" style="1"/>
    <col min="11949" max="11949" width="4.5703125" style="1" customWidth="1"/>
    <col min="11950" max="11950" width="5.85546875" style="1" customWidth="1"/>
    <col min="11951" max="11951" width="36" style="1" customWidth="1"/>
    <col min="11952" max="11952" width="9.7109375" style="1" customWidth="1"/>
    <col min="11953" max="11953" width="11.85546875" style="1" customWidth="1"/>
    <col min="11954" max="11954" width="9" style="1" customWidth="1"/>
    <col min="11955" max="11955" width="9.7109375" style="1" customWidth="1"/>
    <col min="11956" max="11956" width="9.28515625" style="1" customWidth="1"/>
    <col min="11957" max="11957" width="8.7109375" style="1" customWidth="1"/>
    <col min="11958" max="11958" width="6.85546875" style="1" customWidth="1"/>
    <col min="11959" max="12203" width="9.140625" style="1" customWidth="1"/>
    <col min="12204" max="12204" width="3.7109375" style="1"/>
    <col min="12205" max="12205" width="4.5703125" style="1" customWidth="1"/>
    <col min="12206" max="12206" width="5.85546875" style="1" customWidth="1"/>
    <col min="12207" max="12207" width="36" style="1" customWidth="1"/>
    <col min="12208" max="12208" width="9.7109375" style="1" customWidth="1"/>
    <col min="12209" max="12209" width="11.85546875" style="1" customWidth="1"/>
    <col min="12210" max="12210" width="9" style="1" customWidth="1"/>
    <col min="12211" max="12211" width="9.7109375" style="1" customWidth="1"/>
    <col min="12212" max="12212" width="9.28515625" style="1" customWidth="1"/>
    <col min="12213" max="12213" width="8.7109375" style="1" customWidth="1"/>
    <col min="12214" max="12214" width="6.85546875" style="1" customWidth="1"/>
    <col min="12215" max="12459" width="9.140625" style="1" customWidth="1"/>
    <col min="12460" max="12460" width="3.7109375" style="1"/>
    <col min="12461" max="12461" width="4.5703125" style="1" customWidth="1"/>
    <col min="12462" max="12462" width="5.85546875" style="1" customWidth="1"/>
    <col min="12463" max="12463" width="36" style="1" customWidth="1"/>
    <col min="12464" max="12464" width="9.7109375" style="1" customWidth="1"/>
    <col min="12465" max="12465" width="11.85546875" style="1" customWidth="1"/>
    <col min="12466" max="12466" width="9" style="1" customWidth="1"/>
    <col min="12467" max="12467" width="9.7109375" style="1" customWidth="1"/>
    <col min="12468" max="12468" width="9.28515625" style="1" customWidth="1"/>
    <col min="12469" max="12469" width="8.7109375" style="1" customWidth="1"/>
    <col min="12470" max="12470" width="6.85546875" style="1" customWidth="1"/>
    <col min="12471" max="12715" width="9.140625" style="1" customWidth="1"/>
    <col min="12716" max="12716" width="3.7109375" style="1"/>
    <col min="12717" max="12717" width="4.5703125" style="1" customWidth="1"/>
    <col min="12718" max="12718" width="5.85546875" style="1" customWidth="1"/>
    <col min="12719" max="12719" width="36" style="1" customWidth="1"/>
    <col min="12720" max="12720" width="9.7109375" style="1" customWidth="1"/>
    <col min="12721" max="12721" width="11.85546875" style="1" customWidth="1"/>
    <col min="12722" max="12722" width="9" style="1" customWidth="1"/>
    <col min="12723" max="12723" width="9.7109375" style="1" customWidth="1"/>
    <col min="12724" max="12724" width="9.28515625" style="1" customWidth="1"/>
    <col min="12725" max="12725" width="8.7109375" style="1" customWidth="1"/>
    <col min="12726" max="12726" width="6.85546875" style="1" customWidth="1"/>
    <col min="12727" max="12971" width="9.140625" style="1" customWidth="1"/>
    <col min="12972" max="12972" width="3.7109375" style="1"/>
    <col min="12973" max="12973" width="4.5703125" style="1" customWidth="1"/>
    <col min="12974" max="12974" width="5.85546875" style="1" customWidth="1"/>
    <col min="12975" max="12975" width="36" style="1" customWidth="1"/>
    <col min="12976" max="12976" width="9.7109375" style="1" customWidth="1"/>
    <col min="12977" max="12977" width="11.85546875" style="1" customWidth="1"/>
    <col min="12978" max="12978" width="9" style="1" customWidth="1"/>
    <col min="12979" max="12979" width="9.7109375" style="1" customWidth="1"/>
    <col min="12980" max="12980" width="9.28515625" style="1" customWidth="1"/>
    <col min="12981" max="12981" width="8.7109375" style="1" customWidth="1"/>
    <col min="12982" max="12982" width="6.85546875" style="1" customWidth="1"/>
    <col min="12983" max="13227" width="9.140625" style="1" customWidth="1"/>
    <col min="13228" max="13228" width="3.7109375" style="1"/>
    <col min="13229" max="13229" width="4.5703125" style="1" customWidth="1"/>
    <col min="13230" max="13230" width="5.85546875" style="1" customWidth="1"/>
    <col min="13231" max="13231" width="36" style="1" customWidth="1"/>
    <col min="13232" max="13232" width="9.7109375" style="1" customWidth="1"/>
    <col min="13233" max="13233" width="11.85546875" style="1" customWidth="1"/>
    <col min="13234" max="13234" width="9" style="1" customWidth="1"/>
    <col min="13235" max="13235" width="9.7109375" style="1" customWidth="1"/>
    <col min="13236" max="13236" width="9.28515625" style="1" customWidth="1"/>
    <col min="13237" max="13237" width="8.7109375" style="1" customWidth="1"/>
    <col min="13238" max="13238" width="6.85546875" style="1" customWidth="1"/>
    <col min="13239" max="13483" width="9.140625" style="1" customWidth="1"/>
    <col min="13484" max="13484" width="3.7109375" style="1"/>
    <col min="13485" max="13485" width="4.5703125" style="1" customWidth="1"/>
    <col min="13486" max="13486" width="5.85546875" style="1" customWidth="1"/>
    <col min="13487" max="13487" width="36" style="1" customWidth="1"/>
    <col min="13488" max="13488" width="9.7109375" style="1" customWidth="1"/>
    <col min="13489" max="13489" width="11.85546875" style="1" customWidth="1"/>
    <col min="13490" max="13490" width="9" style="1" customWidth="1"/>
    <col min="13491" max="13491" width="9.7109375" style="1" customWidth="1"/>
    <col min="13492" max="13492" width="9.28515625" style="1" customWidth="1"/>
    <col min="13493" max="13493" width="8.7109375" style="1" customWidth="1"/>
    <col min="13494" max="13494" width="6.85546875" style="1" customWidth="1"/>
    <col min="13495" max="13739" width="9.140625" style="1" customWidth="1"/>
    <col min="13740" max="13740" width="3.7109375" style="1"/>
    <col min="13741" max="13741" width="4.5703125" style="1" customWidth="1"/>
    <col min="13742" max="13742" width="5.85546875" style="1" customWidth="1"/>
    <col min="13743" max="13743" width="36" style="1" customWidth="1"/>
    <col min="13744" max="13744" width="9.7109375" style="1" customWidth="1"/>
    <col min="13745" max="13745" width="11.85546875" style="1" customWidth="1"/>
    <col min="13746" max="13746" width="9" style="1" customWidth="1"/>
    <col min="13747" max="13747" width="9.7109375" style="1" customWidth="1"/>
    <col min="13748" max="13748" width="9.28515625" style="1" customWidth="1"/>
    <col min="13749" max="13749" width="8.7109375" style="1" customWidth="1"/>
    <col min="13750" max="13750" width="6.85546875" style="1" customWidth="1"/>
    <col min="13751" max="13995" width="9.140625" style="1" customWidth="1"/>
    <col min="13996" max="13996" width="3.7109375" style="1"/>
    <col min="13997" max="13997" width="4.5703125" style="1" customWidth="1"/>
    <col min="13998" max="13998" width="5.85546875" style="1" customWidth="1"/>
    <col min="13999" max="13999" width="36" style="1" customWidth="1"/>
    <col min="14000" max="14000" width="9.7109375" style="1" customWidth="1"/>
    <col min="14001" max="14001" width="11.85546875" style="1" customWidth="1"/>
    <col min="14002" max="14002" width="9" style="1" customWidth="1"/>
    <col min="14003" max="14003" width="9.7109375" style="1" customWidth="1"/>
    <col min="14004" max="14004" width="9.28515625" style="1" customWidth="1"/>
    <col min="14005" max="14005" width="8.7109375" style="1" customWidth="1"/>
    <col min="14006" max="14006" width="6.85546875" style="1" customWidth="1"/>
    <col min="14007" max="14251" width="9.140625" style="1" customWidth="1"/>
    <col min="14252" max="14252" width="3.7109375" style="1"/>
    <col min="14253" max="14253" width="4.5703125" style="1" customWidth="1"/>
    <col min="14254" max="14254" width="5.85546875" style="1" customWidth="1"/>
    <col min="14255" max="14255" width="36" style="1" customWidth="1"/>
    <col min="14256" max="14256" width="9.7109375" style="1" customWidth="1"/>
    <col min="14257" max="14257" width="11.85546875" style="1" customWidth="1"/>
    <col min="14258" max="14258" width="9" style="1" customWidth="1"/>
    <col min="14259" max="14259" width="9.7109375" style="1" customWidth="1"/>
    <col min="14260" max="14260" width="9.28515625" style="1" customWidth="1"/>
    <col min="14261" max="14261" width="8.7109375" style="1" customWidth="1"/>
    <col min="14262" max="14262" width="6.85546875" style="1" customWidth="1"/>
    <col min="14263" max="14507" width="9.140625" style="1" customWidth="1"/>
    <col min="14508" max="14508" width="3.7109375" style="1"/>
    <col min="14509" max="14509" width="4.5703125" style="1" customWidth="1"/>
    <col min="14510" max="14510" width="5.85546875" style="1" customWidth="1"/>
    <col min="14511" max="14511" width="36" style="1" customWidth="1"/>
    <col min="14512" max="14512" width="9.7109375" style="1" customWidth="1"/>
    <col min="14513" max="14513" width="11.85546875" style="1" customWidth="1"/>
    <col min="14514" max="14514" width="9" style="1" customWidth="1"/>
    <col min="14515" max="14515" width="9.7109375" style="1" customWidth="1"/>
    <col min="14516" max="14516" width="9.28515625" style="1" customWidth="1"/>
    <col min="14517" max="14517" width="8.7109375" style="1" customWidth="1"/>
    <col min="14518" max="14518" width="6.85546875" style="1" customWidth="1"/>
    <col min="14519" max="14763" width="9.140625" style="1" customWidth="1"/>
    <col min="14764" max="14764" width="3.7109375" style="1"/>
    <col min="14765" max="14765" width="4.5703125" style="1" customWidth="1"/>
    <col min="14766" max="14766" width="5.85546875" style="1" customWidth="1"/>
    <col min="14767" max="14767" width="36" style="1" customWidth="1"/>
    <col min="14768" max="14768" width="9.7109375" style="1" customWidth="1"/>
    <col min="14769" max="14769" width="11.85546875" style="1" customWidth="1"/>
    <col min="14770" max="14770" width="9" style="1" customWidth="1"/>
    <col min="14771" max="14771" width="9.7109375" style="1" customWidth="1"/>
    <col min="14772" max="14772" width="9.28515625" style="1" customWidth="1"/>
    <col min="14773" max="14773" width="8.7109375" style="1" customWidth="1"/>
    <col min="14774" max="14774" width="6.85546875" style="1" customWidth="1"/>
    <col min="14775" max="15019" width="9.140625" style="1" customWidth="1"/>
    <col min="15020" max="15020" width="3.7109375" style="1"/>
    <col min="15021" max="15021" width="4.5703125" style="1" customWidth="1"/>
    <col min="15022" max="15022" width="5.85546875" style="1" customWidth="1"/>
    <col min="15023" max="15023" width="36" style="1" customWidth="1"/>
    <col min="15024" max="15024" width="9.7109375" style="1" customWidth="1"/>
    <col min="15025" max="15025" width="11.85546875" style="1" customWidth="1"/>
    <col min="15026" max="15026" width="9" style="1" customWidth="1"/>
    <col min="15027" max="15027" width="9.7109375" style="1" customWidth="1"/>
    <col min="15028" max="15028" width="9.28515625" style="1" customWidth="1"/>
    <col min="15029" max="15029" width="8.7109375" style="1" customWidth="1"/>
    <col min="15030" max="15030" width="6.85546875" style="1" customWidth="1"/>
    <col min="15031" max="15275" width="9.140625" style="1" customWidth="1"/>
    <col min="15276" max="15276" width="3.7109375" style="1"/>
    <col min="15277" max="15277" width="4.5703125" style="1" customWidth="1"/>
    <col min="15278" max="15278" width="5.85546875" style="1" customWidth="1"/>
    <col min="15279" max="15279" width="36" style="1" customWidth="1"/>
    <col min="15280" max="15280" width="9.7109375" style="1" customWidth="1"/>
    <col min="15281" max="15281" width="11.85546875" style="1" customWidth="1"/>
    <col min="15282" max="15282" width="9" style="1" customWidth="1"/>
    <col min="15283" max="15283" width="9.7109375" style="1" customWidth="1"/>
    <col min="15284" max="15284" width="9.28515625" style="1" customWidth="1"/>
    <col min="15285" max="15285" width="8.7109375" style="1" customWidth="1"/>
    <col min="15286" max="15286" width="6.85546875" style="1" customWidth="1"/>
    <col min="15287" max="15531" width="9.140625" style="1" customWidth="1"/>
    <col min="15532" max="15532" width="3.7109375" style="1"/>
    <col min="15533" max="15533" width="4.5703125" style="1" customWidth="1"/>
    <col min="15534" max="15534" width="5.85546875" style="1" customWidth="1"/>
    <col min="15535" max="15535" width="36" style="1" customWidth="1"/>
    <col min="15536" max="15536" width="9.7109375" style="1" customWidth="1"/>
    <col min="15537" max="15537" width="11.85546875" style="1" customWidth="1"/>
    <col min="15538" max="15538" width="9" style="1" customWidth="1"/>
    <col min="15539" max="15539" width="9.7109375" style="1" customWidth="1"/>
    <col min="15540" max="15540" width="9.28515625" style="1" customWidth="1"/>
    <col min="15541" max="15541" width="8.7109375" style="1" customWidth="1"/>
    <col min="15542" max="15542" width="6.85546875" style="1" customWidth="1"/>
    <col min="15543" max="15787" width="9.140625" style="1" customWidth="1"/>
    <col min="15788" max="15788" width="3.7109375" style="1"/>
    <col min="15789" max="15789" width="4.5703125" style="1" customWidth="1"/>
    <col min="15790" max="15790" width="5.85546875" style="1" customWidth="1"/>
    <col min="15791" max="15791" width="36" style="1" customWidth="1"/>
    <col min="15792" max="15792" width="9.7109375" style="1" customWidth="1"/>
    <col min="15793" max="15793" width="11.85546875" style="1" customWidth="1"/>
    <col min="15794" max="15794" width="9" style="1" customWidth="1"/>
    <col min="15795" max="15795" width="9.7109375" style="1" customWidth="1"/>
    <col min="15796" max="15796" width="9.28515625" style="1" customWidth="1"/>
    <col min="15797" max="15797" width="8.7109375" style="1" customWidth="1"/>
    <col min="15798" max="15798" width="6.85546875" style="1" customWidth="1"/>
    <col min="15799" max="16043" width="9.140625" style="1" customWidth="1"/>
    <col min="16044" max="16044" width="3.7109375" style="1"/>
    <col min="16045" max="16045" width="4.5703125" style="1" customWidth="1"/>
    <col min="16046" max="16046" width="5.85546875" style="1" customWidth="1"/>
    <col min="16047" max="16047" width="36" style="1" customWidth="1"/>
    <col min="16048" max="16048" width="9.7109375" style="1" customWidth="1"/>
    <col min="16049" max="16049" width="11.85546875" style="1" customWidth="1"/>
    <col min="16050" max="16050" width="9" style="1" customWidth="1"/>
    <col min="16051" max="16051" width="9.7109375" style="1" customWidth="1"/>
    <col min="16052" max="16052" width="9.28515625" style="1" customWidth="1"/>
    <col min="16053" max="16053" width="8.7109375" style="1" customWidth="1"/>
    <col min="16054" max="16054" width="6.85546875" style="1" customWidth="1"/>
    <col min="16055" max="16299" width="9.140625" style="1" customWidth="1"/>
    <col min="16300" max="16384" width="3.7109375" style="1"/>
  </cols>
  <sheetData>
    <row r="1" spans="1:9" x14ac:dyDescent="0.2">
      <c r="C1" s="97"/>
      <c r="G1" s="365"/>
      <c r="H1" s="365"/>
      <c r="I1" s="365"/>
    </row>
    <row r="2" spans="1:9" x14ac:dyDescent="0.2">
      <c r="A2" s="371" t="s">
        <v>16</v>
      </c>
      <c r="B2" s="371"/>
      <c r="C2" s="371"/>
      <c r="D2" s="371"/>
      <c r="E2" s="371"/>
      <c r="F2" s="371"/>
      <c r="G2" s="371"/>
      <c r="H2" s="371"/>
      <c r="I2" s="371"/>
    </row>
    <row r="3" spans="1:9" x14ac:dyDescent="0.2">
      <c r="A3" s="98"/>
      <c r="B3" s="98"/>
      <c r="C3" s="98"/>
      <c r="D3" s="98"/>
      <c r="E3" s="98"/>
      <c r="F3" s="98"/>
      <c r="G3" s="98"/>
      <c r="H3" s="98"/>
      <c r="I3" s="98"/>
    </row>
    <row r="4" spans="1:9" x14ac:dyDescent="0.2">
      <c r="A4" s="98"/>
      <c r="B4" s="98"/>
      <c r="C4" s="372" t="s">
        <v>17</v>
      </c>
      <c r="D4" s="372"/>
      <c r="E4" s="372"/>
      <c r="F4" s="372"/>
      <c r="G4" s="372"/>
      <c r="H4" s="372"/>
      <c r="I4" s="372"/>
    </row>
    <row r="5" spans="1:9" ht="11.25" customHeight="1" x14ac:dyDescent="0.2">
      <c r="A5" s="67"/>
      <c r="B5" s="67"/>
      <c r="C5" s="374" t="s">
        <v>52</v>
      </c>
      <c r="D5" s="374"/>
      <c r="E5" s="374"/>
      <c r="F5" s="374"/>
      <c r="G5" s="374"/>
      <c r="H5" s="374"/>
      <c r="I5" s="374"/>
    </row>
    <row r="6" spans="1:9" x14ac:dyDescent="0.2">
      <c r="A6" s="369" t="s">
        <v>18</v>
      </c>
      <c r="B6" s="369"/>
      <c r="C6" s="369"/>
      <c r="D6" s="373" t="str">
        <f>'Kopt a'!B13</f>
        <v>Dzīvojamās ēkas vienkāršotā atjaunošana</v>
      </c>
      <c r="E6" s="373"/>
      <c r="F6" s="373"/>
      <c r="G6" s="373"/>
      <c r="H6" s="373"/>
      <c r="I6" s="373"/>
    </row>
    <row r="7" spans="1:9" x14ac:dyDescent="0.2">
      <c r="A7" s="369" t="s">
        <v>6</v>
      </c>
      <c r="B7" s="369"/>
      <c r="C7" s="369"/>
      <c r="D7" s="370" t="str">
        <f>'Kopt a'!B14</f>
        <v>Daudzdzīvokļu dzīvojamās mājas energoefektivitātes paaugstināšanas pasākumi</v>
      </c>
      <c r="E7" s="370"/>
      <c r="F7" s="370"/>
      <c r="G7" s="370"/>
      <c r="H7" s="370"/>
      <c r="I7" s="370"/>
    </row>
    <row r="8" spans="1:9" x14ac:dyDescent="0.2">
      <c r="A8" s="379" t="s">
        <v>19</v>
      </c>
      <c r="B8" s="379"/>
      <c r="C8" s="379"/>
      <c r="D8" s="370" t="str">
        <f>'Kopt a'!B15</f>
        <v xml:space="preserve">Atmodas bulvārī 12, Liepājā. </v>
      </c>
      <c r="E8" s="370"/>
      <c r="F8" s="370"/>
      <c r="G8" s="370"/>
      <c r="H8" s="370"/>
      <c r="I8" s="370"/>
    </row>
    <row r="9" spans="1:9" x14ac:dyDescent="0.2">
      <c r="A9" s="379" t="s">
        <v>20</v>
      </c>
      <c r="B9" s="379"/>
      <c r="C9" s="379"/>
      <c r="D9" s="370" t="str">
        <f>'Kopt a'!B16</f>
        <v>WS-5-18</v>
      </c>
      <c r="E9" s="370"/>
      <c r="F9" s="370"/>
      <c r="G9" s="370"/>
      <c r="H9" s="370"/>
      <c r="I9" s="370"/>
    </row>
    <row r="10" spans="1:9" x14ac:dyDescent="0.2">
      <c r="C10" s="97" t="s">
        <v>21</v>
      </c>
      <c r="D10" s="380">
        <f>E29</f>
        <v>0</v>
      </c>
      <c r="E10" s="380"/>
      <c r="F10" s="65"/>
      <c r="G10" s="65"/>
      <c r="H10" s="65"/>
      <c r="I10" s="65"/>
    </row>
    <row r="11" spans="1:9" x14ac:dyDescent="0.2">
      <c r="C11" s="97" t="s">
        <v>22</v>
      </c>
      <c r="D11" s="380">
        <f>I25</f>
        <v>0</v>
      </c>
      <c r="E11" s="380"/>
      <c r="F11" s="65"/>
      <c r="G11" s="65"/>
      <c r="H11" s="65"/>
      <c r="I11" s="65"/>
    </row>
    <row r="12" spans="1:9" ht="12" thickBot="1" x14ac:dyDescent="0.25">
      <c r="F12" s="99"/>
      <c r="G12" s="99"/>
      <c r="H12" s="99"/>
      <c r="I12" s="99"/>
    </row>
    <row r="13" spans="1:9" x14ac:dyDescent="0.2">
      <c r="A13" s="383" t="s">
        <v>23</v>
      </c>
      <c r="B13" s="385" t="s">
        <v>24</v>
      </c>
      <c r="C13" s="387" t="s">
        <v>25</v>
      </c>
      <c r="D13" s="388"/>
      <c r="E13" s="391" t="s">
        <v>26</v>
      </c>
      <c r="F13" s="375" t="s">
        <v>27</v>
      </c>
      <c r="G13" s="376"/>
      <c r="H13" s="376"/>
      <c r="I13" s="377" t="s">
        <v>28</v>
      </c>
    </row>
    <row r="14" spans="1:9" ht="23.25" thickBot="1" x14ac:dyDescent="0.25">
      <c r="A14" s="384"/>
      <c r="B14" s="386"/>
      <c r="C14" s="389"/>
      <c r="D14" s="390"/>
      <c r="E14" s="392"/>
      <c r="F14" s="13" t="s">
        <v>29</v>
      </c>
      <c r="G14" s="14" t="s">
        <v>30</v>
      </c>
      <c r="H14" s="14" t="s">
        <v>31</v>
      </c>
      <c r="I14" s="378"/>
    </row>
    <row r="15" spans="1:9" x14ac:dyDescent="0.2">
      <c r="A15" s="60">
        <v>1</v>
      </c>
      <c r="B15" s="17" t="str">
        <f>IF(A15=0,0,CONCATENATE("Lt-",A15))</f>
        <v>Lt-1</v>
      </c>
      <c r="C15" s="393" t="str">
        <f>'1a'!C2:I2</f>
        <v>Fasādes atjaunošana</v>
      </c>
      <c r="D15" s="394"/>
      <c r="E15" s="43">
        <f>'1a'!P74</f>
        <v>0</v>
      </c>
      <c r="F15" s="38">
        <f>'1a'!M74</f>
        <v>0</v>
      </c>
      <c r="G15" s="39">
        <f>'1a'!N74</f>
        <v>0</v>
      </c>
      <c r="H15" s="39">
        <f>'1a'!O74</f>
        <v>0</v>
      </c>
      <c r="I15" s="40">
        <f>'1a'!L74</f>
        <v>0</v>
      </c>
    </row>
    <row r="16" spans="1:9" x14ac:dyDescent="0.2">
      <c r="A16" s="61">
        <f>A15+1</f>
        <v>2</v>
      </c>
      <c r="B16" s="18" t="str">
        <f>IF(A16=0,0,CONCATENATE("Lt-",A16))</f>
        <v>Lt-2</v>
      </c>
      <c r="C16" s="381" t="str">
        <f>'2a'!C2:I2</f>
        <v>Logu nomaiņa</v>
      </c>
      <c r="D16" s="382"/>
      <c r="E16" s="44">
        <f>'2a'!P69</f>
        <v>0</v>
      </c>
      <c r="F16" s="34">
        <f>'2a'!M69</f>
        <v>0</v>
      </c>
      <c r="G16" s="41">
        <f>'2a'!N69</f>
        <v>0</v>
      </c>
      <c r="H16" s="41">
        <f>'2a'!O69</f>
        <v>0</v>
      </c>
      <c r="I16" s="42">
        <f>'2a'!L69</f>
        <v>0</v>
      </c>
    </row>
    <row r="17" spans="1:9" x14ac:dyDescent="0.2">
      <c r="A17" s="61">
        <f t="shared" ref="A17:A22" si="0">A16+1</f>
        <v>3</v>
      </c>
      <c r="B17" s="18" t="str">
        <f t="shared" ref="B17:B21" si="1">IF(A17=0,0,CONCATENATE("Lt-",A17))</f>
        <v>Lt-3</v>
      </c>
      <c r="C17" s="381" t="str">
        <f>'3a'!C2:I2</f>
        <v>Cokola siltināšanas darbi</v>
      </c>
      <c r="D17" s="382"/>
      <c r="E17" s="45">
        <f>'3a'!P48</f>
        <v>0</v>
      </c>
      <c r="F17" s="34">
        <f>'3a'!M48</f>
        <v>0</v>
      </c>
      <c r="G17" s="41">
        <f>'3a'!N48</f>
        <v>0</v>
      </c>
      <c r="H17" s="41">
        <f>'3a'!O48</f>
        <v>0</v>
      </c>
      <c r="I17" s="42">
        <f>'3a'!L48</f>
        <v>0</v>
      </c>
    </row>
    <row r="18" spans="1:9" ht="11.25" customHeight="1" x14ac:dyDescent="0.2">
      <c r="A18" s="61">
        <f t="shared" si="0"/>
        <v>4</v>
      </c>
      <c r="B18" s="18" t="str">
        <f t="shared" si="1"/>
        <v>Lt-4</v>
      </c>
      <c r="C18" s="381" t="str">
        <f>'4a'!C2:I2</f>
        <v>Ieejas mezglu rekonstrukcijas darbi</v>
      </c>
      <c r="D18" s="382"/>
      <c r="E18" s="45">
        <f>'4a'!P42</f>
        <v>0</v>
      </c>
      <c r="F18" s="34">
        <f>'4a'!M42</f>
        <v>0</v>
      </c>
      <c r="G18" s="41">
        <f>'4a'!N42</f>
        <v>0</v>
      </c>
      <c r="H18" s="41">
        <f>'4a'!O42</f>
        <v>0</v>
      </c>
      <c r="I18" s="42">
        <f>'4a'!L42</f>
        <v>0</v>
      </c>
    </row>
    <row r="19" spans="1:9" ht="11.25" customHeight="1" x14ac:dyDescent="0.2">
      <c r="A19" s="61">
        <f t="shared" si="0"/>
        <v>5</v>
      </c>
      <c r="B19" s="18" t="str">
        <f t="shared" ref="B19:B20" si="2">IF(A19=0,0,CONCATENATE("Lt-",A19))</f>
        <v>Lt-5</v>
      </c>
      <c r="C19" s="381" t="str">
        <f>'5a'!C2:I2</f>
        <v>Pagraba pārseguma siltināšanas darbi</v>
      </c>
      <c r="D19" s="382"/>
      <c r="E19" s="45">
        <f>'5a'!P22</f>
        <v>0</v>
      </c>
      <c r="F19" s="34">
        <f>'5a'!M22</f>
        <v>0</v>
      </c>
      <c r="G19" s="41">
        <f>'5a'!N22</f>
        <v>0</v>
      </c>
      <c r="H19" s="41">
        <f>'5a'!O22</f>
        <v>0</v>
      </c>
      <c r="I19" s="42">
        <f>'5a'!L22</f>
        <v>0</v>
      </c>
    </row>
    <row r="20" spans="1:9" ht="11.25" customHeight="1" x14ac:dyDescent="0.2">
      <c r="A20" s="61">
        <f t="shared" si="0"/>
        <v>6</v>
      </c>
      <c r="B20" s="18" t="str">
        <f t="shared" si="2"/>
        <v>Lt-6</v>
      </c>
      <c r="C20" s="381" t="str">
        <f>'6a'!C2:I2</f>
        <v>Bēniņu siltināšanas darbi</v>
      </c>
      <c r="D20" s="382"/>
      <c r="E20" s="45">
        <f>'6a'!P49</f>
        <v>0</v>
      </c>
      <c r="F20" s="34">
        <f>'6a'!M49</f>
        <v>0</v>
      </c>
      <c r="G20" s="41">
        <f>'6a'!N49</f>
        <v>0</v>
      </c>
      <c r="H20" s="41">
        <f>'6a'!O49</f>
        <v>0</v>
      </c>
      <c r="I20" s="42">
        <f>'6a'!L49</f>
        <v>0</v>
      </c>
    </row>
    <row r="21" spans="1:9" ht="11.25" customHeight="1" x14ac:dyDescent="0.2">
      <c r="A21" s="61">
        <f t="shared" si="0"/>
        <v>7</v>
      </c>
      <c r="B21" s="18" t="str">
        <f t="shared" si="1"/>
        <v>Lt-7</v>
      </c>
      <c r="C21" s="381" t="str">
        <f>'7a'!C2:I2</f>
        <v>Jumta atjaunošanas darbi</v>
      </c>
      <c r="D21" s="382"/>
      <c r="E21" s="45">
        <f>'7a'!P69</f>
        <v>0</v>
      </c>
      <c r="F21" s="34">
        <f>'7a'!M69</f>
        <v>0</v>
      </c>
      <c r="G21" s="41">
        <f>'7a'!N69</f>
        <v>0</v>
      </c>
      <c r="H21" s="41">
        <f>'7a'!O69</f>
        <v>0</v>
      </c>
      <c r="I21" s="42">
        <f>'7a'!L69</f>
        <v>0</v>
      </c>
    </row>
    <row r="22" spans="1:9" ht="11.25" customHeight="1" x14ac:dyDescent="0.2">
      <c r="A22" s="61">
        <f t="shared" si="0"/>
        <v>8</v>
      </c>
      <c r="B22" s="18" t="str">
        <f t="shared" ref="B22" si="3">IF(A22=0,0,CONCATENATE("Lt-",A22))</f>
        <v>Lt-8</v>
      </c>
      <c r="C22" s="381" t="str">
        <f>'8a'!C2:I2</f>
        <v>Balkonu atjaunošana</v>
      </c>
      <c r="D22" s="382"/>
      <c r="E22" s="45">
        <f>'8a'!P53</f>
        <v>0</v>
      </c>
      <c r="F22" s="34"/>
      <c r="G22" s="41"/>
      <c r="H22" s="41"/>
      <c r="I22" s="42"/>
    </row>
    <row r="23" spans="1:9" ht="11.25" customHeight="1" x14ac:dyDescent="0.2">
      <c r="A23" s="61">
        <f>A22+1</f>
        <v>9</v>
      </c>
      <c r="B23" s="18" t="str">
        <f>IF(A23=0,0,CONCATENATE("Lt-",A23))</f>
        <v>Lt-9</v>
      </c>
      <c r="C23" s="381" t="str">
        <f>'9a'!C2:I2</f>
        <v>Zibensaizsardzības ierīkošana</v>
      </c>
      <c r="D23" s="382"/>
      <c r="E23" s="45">
        <f>'9a'!P43</f>
        <v>0</v>
      </c>
      <c r="F23" s="34">
        <f>'8a'!M53</f>
        <v>0</v>
      </c>
      <c r="G23" s="41">
        <f>'8a'!N53</f>
        <v>0</v>
      </c>
      <c r="H23" s="41">
        <f>'8a'!O53</f>
        <v>0</v>
      </c>
      <c r="I23" s="42">
        <f>'8a'!L53</f>
        <v>0</v>
      </c>
    </row>
    <row r="24" spans="1:9" ht="12" thickBot="1" x14ac:dyDescent="0.25">
      <c r="A24" s="61">
        <f>A23+1</f>
        <v>10</v>
      </c>
      <c r="B24" s="18" t="str">
        <f>IF(A24=0,0,CONCATENATE("Lt-",A24))</f>
        <v>Lt-10</v>
      </c>
      <c r="C24" s="381" t="str">
        <f>'10a'!C2:I2</f>
        <v>Sadzīves kanalizācijas un aukstā ūdens stāvvadu pārbūve</v>
      </c>
      <c r="D24" s="382"/>
      <c r="E24" s="45">
        <f>'10a'!P62</f>
        <v>0</v>
      </c>
      <c r="F24" s="75">
        <f>'10a'!M62</f>
        <v>0</v>
      </c>
      <c r="G24" s="75">
        <f>'10a'!N62</f>
        <v>0</v>
      </c>
      <c r="H24" s="75">
        <f>'10a'!O62</f>
        <v>0</v>
      </c>
      <c r="I24" s="76">
        <f>'10a'!L62</f>
        <v>0</v>
      </c>
    </row>
    <row r="25" spans="1:9" ht="12" thickBot="1" x14ac:dyDescent="0.25">
      <c r="A25" s="395" t="s">
        <v>32</v>
      </c>
      <c r="B25" s="396"/>
      <c r="C25" s="396"/>
      <c r="D25" s="396"/>
      <c r="E25" s="30">
        <f>SUM(E15:E24)</f>
        <v>0</v>
      </c>
      <c r="F25" s="30">
        <f t="shared" ref="F25:I25" si="4">SUM(F15:F24)</f>
        <v>0</v>
      </c>
      <c r="G25" s="30">
        <f t="shared" si="4"/>
        <v>0</v>
      </c>
      <c r="H25" s="30">
        <f t="shared" si="4"/>
        <v>0</v>
      </c>
      <c r="I25" s="30">
        <f t="shared" si="4"/>
        <v>0</v>
      </c>
    </row>
    <row r="26" spans="1:9" x14ac:dyDescent="0.2">
      <c r="A26" s="397" t="s">
        <v>33</v>
      </c>
      <c r="B26" s="398"/>
      <c r="C26" s="399"/>
      <c r="D26" s="57"/>
      <c r="E26" s="31">
        <f>ROUND(E25*$D26,2)</f>
        <v>0</v>
      </c>
      <c r="F26" s="32"/>
      <c r="G26" s="32"/>
      <c r="H26" s="32"/>
      <c r="I26" s="32"/>
    </row>
    <row r="27" spans="1:9" x14ac:dyDescent="0.2">
      <c r="A27" s="400" t="s">
        <v>34</v>
      </c>
      <c r="B27" s="401"/>
      <c r="C27" s="402"/>
      <c r="D27" s="58"/>
      <c r="E27" s="33">
        <f>ROUND(E26*$D27,2)</f>
        <v>0</v>
      </c>
      <c r="F27" s="32"/>
      <c r="G27" s="32"/>
      <c r="H27" s="32"/>
      <c r="I27" s="32"/>
    </row>
    <row r="28" spans="1:9" x14ac:dyDescent="0.2">
      <c r="A28" s="403" t="s">
        <v>35</v>
      </c>
      <c r="B28" s="404"/>
      <c r="C28" s="405"/>
      <c r="D28" s="59"/>
      <c r="E28" s="33">
        <f>ROUND(E25*$D28,2)</f>
        <v>0</v>
      </c>
      <c r="F28" s="32"/>
      <c r="G28" s="32"/>
      <c r="H28" s="32"/>
      <c r="I28" s="32"/>
    </row>
    <row r="29" spans="1:9" ht="12" thickBot="1" x14ac:dyDescent="0.25">
      <c r="A29" s="406" t="s">
        <v>36</v>
      </c>
      <c r="B29" s="407"/>
      <c r="C29" s="408"/>
      <c r="D29" s="462"/>
      <c r="E29" s="463">
        <f>SUM(E25:E28)-E27</f>
        <v>0</v>
      </c>
      <c r="F29" s="32"/>
      <c r="G29" s="32"/>
      <c r="H29" s="32"/>
      <c r="I29" s="32"/>
    </row>
    <row r="30" spans="1:9" ht="12" thickBot="1" x14ac:dyDescent="0.25">
      <c r="C30" s="222" t="s">
        <v>361</v>
      </c>
      <c r="D30" s="464">
        <v>0.02</v>
      </c>
      <c r="E30" s="465">
        <f>ROUND(D30*E29,2)</f>
        <v>0</v>
      </c>
    </row>
    <row r="31" spans="1:9" ht="12" thickBot="1" x14ac:dyDescent="0.25">
      <c r="C31" s="222" t="s">
        <v>32</v>
      </c>
      <c r="D31" s="465"/>
      <c r="E31" s="466">
        <f>E30+E29</f>
        <v>0</v>
      </c>
    </row>
    <row r="38" spans="1:8" x14ac:dyDescent="0.2">
      <c r="A38" s="1" t="s">
        <v>14</v>
      </c>
      <c r="B38" s="12"/>
      <c r="C38" s="368"/>
      <c r="D38" s="368"/>
      <c r="E38" s="368"/>
      <c r="F38" s="368"/>
      <c r="G38" s="368"/>
      <c r="H38" s="368"/>
    </row>
    <row r="39" spans="1:8" x14ac:dyDescent="0.2">
      <c r="A39" s="12"/>
      <c r="B39" s="12"/>
      <c r="C39" s="363" t="s">
        <v>15</v>
      </c>
      <c r="D39" s="363"/>
      <c r="E39" s="363"/>
      <c r="F39" s="363"/>
      <c r="G39" s="363"/>
      <c r="H39" s="363"/>
    </row>
    <row r="40" spans="1:8" x14ac:dyDescent="0.2">
      <c r="A40" s="12"/>
      <c r="B40" s="12"/>
      <c r="C40" s="12"/>
      <c r="D40" s="12"/>
      <c r="E40" s="12"/>
      <c r="F40" s="12"/>
      <c r="G40" s="12"/>
      <c r="H40" s="12"/>
    </row>
    <row r="41" spans="1:8" x14ac:dyDescent="0.2">
      <c r="A41" s="68" t="str">
        <f>'Kopt a'!A30</f>
        <v>Tāme sastādīta 2021. gada</v>
      </c>
      <c r="B41" s="69"/>
      <c r="C41" s="69"/>
      <c r="D41" s="69"/>
      <c r="F41" s="12"/>
      <c r="G41" s="12"/>
      <c r="H41" s="12"/>
    </row>
    <row r="42" spans="1:8" x14ac:dyDescent="0.2">
      <c r="A42" s="12"/>
      <c r="B42" s="12"/>
      <c r="C42" s="12"/>
      <c r="D42" s="12"/>
      <c r="E42" s="12"/>
      <c r="F42" s="12"/>
      <c r="G42" s="12"/>
      <c r="H42" s="12"/>
    </row>
    <row r="43" spans="1:8" x14ac:dyDescent="0.2">
      <c r="A43" s="1" t="s">
        <v>37</v>
      </c>
      <c r="B43" s="12"/>
      <c r="C43" s="368">
        <f>C38</f>
        <v>0</v>
      </c>
      <c r="D43" s="368"/>
      <c r="E43" s="368"/>
      <c r="F43" s="368"/>
      <c r="G43" s="368"/>
      <c r="H43" s="368"/>
    </row>
    <row r="44" spans="1:8" x14ac:dyDescent="0.2">
      <c r="A44" s="12"/>
      <c r="B44" s="12"/>
      <c r="C44" s="363" t="s">
        <v>15</v>
      </c>
      <c r="D44" s="363"/>
      <c r="E44" s="363"/>
      <c r="F44" s="363"/>
      <c r="G44" s="363"/>
      <c r="H44" s="363"/>
    </row>
    <row r="45" spans="1:8" x14ac:dyDescent="0.2">
      <c r="A45" s="12"/>
      <c r="B45" s="12"/>
      <c r="C45" s="12"/>
      <c r="D45" s="12"/>
      <c r="E45" s="12"/>
      <c r="F45" s="12"/>
      <c r="G45" s="12"/>
      <c r="H45" s="12"/>
    </row>
    <row r="46" spans="1:8" x14ac:dyDescent="0.2">
      <c r="A46" s="68" t="s">
        <v>53</v>
      </c>
      <c r="B46" s="69"/>
      <c r="C46" s="73"/>
      <c r="D46" s="69"/>
      <c r="F46" s="12"/>
      <c r="G46" s="12"/>
      <c r="H46" s="12"/>
    </row>
    <row r="56" spans="5:9" x14ac:dyDescent="0.2">
      <c r="E56" s="15"/>
      <c r="F56" s="15"/>
      <c r="G56" s="15"/>
      <c r="H56" s="15"/>
      <c r="I56" s="15"/>
    </row>
  </sheetData>
  <mergeCells count="39">
    <mergeCell ref="C24:D24"/>
    <mergeCell ref="C38:H38"/>
    <mergeCell ref="C39:H39"/>
    <mergeCell ref="C43:H43"/>
    <mergeCell ref="C44:H44"/>
    <mergeCell ref="A25:D25"/>
    <mergeCell ref="A26:C26"/>
    <mergeCell ref="A27:C27"/>
    <mergeCell ref="A28:C28"/>
    <mergeCell ref="A29:C29"/>
    <mergeCell ref="C23:D23"/>
    <mergeCell ref="A13:A14"/>
    <mergeCell ref="B13:B14"/>
    <mergeCell ref="C13:D14"/>
    <mergeCell ref="E13:E14"/>
    <mergeCell ref="C15:D15"/>
    <mergeCell ref="C16:D16"/>
    <mergeCell ref="C17:D17"/>
    <mergeCell ref="C18:D18"/>
    <mergeCell ref="C21:D21"/>
    <mergeCell ref="C19:D19"/>
    <mergeCell ref="C20:D20"/>
    <mergeCell ref="C22:D22"/>
    <mergeCell ref="F13:H13"/>
    <mergeCell ref="I13:I14"/>
    <mergeCell ref="A8:C8"/>
    <mergeCell ref="D8:I8"/>
    <mergeCell ref="A9:C9"/>
    <mergeCell ref="D9:I9"/>
    <mergeCell ref="D10:E10"/>
    <mergeCell ref="D11:E11"/>
    <mergeCell ref="A7:C7"/>
    <mergeCell ref="D7:I7"/>
    <mergeCell ref="G1:I1"/>
    <mergeCell ref="A2:I2"/>
    <mergeCell ref="C4:I4"/>
    <mergeCell ref="A6:C6"/>
    <mergeCell ref="D6:I6"/>
    <mergeCell ref="C5:I5"/>
  </mergeCells>
  <conditionalFormatting sqref="A15:I24 E25:I25">
    <cfRule type="cellIs" dxfId="232" priority="19" operator="equal">
      <formula>0</formula>
    </cfRule>
  </conditionalFormatting>
  <conditionalFormatting sqref="D10:E11">
    <cfRule type="cellIs" dxfId="231" priority="18" operator="equal">
      <formula>0</formula>
    </cfRule>
  </conditionalFormatting>
  <conditionalFormatting sqref="E15 E26:E29">
    <cfRule type="cellIs" dxfId="230" priority="16" operator="equal">
      <formula>0</formula>
    </cfRule>
  </conditionalFormatting>
  <conditionalFormatting sqref="D26:D28">
    <cfRule type="cellIs" dxfId="229" priority="14" operator="equal">
      <formula>0</formula>
    </cfRule>
  </conditionalFormatting>
  <conditionalFormatting sqref="C43:H43">
    <cfRule type="cellIs" dxfId="228" priority="11" operator="equal">
      <formula>0</formula>
    </cfRule>
  </conditionalFormatting>
  <conditionalFormatting sqref="C38:H38">
    <cfRule type="cellIs" dxfId="227" priority="10" operator="equal">
      <formula>0</formula>
    </cfRule>
  </conditionalFormatting>
  <conditionalFormatting sqref="D6:I9">
    <cfRule type="cellIs" dxfId="226" priority="6" operator="equal">
      <formula>0</formula>
    </cfRule>
  </conditionalFormatting>
  <conditionalFormatting sqref="C46">
    <cfRule type="cellIs" dxfId="225" priority="4" operator="equal">
      <formula>0</formula>
    </cfRule>
  </conditionalFormatting>
  <pageMargins left="0" right="0" top="0.78740157480314965" bottom="0.39370078740157483" header="0" footer="0.31496062992125984"/>
  <pageSetup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3" operator="containsText" id="{12AB918F-DA10-40D3-98FE-0DAD77BA765F}">
            <xm:f>NOT(ISERROR(SEARCH("Tāme sastādīta ____. gada ___. ______________",A41)))</xm:f>
            <xm:f>"Tāme sastādīta ____. gada ___. ______________"</xm:f>
            <x14:dxf>
              <font>
                <color auto="1"/>
              </font>
              <fill>
                <patternFill>
                  <bgColor rgb="FFC6EFCE"/>
                </patternFill>
              </fill>
            </x14:dxf>
          </x14:cfRule>
          <xm:sqref>A41</xm:sqref>
        </x14:conditionalFormatting>
        <x14:conditionalFormatting xmlns:xm="http://schemas.microsoft.com/office/excel/2006/main">
          <x14:cfRule type="containsText" priority="9" operator="containsText" id="{B0E18B02-73ED-406C-A15F-5DAFFA939ECE}">
            <xm:f>NOT(ISERROR(SEARCH("Sertifikāta Nr. _________________________________",A46)))</xm:f>
            <xm:f>"Sertifikāta Nr. _________________________________"</xm:f>
            <x14:dxf>
              <font>
                <color auto="1"/>
              </font>
              <fill>
                <patternFill>
                  <bgColor rgb="FFC6EFCE"/>
                </patternFill>
              </fill>
            </x14:dxf>
          </x14:cfRule>
          <xm:sqref>A46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2D050"/>
  </sheetPr>
  <dimension ref="A1:Z89"/>
  <sheetViews>
    <sheetView topLeftCell="A46" zoomScaleNormal="100" zoomScaleSheetLayoutView="100" workbookViewId="0">
      <selection activeCell="G85" sqref="G85"/>
    </sheetView>
  </sheetViews>
  <sheetFormatPr defaultColWidth="9.140625" defaultRowHeight="11.25" x14ac:dyDescent="0.25"/>
  <cols>
    <col min="1" max="1" width="4.5703125" style="16" customWidth="1"/>
    <col min="2" max="2" width="5.28515625" style="16" customWidth="1"/>
    <col min="3" max="3" width="38.42578125" style="16" customWidth="1"/>
    <col min="4" max="4" width="5.85546875" style="16" customWidth="1"/>
    <col min="5" max="5" width="7.85546875" style="16" customWidth="1"/>
    <col min="6" max="6" width="5.42578125" style="16" customWidth="1"/>
    <col min="7" max="7" width="4.85546875" style="16" customWidth="1"/>
    <col min="8" max="10" width="6.7109375" style="16" customWidth="1"/>
    <col min="11" max="11" width="7" style="16" customWidth="1"/>
    <col min="12" max="15" width="7.7109375" style="16" customWidth="1"/>
    <col min="16" max="16" width="9" style="16" customWidth="1"/>
    <col min="17" max="17" width="18.85546875" style="16" customWidth="1"/>
    <col min="18" max="16384" width="9.140625" style="16"/>
  </cols>
  <sheetData>
    <row r="1" spans="1:26" x14ac:dyDescent="0.25">
      <c r="C1" s="20" t="s">
        <v>38</v>
      </c>
      <c r="D1" s="37">
        <f>'Kops a'!A15</f>
        <v>1</v>
      </c>
      <c r="N1" s="21"/>
      <c r="O1" s="20"/>
      <c r="P1" s="21"/>
    </row>
    <row r="2" spans="1:26" x14ac:dyDescent="0.25">
      <c r="A2" s="22"/>
      <c r="B2" s="22"/>
      <c r="C2" s="410" t="s">
        <v>92</v>
      </c>
      <c r="D2" s="410"/>
      <c r="E2" s="410"/>
      <c r="F2" s="410"/>
      <c r="G2" s="410"/>
      <c r="H2" s="410"/>
      <c r="I2" s="410"/>
      <c r="J2" s="22"/>
    </row>
    <row r="3" spans="1:26" x14ac:dyDescent="0.25">
      <c r="A3" s="23"/>
      <c r="B3" s="23"/>
      <c r="C3" s="411" t="s">
        <v>17</v>
      </c>
      <c r="D3" s="411"/>
      <c r="E3" s="411"/>
      <c r="F3" s="411"/>
      <c r="G3" s="411"/>
      <c r="H3" s="411"/>
      <c r="I3" s="411"/>
      <c r="J3" s="23"/>
    </row>
    <row r="4" spans="1:26" x14ac:dyDescent="0.25">
      <c r="A4" s="23"/>
      <c r="B4" s="23"/>
      <c r="C4" s="412" t="s">
        <v>52</v>
      </c>
      <c r="D4" s="412"/>
      <c r="E4" s="412"/>
      <c r="F4" s="412"/>
      <c r="G4" s="412"/>
      <c r="H4" s="412"/>
      <c r="I4" s="412"/>
      <c r="J4" s="23"/>
    </row>
    <row r="5" spans="1:26" ht="11.25" customHeight="1" x14ac:dyDescent="0.25">
      <c r="C5" s="20" t="s">
        <v>5</v>
      </c>
      <c r="D5" s="425" t="str">
        <f>'Kops a'!D6</f>
        <v>Dzīvojamās ēkas vienkāršotā atjaunošana</v>
      </c>
      <c r="E5" s="425"/>
      <c r="F5" s="425"/>
      <c r="G5" s="425"/>
      <c r="H5" s="425"/>
      <c r="I5" s="425"/>
      <c r="J5" s="425"/>
      <c r="K5" s="425"/>
      <c r="L5" s="425"/>
      <c r="M5" s="24"/>
      <c r="N5" s="24"/>
      <c r="O5" s="24"/>
      <c r="P5" s="24"/>
    </row>
    <row r="6" spans="1:26" x14ac:dyDescent="0.25">
      <c r="C6" s="20" t="s">
        <v>6</v>
      </c>
      <c r="D6" s="425" t="str">
        <f>'Kops a'!D7</f>
        <v>Daudzdzīvokļu dzīvojamās mājas energoefektivitātes paaugstināšanas pasākumi</v>
      </c>
      <c r="E6" s="425"/>
      <c r="F6" s="425"/>
      <c r="G6" s="425"/>
      <c r="H6" s="425"/>
      <c r="I6" s="425"/>
      <c r="J6" s="425"/>
      <c r="K6" s="425"/>
      <c r="L6" s="425"/>
      <c r="M6" s="24"/>
      <c r="N6" s="24"/>
      <c r="O6" s="24"/>
      <c r="P6" s="24"/>
    </row>
    <row r="7" spans="1:26" x14ac:dyDescent="0.25">
      <c r="C7" s="20" t="s">
        <v>7</v>
      </c>
      <c r="D7" s="425" t="str">
        <f>'Kops a'!D8</f>
        <v xml:space="preserve">Atmodas bulvārī 12, Liepājā. </v>
      </c>
      <c r="E7" s="425"/>
      <c r="F7" s="425"/>
      <c r="G7" s="425"/>
      <c r="H7" s="425"/>
      <c r="I7" s="425"/>
      <c r="J7" s="425"/>
      <c r="K7" s="425"/>
      <c r="L7" s="425"/>
      <c r="M7" s="24"/>
      <c r="N7" s="24"/>
      <c r="O7" s="24"/>
      <c r="P7" s="24"/>
    </row>
    <row r="8" spans="1:26" x14ac:dyDescent="0.25">
      <c r="C8" s="20" t="s">
        <v>20</v>
      </c>
      <c r="D8" s="425" t="str">
        <f>'Kops a'!D9</f>
        <v>WS-5-18</v>
      </c>
      <c r="E8" s="425"/>
      <c r="F8" s="425"/>
      <c r="G8" s="425"/>
      <c r="H8" s="425"/>
      <c r="I8" s="425"/>
      <c r="J8" s="425"/>
      <c r="K8" s="425"/>
      <c r="L8" s="425"/>
      <c r="M8" s="24"/>
      <c r="N8" s="24"/>
      <c r="O8" s="24"/>
      <c r="P8" s="24"/>
    </row>
    <row r="9" spans="1:26" ht="11.25" customHeight="1" x14ac:dyDescent="0.25">
      <c r="A9" s="413" t="s">
        <v>493</v>
      </c>
      <c r="B9" s="413"/>
      <c r="C9" s="413"/>
      <c r="D9" s="413"/>
      <c r="E9" s="413"/>
      <c r="F9" s="413"/>
      <c r="G9" s="24"/>
      <c r="H9" s="24"/>
      <c r="I9" s="24"/>
      <c r="J9" s="417" t="s">
        <v>39</v>
      </c>
      <c r="K9" s="417"/>
      <c r="L9" s="417"/>
      <c r="M9" s="417"/>
      <c r="N9" s="424">
        <f>P74</f>
        <v>0</v>
      </c>
      <c r="O9" s="424"/>
      <c r="P9" s="24"/>
    </row>
    <row r="10" spans="1:26" x14ac:dyDescent="0.25">
      <c r="A10" s="25"/>
      <c r="B10" s="26"/>
      <c r="C10" s="20"/>
      <c r="L10" s="22"/>
      <c r="M10" s="22"/>
      <c r="O10" s="125"/>
      <c r="P10" s="126" t="str">
        <f>A80</f>
        <v>Tāme sastādīta 2021. gada</v>
      </c>
    </row>
    <row r="11" spans="1:26" ht="12" thickBot="1" x14ac:dyDescent="0.3">
      <c r="A11" s="25"/>
      <c r="B11" s="26"/>
      <c r="C11" s="20"/>
      <c r="L11" s="27"/>
      <c r="M11" s="27"/>
      <c r="N11" s="127"/>
      <c r="O11" s="21"/>
    </row>
    <row r="12" spans="1:26" x14ac:dyDescent="0.25">
      <c r="A12" s="383" t="s">
        <v>23</v>
      </c>
      <c r="B12" s="419" t="s">
        <v>40</v>
      </c>
      <c r="C12" s="415" t="s">
        <v>41</v>
      </c>
      <c r="D12" s="422" t="s">
        <v>42</v>
      </c>
      <c r="E12" s="431" t="s">
        <v>43</v>
      </c>
      <c r="F12" s="414" t="s">
        <v>44</v>
      </c>
      <c r="G12" s="415"/>
      <c r="H12" s="415"/>
      <c r="I12" s="415"/>
      <c r="J12" s="415"/>
      <c r="K12" s="416"/>
      <c r="L12" s="414" t="s">
        <v>45</v>
      </c>
      <c r="M12" s="415"/>
      <c r="N12" s="415"/>
      <c r="O12" s="415"/>
      <c r="P12" s="416"/>
    </row>
    <row r="13" spans="1:26" ht="94.15" customHeight="1" thickBot="1" x14ac:dyDescent="0.3">
      <c r="A13" s="418"/>
      <c r="B13" s="420"/>
      <c r="C13" s="421"/>
      <c r="D13" s="423"/>
      <c r="E13" s="432"/>
      <c r="F13" s="101" t="s">
        <v>46</v>
      </c>
      <c r="G13" s="102" t="s">
        <v>47</v>
      </c>
      <c r="H13" s="102" t="s">
        <v>48</v>
      </c>
      <c r="I13" s="102" t="s">
        <v>49</v>
      </c>
      <c r="J13" s="102" t="s">
        <v>50</v>
      </c>
      <c r="K13" s="46" t="s">
        <v>51</v>
      </c>
      <c r="L13" s="101" t="s">
        <v>46</v>
      </c>
      <c r="M13" s="102" t="s">
        <v>48</v>
      </c>
      <c r="N13" s="102" t="s">
        <v>49</v>
      </c>
      <c r="O13" s="102" t="s">
        <v>50</v>
      </c>
      <c r="P13" s="46" t="s">
        <v>51</v>
      </c>
      <c r="Q13" s="263"/>
      <c r="R13" s="263"/>
      <c r="S13" s="263"/>
      <c r="T13" s="263"/>
      <c r="U13" s="263"/>
      <c r="V13" s="263"/>
      <c r="W13" s="263"/>
      <c r="X13" s="263"/>
      <c r="Y13" s="263"/>
      <c r="Z13" s="263"/>
    </row>
    <row r="14" spans="1:26" x14ac:dyDescent="0.25">
      <c r="A14" s="79">
        <f>IF(COUNTBLANK(B14)=1," ",COUNTA($B$13:B14))</f>
        <v>1</v>
      </c>
      <c r="B14" s="47" t="s">
        <v>58</v>
      </c>
      <c r="C14" s="128" t="s">
        <v>109</v>
      </c>
      <c r="D14" s="49" t="s">
        <v>59</v>
      </c>
      <c r="E14" s="52">
        <v>222</v>
      </c>
      <c r="F14" s="53"/>
      <c r="G14" s="50"/>
      <c r="H14" s="50">
        <f>ROUND(F14*G14,2)</f>
        <v>0</v>
      </c>
      <c r="I14" s="50"/>
      <c r="J14" s="50"/>
      <c r="K14" s="51">
        <f>SUM(H14:J14)</f>
        <v>0</v>
      </c>
      <c r="L14" s="53">
        <f>ROUND(E14*F14,2)</f>
        <v>0</v>
      </c>
      <c r="M14" s="50">
        <f>ROUND(H14*E14,2)</f>
        <v>0</v>
      </c>
      <c r="N14" s="50">
        <f>ROUND(I14*E14,2)</f>
        <v>0</v>
      </c>
      <c r="O14" s="50">
        <f>ROUND(J14*E14,2)</f>
        <v>0</v>
      </c>
      <c r="P14" s="78">
        <f>SUM(M14:O14)</f>
        <v>0</v>
      </c>
      <c r="Q14" s="261"/>
      <c r="R14" s="263"/>
      <c r="S14" s="263"/>
      <c r="T14" s="263"/>
      <c r="U14" s="263"/>
      <c r="V14" s="263"/>
      <c r="W14" s="263"/>
      <c r="X14" s="263"/>
      <c r="Y14" s="263"/>
      <c r="Z14" s="263"/>
    </row>
    <row r="15" spans="1:26" x14ac:dyDescent="0.25">
      <c r="A15" s="79" t="str">
        <f>IF(COUNTBLANK(B15)=1," ",COUNTA($B$13:B15))</f>
        <v xml:space="preserve"> </v>
      </c>
      <c r="B15" s="129"/>
      <c r="C15" s="130" t="s">
        <v>60</v>
      </c>
      <c r="D15" s="18" t="s">
        <v>85</v>
      </c>
      <c r="E15" s="52">
        <v>39</v>
      </c>
      <c r="F15" s="53"/>
      <c r="G15" s="50"/>
      <c r="H15" s="50">
        <f t="shared" ref="H15" si="0">ROUND(F15*G15,2)</f>
        <v>0</v>
      </c>
      <c r="I15" s="50"/>
      <c r="J15" s="50"/>
      <c r="K15" s="51">
        <f t="shared" ref="K15" si="1">SUM(H15:J15)</f>
        <v>0</v>
      </c>
      <c r="L15" s="53">
        <f t="shared" ref="L15" si="2">ROUND(E15*F15,2)</f>
        <v>0</v>
      </c>
      <c r="M15" s="50">
        <f t="shared" ref="M15" si="3">ROUND(H15*E15,2)</f>
        <v>0</v>
      </c>
      <c r="N15" s="50">
        <f t="shared" ref="N15" si="4">ROUND(I15*E15,2)</f>
        <v>0</v>
      </c>
      <c r="O15" s="50">
        <f t="shared" ref="O15" si="5">ROUND(J15*E15,2)</f>
        <v>0</v>
      </c>
      <c r="P15" s="78">
        <f t="shared" ref="P15" si="6">SUM(M15:O15)</f>
        <v>0</v>
      </c>
      <c r="Q15" s="261"/>
      <c r="R15" s="263"/>
      <c r="S15" s="263"/>
      <c r="T15" s="263"/>
      <c r="U15" s="263"/>
      <c r="V15" s="263"/>
      <c r="W15" s="263"/>
      <c r="X15" s="263"/>
      <c r="Y15" s="263"/>
      <c r="Z15" s="263"/>
    </row>
    <row r="16" spans="1:26" x14ac:dyDescent="0.25">
      <c r="A16" s="79" t="str">
        <f>IF(COUNTBLANK(B16)=1," ",COUNTA($B$13:B16))</f>
        <v xml:space="preserve"> </v>
      </c>
      <c r="B16" s="129"/>
      <c r="C16" s="130" t="s">
        <v>62</v>
      </c>
      <c r="D16" s="18" t="s">
        <v>85</v>
      </c>
      <c r="E16" s="52">
        <v>40</v>
      </c>
      <c r="F16" s="53"/>
      <c r="G16" s="50"/>
      <c r="H16" s="50">
        <f t="shared" ref="H16:H73" si="7">ROUND(F16*G16,2)</f>
        <v>0</v>
      </c>
      <c r="I16" s="50"/>
      <c r="J16" s="50"/>
      <c r="K16" s="51">
        <f t="shared" ref="K16:K73" si="8">SUM(H16:J16)</f>
        <v>0</v>
      </c>
      <c r="L16" s="53">
        <f t="shared" ref="L16:L73" si="9">ROUND(E16*F16,2)</f>
        <v>0</v>
      </c>
      <c r="M16" s="50">
        <f t="shared" ref="M16:M73" si="10">ROUND(H16*E16,2)</f>
        <v>0</v>
      </c>
      <c r="N16" s="50">
        <f t="shared" ref="N16:N73" si="11">ROUND(I16*E16,2)</f>
        <v>0</v>
      </c>
      <c r="O16" s="50">
        <f t="shared" ref="O16:O73" si="12">ROUND(J16*E16,2)</f>
        <v>0</v>
      </c>
      <c r="P16" s="78">
        <f t="shared" ref="P16:P73" si="13">SUM(M16:O16)</f>
        <v>0</v>
      </c>
      <c r="Q16" s="261"/>
      <c r="R16" s="263"/>
      <c r="S16" s="263"/>
      <c r="T16" s="263"/>
      <c r="U16" s="263"/>
      <c r="V16" s="263"/>
      <c r="W16" s="263"/>
      <c r="X16" s="263"/>
      <c r="Y16" s="263"/>
      <c r="Z16" s="263"/>
    </row>
    <row r="17" spans="1:26" x14ac:dyDescent="0.25">
      <c r="A17" s="79">
        <f>IF(COUNTBLANK(B17)=1," ",COUNTA($B$13:B17))</f>
        <v>2</v>
      </c>
      <c r="B17" s="129" t="s">
        <v>58</v>
      </c>
      <c r="C17" s="130" t="s">
        <v>363</v>
      </c>
      <c r="D17" s="18" t="s">
        <v>63</v>
      </c>
      <c r="E17" s="52">
        <v>3386</v>
      </c>
      <c r="F17" s="53"/>
      <c r="G17" s="50"/>
      <c r="H17" s="50">
        <f t="shared" si="7"/>
        <v>0</v>
      </c>
      <c r="I17" s="50"/>
      <c r="J17" s="50"/>
      <c r="K17" s="51">
        <f t="shared" si="8"/>
        <v>0</v>
      </c>
      <c r="L17" s="53">
        <f t="shared" si="9"/>
        <v>0</v>
      </c>
      <c r="M17" s="50">
        <f t="shared" si="10"/>
        <v>0</v>
      </c>
      <c r="N17" s="50">
        <f t="shared" si="11"/>
        <v>0</v>
      </c>
      <c r="O17" s="50">
        <f t="shared" si="12"/>
        <v>0</v>
      </c>
      <c r="P17" s="78">
        <f t="shared" si="13"/>
        <v>0</v>
      </c>
      <c r="Q17" s="262"/>
      <c r="R17" s="263"/>
      <c r="S17" s="263"/>
      <c r="T17" s="263"/>
      <c r="U17" s="263"/>
      <c r="V17" s="263"/>
      <c r="W17" s="263"/>
      <c r="X17" s="263"/>
      <c r="Y17" s="263"/>
      <c r="Z17" s="263"/>
    </row>
    <row r="18" spans="1:26" x14ac:dyDescent="0.25">
      <c r="A18" s="79" t="str">
        <f>IF(COUNTBLANK(B18)=1," ",COUNTA($B$13:B18))</f>
        <v xml:space="preserve"> </v>
      </c>
      <c r="B18" s="129"/>
      <c r="C18" s="130" t="s">
        <v>110</v>
      </c>
      <c r="D18" s="18" t="s">
        <v>63</v>
      </c>
      <c r="E18" s="468">
        <f>E17*1.05</f>
        <v>3555.3</v>
      </c>
      <c r="F18" s="53"/>
      <c r="G18" s="50"/>
      <c r="H18" s="50">
        <f t="shared" si="7"/>
        <v>0</v>
      </c>
      <c r="I18" s="50"/>
      <c r="J18" s="50"/>
      <c r="K18" s="51">
        <f t="shared" si="8"/>
        <v>0</v>
      </c>
      <c r="L18" s="53">
        <f t="shared" si="9"/>
        <v>0</v>
      </c>
      <c r="M18" s="50">
        <f t="shared" si="10"/>
        <v>0</v>
      </c>
      <c r="N18" s="50">
        <f t="shared" si="11"/>
        <v>0</v>
      </c>
      <c r="O18" s="50">
        <f t="shared" si="12"/>
        <v>0</v>
      </c>
      <c r="P18" s="78">
        <f t="shared" si="13"/>
        <v>0</v>
      </c>
      <c r="Q18" s="262"/>
      <c r="R18" s="263"/>
      <c r="S18" s="263"/>
      <c r="T18" s="263"/>
      <c r="U18" s="263"/>
      <c r="V18" s="263"/>
      <c r="W18" s="263"/>
      <c r="X18" s="263"/>
      <c r="Y18" s="263"/>
      <c r="Z18" s="263"/>
    </row>
    <row r="19" spans="1:26" x14ac:dyDescent="0.25">
      <c r="A19" s="79"/>
      <c r="B19" s="129"/>
      <c r="C19" s="130" t="s">
        <v>358</v>
      </c>
      <c r="D19" s="18" t="s">
        <v>63</v>
      </c>
      <c r="E19" s="468">
        <f>E18</f>
        <v>3555.3</v>
      </c>
      <c r="F19" s="53"/>
      <c r="G19" s="50"/>
      <c r="H19" s="50">
        <f t="shared" si="7"/>
        <v>0</v>
      </c>
      <c r="I19" s="50"/>
      <c r="J19" s="50"/>
      <c r="K19" s="51">
        <f t="shared" si="8"/>
        <v>0</v>
      </c>
      <c r="L19" s="53">
        <f t="shared" si="9"/>
        <v>0</v>
      </c>
      <c r="M19" s="50">
        <f t="shared" si="10"/>
        <v>0</v>
      </c>
      <c r="N19" s="50">
        <f t="shared" si="11"/>
        <v>0</v>
      </c>
      <c r="O19" s="50">
        <f t="shared" si="12"/>
        <v>0</v>
      </c>
      <c r="P19" s="78">
        <f t="shared" si="13"/>
        <v>0</v>
      </c>
      <c r="Q19" s="262"/>
      <c r="R19" s="263"/>
      <c r="S19" s="263"/>
      <c r="T19" s="263"/>
      <c r="U19" s="263"/>
      <c r="V19" s="263"/>
      <c r="W19" s="263"/>
      <c r="X19" s="263"/>
      <c r="Y19" s="263"/>
      <c r="Z19" s="263"/>
    </row>
    <row r="20" spans="1:26" ht="22.5" x14ac:dyDescent="0.25">
      <c r="A20" s="79"/>
      <c r="B20" s="129"/>
      <c r="C20" s="130" t="s">
        <v>359</v>
      </c>
      <c r="D20" s="18" t="s">
        <v>59</v>
      </c>
      <c r="E20" s="468">
        <v>215</v>
      </c>
      <c r="F20" s="53"/>
      <c r="G20" s="50"/>
      <c r="H20" s="50">
        <f t="shared" si="7"/>
        <v>0</v>
      </c>
      <c r="I20" s="50"/>
      <c r="J20" s="50"/>
      <c r="K20" s="51">
        <f t="shared" si="8"/>
        <v>0</v>
      </c>
      <c r="L20" s="53">
        <f t="shared" si="9"/>
        <v>0</v>
      </c>
      <c r="M20" s="50">
        <f t="shared" si="10"/>
        <v>0</v>
      </c>
      <c r="N20" s="50">
        <f t="shared" si="11"/>
        <v>0</v>
      </c>
      <c r="O20" s="50">
        <f t="shared" si="12"/>
        <v>0</v>
      </c>
      <c r="P20" s="78">
        <f t="shared" si="13"/>
        <v>0</v>
      </c>
      <c r="Q20" s="261"/>
      <c r="R20" s="263"/>
      <c r="S20" s="263"/>
      <c r="T20" s="263"/>
      <c r="U20" s="263"/>
      <c r="V20" s="263"/>
      <c r="W20" s="263"/>
      <c r="X20" s="263"/>
      <c r="Y20" s="263"/>
      <c r="Z20" s="263"/>
    </row>
    <row r="21" spans="1:26" x14ac:dyDescent="0.25">
      <c r="A21" s="79">
        <f>IF(COUNTBLANK(B21)=1," ",COUNTA($B$13:B21))</f>
        <v>3</v>
      </c>
      <c r="B21" s="129" t="s">
        <v>58</v>
      </c>
      <c r="C21" s="130" t="s">
        <v>111</v>
      </c>
      <c r="D21" s="18" t="s">
        <v>85</v>
      </c>
      <c r="E21" s="468">
        <v>1</v>
      </c>
      <c r="F21" s="53"/>
      <c r="G21" s="50"/>
      <c r="H21" s="50">
        <f t="shared" si="7"/>
        <v>0</v>
      </c>
      <c r="I21" s="50"/>
      <c r="J21" s="50"/>
      <c r="K21" s="51">
        <f t="shared" si="8"/>
        <v>0</v>
      </c>
      <c r="L21" s="53">
        <f t="shared" si="9"/>
        <v>0</v>
      </c>
      <c r="M21" s="50">
        <f t="shared" si="10"/>
        <v>0</v>
      </c>
      <c r="N21" s="50">
        <f t="shared" si="11"/>
        <v>0</v>
      </c>
      <c r="O21" s="50">
        <f t="shared" si="12"/>
        <v>0</v>
      </c>
      <c r="P21" s="78">
        <f t="shared" si="13"/>
        <v>0</v>
      </c>
      <c r="Q21" s="261"/>
      <c r="R21" s="263"/>
      <c r="S21" s="263"/>
      <c r="T21" s="263"/>
      <c r="U21" s="263"/>
      <c r="V21" s="263"/>
      <c r="W21" s="263"/>
      <c r="X21" s="263"/>
      <c r="Y21" s="263"/>
      <c r="Z21" s="263"/>
    </row>
    <row r="22" spans="1:26" x14ac:dyDescent="0.25">
      <c r="A22" s="79" t="str">
        <f>IF(COUNTBLANK(B22)=1," ",COUNTA($B$13:B22))</f>
        <v xml:space="preserve"> </v>
      </c>
      <c r="B22" s="129"/>
      <c r="C22" s="130" t="s">
        <v>112</v>
      </c>
      <c r="D22" s="18" t="s">
        <v>113</v>
      </c>
      <c r="E22" s="468">
        <v>10</v>
      </c>
      <c r="F22" s="53"/>
      <c r="G22" s="50"/>
      <c r="H22" s="50">
        <f t="shared" si="7"/>
        <v>0</v>
      </c>
      <c r="I22" s="50"/>
      <c r="J22" s="50"/>
      <c r="K22" s="51">
        <f t="shared" si="8"/>
        <v>0</v>
      </c>
      <c r="L22" s="53">
        <f t="shared" si="9"/>
        <v>0</v>
      </c>
      <c r="M22" s="50">
        <f t="shared" si="10"/>
        <v>0</v>
      </c>
      <c r="N22" s="50">
        <f t="shared" si="11"/>
        <v>0</v>
      </c>
      <c r="O22" s="50">
        <f t="shared" si="12"/>
        <v>0</v>
      </c>
      <c r="P22" s="78">
        <f t="shared" si="13"/>
        <v>0</v>
      </c>
      <c r="Q22" s="261"/>
      <c r="R22" s="263"/>
      <c r="S22" s="263"/>
      <c r="T22" s="263"/>
      <c r="U22" s="263"/>
      <c r="V22" s="263"/>
      <c r="W22" s="263"/>
      <c r="X22" s="263"/>
      <c r="Y22" s="263"/>
      <c r="Z22" s="263"/>
    </row>
    <row r="23" spans="1:26" x14ac:dyDescent="0.25">
      <c r="A23" s="79">
        <f>IF(COUNTBLANK(B23)=1," ",COUNTA($B$13:B23))</f>
        <v>4</v>
      </c>
      <c r="B23" s="129" t="s">
        <v>58</v>
      </c>
      <c r="C23" s="130" t="s">
        <v>114</v>
      </c>
      <c r="D23" s="18" t="s">
        <v>85</v>
      </c>
      <c r="E23" s="468">
        <v>1</v>
      </c>
      <c r="F23" s="53"/>
      <c r="G23" s="50"/>
      <c r="H23" s="50">
        <f t="shared" si="7"/>
        <v>0</v>
      </c>
      <c r="I23" s="50"/>
      <c r="J23" s="50"/>
      <c r="K23" s="51">
        <f t="shared" si="8"/>
        <v>0</v>
      </c>
      <c r="L23" s="53">
        <f t="shared" si="9"/>
        <v>0</v>
      </c>
      <c r="M23" s="50">
        <f t="shared" si="10"/>
        <v>0</v>
      </c>
      <c r="N23" s="50">
        <f t="shared" si="11"/>
        <v>0</v>
      </c>
      <c r="O23" s="50">
        <f t="shared" si="12"/>
        <v>0</v>
      </c>
      <c r="P23" s="78">
        <f t="shared" si="13"/>
        <v>0</v>
      </c>
      <c r="Q23" s="261"/>
      <c r="R23" s="263"/>
      <c r="S23" s="263"/>
      <c r="T23" s="263"/>
      <c r="U23" s="263"/>
      <c r="V23" s="263"/>
      <c r="W23" s="263"/>
      <c r="X23" s="263"/>
      <c r="Y23" s="263"/>
      <c r="Z23" s="263"/>
    </row>
    <row r="24" spans="1:26" x14ac:dyDescent="0.25">
      <c r="A24" s="79">
        <f>IF(COUNTBLANK(B24)=1," ",COUNTA($B$13:B24))</f>
        <v>5</v>
      </c>
      <c r="B24" s="129" t="s">
        <v>58</v>
      </c>
      <c r="C24" s="130" t="s">
        <v>115</v>
      </c>
      <c r="D24" s="18" t="s">
        <v>85</v>
      </c>
      <c r="E24" s="468">
        <v>1</v>
      </c>
      <c r="F24" s="53"/>
      <c r="G24" s="50"/>
      <c r="H24" s="50">
        <f t="shared" si="7"/>
        <v>0</v>
      </c>
      <c r="I24" s="50"/>
      <c r="J24" s="50"/>
      <c r="K24" s="51">
        <f t="shared" si="8"/>
        <v>0</v>
      </c>
      <c r="L24" s="53">
        <f t="shared" si="9"/>
        <v>0</v>
      </c>
      <c r="M24" s="50">
        <f t="shared" si="10"/>
        <v>0</v>
      </c>
      <c r="N24" s="50">
        <f t="shared" si="11"/>
        <v>0</v>
      </c>
      <c r="O24" s="50">
        <f t="shared" si="12"/>
        <v>0</v>
      </c>
      <c r="P24" s="78">
        <f t="shared" si="13"/>
        <v>0</v>
      </c>
      <c r="Q24" s="261"/>
      <c r="R24" s="263"/>
      <c r="S24" s="263"/>
      <c r="T24" s="263"/>
      <c r="U24" s="263"/>
      <c r="V24" s="263"/>
      <c r="W24" s="263"/>
      <c r="X24" s="263"/>
      <c r="Y24" s="263"/>
      <c r="Z24" s="263"/>
    </row>
    <row r="25" spans="1:26" x14ac:dyDescent="0.25">
      <c r="A25" s="79">
        <f>IF(COUNTBLANK(B25)=1," ",COUNTA($B$13:B25))</f>
        <v>6</v>
      </c>
      <c r="B25" s="129" t="s">
        <v>58</v>
      </c>
      <c r="C25" s="130" t="s">
        <v>93</v>
      </c>
      <c r="D25" s="18" t="s">
        <v>85</v>
      </c>
      <c r="E25" s="468">
        <v>1</v>
      </c>
      <c r="F25" s="53"/>
      <c r="G25" s="50"/>
      <c r="H25" s="50">
        <f t="shared" si="7"/>
        <v>0</v>
      </c>
      <c r="I25" s="50"/>
      <c r="J25" s="50"/>
      <c r="K25" s="51">
        <f t="shared" si="8"/>
        <v>0</v>
      </c>
      <c r="L25" s="53">
        <f t="shared" si="9"/>
        <v>0</v>
      </c>
      <c r="M25" s="50">
        <f t="shared" si="10"/>
        <v>0</v>
      </c>
      <c r="N25" s="50">
        <f t="shared" si="11"/>
        <v>0</v>
      </c>
      <c r="O25" s="50">
        <f t="shared" si="12"/>
        <v>0</v>
      </c>
      <c r="P25" s="78">
        <f t="shared" si="13"/>
        <v>0</v>
      </c>
      <c r="Q25" s="261"/>
      <c r="R25" s="263"/>
      <c r="S25" s="263"/>
      <c r="T25" s="263"/>
      <c r="U25" s="263"/>
      <c r="V25" s="263"/>
      <c r="W25" s="263"/>
      <c r="X25" s="263"/>
      <c r="Y25" s="263"/>
      <c r="Z25" s="263"/>
    </row>
    <row r="26" spans="1:26" ht="56.25" x14ac:dyDescent="0.25">
      <c r="A26" s="79">
        <f>IF(COUNTBLANK(B26)=1," ",COUNTA($B$13:B26))</f>
        <v>7</v>
      </c>
      <c r="B26" s="129" t="s">
        <v>58</v>
      </c>
      <c r="C26" s="130" t="s">
        <v>364</v>
      </c>
      <c r="D26" s="18" t="s">
        <v>141</v>
      </c>
      <c r="E26" s="468">
        <v>3</v>
      </c>
      <c r="F26" s="53"/>
      <c r="G26" s="50"/>
      <c r="H26" s="50">
        <f t="shared" si="7"/>
        <v>0</v>
      </c>
      <c r="I26" s="50"/>
      <c r="J26" s="50"/>
      <c r="K26" s="51">
        <f t="shared" si="8"/>
        <v>0</v>
      </c>
      <c r="L26" s="53">
        <f t="shared" si="9"/>
        <v>0</v>
      </c>
      <c r="M26" s="50">
        <f t="shared" si="10"/>
        <v>0</v>
      </c>
      <c r="N26" s="50">
        <f t="shared" si="11"/>
        <v>0</v>
      </c>
      <c r="O26" s="50">
        <f t="shared" si="12"/>
        <v>0</v>
      </c>
      <c r="P26" s="78">
        <f t="shared" si="13"/>
        <v>0</v>
      </c>
      <c r="Q26" s="261"/>
      <c r="R26" s="263"/>
      <c r="S26" s="263"/>
      <c r="T26" s="263"/>
      <c r="U26" s="263"/>
      <c r="V26" s="263"/>
      <c r="W26" s="263"/>
      <c r="X26" s="263"/>
      <c r="Y26" s="263"/>
      <c r="Z26" s="263"/>
    </row>
    <row r="27" spans="1:26" x14ac:dyDescent="0.25">
      <c r="A27" s="79" t="str">
        <f>IF(COUNTBLANK(B27)=1," ",COUNTA($B$13:B27))</f>
        <v xml:space="preserve"> </v>
      </c>
      <c r="B27" s="129"/>
      <c r="C27" s="137" t="s">
        <v>116</v>
      </c>
      <c r="D27" s="18"/>
      <c r="E27" s="468"/>
      <c r="F27" s="53"/>
      <c r="G27" s="50"/>
      <c r="H27" s="50">
        <f t="shared" si="7"/>
        <v>0</v>
      </c>
      <c r="I27" s="50"/>
      <c r="J27" s="50"/>
      <c r="K27" s="51">
        <f t="shared" si="8"/>
        <v>0</v>
      </c>
      <c r="L27" s="53">
        <f t="shared" si="9"/>
        <v>0</v>
      </c>
      <c r="M27" s="50">
        <f t="shared" si="10"/>
        <v>0</v>
      </c>
      <c r="N27" s="50">
        <f t="shared" si="11"/>
        <v>0</v>
      </c>
      <c r="O27" s="50">
        <f t="shared" si="12"/>
        <v>0</v>
      </c>
      <c r="P27" s="78">
        <f t="shared" si="13"/>
        <v>0</v>
      </c>
      <c r="Q27" s="261"/>
      <c r="R27" s="263"/>
      <c r="S27" s="263"/>
      <c r="T27" s="263"/>
      <c r="U27" s="263"/>
      <c r="V27" s="263"/>
      <c r="W27" s="263"/>
      <c r="X27" s="263"/>
      <c r="Y27" s="263"/>
      <c r="Z27" s="263"/>
    </row>
    <row r="28" spans="1:26" x14ac:dyDescent="0.25">
      <c r="A28" s="79">
        <f>IF(COUNTBLANK(B28)=1," ",COUNTA($B$13:B28))</f>
        <v>8</v>
      </c>
      <c r="B28" s="129" t="s">
        <v>58</v>
      </c>
      <c r="C28" s="130" t="s">
        <v>117</v>
      </c>
      <c r="D28" s="18" t="s">
        <v>59</v>
      </c>
      <c r="E28" s="468">
        <v>82.5</v>
      </c>
      <c r="F28" s="53"/>
      <c r="G28" s="50"/>
      <c r="H28" s="50">
        <f t="shared" si="7"/>
        <v>0</v>
      </c>
      <c r="I28" s="50"/>
      <c r="J28" s="50"/>
      <c r="K28" s="51">
        <f t="shared" si="8"/>
        <v>0</v>
      </c>
      <c r="L28" s="53">
        <f t="shared" si="9"/>
        <v>0</v>
      </c>
      <c r="M28" s="50">
        <f t="shared" si="10"/>
        <v>0</v>
      </c>
      <c r="N28" s="50">
        <f t="shared" si="11"/>
        <v>0</v>
      </c>
      <c r="O28" s="50">
        <f t="shared" si="12"/>
        <v>0</v>
      </c>
      <c r="P28" s="78">
        <f t="shared" si="13"/>
        <v>0</v>
      </c>
      <c r="Q28" s="261"/>
      <c r="R28" s="263"/>
      <c r="S28" s="263"/>
      <c r="T28" s="263"/>
      <c r="U28" s="263"/>
      <c r="V28" s="263"/>
      <c r="W28" s="263"/>
      <c r="X28" s="263"/>
      <c r="Y28" s="263"/>
      <c r="Z28" s="263"/>
    </row>
    <row r="29" spans="1:26" x14ac:dyDescent="0.25">
      <c r="A29" s="79">
        <f>IF(COUNTBLANK(B29)=1," ",COUNTA($B$13:B29))</f>
        <v>9</v>
      </c>
      <c r="B29" s="129" t="s">
        <v>58</v>
      </c>
      <c r="C29" s="130" t="s">
        <v>118</v>
      </c>
      <c r="D29" s="18" t="s">
        <v>63</v>
      </c>
      <c r="E29" s="468">
        <v>126.4</v>
      </c>
      <c r="F29" s="53"/>
      <c r="G29" s="50"/>
      <c r="H29" s="50">
        <f t="shared" si="7"/>
        <v>0</v>
      </c>
      <c r="I29" s="50"/>
      <c r="J29" s="50"/>
      <c r="K29" s="51">
        <f t="shared" si="8"/>
        <v>0</v>
      </c>
      <c r="L29" s="53">
        <f t="shared" si="9"/>
        <v>0</v>
      </c>
      <c r="M29" s="50">
        <f t="shared" si="10"/>
        <v>0</v>
      </c>
      <c r="N29" s="50">
        <f t="shared" si="11"/>
        <v>0</v>
      </c>
      <c r="O29" s="50">
        <f t="shared" si="12"/>
        <v>0</v>
      </c>
      <c r="P29" s="78">
        <f t="shared" si="13"/>
        <v>0</v>
      </c>
      <c r="Q29" s="261"/>
      <c r="R29" s="263"/>
      <c r="S29" s="263"/>
      <c r="T29" s="263"/>
      <c r="U29" s="263"/>
      <c r="V29" s="263"/>
      <c r="W29" s="263"/>
      <c r="X29" s="263"/>
      <c r="Y29" s="263"/>
      <c r="Z29" s="263"/>
    </row>
    <row r="30" spans="1:26" x14ac:dyDescent="0.25">
      <c r="A30" s="79">
        <f>IF(COUNTBLANK(B30)=1," ",COUNTA($B$13:B30))</f>
        <v>10</v>
      </c>
      <c r="B30" s="129" t="s">
        <v>58</v>
      </c>
      <c r="C30" s="130" t="s">
        <v>119</v>
      </c>
      <c r="D30" s="18" t="s">
        <v>61</v>
      </c>
      <c r="E30" s="468">
        <f>ROUNDUP(E29*6,0)</f>
        <v>759</v>
      </c>
      <c r="F30" s="53"/>
      <c r="G30" s="50"/>
      <c r="H30" s="50">
        <f t="shared" si="7"/>
        <v>0</v>
      </c>
      <c r="I30" s="50"/>
      <c r="J30" s="50"/>
      <c r="K30" s="51">
        <f t="shared" si="8"/>
        <v>0</v>
      </c>
      <c r="L30" s="53">
        <f t="shared" si="9"/>
        <v>0</v>
      </c>
      <c r="M30" s="50">
        <f t="shared" si="10"/>
        <v>0</v>
      </c>
      <c r="N30" s="50">
        <f t="shared" si="11"/>
        <v>0</v>
      </c>
      <c r="O30" s="50">
        <f t="shared" si="12"/>
        <v>0</v>
      </c>
      <c r="P30" s="78">
        <f t="shared" si="13"/>
        <v>0</v>
      </c>
      <c r="Q30" s="261"/>
      <c r="R30" s="263"/>
      <c r="S30" s="263"/>
      <c r="T30" s="263"/>
      <c r="U30" s="263"/>
      <c r="V30" s="263"/>
      <c r="W30" s="263"/>
      <c r="X30" s="263"/>
      <c r="Y30" s="263"/>
      <c r="Z30" s="263"/>
    </row>
    <row r="31" spans="1:26" x14ac:dyDescent="0.25">
      <c r="A31" s="79">
        <f>IF(COUNTBLANK(B31)=1," ",COUNTA($B$13:B31))</f>
        <v>11</v>
      </c>
      <c r="B31" s="129" t="s">
        <v>58</v>
      </c>
      <c r="C31" s="130" t="s">
        <v>120</v>
      </c>
      <c r="D31" s="18" t="s">
        <v>63</v>
      </c>
      <c r="E31" s="468">
        <f>E29</f>
        <v>126.4</v>
      </c>
      <c r="F31" s="53"/>
      <c r="G31" s="50"/>
      <c r="H31" s="50">
        <f t="shared" si="7"/>
        <v>0</v>
      </c>
      <c r="I31" s="50"/>
      <c r="J31" s="50"/>
      <c r="K31" s="51">
        <f t="shared" si="8"/>
        <v>0</v>
      </c>
      <c r="L31" s="53">
        <f t="shared" si="9"/>
        <v>0</v>
      </c>
      <c r="M31" s="50">
        <f t="shared" si="10"/>
        <v>0</v>
      </c>
      <c r="N31" s="50">
        <f t="shared" si="11"/>
        <v>0</v>
      </c>
      <c r="O31" s="50">
        <f t="shared" si="12"/>
        <v>0</v>
      </c>
      <c r="P31" s="78">
        <f t="shared" si="13"/>
        <v>0</v>
      </c>
      <c r="Q31" s="261"/>
      <c r="R31" s="263"/>
      <c r="S31" s="263"/>
      <c r="T31" s="263"/>
      <c r="U31" s="263"/>
      <c r="V31" s="263"/>
      <c r="W31" s="263"/>
      <c r="X31" s="263"/>
      <c r="Y31" s="263"/>
      <c r="Z31" s="263"/>
    </row>
    <row r="32" spans="1:26" x14ac:dyDescent="0.25">
      <c r="A32" s="79" t="str">
        <f>IF(COUNTBLANK(B32)=1," ",COUNTA($B$13:B32))</f>
        <v xml:space="preserve"> </v>
      </c>
      <c r="B32" s="129"/>
      <c r="C32" s="130" t="s">
        <v>121</v>
      </c>
      <c r="D32" s="18" t="s">
        <v>64</v>
      </c>
      <c r="E32" s="468">
        <f>E31*20/1000*5*7</f>
        <v>88.48</v>
      </c>
      <c r="F32" s="53"/>
      <c r="G32" s="50"/>
      <c r="H32" s="50">
        <f t="shared" si="7"/>
        <v>0</v>
      </c>
      <c r="I32" s="50"/>
      <c r="J32" s="50"/>
      <c r="K32" s="51">
        <f t="shared" si="8"/>
        <v>0</v>
      </c>
      <c r="L32" s="53">
        <f t="shared" si="9"/>
        <v>0</v>
      </c>
      <c r="M32" s="50">
        <f t="shared" si="10"/>
        <v>0</v>
      </c>
      <c r="N32" s="50">
        <f t="shared" si="11"/>
        <v>0</v>
      </c>
      <c r="O32" s="50">
        <f t="shared" si="12"/>
        <v>0</v>
      </c>
      <c r="P32" s="78">
        <f t="shared" si="13"/>
        <v>0</v>
      </c>
      <c r="Q32" s="261"/>
      <c r="R32" s="263"/>
      <c r="S32" s="263"/>
      <c r="T32" s="263"/>
      <c r="U32" s="263"/>
      <c r="V32" s="263"/>
      <c r="W32" s="263"/>
      <c r="X32" s="263"/>
      <c r="Y32" s="263"/>
      <c r="Z32" s="263"/>
    </row>
    <row r="33" spans="1:26" ht="33.75" x14ac:dyDescent="0.25">
      <c r="A33" s="79">
        <f>IF(COUNTBLANK(B33)=1," ",COUNTA($B$13:B33))</f>
        <v>12</v>
      </c>
      <c r="B33" s="129" t="s">
        <v>58</v>
      </c>
      <c r="C33" s="340" t="s">
        <v>122</v>
      </c>
      <c r="D33" s="115" t="s">
        <v>63</v>
      </c>
      <c r="E33" s="469">
        <v>356</v>
      </c>
      <c r="F33" s="257"/>
      <c r="G33" s="258"/>
      <c r="H33" s="258">
        <f t="shared" si="7"/>
        <v>0</v>
      </c>
      <c r="I33" s="258"/>
      <c r="J33" s="258"/>
      <c r="K33" s="259">
        <f t="shared" si="8"/>
        <v>0</v>
      </c>
      <c r="L33" s="257">
        <f t="shared" si="9"/>
        <v>0</v>
      </c>
      <c r="M33" s="258">
        <f t="shared" si="10"/>
        <v>0</v>
      </c>
      <c r="N33" s="258">
        <f t="shared" si="11"/>
        <v>0</v>
      </c>
      <c r="O33" s="258">
        <f t="shared" si="12"/>
        <v>0</v>
      </c>
      <c r="P33" s="260">
        <f t="shared" si="13"/>
        <v>0</v>
      </c>
      <c r="Q33" s="262"/>
      <c r="R33" s="263"/>
      <c r="S33" s="263"/>
      <c r="T33" s="263"/>
      <c r="U33" s="263"/>
      <c r="V33" s="263"/>
      <c r="W33" s="263"/>
      <c r="X33" s="263"/>
      <c r="Y33" s="263"/>
      <c r="Z33" s="263"/>
    </row>
    <row r="34" spans="1:26" x14ac:dyDescent="0.25">
      <c r="A34" s="79" t="str">
        <f>IF(COUNTBLANK(B34)=1," ",COUNTA($B$13:B34))</f>
        <v xml:space="preserve"> </v>
      </c>
      <c r="B34" s="129"/>
      <c r="C34" s="340" t="s">
        <v>365</v>
      </c>
      <c r="D34" s="115" t="s">
        <v>64</v>
      </c>
      <c r="E34" s="469">
        <f>E33*0.25</f>
        <v>89</v>
      </c>
      <c r="F34" s="257"/>
      <c r="G34" s="258"/>
      <c r="H34" s="258">
        <f t="shared" si="7"/>
        <v>0</v>
      </c>
      <c r="I34" s="258"/>
      <c r="J34" s="258"/>
      <c r="K34" s="259">
        <f t="shared" si="8"/>
        <v>0</v>
      </c>
      <c r="L34" s="257">
        <f t="shared" si="9"/>
        <v>0</v>
      </c>
      <c r="M34" s="258">
        <f t="shared" si="10"/>
        <v>0</v>
      </c>
      <c r="N34" s="258">
        <f t="shared" si="11"/>
        <v>0</v>
      </c>
      <c r="O34" s="258">
        <f t="shared" si="12"/>
        <v>0</v>
      </c>
      <c r="P34" s="260">
        <f t="shared" si="13"/>
        <v>0</v>
      </c>
      <c r="Q34" s="262"/>
      <c r="R34" s="263"/>
      <c r="S34" s="263"/>
      <c r="T34" s="263"/>
      <c r="U34" s="263"/>
      <c r="V34" s="263"/>
      <c r="W34" s="263"/>
      <c r="X34" s="263"/>
      <c r="Y34" s="263"/>
      <c r="Z34" s="263"/>
    </row>
    <row r="35" spans="1:26" x14ac:dyDescent="0.25">
      <c r="A35" s="79" t="str">
        <f>IF(COUNTBLANK(B35)=1," ",COUNTA($B$13:B35))</f>
        <v xml:space="preserve"> </v>
      </c>
      <c r="B35" s="129"/>
      <c r="C35" s="340" t="s">
        <v>366</v>
      </c>
      <c r="D35" s="115" t="s">
        <v>64</v>
      </c>
      <c r="E35" s="469">
        <f>E33*5</f>
        <v>1780</v>
      </c>
      <c r="F35" s="257"/>
      <c r="G35" s="258"/>
      <c r="H35" s="258">
        <f t="shared" si="7"/>
        <v>0</v>
      </c>
      <c r="I35" s="258"/>
      <c r="J35" s="258"/>
      <c r="K35" s="259">
        <f t="shared" si="8"/>
        <v>0</v>
      </c>
      <c r="L35" s="257">
        <f t="shared" si="9"/>
        <v>0</v>
      </c>
      <c r="M35" s="258">
        <f t="shared" si="10"/>
        <v>0</v>
      </c>
      <c r="N35" s="258">
        <f t="shared" si="11"/>
        <v>0</v>
      </c>
      <c r="O35" s="258">
        <f t="shared" si="12"/>
        <v>0</v>
      </c>
      <c r="P35" s="260">
        <f t="shared" si="13"/>
        <v>0</v>
      </c>
      <c r="Q35" s="262"/>
      <c r="R35" s="263"/>
      <c r="S35" s="263"/>
      <c r="T35" s="263"/>
      <c r="U35" s="263"/>
      <c r="V35" s="263"/>
      <c r="W35" s="263"/>
      <c r="X35" s="263"/>
      <c r="Y35" s="263"/>
      <c r="Z35" s="263"/>
    </row>
    <row r="36" spans="1:26" ht="33.75" x14ac:dyDescent="0.25">
      <c r="A36" s="79">
        <f>IF(COUNTBLANK(B36)=1," ",COUNTA($B$13:B36))</f>
        <v>13</v>
      </c>
      <c r="B36" s="129" t="s">
        <v>123</v>
      </c>
      <c r="C36" s="131" t="s">
        <v>403</v>
      </c>
      <c r="D36" s="115" t="s">
        <v>63</v>
      </c>
      <c r="E36" s="469">
        <f>E33*1.15</f>
        <v>409.4</v>
      </c>
      <c r="F36" s="257"/>
      <c r="G36" s="258"/>
      <c r="H36" s="258">
        <f t="shared" si="7"/>
        <v>0</v>
      </c>
      <c r="I36" s="258"/>
      <c r="J36" s="258"/>
      <c r="K36" s="259">
        <f t="shared" si="8"/>
        <v>0</v>
      </c>
      <c r="L36" s="257">
        <f t="shared" si="9"/>
        <v>0</v>
      </c>
      <c r="M36" s="258">
        <f t="shared" si="10"/>
        <v>0</v>
      </c>
      <c r="N36" s="258">
        <f t="shared" si="11"/>
        <v>0</v>
      </c>
      <c r="O36" s="258">
        <f t="shared" si="12"/>
        <v>0</v>
      </c>
      <c r="P36" s="260">
        <f t="shared" si="13"/>
        <v>0</v>
      </c>
      <c r="Q36" s="262"/>
      <c r="R36" s="263"/>
      <c r="S36" s="264"/>
      <c r="T36" s="264"/>
      <c r="U36" s="264"/>
      <c r="V36" s="264"/>
      <c r="W36" s="264"/>
      <c r="X36" s="263"/>
      <c r="Y36" s="263"/>
      <c r="Z36" s="263"/>
    </row>
    <row r="37" spans="1:26" ht="45" x14ac:dyDescent="0.25">
      <c r="A37" s="79" t="str">
        <f>IF(COUNTBLANK(B37)=1," ",COUNTA($B$13:B37))</f>
        <v xml:space="preserve"> </v>
      </c>
      <c r="B37" s="129"/>
      <c r="C37" s="340" t="s">
        <v>124</v>
      </c>
      <c r="D37" s="115" t="s">
        <v>85</v>
      </c>
      <c r="E37" s="469">
        <f>ROUNDUP(E33*7,0)</f>
        <v>2492</v>
      </c>
      <c r="F37" s="257"/>
      <c r="G37" s="258"/>
      <c r="H37" s="258">
        <f t="shared" si="7"/>
        <v>0</v>
      </c>
      <c r="I37" s="258"/>
      <c r="J37" s="258"/>
      <c r="K37" s="259">
        <f t="shared" si="8"/>
        <v>0</v>
      </c>
      <c r="L37" s="257">
        <f t="shared" si="9"/>
        <v>0</v>
      </c>
      <c r="M37" s="258">
        <f t="shared" si="10"/>
        <v>0</v>
      </c>
      <c r="N37" s="258">
        <f t="shared" si="11"/>
        <v>0</v>
      </c>
      <c r="O37" s="258">
        <f t="shared" si="12"/>
        <v>0</v>
      </c>
      <c r="P37" s="260">
        <f t="shared" si="13"/>
        <v>0</v>
      </c>
      <c r="Q37" s="262"/>
      <c r="R37" s="263"/>
      <c r="S37" s="264"/>
      <c r="T37" s="264"/>
      <c r="U37" s="264"/>
      <c r="V37" s="264"/>
      <c r="W37" s="264"/>
      <c r="X37" s="263"/>
      <c r="Y37" s="263"/>
      <c r="Z37" s="263"/>
    </row>
    <row r="38" spans="1:26" x14ac:dyDescent="0.25">
      <c r="A38" s="79" t="str">
        <f>IF(COUNTBLANK(B38)=1," ",COUNTA($B$13:B38))</f>
        <v xml:space="preserve"> </v>
      </c>
      <c r="B38" s="129"/>
      <c r="C38" s="340" t="s">
        <v>366</v>
      </c>
      <c r="D38" s="115" t="s">
        <v>64</v>
      </c>
      <c r="E38" s="469">
        <f>E33*5</f>
        <v>1780</v>
      </c>
      <c r="F38" s="257"/>
      <c r="G38" s="258"/>
      <c r="H38" s="258">
        <f t="shared" si="7"/>
        <v>0</v>
      </c>
      <c r="I38" s="258"/>
      <c r="J38" s="258"/>
      <c r="K38" s="259">
        <f t="shared" si="8"/>
        <v>0</v>
      </c>
      <c r="L38" s="257">
        <f t="shared" si="9"/>
        <v>0</v>
      </c>
      <c r="M38" s="258">
        <f t="shared" si="10"/>
        <v>0</v>
      </c>
      <c r="N38" s="258">
        <f t="shared" si="11"/>
        <v>0</v>
      </c>
      <c r="O38" s="258">
        <f t="shared" si="12"/>
        <v>0</v>
      </c>
      <c r="P38" s="260">
        <f t="shared" si="13"/>
        <v>0</v>
      </c>
      <c r="Q38" s="262"/>
      <c r="R38" s="263"/>
      <c r="S38" s="263"/>
      <c r="T38" s="263"/>
      <c r="U38" s="263"/>
      <c r="V38" s="263"/>
      <c r="W38" s="263"/>
      <c r="X38" s="263"/>
      <c r="Y38" s="263"/>
      <c r="Z38" s="263"/>
    </row>
    <row r="39" spans="1:26" x14ac:dyDescent="0.25">
      <c r="A39" s="79" t="str">
        <f>IF(COUNTBLANK(B39)=1," ",COUNTA($B$13:B39))</f>
        <v xml:space="preserve"> </v>
      </c>
      <c r="B39" s="129"/>
      <c r="C39" s="340" t="s">
        <v>125</v>
      </c>
      <c r="D39" s="115" t="s">
        <v>63</v>
      </c>
      <c r="E39" s="469">
        <f>E33*1.1</f>
        <v>391.6</v>
      </c>
      <c r="F39" s="257"/>
      <c r="G39" s="258"/>
      <c r="H39" s="258">
        <f t="shared" si="7"/>
        <v>0</v>
      </c>
      <c r="I39" s="258"/>
      <c r="J39" s="258"/>
      <c r="K39" s="259">
        <f t="shared" si="8"/>
        <v>0</v>
      </c>
      <c r="L39" s="257">
        <f t="shared" si="9"/>
        <v>0</v>
      </c>
      <c r="M39" s="258">
        <f t="shared" si="10"/>
        <v>0</v>
      </c>
      <c r="N39" s="258">
        <f t="shared" si="11"/>
        <v>0</v>
      </c>
      <c r="O39" s="258">
        <f t="shared" si="12"/>
        <v>0</v>
      </c>
      <c r="P39" s="260">
        <f t="shared" si="13"/>
        <v>0</v>
      </c>
      <c r="Q39" s="262"/>
      <c r="R39" s="263"/>
      <c r="S39" s="263"/>
      <c r="T39" s="263"/>
      <c r="U39" s="263"/>
      <c r="V39" s="263"/>
      <c r="W39" s="263"/>
      <c r="X39" s="263"/>
      <c r="Y39" s="263"/>
      <c r="Z39" s="263"/>
    </row>
    <row r="40" spans="1:26" x14ac:dyDescent="0.25">
      <c r="A40" s="79" t="str">
        <f>IF(COUNTBLANK(B40)=1," ",COUNTA($B$13:B40))</f>
        <v xml:space="preserve"> </v>
      </c>
      <c r="B40" s="129"/>
      <c r="C40" s="340" t="s">
        <v>365</v>
      </c>
      <c r="D40" s="115" t="s">
        <v>64</v>
      </c>
      <c r="E40" s="469">
        <f>E33*0.25</f>
        <v>89</v>
      </c>
      <c r="F40" s="257"/>
      <c r="G40" s="258"/>
      <c r="H40" s="258">
        <f t="shared" si="7"/>
        <v>0</v>
      </c>
      <c r="I40" s="258"/>
      <c r="J40" s="258"/>
      <c r="K40" s="259">
        <f t="shared" si="8"/>
        <v>0</v>
      </c>
      <c r="L40" s="257">
        <f t="shared" si="9"/>
        <v>0</v>
      </c>
      <c r="M40" s="258">
        <f t="shared" si="10"/>
        <v>0</v>
      </c>
      <c r="N40" s="258">
        <f t="shared" si="11"/>
        <v>0</v>
      </c>
      <c r="O40" s="258">
        <f t="shared" si="12"/>
        <v>0</v>
      </c>
      <c r="P40" s="260">
        <f t="shared" si="13"/>
        <v>0</v>
      </c>
      <c r="Q40" s="262"/>
      <c r="R40" s="263"/>
      <c r="S40" s="263"/>
      <c r="T40" s="263"/>
      <c r="U40" s="263"/>
      <c r="V40" s="263"/>
      <c r="W40" s="263"/>
      <c r="X40" s="263"/>
      <c r="Y40" s="263"/>
      <c r="Z40" s="263"/>
    </row>
    <row r="41" spans="1:26" x14ac:dyDescent="0.25">
      <c r="A41" s="79" t="str">
        <f>IF(COUNTBLANK(B41)=1," ",COUNTA($B$13:B41))</f>
        <v xml:space="preserve"> </v>
      </c>
      <c r="B41" s="129"/>
      <c r="C41" s="340" t="s">
        <v>366</v>
      </c>
      <c r="D41" s="115" t="s">
        <v>64</v>
      </c>
      <c r="E41" s="469">
        <f>E33*4</f>
        <v>1424</v>
      </c>
      <c r="F41" s="257"/>
      <c r="G41" s="258"/>
      <c r="H41" s="258">
        <f t="shared" si="7"/>
        <v>0</v>
      </c>
      <c r="I41" s="258"/>
      <c r="J41" s="258"/>
      <c r="K41" s="259">
        <f t="shared" si="8"/>
        <v>0</v>
      </c>
      <c r="L41" s="257">
        <f t="shared" si="9"/>
        <v>0</v>
      </c>
      <c r="M41" s="258">
        <f t="shared" si="10"/>
        <v>0</v>
      </c>
      <c r="N41" s="258">
        <f t="shared" si="11"/>
        <v>0</v>
      </c>
      <c r="O41" s="258">
        <f t="shared" si="12"/>
        <v>0</v>
      </c>
      <c r="P41" s="260">
        <f t="shared" si="13"/>
        <v>0</v>
      </c>
      <c r="Q41" s="262"/>
      <c r="R41" s="263"/>
      <c r="S41" s="263"/>
      <c r="T41" s="263"/>
      <c r="U41" s="263"/>
      <c r="V41" s="263"/>
      <c r="W41" s="263"/>
      <c r="X41" s="263"/>
      <c r="Y41" s="263"/>
      <c r="Z41" s="263"/>
    </row>
    <row r="42" spans="1:26" x14ac:dyDescent="0.25">
      <c r="A42" s="79" t="str">
        <f>IF(COUNTBLANK(B42)=1," ",COUNTA($B$13:B42))</f>
        <v xml:space="preserve"> </v>
      </c>
      <c r="B42" s="129"/>
      <c r="C42" s="340" t="s">
        <v>367</v>
      </c>
      <c r="D42" s="115" t="s">
        <v>64</v>
      </c>
      <c r="E42" s="469">
        <f>E33*3.4</f>
        <v>1210.3999999999999</v>
      </c>
      <c r="F42" s="257"/>
      <c r="G42" s="258"/>
      <c r="H42" s="258">
        <f t="shared" si="7"/>
        <v>0</v>
      </c>
      <c r="I42" s="258"/>
      <c r="J42" s="258"/>
      <c r="K42" s="259">
        <f t="shared" si="8"/>
        <v>0</v>
      </c>
      <c r="L42" s="257">
        <f t="shared" si="9"/>
        <v>0</v>
      </c>
      <c r="M42" s="258">
        <f t="shared" si="10"/>
        <v>0</v>
      </c>
      <c r="N42" s="258">
        <f t="shared" si="11"/>
        <v>0</v>
      </c>
      <c r="O42" s="258">
        <f t="shared" si="12"/>
        <v>0</v>
      </c>
      <c r="P42" s="260">
        <f t="shared" si="13"/>
        <v>0</v>
      </c>
      <c r="Q42" s="262"/>
      <c r="R42" s="263"/>
      <c r="S42" s="263"/>
      <c r="T42" s="263"/>
      <c r="U42" s="263"/>
      <c r="V42" s="263"/>
      <c r="W42" s="263"/>
      <c r="X42" s="263"/>
      <c r="Y42" s="263"/>
      <c r="Z42" s="263"/>
    </row>
    <row r="43" spans="1:26" x14ac:dyDescent="0.25">
      <c r="A43" s="261">
        <f>IF(COUNTBLANK(B43)=1," ",COUNTA($B$13:B43))</f>
        <v>14</v>
      </c>
      <c r="B43" s="139" t="s">
        <v>58</v>
      </c>
      <c r="C43" s="340" t="s">
        <v>459</v>
      </c>
      <c r="D43" s="115" t="s">
        <v>63</v>
      </c>
      <c r="E43" s="470">
        <f>apjomi!O12</f>
        <v>307.31939999999992</v>
      </c>
      <c r="F43" s="228"/>
      <c r="G43" s="229"/>
      <c r="H43" s="229">
        <f t="shared" si="7"/>
        <v>0</v>
      </c>
      <c r="I43" s="229"/>
      <c r="J43" s="229"/>
      <c r="K43" s="230">
        <f t="shared" si="8"/>
        <v>0</v>
      </c>
      <c r="L43" s="228">
        <f t="shared" si="9"/>
        <v>0</v>
      </c>
      <c r="M43" s="229">
        <f t="shared" si="10"/>
        <v>0</v>
      </c>
      <c r="N43" s="229">
        <f t="shared" si="11"/>
        <v>0</v>
      </c>
      <c r="O43" s="229">
        <f t="shared" si="12"/>
        <v>0</v>
      </c>
      <c r="P43" s="231">
        <f t="shared" si="13"/>
        <v>0</v>
      </c>
      <c r="Q43" s="261"/>
      <c r="R43" s="263"/>
      <c r="S43" s="264"/>
      <c r="T43" s="264"/>
      <c r="U43" s="264"/>
      <c r="V43" s="264"/>
      <c r="W43" s="264"/>
      <c r="X43" s="263"/>
      <c r="Y43" s="263"/>
      <c r="Z43" s="263"/>
    </row>
    <row r="44" spans="1:26" x14ac:dyDescent="0.25">
      <c r="A44" s="79"/>
      <c r="B44" s="129"/>
      <c r="C44" s="130" t="s">
        <v>365</v>
      </c>
      <c r="D44" s="18" t="s">
        <v>64</v>
      </c>
      <c r="E44" s="468">
        <f>E43*1</f>
        <v>307.31939999999992</v>
      </c>
      <c r="F44" s="228"/>
      <c r="G44" s="229"/>
      <c r="H44" s="229">
        <f t="shared" si="7"/>
        <v>0</v>
      </c>
      <c r="I44" s="229"/>
      <c r="J44" s="229"/>
      <c r="K44" s="230">
        <f t="shared" si="8"/>
        <v>0</v>
      </c>
      <c r="L44" s="228">
        <f t="shared" si="9"/>
        <v>0</v>
      </c>
      <c r="M44" s="229">
        <f t="shared" si="10"/>
        <v>0</v>
      </c>
      <c r="N44" s="229">
        <f t="shared" si="11"/>
        <v>0</v>
      </c>
      <c r="O44" s="229">
        <f t="shared" si="12"/>
        <v>0</v>
      </c>
      <c r="P44" s="231">
        <f t="shared" si="13"/>
        <v>0</v>
      </c>
      <c r="Q44" s="261"/>
      <c r="R44" s="263"/>
      <c r="S44" s="264"/>
      <c r="T44" s="264"/>
      <c r="U44" s="264"/>
      <c r="V44" s="264"/>
      <c r="W44" s="264"/>
      <c r="X44" s="263"/>
      <c r="Y44" s="263"/>
      <c r="Z44" s="263"/>
    </row>
    <row r="45" spans="1:26" x14ac:dyDescent="0.25">
      <c r="A45" s="79" t="str">
        <f>IF(COUNTBLANK(B45)=1," ",COUNTA($B$13:B45))</f>
        <v xml:space="preserve"> </v>
      </c>
      <c r="B45" s="129"/>
      <c r="C45" s="130" t="s">
        <v>368</v>
      </c>
      <c r="D45" s="18" t="s">
        <v>64</v>
      </c>
      <c r="E45" s="468">
        <f>E43*20/50*20</f>
        <v>2458.5551999999993</v>
      </c>
      <c r="F45" s="228"/>
      <c r="G45" s="229"/>
      <c r="H45" s="229">
        <f t="shared" si="7"/>
        <v>0</v>
      </c>
      <c r="I45" s="229"/>
      <c r="J45" s="229"/>
      <c r="K45" s="230">
        <f t="shared" si="8"/>
        <v>0</v>
      </c>
      <c r="L45" s="228">
        <f t="shared" si="9"/>
        <v>0</v>
      </c>
      <c r="M45" s="229">
        <f t="shared" si="10"/>
        <v>0</v>
      </c>
      <c r="N45" s="229">
        <f t="shared" si="11"/>
        <v>0</v>
      </c>
      <c r="O45" s="229">
        <f t="shared" si="12"/>
        <v>0</v>
      </c>
      <c r="P45" s="231">
        <f t="shared" si="13"/>
        <v>0</v>
      </c>
      <c r="Q45" s="261"/>
      <c r="R45" s="263"/>
      <c r="S45" s="263"/>
      <c r="T45" s="263"/>
      <c r="U45" s="263"/>
      <c r="V45" s="263"/>
      <c r="W45" s="263"/>
      <c r="X45" s="263"/>
      <c r="Y45" s="263"/>
      <c r="Z45" s="263"/>
    </row>
    <row r="46" spans="1:26" x14ac:dyDescent="0.25">
      <c r="A46" s="79" t="str">
        <f>IF(COUNTBLANK(B46)=1," ",COUNTA($B$13:B46))</f>
        <v xml:space="preserve"> </v>
      </c>
      <c r="B46" s="129"/>
      <c r="C46" s="130" t="s">
        <v>210</v>
      </c>
      <c r="D46" s="18" t="s">
        <v>63</v>
      </c>
      <c r="E46" s="468">
        <f>E43*1.1</f>
        <v>338.05133999999993</v>
      </c>
      <c r="F46" s="228"/>
      <c r="G46" s="229"/>
      <c r="H46" s="229">
        <f t="shared" si="7"/>
        <v>0</v>
      </c>
      <c r="I46" s="229"/>
      <c r="J46" s="229"/>
      <c r="K46" s="230">
        <f t="shared" si="8"/>
        <v>0</v>
      </c>
      <c r="L46" s="228">
        <f t="shared" si="9"/>
        <v>0</v>
      </c>
      <c r="M46" s="229">
        <f t="shared" si="10"/>
        <v>0</v>
      </c>
      <c r="N46" s="229">
        <f t="shared" si="11"/>
        <v>0</v>
      </c>
      <c r="O46" s="229">
        <f t="shared" si="12"/>
        <v>0</v>
      </c>
      <c r="P46" s="231">
        <f t="shared" si="13"/>
        <v>0</v>
      </c>
      <c r="Q46" s="261"/>
      <c r="R46" s="263"/>
      <c r="S46" s="263"/>
      <c r="T46" s="263"/>
      <c r="U46" s="263"/>
      <c r="V46" s="263"/>
      <c r="W46" s="263"/>
      <c r="X46" s="263"/>
      <c r="Y46" s="263"/>
      <c r="Z46" s="263"/>
    </row>
    <row r="47" spans="1:26" ht="22.5" x14ac:dyDescent="0.25">
      <c r="A47" s="79" t="str">
        <f>IF(COUNTBLANK(B47)=1," ",COUNTA($B$13:B47))</f>
        <v xml:space="preserve"> </v>
      </c>
      <c r="B47" s="129"/>
      <c r="C47" s="130" t="s">
        <v>211</v>
      </c>
      <c r="D47" s="18" t="s">
        <v>64</v>
      </c>
      <c r="E47" s="468">
        <f>E43*20/50*10</f>
        <v>1229.2775999999997</v>
      </c>
      <c r="F47" s="228"/>
      <c r="G47" s="229"/>
      <c r="H47" s="229">
        <f t="shared" si="7"/>
        <v>0</v>
      </c>
      <c r="I47" s="229"/>
      <c r="J47" s="229"/>
      <c r="K47" s="230">
        <f t="shared" si="8"/>
        <v>0</v>
      </c>
      <c r="L47" s="228">
        <f t="shared" si="9"/>
        <v>0</v>
      </c>
      <c r="M47" s="229">
        <f t="shared" si="10"/>
        <v>0</v>
      </c>
      <c r="N47" s="229">
        <f t="shared" si="11"/>
        <v>0</v>
      </c>
      <c r="O47" s="229">
        <f t="shared" si="12"/>
        <v>0</v>
      </c>
      <c r="P47" s="231">
        <f t="shared" si="13"/>
        <v>0</v>
      </c>
      <c r="Q47" s="261"/>
      <c r="R47" s="263"/>
      <c r="S47" s="263"/>
      <c r="T47" s="263"/>
      <c r="U47" s="263"/>
      <c r="V47" s="263"/>
      <c r="W47" s="263"/>
      <c r="X47" s="263"/>
      <c r="Y47" s="263"/>
      <c r="Z47" s="263"/>
    </row>
    <row r="48" spans="1:26" ht="22.5" x14ac:dyDescent="0.25">
      <c r="A48" s="79"/>
      <c r="B48" s="129"/>
      <c r="C48" s="130" t="s">
        <v>369</v>
      </c>
      <c r="D48" s="18" t="s">
        <v>64</v>
      </c>
      <c r="E48" s="468">
        <f>E43*3.8</f>
        <v>1167.8137199999996</v>
      </c>
      <c r="F48" s="228"/>
      <c r="G48" s="229"/>
      <c r="H48" s="229">
        <f t="shared" si="7"/>
        <v>0</v>
      </c>
      <c r="I48" s="229"/>
      <c r="J48" s="229"/>
      <c r="K48" s="230">
        <f t="shared" si="8"/>
        <v>0</v>
      </c>
      <c r="L48" s="228">
        <f t="shared" si="9"/>
        <v>0</v>
      </c>
      <c r="M48" s="229">
        <f t="shared" si="10"/>
        <v>0</v>
      </c>
      <c r="N48" s="229">
        <f t="shared" si="11"/>
        <v>0</v>
      </c>
      <c r="O48" s="229">
        <f t="shared" si="12"/>
        <v>0</v>
      </c>
      <c r="P48" s="231">
        <f t="shared" si="13"/>
        <v>0</v>
      </c>
      <c r="Q48" s="261"/>
      <c r="R48" s="263"/>
      <c r="S48" s="263"/>
      <c r="T48" s="263"/>
      <c r="U48" s="263"/>
      <c r="V48" s="263"/>
      <c r="W48" s="263"/>
      <c r="X48" s="263"/>
      <c r="Y48" s="263"/>
      <c r="Z48" s="263"/>
    </row>
    <row r="49" spans="1:26" ht="33.75" x14ac:dyDescent="0.25">
      <c r="A49" s="79">
        <f>IF(COUNTBLANK(B49)=1," ",COUNTA($B$13:B49))</f>
        <v>15</v>
      </c>
      <c r="B49" s="129" t="s">
        <v>123</v>
      </c>
      <c r="C49" s="131" t="s">
        <v>212</v>
      </c>
      <c r="D49" s="18" t="s">
        <v>63</v>
      </c>
      <c r="E49" s="471">
        <v>2080</v>
      </c>
      <c r="F49" s="53"/>
      <c r="G49" s="50"/>
      <c r="H49" s="50">
        <f t="shared" si="7"/>
        <v>0</v>
      </c>
      <c r="I49" s="50"/>
      <c r="J49" s="50"/>
      <c r="K49" s="51">
        <f t="shared" si="8"/>
        <v>0</v>
      </c>
      <c r="L49" s="53">
        <f t="shared" si="9"/>
        <v>0</v>
      </c>
      <c r="M49" s="50">
        <f t="shared" si="10"/>
        <v>0</v>
      </c>
      <c r="N49" s="50">
        <f t="shared" si="11"/>
        <v>0</v>
      </c>
      <c r="O49" s="50">
        <f t="shared" si="12"/>
        <v>0</v>
      </c>
      <c r="P49" s="78">
        <f t="shared" si="13"/>
        <v>0</v>
      </c>
      <c r="Q49" s="262"/>
      <c r="R49" s="263"/>
      <c r="S49" s="263"/>
      <c r="T49" s="263"/>
      <c r="U49" s="263"/>
      <c r="V49" s="263"/>
      <c r="W49" s="263"/>
      <c r="X49" s="263"/>
      <c r="Y49" s="263"/>
      <c r="Z49" s="263"/>
    </row>
    <row r="50" spans="1:26" x14ac:dyDescent="0.25">
      <c r="A50" s="79"/>
      <c r="B50" s="129"/>
      <c r="C50" s="130" t="s">
        <v>365</v>
      </c>
      <c r="D50" s="18" t="s">
        <v>64</v>
      </c>
      <c r="E50" s="468">
        <f>E49*1</f>
        <v>2080</v>
      </c>
      <c r="F50" s="53"/>
      <c r="G50" s="50"/>
      <c r="H50" s="50">
        <f t="shared" si="7"/>
        <v>0</v>
      </c>
      <c r="I50" s="50"/>
      <c r="J50" s="50"/>
      <c r="K50" s="51">
        <f t="shared" si="8"/>
        <v>0</v>
      </c>
      <c r="L50" s="53">
        <f t="shared" si="9"/>
        <v>0</v>
      </c>
      <c r="M50" s="50">
        <f t="shared" si="10"/>
        <v>0</v>
      </c>
      <c r="N50" s="50">
        <f t="shared" si="11"/>
        <v>0</v>
      </c>
      <c r="O50" s="50">
        <f t="shared" si="12"/>
        <v>0</v>
      </c>
      <c r="P50" s="78">
        <f t="shared" si="13"/>
        <v>0</v>
      </c>
      <c r="Q50" s="261"/>
      <c r="R50" s="263"/>
      <c r="S50" s="263"/>
      <c r="T50" s="263"/>
      <c r="U50" s="263"/>
      <c r="V50" s="263"/>
      <c r="W50" s="263"/>
      <c r="X50" s="263"/>
      <c r="Y50" s="263"/>
      <c r="Z50" s="263"/>
    </row>
    <row r="51" spans="1:26" x14ac:dyDescent="0.25">
      <c r="A51" s="79" t="str">
        <f>IF(COUNTBLANK(B51)=1," ",COUNTA($B$13:B51))</f>
        <v xml:space="preserve"> </v>
      </c>
      <c r="B51" s="129"/>
      <c r="C51" s="130" t="s">
        <v>368</v>
      </c>
      <c r="D51" s="18" t="s">
        <v>64</v>
      </c>
      <c r="E51" s="468">
        <f>E49*20/50*20</f>
        <v>16640</v>
      </c>
      <c r="F51" s="53"/>
      <c r="G51" s="50"/>
      <c r="H51" s="50">
        <f t="shared" si="7"/>
        <v>0</v>
      </c>
      <c r="I51" s="50"/>
      <c r="J51" s="50"/>
      <c r="K51" s="51">
        <f t="shared" si="8"/>
        <v>0</v>
      </c>
      <c r="L51" s="53">
        <f t="shared" si="9"/>
        <v>0</v>
      </c>
      <c r="M51" s="50">
        <f t="shared" si="10"/>
        <v>0</v>
      </c>
      <c r="N51" s="50">
        <f t="shared" si="11"/>
        <v>0</v>
      </c>
      <c r="O51" s="50">
        <f t="shared" si="12"/>
        <v>0</v>
      </c>
      <c r="P51" s="78">
        <f t="shared" si="13"/>
        <v>0</v>
      </c>
      <c r="Q51" s="261"/>
      <c r="R51" s="263"/>
      <c r="S51" s="263"/>
      <c r="T51" s="263"/>
      <c r="U51" s="263"/>
      <c r="V51" s="263"/>
      <c r="W51" s="263"/>
      <c r="X51" s="263"/>
      <c r="Y51" s="263"/>
      <c r="Z51" s="263"/>
    </row>
    <row r="52" spans="1:26" x14ac:dyDescent="0.25">
      <c r="A52" s="79" t="str">
        <f>IF(COUNTBLANK(B52)=1," ",COUNTA($B$13:B52))</f>
        <v xml:space="preserve"> </v>
      </c>
      <c r="B52" s="129"/>
      <c r="C52" s="130" t="s">
        <v>210</v>
      </c>
      <c r="D52" s="18" t="s">
        <v>63</v>
      </c>
      <c r="E52" s="468">
        <f>E49*1.1</f>
        <v>2288</v>
      </c>
      <c r="F52" s="53"/>
      <c r="G52" s="50"/>
      <c r="H52" s="50">
        <f t="shared" si="7"/>
        <v>0</v>
      </c>
      <c r="I52" s="50"/>
      <c r="J52" s="50"/>
      <c r="K52" s="51">
        <f t="shared" si="8"/>
        <v>0</v>
      </c>
      <c r="L52" s="53">
        <f t="shared" si="9"/>
        <v>0</v>
      </c>
      <c r="M52" s="50">
        <f t="shared" si="10"/>
        <v>0</v>
      </c>
      <c r="N52" s="50">
        <f t="shared" si="11"/>
        <v>0</v>
      </c>
      <c r="O52" s="50">
        <f t="shared" si="12"/>
        <v>0</v>
      </c>
      <c r="P52" s="78">
        <f t="shared" si="13"/>
        <v>0</v>
      </c>
      <c r="Q52" s="261"/>
      <c r="R52" s="263"/>
      <c r="S52" s="263"/>
      <c r="T52" s="263"/>
      <c r="U52" s="263"/>
      <c r="V52" s="263"/>
      <c r="W52" s="263"/>
      <c r="X52" s="263"/>
      <c r="Y52" s="263"/>
      <c r="Z52" s="263"/>
    </row>
    <row r="53" spans="1:26" ht="22.5" x14ac:dyDescent="0.25">
      <c r="A53" s="79" t="str">
        <f>IF(COUNTBLANK(B53)=1," ",COUNTA($B$13:B53))</f>
        <v xml:space="preserve"> </v>
      </c>
      <c r="B53" s="129"/>
      <c r="C53" s="130" t="s">
        <v>211</v>
      </c>
      <c r="D53" s="18" t="s">
        <v>64</v>
      </c>
      <c r="E53" s="468">
        <f>E49*20/50*10</f>
        <v>8320</v>
      </c>
      <c r="F53" s="53"/>
      <c r="G53" s="50"/>
      <c r="H53" s="50">
        <f t="shared" si="7"/>
        <v>0</v>
      </c>
      <c r="I53" s="50"/>
      <c r="J53" s="50"/>
      <c r="K53" s="51">
        <f t="shared" si="8"/>
        <v>0</v>
      </c>
      <c r="L53" s="53">
        <f t="shared" si="9"/>
        <v>0</v>
      </c>
      <c r="M53" s="50">
        <f t="shared" si="10"/>
        <v>0</v>
      </c>
      <c r="N53" s="50">
        <f t="shared" si="11"/>
        <v>0</v>
      </c>
      <c r="O53" s="50">
        <f t="shared" si="12"/>
        <v>0</v>
      </c>
      <c r="P53" s="78">
        <f t="shared" si="13"/>
        <v>0</v>
      </c>
      <c r="Q53" s="261"/>
      <c r="R53" s="263"/>
      <c r="S53" s="263"/>
      <c r="T53" s="263"/>
      <c r="U53" s="263"/>
      <c r="V53" s="263"/>
      <c r="W53" s="263"/>
      <c r="X53" s="263"/>
      <c r="Y53" s="263"/>
      <c r="Z53" s="263"/>
    </row>
    <row r="54" spans="1:26" ht="22.5" x14ac:dyDescent="0.25">
      <c r="A54" s="79"/>
      <c r="B54" s="129"/>
      <c r="C54" s="130" t="s">
        <v>369</v>
      </c>
      <c r="D54" s="18" t="s">
        <v>64</v>
      </c>
      <c r="E54" s="468">
        <f>E49*3.8</f>
        <v>7904</v>
      </c>
      <c r="F54" s="53"/>
      <c r="G54" s="50"/>
      <c r="H54" s="50">
        <f t="shared" si="7"/>
        <v>0</v>
      </c>
      <c r="I54" s="50"/>
      <c r="J54" s="50"/>
      <c r="K54" s="51">
        <f t="shared" si="8"/>
        <v>0</v>
      </c>
      <c r="L54" s="53">
        <f t="shared" si="9"/>
        <v>0</v>
      </c>
      <c r="M54" s="50">
        <f t="shared" si="10"/>
        <v>0</v>
      </c>
      <c r="N54" s="50">
        <f t="shared" si="11"/>
        <v>0</v>
      </c>
      <c r="O54" s="50">
        <f t="shared" si="12"/>
        <v>0</v>
      </c>
      <c r="P54" s="78">
        <f t="shared" si="13"/>
        <v>0</v>
      </c>
      <c r="Q54" s="261"/>
      <c r="R54" s="263"/>
      <c r="S54" s="263"/>
      <c r="T54" s="263"/>
      <c r="U54" s="263"/>
      <c r="V54" s="263"/>
      <c r="W54" s="263"/>
      <c r="X54" s="263"/>
      <c r="Y54" s="263"/>
      <c r="Z54" s="263"/>
    </row>
    <row r="55" spans="1:26" ht="45" x14ac:dyDescent="0.25">
      <c r="A55" s="79">
        <f>IF(COUNTBLANK(B55)=1," ",COUNTA($B$13:B55))</f>
        <v>16</v>
      </c>
      <c r="B55" s="129" t="s">
        <v>58</v>
      </c>
      <c r="C55" s="130" t="s">
        <v>370</v>
      </c>
      <c r="D55" s="18" t="s">
        <v>63</v>
      </c>
      <c r="E55" s="468">
        <f>apjomi!O12</f>
        <v>307.31939999999992</v>
      </c>
      <c r="F55" s="53"/>
      <c r="G55" s="50"/>
      <c r="H55" s="50">
        <f t="shared" si="7"/>
        <v>0</v>
      </c>
      <c r="I55" s="50"/>
      <c r="J55" s="50"/>
      <c r="K55" s="51">
        <f t="shared" si="8"/>
        <v>0</v>
      </c>
      <c r="L55" s="53">
        <f t="shared" si="9"/>
        <v>0</v>
      </c>
      <c r="M55" s="50">
        <f t="shared" si="10"/>
        <v>0</v>
      </c>
      <c r="N55" s="50">
        <f t="shared" si="11"/>
        <v>0</v>
      </c>
      <c r="O55" s="50">
        <f t="shared" si="12"/>
        <v>0</v>
      </c>
      <c r="P55" s="78">
        <f t="shared" si="13"/>
        <v>0</v>
      </c>
      <c r="Q55" s="262"/>
      <c r="R55" s="467"/>
      <c r="S55" s="263"/>
      <c r="T55" s="263"/>
      <c r="U55" s="263"/>
      <c r="V55" s="263"/>
      <c r="W55" s="263"/>
      <c r="X55" s="263"/>
      <c r="Y55" s="263"/>
      <c r="Z55" s="263"/>
    </row>
    <row r="56" spans="1:26" x14ac:dyDescent="0.25">
      <c r="A56" s="79" t="str">
        <f>IF(COUNTBLANK(B56)=1," ",COUNTA($B$13:B56))</f>
        <v xml:space="preserve"> </v>
      </c>
      <c r="B56" s="129"/>
      <c r="C56" s="130" t="s">
        <v>366</v>
      </c>
      <c r="D56" s="18" t="s">
        <v>64</v>
      </c>
      <c r="E56" s="468">
        <f>E55*5</f>
        <v>1536.5969999999995</v>
      </c>
      <c r="F56" s="53"/>
      <c r="G56" s="50"/>
      <c r="H56" s="50">
        <f t="shared" si="7"/>
        <v>0</v>
      </c>
      <c r="I56" s="50"/>
      <c r="J56" s="50"/>
      <c r="K56" s="51">
        <f t="shared" si="8"/>
        <v>0</v>
      </c>
      <c r="L56" s="53">
        <f t="shared" si="9"/>
        <v>0</v>
      </c>
      <c r="M56" s="50">
        <f t="shared" si="10"/>
        <v>0</v>
      </c>
      <c r="N56" s="50">
        <f t="shared" si="11"/>
        <v>0</v>
      </c>
      <c r="O56" s="50">
        <f t="shared" si="12"/>
        <v>0</v>
      </c>
      <c r="P56" s="78">
        <f t="shared" si="13"/>
        <v>0</v>
      </c>
      <c r="Q56" s="262"/>
      <c r="R56" s="263"/>
      <c r="S56" s="263"/>
      <c r="T56" s="263"/>
      <c r="U56" s="263"/>
      <c r="V56" s="263"/>
      <c r="W56" s="263"/>
      <c r="X56" s="263"/>
      <c r="Y56" s="263"/>
      <c r="Z56" s="263"/>
    </row>
    <row r="57" spans="1:26" x14ac:dyDescent="0.25">
      <c r="A57" s="79" t="str">
        <f>IF(COUNTBLANK(B57)=1," ",COUNTA($B$13:B57))</f>
        <v xml:space="preserve"> </v>
      </c>
      <c r="B57" s="129"/>
      <c r="C57" s="130" t="s">
        <v>125</v>
      </c>
      <c r="D57" s="18" t="s">
        <v>63</v>
      </c>
      <c r="E57" s="468">
        <f>E55*1.1</f>
        <v>338.05133999999993</v>
      </c>
      <c r="F57" s="53"/>
      <c r="G57" s="50"/>
      <c r="H57" s="50">
        <f t="shared" si="7"/>
        <v>0</v>
      </c>
      <c r="I57" s="50"/>
      <c r="J57" s="50"/>
      <c r="K57" s="51">
        <f t="shared" si="8"/>
        <v>0</v>
      </c>
      <c r="L57" s="53">
        <f t="shared" si="9"/>
        <v>0</v>
      </c>
      <c r="M57" s="50">
        <f t="shared" si="10"/>
        <v>0</v>
      </c>
      <c r="N57" s="50">
        <f t="shared" si="11"/>
        <v>0</v>
      </c>
      <c r="O57" s="50">
        <f t="shared" si="12"/>
        <v>0</v>
      </c>
      <c r="P57" s="78">
        <f t="shared" si="13"/>
        <v>0</v>
      </c>
      <c r="Q57" s="262"/>
      <c r="R57" s="263"/>
      <c r="S57" s="263"/>
      <c r="T57" s="263"/>
      <c r="U57" s="263"/>
      <c r="V57" s="263"/>
      <c r="W57" s="263"/>
      <c r="X57" s="263"/>
      <c r="Y57" s="263"/>
      <c r="Z57" s="263"/>
    </row>
    <row r="58" spans="1:26" x14ac:dyDescent="0.25">
      <c r="A58" s="79">
        <f>IF(COUNTBLANK(B58)=1," ",COUNTA($B$13:B58))</f>
        <v>17</v>
      </c>
      <c r="B58" s="129" t="s">
        <v>58</v>
      </c>
      <c r="C58" s="130" t="s">
        <v>371</v>
      </c>
      <c r="D58" s="18" t="s">
        <v>59</v>
      </c>
      <c r="E58" s="468">
        <f>apjomi!S12</f>
        <v>1442.3280000000004</v>
      </c>
      <c r="F58" s="53"/>
      <c r="G58" s="50"/>
      <c r="H58" s="50">
        <f t="shared" si="7"/>
        <v>0</v>
      </c>
      <c r="I58" s="50"/>
      <c r="J58" s="50"/>
      <c r="K58" s="51">
        <f t="shared" si="8"/>
        <v>0</v>
      </c>
      <c r="L58" s="53">
        <f t="shared" si="9"/>
        <v>0</v>
      </c>
      <c r="M58" s="50">
        <f t="shared" si="10"/>
        <v>0</v>
      </c>
      <c r="N58" s="50">
        <f t="shared" si="11"/>
        <v>0</v>
      </c>
      <c r="O58" s="50">
        <f t="shared" si="12"/>
        <v>0</v>
      </c>
      <c r="P58" s="78">
        <f t="shared" si="13"/>
        <v>0</v>
      </c>
      <c r="Q58" s="261"/>
      <c r="R58" s="263"/>
      <c r="S58" s="263"/>
      <c r="T58" s="263"/>
      <c r="U58" s="263"/>
      <c r="V58" s="263"/>
      <c r="W58" s="263"/>
      <c r="X58" s="263"/>
      <c r="Y58" s="263"/>
      <c r="Z58" s="263"/>
    </row>
    <row r="59" spans="1:26" x14ac:dyDescent="0.25">
      <c r="A59" s="79">
        <f>IF(COUNTBLANK(B59)=1," ",COUNTA($B$13:B59))</f>
        <v>18</v>
      </c>
      <c r="B59" s="129" t="s">
        <v>58</v>
      </c>
      <c r="C59" s="130" t="s">
        <v>372</v>
      </c>
      <c r="D59" s="18" t="s">
        <v>59</v>
      </c>
      <c r="E59" s="468">
        <f>apjomi!T12</f>
        <v>1442.3280000000004</v>
      </c>
      <c r="F59" s="53"/>
      <c r="G59" s="50"/>
      <c r="H59" s="50">
        <f t="shared" si="7"/>
        <v>0</v>
      </c>
      <c r="I59" s="50"/>
      <c r="J59" s="50"/>
      <c r="K59" s="51">
        <f t="shared" si="8"/>
        <v>0</v>
      </c>
      <c r="L59" s="53">
        <f t="shared" si="9"/>
        <v>0</v>
      </c>
      <c r="M59" s="50">
        <f t="shared" si="10"/>
        <v>0</v>
      </c>
      <c r="N59" s="50">
        <f t="shared" si="11"/>
        <v>0</v>
      </c>
      <c r="O59" s="50">
        <f t="shared" si="12"/>
        <v>0</v>
      </c>
      <c r="P59" s="78">
        <f t="shared" si="13"/>
        <v>0</v>
      </c>
      <c r="Q59" s="261"/>
      <c r="R59" s="263"/>
      <c r="S59" s="263"/>
      <c r="T59" s="263"/>
      <c r="U59" s="263"/>
      <c r="V59" s="263"/>
      <c r="W59" s="263"/>
      <c r="X59" s="263"/>
      <c r="Y59" s="263"/>
      <c r="Z59" s="263"/>
    </row>
    <row r="60" spans="1:26" x14ac:dyDescent="0.25">
      <c r="A60" s="79">
        <f>IF(COUNTBLANK(B60)=1," ",COUNTA($B$13:B60))</f>
        <v>19</v>
      </c>
      <c r="B60" s="129" t="s">
        <v>58</v>
      </c>
      <c r="C60" s="130" t="s">
        <v>373</v>
      </c>
      <c r="D60" s="18" t="s">
        <v>59</v>
      </c>
      <c r="E60" s="52">
        <f>apjomi!U12</f>
        <v>494.92800000000005</v>
      </c>
      <c r="F60" s="53"/>
      <c r="G60" s="50"/>
      <c r="H60" s="50">
        <f t="shared" si="7"/>
        <v>0</v>
      </c>
      <c r="I60" s="50"/>
      <c r="J60" s="50"/>
      <c r="K60" s="51">
        <f t="shared" si="8"/>
        <v>0</v>
      </c>
      <c r="L60" s="53">
        <f t="shared" si="9"/>
        <v>0</v>
      </c>
      <c r="M60" s="50">
        <f t="shared" si="10"/>
        <v>0</v>
      </c>
      <c r="N60" s="50">
        <f t="shared" si="11"/>
        <v>0</v>
      </c>
      <c r="O60" s="50">
        <f t="shared" si="12"/>
        <v>0</v>
      </c>
      <c r="P60" s="78">
        <f t="shared" si="13"/>
        <v>0</v>
      </c>
      <c r="Q60" s="261"/>
      <c r="R60" s="263"/>
      <c r="S60" s="263"/>
      <c r="T60" s="263"/>
      <c r="U60" s="263"/>
      <c r="V60" s="263"/>
      <c r="W60" s="263"/>
      <c r="X60" s="263"/>
      <c r="Y60" s="263"/>
      <c r="Z60" s="263"/>
    </row>
    <row r="61" spans="1:26" x14ac:dyDescent="0.25">
      <c r="A61" s="79">
        <f>IF(COUNTBLANK(B61)=1," ",COUNTA($B$13:B61))</f>
        <v>20</v>
      </c>
      <c r="B61" s="129" t="s">
        <v>58</v>
      </c>
      <c r="C61" s="130" t="s">
        <v>374</v>
      </c>
      <c r="D61" s="18" t="s">
        <v>59</v>
      </c>
      <c r="E61" s="52">
        <f>apjomi!V12</f>
        <v>494.92800000000005</v>
      </c>
      <c r="F61" s="53"/>
      <c r="G61" s="50"/>
      <c r="H61" s="50">
        <f t="shared" si="7"/>
        <v>0</v>
      </c>
      <c r="I61" s="50"/>
      <c r="J61" s="50"/>
      <c r="K61" s="51">
        <f t="shared" si="8"/>
        <v>0</v>
      </c>
      <c r="L61" s="53">
        <f t="shared" si="9"/>
        <v>0</v>
      </c>
      <c r="M61" s="50">
        <f t="shared" si="10"/>
        <v>0</v>
      </c>
      <c r="N61" s="50">
        <f t="shared" si="11"/>
        <v>0</v>
      </c>
      <c r="O61" s="50">
        <f t="shared" si="12"/>
        <v>0</v>
      </c>
      <c r="P61" s="78">
        <f t="shared" si="13"/>
        <v>0</v>
      </c>
      <c r="Q61" s="261"/>
      <c r="R61" s="263"/>
      <c r="S61" s="263"/>
      <c r="T61" s="263"/>
      <c r="U61" s="263"/>
      <c r="V61" s="263"/>
      <c r="W61" s="263"/>
      <c r="X61" s="263"/>
      <c r="Y61" s="263"/>
      <c r="Z61" s="263"/>
    </row>
    <row r="62" spans="1:26" x14ac:dyDescent="0.25">
      <c r="A62" s="79" t="str">
        <f>IF(COUNTBLANK(B62)=1," ",COUNTA($B$13:B62))</f>
        <v xml:space="preserve"> </v>
      </c>
      <c r="B62" s="129"/>
      <c r="C62" s="130" t="s">
        <v>127</v>
      </c>
      <c r="D62" s="18" t="s">
        <v>59</v>
      </c>
      <c r="E62" s="52">
        <v>266.95999999999998</v>
      </c>
      <c r="F62" s="53"/>
      <c r="G62" s="50"/>
      <c r="H62" s="50">
        <f t="shared" si="7"/>
        <v>0</v>
      </c>
      <c r="I62" s="50"/>
      <c r="J62" s="50"/>
      <c r="K62" s="51">
        <f t="shared" si="8"/>
        <v>0</v>
      </c>
      <c r="L62" s="53">
        <f t="shared" si="9"/>
        <v>0</v>
      </c>
      <c r="M62" s="50">
        <f t="shared" si="10"/>
        <v>0</v>
      </c>
      <c r="N62" s="50">
        <f t="shared" si="11"/>
        <v>0</v>
      </c>
      <c r="O62" s="50">
        <f t="shared" si="12"/>
        <v>0</v>
      </c>
      <c r="P62" s="78">
        <f t="shared" si="13"/>
        <v>0</v>
      </c>
      <c r="Q62" s="261"/>
      <c r="R62" s="263"/>
      <c r="S62" s="263"/>
      <c r="T62" s="263"/>
      <c r="U62" s="263"/>
      <c r="V62" s="263"/>
      <c r="W62" s="263"/>
      <c r="X62" s="263"/>
      <c r="Y62" s="263"/>
      <c r="Z62" s="263"/>
    </row>
    <row r="63" spans="1:26" x14ac:dyDescent="0.25">
      <c r="A63" s="79">
        <f>IF(COUNTBLANK(B63)=1," ",COUNTA($B$13:B63))</f>
        <v>21</v>
      </c>
      <c r="B63" s="129" t="s">
        <v>58</v>
      </c>
      <c r="C63" s="130" t="s">
        <v>375</v>
      </c>
      <c r="D63" s="18" t="s">
        <v>59</v>
      </c>
      <c r="E63" s="52">
        <f>apjomi!W12</f>
        <v>210</v>
      </c>
      <c r="F63" s="53"/>
      <c r="G63" s="50"/>
      <c r="H63" s="50">
        <f t="shared" si="7"/>
        <v>0</v>
      </c>
      <c r="I63" s="50"/>
      <c r="J63" s="50"/>
      <c r="K63" s="51">
        <f t="shared" si="8"/>
        <v>0</v>
      </c>
      <c r="L63" s="53">
        <f t="shared" si="9"/>
        <v>0</v>
      </c>
      <c r="M63" s="50">
        <f t="shared" si="10"/>
        <v>0</v>
      </c>
      <c r="N63" s="50">
        <f t="shared" si="11"/>
        <v>0</v>
      </c>
      <c r="O63" s="50">
        <f t="shared" si="12"/>
        <v>0</v>
      </c>
      <c r="P63" s="78">
        <f t="shared" si="13"/>
        <v>0</v>
      </c>
      <c r="Q63" s="261"/>
      <c r="R63" s="263"/>
      <c r="S63" s="263"/>
      <c r="T63" s="263"/>
      <c r="U63" s="263"/>
      <c r="V63" s="263"/>
      <c r="W63" s="263"/>
      <c r="X63" s="263"/>
      <c r="Y63" s="263"/>
      <c r="Z63" s="263"/>
    </row>
    <row r="64" spans="1:26" x14ac:dyDescent="0.25">
      <c r="A64" s="79">
        <f>IF(COUNTBLANK(B64)=1," ",COUNTA($B$13:B64))</f>
        <v>22</v>
      </c>
      <c r="B64" s="129" t="s">
        <v>58</v>
      </c>
      <c r="C64" s="130" t="s">
        <v>128</v>
      </c>
      <c r="D64" s="18" t="s">
        <v>59</v>
      </c>
      <c r="E64" s="52">
        <f>15*4</f>
        <v>60</v>
      </c>
      <c r="F64" s="53"/>
      <c r="G64" s="50"/>
      <c r="H64" s="50">
        <f t="shared" si="7"/>
        <v>0</v>
      </c>
      <c r="I64" s="50"/>
      <c r="J64" s="50"/>
      <c r="K64" s="51">
        <f t="shared" si="8"/>
        <v>0</v>
      </c>
      <c r="L64" s="53">
        <f t="shared" si="9"/>
        <v>0</v>
      </c>
      <c r="M64" s="50">
        <f t="shared" si="10"/>
        <v>0</v>
      </c>
      <c r="N64" s="50">
        <f t="shared" si="11"/>
        <v>0</v>
      </c>
      <c r="O64" s="50">
        <f t="shared" si="12"/>
        <v>0</v>
      </c>
      <c r="P64" s="78">
        <f t="shared" si="13"/>
        <v>0</v>
      </c>
      <c r="Q64" s="261"/>
      <c r="R64" s="263"/>
      <c r="S64" s="263"/>
      <c r="T64" s="263"/>
      <c r="U64" s="263"/>
      <c r="V64" s="263"/>
      <c r="W64" s="263"/>
      <c r="X64" s="263"/>
      <c r="Y64" s="263"/>
      <c r="Z64" s="263"/>
    </row>
    <row r="65" spans="1:26" ht="22.5" x14ac:dyDescent="0.25">
      <c r="A65" s="79">
        <f>IF(COUNTBLANK(B65)=1," ",COUNTA($B$13:B65))</f>
        <v>23</v>
      </c>
      <c r="B65" s="129" t="s">
        <v>58</v>
      </c>
      <c r="C65" s="130" t="s">
        <v>129</v>
      </c>
      <c r="D65" s="18" t="s">
        <v>59</v>
      </c>
      <c r="E65" s="52">
        <f>E64</f>
        <v>60</v>
      </c>
      <c r="F65" s="53"/>
      <c r="G65" s="50"/>
      <c r="H65" s="50">
        <f t="shared" si="7"/>
        <v>0</v>
      </c>
      <c r="I65" s="50"/>
      <c r="J65" s="50"/>
      <c r="K65" s="51">
        <f t="shared" si="8"/>
        <v>0</v>
      </c>
      <c r="L65" s="53">
        <f t="shared" si="9"/>
        <v>0</v>
      </c>
      <c r="M65" s="50">
        <f t="shared" si="10"/>
        <v>0</v>
      </c>
      <c r="N65" s="50">
        <f t="shared" si="11"/>
        <v>0</v>
      </c>
      <c r="O65" s="50">
        <f t="shared" si="12"/>
        <v>0</v>
      </c>
      <c r="P65" s="78">
        <f t="shared" si="13"/>
        <v>0</v>
      </c>
      <c r="Q65" s="261"/>
      <c r="R65" s="263"/>
      <c r="S65" s="263"/>
      <c r="T65" s="263"/>
      <c r="U65" s="263"/>
      <c r="V65" s="263"/>
      <c r="W65" s="263"/>
      <c r="X65" s="263"/>
      <c r="Y65" s="263"/>
      <c r="Z65" s="263"/>
    </row>
    <row r="66" spans="1:26" x14ac:dyDescent="0.25">
      <c r="A66" s="79">
        <f>IF(COUNTBLANK(B66)=1," ",COUNTA($B$13:B66))</f>
        <v>24</v>
      </c>
      <c r="B66" s="129" t="s">
        <v>58</v>
      </c>
      <c r="C66" s="130" t="s">
        <v>130</v>
      </c>
      <c r="D66" s="18" t="s">
        <v>131</v>
      </c>
      <c r="E66" s="52">
        <v>1</v>
      </c>
      <c r="F66" s="53"/>
      <c r="G66" s="50"/>
      <c r="H66" s="50">
        <f t="shared" si="7"/>
        <v>0</v>
      </c>
      <c r="I66" s="50"/>
      <c r="J66" s="50"/>
      <c r="K66" s="51">
        <f t="shared" si="8"/>
        <v>0</v>
      </c>
      <c r="L66" s="53">
        <f t="shared" si="9"/>
        <v>0</v>
      </c>
      <c r="M66" s="50">
        <f t="shared" si="10"/>
        <v>0</v>
      </c>
      <c r="N66" s="50">
        <f t="shared" si="11"/>
        <v>0</v>
      </c>
      <c r="O66" s="50">
        <f t="shared" si="12"/>
        <v>0</v>
      </c>
      <c r="P66" s="78">
        <f t="shared" si="13"/>
        <v>0</v>
      </c>
      <c r="Q66" s="261"/>
      <c r="R66" s="263"/>
      <c r="S66" s="263"/>
      <c r="T66" s="263"/>
      <c r="U66" s="263"/>
      <c r="V66" s="263"/>
      <c r="W66" s="263"/>
      <c r="X66" s="263"/>
      <c r="Y66" s="263"/>
      <c r="Z66" s="263"/>
    </row>
    <row r="67" spans="1:26" x14ac:dyDescent="0.25">
      <c r="A67" s="79" t="str">
        <f>IF(COUNTBLANK(B67)=1," ",COUNTA($B$13:B67))</f>
        <v xml:space="preserve"> </v>
      </c>
      <c r="B67" s="129"/>
      <c r="C67" s="130" t="s">
        <v>132</v>
      </c>
      <c r="D67" s="18" t="s">
        <v>64</v>
      </c>
      <c r="E67" s="52">
        <v>1.56</v>
      </c>
      <c r="F67" s="53"/>
      <c r="G67" s="50"/>
      <c r="H67" s="50">
        <f t="shared" si="7"/>
        <v>0</v>
      </c>
      <c r="I67" s="50"/>
      <c r="J67" s="50"/>
      <c r="K67" s="51">
        <f t="shared" si="8"/>
        <v>0</v>
      </c>
      <c r="L67" s="53">
        <f t="shared" si="9"/>
        <v>0</v>
      </c>
      <c r="M67" s="50">
        <f t="shared" si="10"/>
        <v>0</v>
      </c>
      <c r="N67" s="50">
        <f t="shared" si="11"/>
        <v>0</v>
      </c>
      <c r="O67" s="50">
        <f t="shared" si="12"/>
        <v>0</v>
      </c>
      <c r="P67" s="78">
        <f t="shared" si="13"/>
        <v>0</v>
      </c>
      <c r="Q67" s="261"/>
      <c r="R67" s="263"/>
      <c r="S67" s="263"/>
      <c r="T67" s="263"/>
      <c r="U67" s="263"/>
      <c r="V67" s="263"/>
      <c r="W67" s="263"/>
      <c r="X67" s="263"/>
      <c r="Y67" s="263"/>
      <c r="Z67" s="263"/>
    </row>
    <row r="68" spans="1:26" x14ac:dyDescent="0.25">
      <c r="A68" s="79" t="str">
        <f>IF(COUNTBLANK(B68)=1," ",COUNTA($B$13:B68))</f>
        <v xml:space="preserve"> </v>
      </c>
      <c r="B68" s="129"/>
      <c r="C68" s="130" t="s">
        <v>133</v>
      </c>
      <c r="D68" s="18" t="s">
        <v>64</v>
      </c>
      <c r="E68" s="52">
        <v>0.58499999999999996</v>
      </c>
      <c r="F68" s="53"/>
      <c r="G68" s="50"/>
      <c r="H68" s="50">
        <f t="shared" si="7"/>
        <v>0</v>
      </c>
      <c r="I68" s="50"/>
      <c r="J68" s="50"/>
      <c r="K68" s="51">
        <f t="shared" si="8"/>
        <v>0</v>
      </c>
      <c r="L68" s="53">
        <f t="shared" si="9"/>
        <v>0</v>
      </c>
      <c r="M68" s="50">
        <f t="shared" si="10"/>
        <v>0</v>
      </c>
      <c r="N68" s="50">
        <f t="shared" si="11"/>
        <v>0</v>
      </c>
      <c r="O68" s="50">
        <f t="shared" si="12"/>
        <v>0</v>
      </c>
      <c r="P68" s="78">
        <f t="shared" si="13"/>
        <v>0</v>
      </c>
      <c r="Q68" s="261"/>
      <c r="R68" s="263"/>
      <c r="S68" s="263"/>
      <c r="T68" s="263"/>
      <c r="U68" s="263"/>
      <c r="V68" s="263"/>
      <c r="W68" s="263"/>
      <c r="X68" s="263"/>
      <c r="Y68" s="263"/>
      <c r="Z68" s="263"/>
    </row>
    <row r="69" spans="1:26" x14ac:dyDescent="0.25">
      <c r="A69" s="79" t="str">
        <f>IF(COUNTBLANK(B69)=1," ",COUNTA($B$13:B69))</f>
        <v xml:space="preserve"> </v>
      </c>
      <c r="B69" s="129"/>
      <c r="C69" s="130" t="s">
        <v>134</v>
      </c>
      <c r="D69" s="18" t="s">
        <v>135</v>
      </c>
      <c r="E69" s="52">
        <v>0.36480000000000001</v>
      </c>
      <c r="F69" s="53"/>
      <c r="G69" s="50"/>
      <c r="H69" s="50">
        <f t="shared" si="7"/>
        <v>0</v>
      </c>
      <c r="I69" s="50"/>
      <c r="J69" s="50"/>
      <c r="K69" s="51">
        <f t="shared" si="8"/>
        <v>0</v>
      </c>
      <c r="L69" s="53">
        <f t="shared" si="9"/>
        <v>0</v>
      </c>
      <c r="M69" s="50">
        <f t="shared" si="10"/>
        <v>0</v>
      </c>
      <c r="N69" s="50">
        <f t="shared" si="11"/>
        <v>0</v>
      </c>
      <c r="O69" s="50">
        <f t="shared" si="12"/>
        <v>0</v>
      </c>
      <c r="P69" s="78">
        <f t="shared" si="13"/>
        <v>0</v>
      </c>
      <c r="Q69" s="261"/>
      <c r="R69" s="263"/>
      <c r="S69" s="263"/>
      <c r="T69" s="263"/>
      <c r="U69" s="263"/>
      <c r="V69" s="263"/>
      <c r="W69" s="263"/>
      <c r="X69" s="263"/>
      <c r="Y69" s="263"/>
      <c r="Z69" s="263"/>
    </row>
    <row r="70" spans="1:26" x14ac:dyDescent="0.25">
      <c r="A70" s="79" t="str">
        <f>IF(COUNTBLANK(B70)=1," ",COUNTA($B$13:B70))</f>
        <v xml:space="preserve"> </v>
      </c>
      <c r="B70" s="129"/>
      <c r="C70" s="130" t="s">
        <v>376</v>
      </c>
      <c r="D70" s="18" t="s">
        <v>67</v>
      </c>
      <c r="E70" s="52">
        <v>3</v>
      </c>
      <c r="F70" s="53"/>
      <c r="G70" s="50"/>
      <c r="H70" s="50">
        <f t="shared" si="7"/>
        <v>0</v>
      </c>
      <c r="I70" s="50"/>
      <c r="J70" s="50"/>
      <c r="K70" s="51">
        <f t="shared" si="8"/>
        <v>0</v>
      </c>
      <c r="L70" s="53">
        <f t="shared" si="9"/>
        <v>0</v>
      </c>
      <c r="M70" s="50">
        <f t="shared" si="10"/>
        <v>0</v>
      </c>
      <c r="N70" s="50">
        <f t="shared" si="11"/>
        <v>0</v>
      </c>
      <c r="O70" s="50">
        <f t="shared" si="12"/>
        <v>0</v>
      </c>
      <c r="P70" s="78">
        <f t="shared" si="13"/>
        <v>0</v>
      </c>
      <c r="Q70" s="261"/>
      <c r="R70" s="263"/>
      <c r="S70" s="263"/>
      <c r="T70" s="263"/>
      <c r="U70" s="263"/>
      <c r="V70" s="263"/>
      <c r="W70" s="263"/>
      <c r="X70" s="263"/>
      <c r="Y70" s="263"/>
      <c r="Z70" s="263"/>
    </row>
    <row r="71" spans="1:26" ht="22.5" x14ac:dyDescent="0.25">
      <c r="A71" s="79" t="str">
        <f>IF(COUNTBLANK(B71)=1," ",COUNTA($B$13:B71))</f>
        <v xml:space="preserve"> </v>
      </c>
      <c r="B71" s="129"/>
      <c r="C71" s="130" t="s">
        <v>103</v>
      </c>
      <c r="D71" s="18" t="s">
        <v>63</v>
      </c>
      <c r="E71" s="52">
        <v>0.3</v>
      </c>
      <c r="F71" s="53"/>
      <c r="G71" s="50"/>
      <c r="H71" s="50">
        <f t="shared" si="7"/>
        <v>0</v>
      </c>
      <c r="I71" s="50"/>
      <c r="J71" s="50"/>
      <c r="K71" s="51">
        <f t="shared" si="8"/>
        <v>0</v>
      </c>
      <c r="L71" s="53">
        <f t="shared" si="9"/>
        <v>0</v>
      </c>
      <c r="M71" s="50">
        <f t="shared" si="10"/>
        <v>0</v>
      </c>
      <c r="N71" s="50">
        <f t="shared" si="11"/>
        <v>0</v>
      </c>
      <c r="O71" s="50">
        <f t="shared" si="12"/>
        <v>0</v>
      </c>
      <c r="P71" s="78">
        <f t="shared" si="13"/>
        <v>0</v>
      </c>
      <c r="Q71" s="261"/>
      <c r="R71" s="263"/>
      <c r="S71" s="263"/>
      <c r="T71" s="263"/>
      <c r="U71" s="263"/>
      <c r="V71" s="263"/>
      <c r="W71" s="263"/>
      <c r="X71" s="263"/>
      <c r="Y71" s="263"/>
      <c r="Z71" s="263"/>
    </row>
    <row r="72" spans="1:26" x14ac:dyDescent="0.25">
      <c r="A72" s="79">
        <f>IF(COUNTBLANK(B72)=1," ",COUNTA($B$13:B72))</f>
        <v>25</v>
      </c>
      <c r="B72" s="129" t="s">
        <v>58</v>
      </c>
      <c r="C72" s="130" t="s">
        <v>66</v>
      </c>
      <c r="D72" s="18" t="s">
        <v>67</v>
      </c>
      <c r="E72" s="52">
        <v>15</v>
      </c>
      <c r="F72" s="53"/>
      <c r="G72" s="50"/>
      <c r="H72" s="50">
        <f t="shared" si="7"/>
        <v>0</v>
      </c>
      <c r="I72" s="50"/>
      <c r="J72" s="50"/>
      <c r="K72" s="51">
        <f t="shared" si="8"/>
        <v>0</v>
      </c>
      <c r="L72" s="53">
        <f t="shared" si="9"/>
        <v>0</v>
      </c>
      <c r="M72" s="50">
        <f t="shared" si="10"/>
        <v>0</v>
      </c>
      <c r="N72" s="50">
        <f t="shared" si="11"/>
        <v>0</v>
      </c>
      <c r="O72" s="50">
        <f t="shared" si="12"/>
        <v>0</v>
      </c>
      <c r="P72" s="78">
        <f t="shared" si="13"/>
        <v>0</v>
      </c>
      <c r="Q72" s="261"/>
      <c r="R72" s="263"/>
      <c r="S72" s="263"/>
      <c r="T72" s="263"/>
      <c r="U72" s="263"/>
      <c r="V72" s="263"/>
      <c r="W72" s="263"/>
      <c r="X72" s="263"/>
      <c r="Y72" s="263"/>
      <c r="Z72" s="263"/>
    </row>
    <row r="73" spans="1:26" ht="12" thickBot="1" x14ac:dyDescent="0.3">
      <c r="A73" s="79" t="str">
        <f>IF(COUNTBLANK(B73)=1," ",COUNTA($B$13:B73))</f>
        <v xml:space="preserve"> </v>
      </c>
      <c r="B73" s="129"/>
      <c r="C73" s="130" t="s">
        <v>68</v>
      </c>
      <c r="D73" s="18" t="s">
        <v>61</v>
      </c>
      <c r="E73" s="52">
        <v>2</v>
      </c>
      <c r="F73" s="53"/>
      <c r="G73" s="50"/>
      <c r="H73" s="50">
        <f t="shared" si="7"/>
        <v>0</v>
      </c>
      <c r="I73" s="50"/>
      <c r="J73" s="50"/>
      <c r="K73" s="51">
        <f t="shared" si="8"/>
        <v>0</v>
      </c>
      <c r="L73" s="53">
        <f t="shared" si="9"/>
        <v>0</v>
      </c>
      <c r="M73" s="50">
        <f t="shared" si="10"/>
        <v>0</v>
      </c>
      <c r="N73" s="50">
        <f t="shared" si="11"/>
        <v>0</v>
      </c>
      <c r="O73" s="50">
        <f t="shared" si="12"/>
        <v>0</v>
      </c>
      <c r="P73" s="78">
        <f t="shared" si="13"/>
        <v>0</v>
      </c>
      <c r="Q73" s="261"/>
      <c r="R73" s="263"/>
      <c r="S73" s="263"/>
      <c r="T73" s="263"/>
      <c r="U73" s="263"/>
      <c r="V73" s="263"/>
      <c r="W73" s="263"/>
      <c r="X73" s="263"/>
      <c r="Y73" s="263"/>
      <c r="Z73" s="263"/>
    </row>
    <row r="74" spans="1:26" ht="12" thickBot="1" x14ac:dyDescent="0.3">
      <c r="A74" s="428" t="s">
        <v>486</v>
      </c>
      <c r="B74" s="429"/>
      <c r="C74" s="429"/>
      <c r="D74" s="429"/>
      <c r="E74" s="429"/>
      <c r="F74" s="429"/>
      <c r="G74" s="429"/>
      <c r="H74" s="429"/>
      <c r="I74" s="429"/>
      <c r="J74" s="429"/>
      <c r="K74" s="430"/>
      <c r="L74" s="54">
        <f>SUM(L14:L73)</f>
        <v>0</v>
      </c>
      <c r="M74" s="55">
        <f>SUM(M14:M73)</f>
        <v>0</v>
      </c>
      <c r="N74" s="55">
        <f>SUM(N14:N73)</f>
        <v>0</v>
      </c>
      <c r="O74" s="55">
        <f>SUM(O14:O73)</f>
        <v>0</v>
      </c>
      <c r="P74" s="56">
        <f>SUM(P14:P73)</f>
        <v>0</v>
      </c>
    </row>
    <row r="75" spans="1:26" x14ac:dyDescent="0.25">
      <c r="A75" s="24"/>
      <c r="B75" s="24"/>
      <c r="C75" s="24"/>
      <c r="D75" s="24"/>
      <c r="E75" s="24"/>
      <c r="F75" s="24"/>
      <c r="G75" s="24"/>
      <c r="H75" s="24"/>
      <c r="I75" s="24"/>
      <c r="J75" s="24"/>
      <c r="K75" s="24"/>
      <c r="L75" s="24"/>
      <c r="M75" s="24"/>
      <c r="N75" s="24"/>
      <c r="O75" s="24"/>
      <c r="P75" s="24"/>
    </row>
    <row r="76" spans="1:26" x14ac:dyDescent="0.25">
      <c r="A76" s="24"/>
      <c r="B76" s="24"/>
      <c r="C76" s="24"/>
      <c r="D76" s="24"/>
      <c r="E76" s="24"/>
      <c r="F76" s="24"/>
      <c r="G76" s="24"/>
      <c r="H76" s="24"/>
      <c r="I76" s="24"/>
      <c r="J76" s="24"/>
      <c r="K76" s="24"/>
      <c r="L76" s="24"/>
      <c r="M76" s="24"/>
      <c r="N76" s="24"/>
      <c r="O76" s="24"/>
      <c r="P76" s="24"/>
    </row>
    <row r="77" spans="1:26" x14ac:dyDescent="0.25">
      <c r="A77" s="16" t="s">
        <v>14</v>
      </c>
      <c r="B77" s="24"/>
      <c r="C77" s="427">
        <f>'Kops a'!C38:H38</f>
        <v>0</v>
      </c>
      <c r="D77" s="427"/>
      <c r="E77" s="427"/>
      <c r="F77" s="427"/>
      <c r="G77" s="427"/>
      <c r="H77" s="427"/>
      <c r="I77" s="24"/>
      <c r="J77" s="24"/>
      <c r="K77" s="24"/>
      <c r="L77" s="24"/>
      <c r="M77" s="24"/>
      <c r="N77" s="24"/>
      <c r="O77" s="24"/>
      <c r="P77" s="24"/>
    </row>
    <row r="78" spans="1:26" x14ac:dyDescent="0.25">
      <c r="A78" s="24"/>
      <c r="B78" s="24"/>
      <c r="C78" s="426" t="s">
        <v>15</v>
      </c>
      <c r="D78" s="426"/>
      <c r="E78" s="426"/>
      <c r="F78" s="426"/>
      <c r="G78" s="426"/>
      <c r="H78" s="426"/>
      <c r="I78" s="24"/>
      <c r="J78" s="24"/>
      <c r="K78" s="24"/>
      <c r="L78" s="24"/>
      <c r="M78" s="24"/>
      <c r="N78" s="24"/>
      <c r="O78" s="24"/>
      <c r="P78" s="24"/>
    </row>
    <row r="79" spans="1:26" x14ac:dyDescent="0.25">
      <c r="A79" s="24"/>
      <c r="B79" s="24"/>
      <c r="C79" s="24"/>
      <c r="D79" s="24"/>
      <c r="E79" s="24"/>
      <c r="F79" s="24"/>
      <c r="G79" s="24"/>
      <c r="H79" s="24"/>
      <c r="I79" s="24"/>
      <c r="J79" s="24"/>
      <c r="K79" s="24"/>
      <c r="L79" s="24"/>
      <c r="M79" s="24"/>
      <c r="N79" s="24"/>
      <c r="O79" s="24"/>
      <c r="P79" s="24"/>
    </row>
    <row r="80" spans="1:26" x14ac:dyDescent="0.25">
      <c r="A80" s="132" t="str">
        <f>'Kops a'!A41</f>
        <v>Tāme sastādīta 2021. gada</v>
      </c>
      <c r="B80" s="133"/>
      <c r="C80" s="133"/>
      <c r="D80" s="133"/>
      <c r="E80" s="24"/>
      <c r="F80" s="24"/>
      <c r="G80" s="24"/>
      <c r="H80" s="24"/>
      <c r="I80" s="24"/>
      <c r="J80" s="24"/>
      <c r="K80" s="24"/>
      <c r="L80" s="24"/>
      <c r="M80" s="24"/>
      <c r="N80" s="24"/>
      <c r="O80" s="24"/>
      <c r="P80" s="24"/>
    </row>
    <row r="81" spans="1:16" x14ac:dyDescent="0.25">
      <c r="A81" s="24"/>
      <c r="B81" s="24"/>
      <c r="C81" s="24"/>
      <c r="D81" s="24"/>
      <c r="E81" s="24"/>
      <c r="F81" s="24"/>
      <c r="G81" s="24"/>
      <c r="H81" s="24"/>
      <c r="I81" s="24"/>
      <c r="J81" s="24"/>
      <c r="K81" s="24"/>
      <c r="L81" s="24"/>
      <c r="M81" s="24"/>
      <c r="N81" s="24"/>
      <c r="O81" s="24"/>
      <c r="P81" s="24"/>
    </row>
    <row r="82" spans="1:16" x14ac:dyDescent="0.25">
      <c r="A82" s="16" t="s">
        <v>37</v>
      </c>
      <c r="B82" s="24"/>
      <c r="C82" s="427">
        <f>'Kops a'!C43:H43</f>
        <v>0</v>
      </c>
      <c r="D82" s="427"/>
      <c r="E82" s="427"/>
      <c r="F82" s="427"/>
      <c r="G82" s="427"/>
      <c r="H82" s="427"/>
      <c r="I82" s="24"/>
      <c r="J82" s="24"/>
      <c r="K82" s="24"/>
      <c r="L82" s="24"/>
      <c r="M82" s="24"/>
      <c r="N82" s="24"/>
      <c r="O82" s="24"/>
      <c r="P82" s="24"/>
    </row>
    <row r="83" spans="1:16" x14ac:dyDescent="0.25">
      <c r="A83" s="24"/>
      <c r="B83" s="24"/>
      <c r="C83" s="426" t="s">
        <v>15</v>
      </c>
      <c r="D83" s="426"/>
      <c r="E83" s="426"/>
      <c r="F83" s="426"/>
      <c r="G83" s="426"/>
      <c r="H83" s="426"/>
      <c r="I83" s="24"/>
      <c r="J83" s="24"/>
      <c r="K83" s="24"/>
      <c r="L83" s="24"/>
      <c r="M83" s="24"/>
      <c r="N83" s="24"/>
      <c r="O83" s="24"/>
      <c r="P83" s="24"/>
    </row>
    <row r="84" spans="1:16" x14ac:dyDescent="0.25">
      <c r="A84" s="24"/>
      <c r="B84" s="24"/>
      <c r="C84" s="24"/>
      <c r="D84" s="24"/>
      <c r="E84" s="24"/>
      <c r="F84" s="24"/>
      <c r="G84" s="24"/>
      <c r="H84" s="24"/>
      <c r="I84" s="24"/>
      <c r="J84" s="24"/>
      <c r="K84" s="24"/>
      <c r="L84" s="24"/>
      <c r="M84" s="24"/>
      <c r="N84" s="24"/>
      <c r="O84" s="24"/>
      <c r="P84" s="24"/>
    </row>
    <row r="85" spans="1:16" x14ac:dyDescent="0.25">
      <c r="A85" s="132" t="s">
        <v>54</v>
      </c>
      <c r="B85" s="133"/>
      <c r="C85" s="134">
        <f>'Kops a'!C46</f>
        <v>0</v>
      </c>
      <c r="D85" s="133"/>
      <c r="E85" s="24"/>
      <c r="F85" s="24"/>
      <c r="G85" s="24"/>
      <c r="H85" s="24"/>
      <c r="I85" s="24"/>
      <c r="J85" s="24"/>
      <c r="K85" s="24"/>
      <c r="L85" s="24"/>
      <c r="M85" s="24"/>
      <c r="N85" s="24"/>
      <c r="O85" s="24"/>
      <c r="P85" s="24"/>
    </row>
    <row r="86" spans="1:16" x14ac:dyDescent="0.25">
      <c r="A86" s="24"/>
      <c r="B86" s="24"/>
      <c r="C86" s="24"/>
      <c r="D86" s="24"/>
      <c r="E86" s="24"/>
      <c r="F86" s="24"/>
      <c r="G86" s="24"/>
      <c r="H86" s="24"/>
      <c r="I86" s="24"/>
      <c r="J86" s="24"/>
      <c r="K86" s="24"/>
      <c r="L86" s="24"/>
      <c r="M86" s="24"/>
      <c r="N86" s="24"/>
      <c r="O86" s="24"/>
      <c r="P86" s="24"/>
    </row>
    <row r="87" spans="1:16" ht="12" x14ac:dyDescent="0.25">
      <c r="A87" s="135" t="s">
        <v>89</v>
      </c>
      <c r="B87" s="136"/>
      <c r="C87" s="109"/>
      <c r="D87" s="109"/>
      <c r="E87" s="109"/>
      <c r="F87" s="110"/>
      <c r="G87" s="109"/>
      <c r="H87" s="111"/>
      <c r="I87" s="111"/>
      <c r="J87" s="112"/>
      <c r="K87" s="113"/>
      <c r="L87" s="113"/>
      <c r="M87" s="113"/>
      <c r="N87" s="113"/>
      <c r="O87" s="113"/>
    </row>
    <row r="88" spans="1:16" ht="12" x14ac:dyDescent="0.25">
      <c r="A88" s="409" t="s">
        <v>90</v>
      </c>
      <c r="B88" s="409"/>
      <c r="C88" s="409"/>
      <c r="D88" s="409"/>
      <c r="E88" s="409"/>
      <c r="F88" s="409"/>
      <c r="G88" s="409"/>
      <c r="H88" s="409"/>
      <c r="I88" s="409"/>
      <c r="J88" s="409"/>
      <c r="K88" s="409"/>
      <c r="L88" s="409"/>
      <c r="M88" s="409"/>
      <c r="N88" s="409"/>
      <c r="O88" s="409"/>
    </row>
    <row r="89" spans="1:16" ht="12" x14ac:dyDescent="0.25">
      <c r="A89" s="409" t="s">
        <v>91</v>
      </c>
      <c r="B89" s="409"/>
      <c r="C89" s="409"/>
      <c r="D89" s="409"/>
      <c r="E89" s="409"/>
      <c r="F89" s="409"/>
      <c r="G89" s="409"/>
      <c r="H89" s="409"/>
      <c r="I89" s="409"/>
      <c r="J89" s="409"/>
      <c r="K89" s="409"/>
      <c r="L89" s="409"/>
      <c r="M89" s="409"/>
      <c r="N89" s="409"/>
      <c r="O89" s="409"/>
    </row>
  </sheetData>
  <mergeCells count="24">
    <mergeCell ref="C82:H82"/>
    <mergeCell ref="C77:H77"/>
    <mergeCell ref="C78:H78"/>
    <mergeCell ref="A74:K74"/>
    <mergeCell ref="D6:L6"/>
    <mergeCell ref="D7:L7"/>
    <mergeCell ref="D8:L8"/>
    <mergeCell ref="E12:E13"/>
    <mergeCell ref="A88:O88"/>
    <mergeCell ref="A89:O89"/>
    <mergeCell ref="C2:I2"/>
    <mergeCell ref="C3:I3"/>
    <mergeCell ref="C4:I4"/>
    <mergeCell ref="A9:F9"/>
    <mergeCell ref="F12:K12"/>
    <mergeCell ref="J9:M9"/>
    <mergeCell ref="L12:P12"/>
    <mergeCell ref="A12:A13"/>
    <mergeCell ref="B12:B13"/>
    <mergeCell ref="C12:C13"/>
    <mergeCell ref="D12:D13"/>
    <mergeCell ref="N9:O9"/>
    <mergeCell ref="D5:L5"/>
    <mergeCell ref="C83:H83"/>
  </mergeCells>
  <phoneticPr fontId="11" type="noConversion"/>
  <conditionalFormatting sqref="B34:B35 F34:G35 B38:B42 B43:G43 F46:G46 B55:G55 B56:B57 B36:G37 B51:B54 B58:G73 B27:G33 A27:A43 A14:G26 F49:G54 I14:J73 A49:A73">
    <cfRule type="cellIs" dxfId="222" priority="82" operator="equal">
      <formula>0</formula>
    </cfRule>
  </conditionalFormatting>
  <conditionalFormatting sqref="N9:O9 H14:H73 K14:P73">
    <cfRule type="cellIs" dxfId="221" priority="80" operator="equal">
      <formula>0</formula>
    </cfRule>
  </conditionalFormatting>
  <conditionalFormatting sqref="A9:F9">
    <cfRule type="containsText" dxfId="220" priority="78"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219" priority="77" operator="equal">
      <formula>0</formula>
    </cfRule>
  </conditionalFormatting>
  <conditionalFormatting sqref="O10:P10">
    <cfRule type="cellIs" dxfId="218" priority="76" operator="equal">
      <formula>"20__. gada __. _________"</formula>
    </cfRule>
  </conditionalFormatting>
  <conditionalFormatting sqref="A74:K74">
    <cfRule type="containsText" dxfId="217" priority="74" operator="containsText" text="Tiešās izmaksas kopā, t. sk. darba devēja sociālais nodoklis __.__% ">
      <formula>NOT(ISERROR(SEARCH("Tiešās izmaksas kopā, t. sk. darba devēja sociālais nodoklis __.__% ",A74)))</formula>
    </cfRule>
  </conditionalFormatting>
  <conditionalFormatting sqref="C82:H82">
    <cfRule type="cellIs" dxfId="216" priority="71" operator="equal">
      <formula>0</formula>
    </cfRule>
  </conditionalFormatting>
  <conditionalFormatting sqref="C77:H77">
    <cfRule type="cellIs" dxfId="215" priority="70" operator="equal">
      <formula>0</formula>
    </cfRule>
  </conditionalFormatting>
  <conditionalFormatting sqref="L74:P74">
    <cfRule type="cellIs" dxfId="214" priority="69" operator="equal">
      <formula>0</formula>
    </cfRule>
  </conditionalFormatting>
  <conditionalFormatting sqref="C4:I4">
    <cfRule type="cellIs" dxfId="213" priority="68" operator="equal">
      <formula>0</formula>
    </cfRule>
  </conditionalFormatting>
  <conditionalFormatting sqref="D5:L8">
    <cfRule type="cellIs" dxfId="212" priority="66" operator="equal">
      <formula>0</formula>
    </cfRule>
  </conditionalFormatting>
  <conditionalFormatting sqref="C82:H82 C85 C77:H77">
    <cfRule type="cellIs" dxfId="211" priority="65" operator="equal">
      <formula>0</formula>
    </cfRule>
  </conditionalFormatting>
  <conditionalFormatting sqref="D1">
    <cfRule type="cellIs" dxfId="210" priority="64" operator="equal">
      <formula>0</formula>
    </cfRule>
  </conditionalFormatting>
  <conditionalFormatting sqref="C34:E35">
    <cfRule type="cellIs" dxfId="209" priority="63" operator="equal">
      <formula>0</formula>
    </cfRule>
  </conditionalFormatting>
  <conditionalFormatting sqref="C39 F42:G42 E39:G39">
    <cfRule type="cellIs" dxfId="208" priority="51" operator="equal">
      <formula>0</formula>
    </cfRule>
  </conditionalFormatting>
  <conditionalFormatting sqref="F38:G38">
    <cfRule type="cellIs" dxfId="207" priority="49" operator="equal">
      <formula>0</formula>
    </cfRule>
  </conditionalFormatting>
  <conditionalFormatting sqref="C38:E38">
    <cfRule type="cellIs" dxfId="206" priority="47" operator="equal">
      <formula>0</formula>
    </cfRule>
  </conditionalFormatting>
  <conditionalFormatting sqref="F40:G40">
    <cfRule type="cellIs" dxfId="205" priority="46" operator="equal">
      <formula>0</formula>
    </cfRule>
  </conditionalFormatting>
  <conditionalFormatting sqref="C40:E40">
    <cfRule type="cellIs" dxfId="204" priority="44" operator="equal">
      <formula>0</formula>
    </cfRule>
  </conditionalFormatting>
  <conditionalFormatting sqref="F41:G41">
    <cfRule type="cellIs" dxfId="203" priority="43" operator="equal">
      <formula>0</formula>
    </cfRule>
  </conditionalFormatting>
  <conditionalFormatting sqref="C41:E41">
    <cfRule type="cellIs" dxfId="202" priority="41" operator="equal">
      <formula>0</formula>
    </cfRule>
  </conditionalFormatting>
  <conditionalFormatting sqref="C42:E42">
    <cfRule type="cellIs" dxfId="201" priority="40" operator="equal">
      <formula>0</formula>
    </cfRule>
  </conditionalFormatting>
  <conditionalFormatting sqref="F44:G45">
    <cfRule type="cellIs" dxfId="200" priority="37" operator="equal">
      <formula>0</formula>
    </cfRule>
  </conditionalFormatting>
  <conditionalFormatting sqref="D39">
    <cfRule type="cellIs" dxfId="199" priority="18" operator="equal">
      <formula>0</formula>
    </cfRule>
  </conditionalFormatting>
  <conditionalFormatting sqref="F47:G47">
    <cfRule type="cellIs" dxfId="198" priority="30" operator="equal">
      <formula>0</formula>
    </cfRule>
  </conditionalFormatting>
  <conditionalFormatting sqref="F56:G56">
    <cfRule type="cellIs" dxfId="197" priority="21" operator="equal">
      <formula>0</formula>
    </cfRule>
  </conditionalFormatting>
  <conditionalFormatting sqref="F48:G48">
    <cfRule type="cellIs" dxfId="196" priority="27" operator="equal">
      <formula>0</formula>
    </cfRule>
  </conditionalFormatting>
  <conditionalFormatting sqref="C57 E57:G57">
    <cfRule type="cellIs" dxfId="195" priority="23" operator="equal">
      <formula>0</formula>
    </cfRule>
  </conditionalFormatting>
  <conditionalFormatting sqref="C56:E56">
    <cfRule type="cellIs" dxfId="194" priority="19" operator="equal">
      <formula>0</formula>
    </cfRule>
  </conditionalFormatting>
  <conditionalFormatting sqref="D57">
    <cfRule type="cellIs" dxfId="193" priority="17" operator="equal">
      <formula>0</formula>
    </cfRule>
  </conditionalFormatting>
  <conditionalFormatting sqref="B49:E50">
    <cfRule type="cellIs" dxfId="192" priority="15" operator="equal">
      <formula>0</formula>
    </cfRule>
  </conditionalFormatting>
  <conditionalFormatting sqref="C52 E52">
    <cfRule type="cellIs" dxfId="191" priority="14" operator="equal">
      <formula>0</formula>
    </cfRule>
  </conditionalFormatting>
  <conditionalFormatting sqref="C51:E51">
    <cfRule type="cellIs" dxfId="190" priority="13" operator="equal">
      <formula>0</formula>
    </cfRule>
  </conditionalFormatting>
  <conditionalFormatting sqref="C50:E50">
    <cfRule type="cellIs" dxfId="189" priority="12" operator="equal">
      <formula>0</formula>
    </cfRule>
  </conditionalFormatting>
  <conditionalFormatting sqref="C53:E54">
    <cfRule type="cellIs" dxfId="188" priority="10" operator="equal">
      <formula>0</formula>
    </cfRule>
  </conditionalFormatting>
  <conditionalFormatting sqref="D52">
    <cfRule type="cellIs" dxfId="187" priority="9" operator="equal">
      <formula>0</formula>
    </cfRule>
  </conditionalFormatting>
  <conditionalFormatting sqref="B45:B48 A44:A48">
    <cfRule type="cellIs" dxfId="186" priority="7" operator="equal">
      <formula>0</formula>
    </cfRule>
  </conditionalFormatting>
  <conditionalFormatting sqref="B44:E44">
    <cfRule type="cellIs" dxfId="185" priority="6" operator="equal">
      <formula>0</formula>
    </cfRule>
  </conditionalFormatting>
  <conditionalFormatting sqref="C46 E46">
    <cfRule type="cellIs" dxfId="184" priority="5" operator="equal">
      <formula>0</formula>
    </cfRule>
  </conditionalFormatting>
  <conditionalFormatting sqref="C45:E45">
    <cfRule type="cellIs" dxfId="183" priority="4" operator="equal">
      <formula>0</formula>
    </cfRule>
  </conditionalFormatting>
  <conditionalFormatting sqref="C44:E44">
    <cfRule type="cellIs" dxfId="182" priority="3" operator="equal">
      <formula>0</formula>
    </cfRule>
  </conditionalFormatting>
  <conditionalFormatting sqref="C47:E48">
    <cfRule type="cellIs" dxfId="181" priority="2" operator="equal">
      <formula>0</formula>
    </cfRule>
  </conditionalFormatting>
  <conditionalFormatting sqref="D46">
    <cfRule type="cellIs" dxfId="180" priority="1" operator="equal">
      <formula>0</formula>
    </cfRule>
  </conditionalFormatting>
  <pageMargins left="0" right="0" top="0.78740157480314965" bottom="0.39370078740157483" header="0" footer="0.31496062992125984"/>
  <pageSetup scale="94" orientation="landscape" r:id="rId1"/>
  <rowBreaks count="2" manualBreakCount="2">
    <brk id="36" max="15" man="1"/>
    <brk id="73" max="16383"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73" operator="containsText" id="{BC596309-6EE4-47E0-A590-F3D2F6DA868B}">
            <xm:f>NOT(ISERROR(SEARCH("Tāme sastādīta ____. gada ___. ______________",A80)))</xm:f>
            <xm:f>"Tāme sastādīta ____. gada ___. ______________"</xm:f>
            <x14:dxf>
              <font>
                <color auto="1"/>
              </font>
              <fill>
                <patternFill>
                  <bgColor rgb="FFC6EFCE"/>
                </patternFill>
              </fill>
            </x14:dxf>
          </x14:cfRule>
          <xm:sqref>A80</xm:sqref>
        </x14:conditionalFormatting>
        <x14:conditionalFormatting xmlns:xm="http://schemas.microsoft.com/office/excel/2006/main">
          <x14:cfRule type="containsText" priority="72" operator="containsText" id="{A5053C80-E745-4777-A201-BBBD02E74FC0}">
            <xm:f>NOT(ISERROR(SEARCH("Sertifikāta Nr. _________________________________",A85)))</xm:f>
            <xm:f>"Sertifikāta Nr. _________________________________"</xm:f>
            <x14:dxf>
              <font>
                <color auto="1"/>
              </font>
              <fill>
                <patternFill>
                  <bgColor rgb="FFC6EFCE"/>
                </patternFill>
              </fill>
            </x14:dxf>
          </x14:cfRule>
          <xm:sqref>A85</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92D050"/>
  </sheetPr>
  <dimension ref="A1:Y84"/>
  <sheetViews>
    <sheetView topLeftCell="A11" zoomScaleNormal="100" zoomScaleSheetLayoutView="100" workbookViewId="0">
      <selection activeCell="G85" sqref="G85"/>
    </sheetView>
  </sheetViews>
  <sheetFormatPr defaultColWidth="9.140625" defaultRowHeight="11.25" x14ac:dyDescent="0.2"/>
  <cols>
    <col min="1" max="1" width="4.5703125" style="1" customWidth="1"/>
    <col min="2" max="2" width="5.28515625" style="16"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20.5703125" style="1" customWidth="1"/>
    <col min="18" max="18" width="24.140625" style="1" customWidth="1"/>
    <col min="19" max="16384" width="9.140625" style="1"/>
  </cols>
  <sheetData>
    <row r="1" spans="1:22" x14ac:dyDescent="0.2">
      <c r="A1" s="16"/>
      <c r="C1" s="20" t="s">
        <v>38</v>
      </c>
      <c r="D1" s="37">
        <f>'Kops a'!A16</f>
        <v>2</v>
      </c>
      <c r="E1" s="16"/>
      <c r="F1" s="16"/>
      <c r="G1" s="16"/>
      <c r="H1" s="16"/>
      <c r="I1" s="16"/>
      <c r="J1" s="16"/>
      <c r="N1" s="19"/>
      <c r="O1" s="20"/>
      <c r="P1" s="21"/>
    </row>
    <row r="2" spans="1:22" x14ac:dyDescent="0.2">
      <c r="A2" s="22"/>
      <c r="B2" s="22"/>
      <c r="C2" s="410" t="s">
        <v>136</v>
      </c>
      <c r="D2" s="410"/>
      <c r="E2" s="410"/>
      <c r="F2" s="410"/>
      <c r="G2" s="410"/>
      <c r="H2" s="410"/>
      <c r="I2" s="410"/>
      <c r="J2" s="22"/>
    </row>
    <row r="3" spans="1:22" x14ac:dyDescent="0.2">
      <c r="A3" s="23"/>
      <c r="B3" s="23"/>
      <c r="C3" s="372" t="s">
        <v>17</v>
      </c>
      <c r="D3" s="372"/>
      <c r="E3" s="372"/>
      <c r="F3" s="372"/>
      <c r="G3" s="372"/>
      <c r="H3" s="372"/>
      <c r="I3" s="372"/>
      <c r="J3" s="23"/>
    </row>
    <row r="4" spans="1:22" x14ac:dyDescent="0.2">
      <c r="A4" s="23"/>
      <c r="B4" s="23"/>
      <c r="C4" s="412" t="s">
        <v>52</v>
      </c>
      <c r="D4" s="412"/>
      <c r="E4" s="412"/>
      <c r="F4" s="412"/>
      <c r="G4" s="412"/>
      <c r="H4" s="412"/>
      <c r="I4" s="412"/>
      <c r="J4" s="23"/>
    </row>
    <row r="5" spans="1:22" x14ac:dyDescent="0.2">
      <c r="A5" s="16"/>
      <c r="C5" s="20" t="s">
        <v>5</v>
      </c>
      <c r="D5" s="433" t="str">
        <f>'Kops a'!D6</f>
        <v>Dzīvojamās ēkas vienkāršotā atjaunošana</v>
      </c>
      <c r="E5" s="433"/>
      <c r="F5" s="433"/>
      <c r="G5" s="433"/>
      <c r="H5" s="433"/>
      <c r="I5" s="433"/>
      <c r="J5" s="433"/>
      <c r="K5" s="433"/>
      <c r="L5" s="433"/>
      <c r="M5" s="12"/>
      <c r="N5" s="12"/>
      <c r="O5" s="12"/>
      <c r="P5" s="12"/>
    </row>
    <row r="6" spans="1:22" x14ac:dyDescent="0.2">
      <c r="A6" s="16"/>
      <c r="C6" s="20" t="s">
        <v>6</v>
      </c>
      <c r="D6" s="433" t="str">
        <f>'Kops a'!D7</f>
        <v>Daudzdzīvokļu dzīvojamās mājas energoefektivitātes paaugstināšanas pasākumi</v>
      </c>
      <c r="E6" s="433"/>
      <c r="F6" s="433"/>
      <c r="G6" s="433"/>
      <c r="H6" s="433"/>
      <c r="I6" s="433"/>
      <c r="J6" s="433"/>
      <c r="K6" s="433"/>
      <c r="L6" s="433"/>
      <c r="M6" s="12"/>
      <c r="N6" s="12"/>
      <c r="O6" s="12"/>
      <c r="P6" s="12"/>
    </row>
    <row r="7" spans="1:22" x14ac:dyDescent="0.2">
      <c r="A7" s="16"/>
      <c r="C7" s="20" t="s">
        <v>7</v>
      </c>
      <c r="D7" s="433" t="str">
        <f>'Kops a'!D8</f>
        <v xml:space="preserve">Atmodas bulvārī 12, Liepājā. </v>
      </c>
      <c r="E7" s="433"/>
      <c r="F7" s="433"/>
      <c r="G7" s="433"/>
      <c r="H7" s="433"/>
      <c r="I7" s="433"/>
      <c r="J7" s="433"/>
      <c r="K7" s="433"/>
      <c r="L7" s="433"/>
      <c r="M7" s="12"/>
      <c r="N7" s="12"/>
      <c r="O7" s="12"/>
      <c r="P7" s="12"/>
    </row>
    <row r="8" spans="1:22" x14ac:dyDescent="0.2">
      <c r="A8" s="16"/>
      <c r="C8" s="97" t="s">
        <v>20</v>
      </c>
      <c r="D8" s="433" t="str">
        <f>'Kops a'!D9</f>
        <v>WS-5-18</v>
      </c>
      <c r="E8" s="433"/>
      <c r="F8" s="433"/>
      <c r="G8" s="433"/>
      <c r="H8" s="433"/>
      <c r="I8" s="433"/>
      <c r="J8" s="433"/>
      <c r="K8" s="433"/>
      <c r="L8" s="433"/>
      <c r="M8" s="12"/>
      <c r="N8" s="12"/>
      <c r="O8" s="12"/>
      <c r="P8" s="12"/>
    </row>
    <row r="9" spans="1:22" ht="11.25" customHeight="1" x14ac:dyDescent="0.2">
      <c r="A9" s="413" t="s">
        <v>362</v>
      </c>
      <c r="B9" s="413"/>
      <c r="C9" s="413"/>
      <c r="D9" s="413"/>
      <c r="E9" s="413"/>
      <c r="F9" s="413"/>
      <c r="G9" s="24"/>
      <c r="H9" s="24"/>
      <c r="I9" s="24"/>
      <c r="J9" s="417" t="s">
        <v>39</v>
      </c>
      <c r="K9" s="417"/>
      <c r="L9" s="417"/>
      <c r="M9" s="417"/>
      <c r="N9" s="424">
        <f>P69</f>
        <v>0</v>
      </c>
      <c r="O9" s="424"/>
      <c r="P9" s="24"/>
    </row>
    <row r="10" spans="1:22" x14ac:dyDescent="0.2">
      <c r="A10" s="25"/>
      <c r="B10" s="26"/>
      <c r="C10" s="97"/>
      <c r="D10" s="16"/>
      <c r="E10" s="16"/>
      <c r="F10" s="16"/>
      <c r="G10" s="16"/>
      <c r="H10" s="16"/>
      <c r="I10" s="16"/>
      <c r="J10" s="16"/>
      <c r="K10" s="16"/>
      <c r="L10" s="22"/>
      <c r="M10" s="22"/>
      <c r="O10" s="71"/>
      <c r="P10" s="70" t="str">
        <f>A75</f>
        <v>Tāme sastādīta 2021. gada</v>
      </c>
    </row>
    <row r="11" spans="1:22" ht="12" thickBot="1" x14ac:dyDescent="0.25">
      <c r="A11" s="25"/>
      <c r="B11" s="26"/>
      <c r="C11" s="97"/>
      <c r="D11" s="16"/>
      <c r="E11" s="16"/>
      <c r="F11" s="16"/>
      <c r="G11" s="16"/>
      <c r="H11" s="16"/>
      <c r="I11" s="16"/>
      <c r="J11" s="16"/>
      <c r="K11" s="16"/>
      <c r="L11" s="27"/>
      <c r="M11" s="27"/>
      <c r="N11" s="28"/>
      <c r="O11" s="19"/>
      <c r="P11" s="16"/>
    </row>
    <row r="12" spans="1:22" x14ac:dyDescent="0.2">
      <c r="A12" s="383" t="s">
        <v>23</v>
      </c>
      <c r="B12" s="419" t="s">
        <v>40</v>
      </c>
      <c r="C12" s="415" t="s">
        <v>41</v>
      </c>
      <c r="D12" s="422" t="s">
        <v>42</v>
      </c>
      <c r="E12" s="431" t="s">
        <v>43</v>
      </c>
      <c r="F12" s="414" t="s">
        <v>44</v>
      </c>
      <c r="G12" s="415"/>
      <c r="H12" s="415"/>
      <c r="I12" s="415"/>
      <c r="J12" s="415"/>
      <c r="K12" s="416"/>
      <c r="L12" s="414" t="s">
        <v>45</v>
      </c>
      <c r="M12" s="415"/>
      <c r="N12" s="415"/>
      <c r="O12" s="415"/>
      <c r="P12" s="416"/>
    </row>
    <row r="13" spans="1:22" ht="126.75" customHeight="1" thickBot="1" x14ac:dyDescent="0.25">
      <c r="A13" s="418"/>
      <c r="B13" s="420"/>
      <c r="C13" s="421"/>
      <c r="D13" s="423"/>
      <c r="E13" s="432"/>
      <c r="F13" s="101" t="s">
        <v>46</v>
      </c>
      <c r="G13" s="102" t="s">
        <v>47</v>
      </c>
      <c r="H13" s="102" t="s">
        <v>48</v>
      </c>
      <c r="I13" s="102" t="s">
        <v>49</v>
      </c>
      <c r="J13" s="102" t="s">
        <v>50</v>
      </c>
      <c r="K13" s="46" t="s">
        <v>51</v>
      </c>
      <c r="L13" s="101" t="s">
        <v>46</v>
      </c>
      <c r="M13" s="102" t="s">
        <v>48</v>
      </c>
      <c r="N13" s="102" t="s">
        <v>49</v>
      </c>
      <c r="O13" s="102" t="s">
        <v>50</v>
      </c>
      <c r="P13" s="46" t="s">
        <v>51</v>
      </c>
    </row>
    <row r="14" spans="1:22" x14ac:dyDescent="0.2">
      <c r="A14" s="79">
        <f>IF(COUNTBLANK(B14)=1," ",COUNTA($B$13:B14))</f>
        <v>1</v>
      </c>
      <c r="B14" s="47" t="s">
        <v>58</v>
      </c>
      <c r="C14" s="472" t="s">
        <v>137</v>
      </c>
      <c r="D14" s="473" t="s">
        <v>61</v>
      </c>
      <c r="E14" s="470">
        <v>32</v>
      </c>
      <c r="F14" s="53"/>
      <c r="G14" s="50"/>
      <c r="H14" s="50">
        <f>ROUND(F14*G14,2)</f>
        <v>0</v>
      </c>
      <c r="I14" s="50"/>
      <c r="J14" s="50"/>
      <c r="K14" s="51">
        <f>SUM(H14:J14)</f>
        <v>0</v>
      </c>
      <c r="L14" s="53">
        <f>ROUND(E14*F14,2)</f>
        <v>0</v>
      </c>
      <c r="M14" s="50">
        <f>ROUND(H14*E14,2)</f>
        <v>0</v>
      </c>
      <c r="N14" s="50">
        <f>ROUND(I14*E14,2)</f>
        <v>0</v>
      </c>
      <c r="O14" s="50">
        <f>ROUND(J14*E14,2)</f>
        <v>0</v>
      </c>
      <c r="P14" s="78">
        <f>SUM(M14:O14)</f>
        <v>0</v>
      </c>
      <c r="Q14" s="261"/>
      <c r="S14" s="264"/>
      <c r="T14" s="264"/>
      <c r="U14" s="264"/>
      <c r="V14" s="264"/>
    </row>
    <row r="15" spans="1:22" x14ac:dyDescent="0.2">
      <c r="A15" s="79">
        <f>IF(COUNTBLANK(B15)=1," ",COUNTA($B$13:B15))</f>
        <v>2</v>
      </c>
      <c r="B15" s="129" t="s">
        <v>58</v>
      </c>
      <c r="C15" s="474" t="s">
        <v>138</v>
      </c>
      <c r="D15" s="475" t="s">
        <v>59</v>
      </c>
      <c r="E15" s="469">
        <f>E60</f>
        <v>501.20532000000014</v>
      </c>
      <c r="F15" s="257"/>
      <c r="G15" s="258"/>
      <c r="H15" s="258">
        <f t="shared" ref="H15:H68" si="0">ROUND(F15*G15,2)</f>
        <v>0</v>
      </c>
      <c r="I15" s="258"/>
      <c r="J15" s="258"/>
      <c r="K15" s="259">
        <f t="shared" ref="K15:K68" si="1">SUM(H15:J15)</f>
        <v>0</v>
      </c>
      <c r="L15" s="257">
        <f t="shared" ref="L15:L68" si="2">ROUND(E15*F15,2)</f>
        <v>0</v>
      </c>
      <c r="M15" s="258">
        <f t="shared" ref="M15:M68" si="3">ROUND(H15*E15,2)</f>
        <v>0</v>
      </c>
      <c r="N15" s="258">
        <f t="shared" ref="N15:N68" si="4">ROUND(I15*E15,2)</f>
        <v>0</v>
      </c>
      <c r="O15" s="258">
        <f t="shared" ref="O15:O68" si="5">ROUND(J15*E15,2)</f>
        <v>0</v>
      </c>
      <c r="P15" s="260">
        <f t="shared" ref="P15:P68" si="6">SUM(M15:O15)</f>
        <v>0</v>
      </c>
      <c r="Q15" s="262"/>
      <c r="R15" s="344"/>
      <c r="S15" s="264"/>
      <c r="T15" s="264"/>
      <c r="U15" s="264"/>
      <c r="V15" s="264"/>
    </row>
    <row r="16" spans="1:22" x14ac:dyDescent="0.2">
      <c r="A16" s="79">
        <f>IF(COUNTBLANK(B16)=1," ",COUNTA($B$13:B16))</f>
        <v>3</v>
      </c>
      <c r="B16" s="129" t="s">
        <v>58</v>
      </c>
      <c r="C16" s="474" t="s">
        <v>139</v>
      </c>
      <c r="D16" s="475" t="s">
        <v>67</v>
      </c>
      <c r="E16" s="469">
        <f>E15*0.1*0.05</f>
        <v>2.5060266000000011</v>
      </c>
      <c r="F16" s="257"/>
      <c r="G16" s="258"/>
      <c r="H16" s="258">
        <f t="shared" si="0"/>
        <v>0</v>
      </c>
      <c r="I16" s="258"/>
      <c r="J16" s="258"/>
      <c r="K16" s="259">
        <f t="shared" si="1"/>
        <v>0</v>
      </c>
      <c r="L16" s="257">
        <f t="shared" si="2"/>
        <v>0</v>
      </c>
      <c r="M16" s="258">
        <f t="shared" si="3"/>
        <v>0</v>
      </c>
      <c r="N16" s="258">
        <f t="shared" si="4"/>
        <v>0</v>
      </c>
      <c r="O16" s="258">
        <f t="shared" si="5"/>
        <v>0</v>
      </c>
      <c r="P16" s="260">
        <f t="shared" si="6"/>
        <v>0</v>
      </c>
      <c r="Q16" s="261"/>
      <c r="S16" s="264"/>
      <c r="T16" s="264"/>
      <c r="U16" s="264"/>
      <c r="V16" s="264"/>
    </row>
    <row r="17" spans="1:25" x14ac:dyDescent="0.2">
      <c r="A17" s="79">
        <f>IF(COUNTBLANK(B17)=1," ",COUNTA($B$13:B17))</f>
        <v>4</v>
      </c>
      <c r="B17" s="129" t="s">
        <v>58</v>
      </c>
      <c r="C17" s="474" t="s">
        <v>66</v>
      </c>
      <c r="D17" s="475" t="s">
        <v>67</v>
      </c>
      <c r="E17" s="469">
        <f>E16</f>
        <v>2.5060266000000011</v>
      </c>
      <c r="F17" s="257"/>
      <c r="G17" s="258"/>
      <c r="H17" s="258">
        <f t="shared" si="0"/>
        <v>0</v>
      </c>
      <c r="I17" s="258"/>
      <c r="J17" s="258"/>
      <c r="K17" s="259">
        <f t="shared" si="1"/>
        <v>0</v>
      </c>
      <c r="L17" s="257">
        <f t="shared" si="2"/>
        <v>0</v>
      </c>
      <c r="M17" s="258">
        <f t="shared" si="3"/>
        <v>0</v>
      </c>
      <c r="N17" s="258">
        <f t="shared" si="4"/>
        <v>0</v>
      </c>
      <c r="O17" s="258">
        <f t="shared" si="5"/>
        <v>0</v>
      </c>
      <c r="P17" s="260">
        <f t="shared" si="6"/>
        <v>0</v>
      </c>
      <c r="Q17" s="261"/>
    </row>
    <row r="18" spans="1:25" x14ac:dyDescent="0.2">
      <c r="A18" s="79" t="str">
        <f>IF(COUNTBLANK(B18)=1," ",COUNTA($B$13:B18))</f>
        <v xml:space="preserve"> </v>
      </c>
      <c r="B18" s="129"/>
      <c r="C18" s="474" t="s">
        <v>68</v>
      </c>
      <c r="D18" s="475" t="s">
        <v>61</v>
      </c>
      <c r="E18" s="469">
        <v>1</v>
      </c>
      <c r="F18" s="53"/>
      <c r="G18" s="50"/>
      <c r="H18" s="50">
        <f t="shared" si="0"/>
        <v>0</v>
      </c>
      <c r="I18" s="50"/>
      <c r="J18" s="50"/>
      <c r="K18" s="51">
        <f t="shared" si="1"/>
        <v>0</v>
      </c>
      <c r="L18" s="53">
        <f t="shared" si="2"/>
        <v>0</v>
      </c>
      <c r="M18" s="50">
        <f t="shared" si="3"/>
        <v>0</v>
      </c>
      <c r="N18" s="50">
        <f t="shared" si="4"/>
        <v>0</v>
      </c>
      <c r="O18" s="50">
        <f t="shared" si="5"/>
        <v>0</v>
      </c>
      <c r="P18" s="78">
        <f t="shared" si="6"/>
        <v>0</v>
      </c>
      <c r="Q18" s="79"/>
    </row>
    <row r="19" spans="1:25" ht="45" x14ac:dyDescent="0.2">
      <c r="A19" s="79" t="str">
        <f>IF(COUNTBLANK(B19)=1," ",COUNTA($B$13:B19))</f>
        <v xml:space="preserve"> </v>
      </c>
      <c r="B19" s="129"/>
      <c r="C19" s="474" t="s">
        <v>478</v>
      </c>
      <c r="D19" s="475"/>
      <c r="E19" s="469"/>
      <c r="F19" s="53"/>
      <c r="G19" s="50"/>
      <c r="H19" s="50">
        <f t="shared" si="0"/>
        <v>0</v>
      </c>
      <c r="I19" s="50"/>
      <c r="J19" s="50"/>
      <c r="K19" s="51">
        <f t="shared" si="1"/>
        <v>0</v>
      </c>
      <c r="L19" s="53">
        <f t="shared" si="2"/>
        <v>0</v>
      </c>
      <c r="M19" s="50">
        <f t="shared" si="3"/>
        <v>0</v>
      </c>
      <c r="N19" s="50">
        <f t="shared" si="4"/>
        <v>0</v>
      </c>
      <c r="O19" s="50">
        <f t="shared" si="5"/>
        <v>0</v>
      </c>
      <c r="P19" s="78">
        <f t="shared" si="6"/>
        <v>0</v>
      </c>
      <c r="Q19" s="79"/>
    </row>
    <row r="20" spans="1:25" x14ac:dyDescent="0.2">
      <c r="A20" s="79">
        <f>IF(COUNTBLANK(B20)=1," ",COUNTA($B$13:B20))</f>
        <v>5</v>
      </c>
      <c r="B20" s="129" t="s">
        <v>58</v>
      </c>
      <c r="C20" s="474" t="s">
        <v>213</v>
      </c>
      <c r="D20" s="475" t="s">
        <v>61</v>
      </c>
      <c r="E20" s="469">
        <v>6</v>
      </c>
      <c r="F20" s="53"/>
      <c r="G20" s="50"/>
      <c r="H20" s="50">
        <f t="shared" si="0"/>
        <v>0</v>
      </c>
      <c r="I20" s="50"/>
      <c r="J20" s="50"/>
      <c r="K20" s="51">
        <f t="shared" si="1"/>
        <v>0</v>
      </c>
      <c r="L20" s="53">
        <f t="shared" si="2"/>
        <v>0</v>
      </c>
      <c r="M20" s="50">
        <f t="shared" si="3"/>
        <v>0</v>
      </c>
      <c r="N20" s="50">
        <f t="shared" si="4"/>
        <v>0</v>
      </c>
      <c r="O20" s="50">
        <f t="shared" si="5"/>
        <v>0</v>
      </c>
      <c r="P20" s="78">
        <f t="shared" si="6"/>
        <v>0</v>
      </c>
      <c r="Q20" s="79"/>
    </row>
    <row r="21" spans="1:25" x14ac:dyDescent="0.2">
      <c r="A21" s="79">
        <f>IF(COUNTBLANK(B21)=1," ",COUNTA($B$13:B21))</f>
        <v>6</v>
      </c>
      <c r="B21" s="129" t="s">
        <v>58</v>
      </c>
      <c r="C21" s="474" t="s">
        <v>214</v>
      </c>
      <c r="D21" s="475" t="s">
        <v>61</v>
      </c>
      <c r="E21" s="469">
        <v>12</v>
      </c>
      <c r="F21" s="53"/>
      <c r="G21" s="50"/>
      <c r="H21" s="50">
        <f t="shared" si="0"/>
        <v>0</v>
      </c>
      <c r="I21" s="50"/>
      <c r="J21" s="50"/>
      <c r="K21" s="51">
        <f t="shared" si="1"/>
        <v>0</v>
      </c>
      <c r="L21" s="53">
        <f t="shared" si="2"/>
        <v>0</v>
      </c>
      <c r="M21" s="50">
        <f t="shared" si="3"/>
        <v>0</v>
      </c>
      <c r="N21" s="50">
        <f t="shared" si="4"/>
        <v>0</v>
      </c>
      <c r="O21" s="50">
        <f t="shared" si="5"/>
        <v>0</v>
      </c>
      <c r="P21" s="78">
        <f t="shared" si="6"/>
        <v>0</v>
      </c>
      <c r="Q21" s="79"/>
    </row>
    <row r="22" spans="1:25" x14ac:dyDescent="0.2">
      <c r="A22" s="79">
        <f>IF(COUNTBLANK(B22)=1," ",COUNTA($B$13:B22))</f>
        <v>7</v>
      </c>
      <c r="B22" s="129" t="s">
        <v>58</v>
      </c>
      <c r="C22" s="474" t="s">
        <v>215</v>
      </c>
      <c r="D22" s="475" t="s">
        <v>61</v>
      </c>
      <c r="E22" s="469">
        <v>2</v>
      </c>
      <c r="F22" s="53"/>
      <c r="G22" s="50"/>
      <c r="H22" s="50"/>
      <c r="I22" s="50"/>
      <c r="J22" s="50"/>
      <c r="K22" s="51"/>
      <c r="L22" s="53"/>
      <c r="M22" s="50"/>
      <c r="N22" s="50"/>
      <c r="O22" s="50"/>
      <c r="P22" s="78"/>
      <c r="Q22" s="79"/>
    </row>
    <row r="23" spans="1:25" x14ac:dyDescent="0.2">
      <c r="A23" s="79">
        <f>IF(COUNTBLANK(B23)=1," ",COUNTA($B$13:B23))</f>
        <v>8</v>
      </c>
      <c r="B23" s="129" t="s">
        <v>58</v>
      </c>
      <c r="C23" s="474" t="s">
        <v>69</v>
      </c>
      <c r="D23" s="475" t="s">
        <v>61</v>
      </c>
      <c r="E23" s="469">
        <f>SUM(E20:E22)</f>
        <v>20</v>
      </c>
      <c r="F23" s="53"/>
      <c r="G23" s="50"/>
      <c r="H23" s="50">
        <f t="shared" si="0"/>
        <v>0</v>
      </c>
      <c r="I23" s="50"/>
      <c r="J23" s="50"/>
      <c r="K23" s="51">
        <f t="shared" si="1"/>
        <v>0</v>
      </c>
      <c r="L23" s="53">
        <f t="shared" si="2"/>
        <v>0</v>
      </c>
      <c r="M23" s="50">
        <f t="shared" si="3"/>
        <v>0</v>
      </c>
      <c r="N23" s="50">
        <f t="shared" si="4"/>
        <v>0</v>
      </c>
      <c r="O23" s="50">
        <f t="shared" si="5"/>
        <v>0</v>
      </c>
      <c r="P23" s="78">
        <f t="shared" si="6"/>
        <v>0</v>
      </c>
      <c r="Q23" s="79"/>
    </row>
    <row r="24" spans="1:25" x14ac:dyDescent="0.2">
      <c r="A24" s="79" t="str">
        <f>IF(COUNTBLANK(B24)=1," ",COUNTA($B$13:B24))</f>
        <v xml:space="preserve"> </v>
      </c>
      <c r="B24" s="129"/>
      <c r="C24" s="474" t="s">
        <v>70</v>
      </c>
      <c r="D24" s="475" t="s">
        <v>85</v>
      </c>
      <c r="E24" s="469">
        <f>E23*16</f>
        <v>320</v>
      </c>
      <c r="F24" s="257"/>
      <c r="G24" s="258"/>
      <c r="H24" s="258">
        <f t="shared" si="0"/>
        <v>0</v>
      </c>
      <c r="I24" s="258"/>
      <c r="J24" s="258"/>
      <c r="K24" s="259">
        <f t="shared" si="1"/>
        <v>0</v>
      </c>
      <c r="L24" s="257">
        <f t="shared" si="2"/>
        <v>0</v>
      </c>
      <c r="M24" s="258">
        <f t="shared" si="3"/>
        <v>0</v>
      </c>
      <c r="N24" s="258">
        <f t="shared" si="4"/>
        <v>0</v>
      </c>
      <c r="O24" s="258">
        <f t="shared" si="5"/>
        <v>0</v>
      </c>
      <c r="P24" s="260">
        <f t="shared" si="6"/>
        <v>0</v>
      </c>
      <c r="Q24" s="262"/>
    </row>
    <row r="25" spans="1:25" x14ac:dyDescent="0.2">
      <c r="A25" s="79" t="str">
        <f>IF(COUNTBLANK(B25)=1," ",COUNTA($B$13:B25))</f>
        <v xml:space="preserve"> </v>
      </c>
      <c r="B25" s="129"/>
      <c r="C25" s="474" t="s">
        <v>71</v>
      </c>
      <c r="D25" s="475" t="s">
        <v>85</v>
      </c>
      <c r="E25" s="469">
        <f>E24*4</f>
        <v>1280</v>
      </c>
      <c r="F25" s="257"/>
      <c r="G25" s="258"/>
      <c r="H25" s="258">
        <f t="shared" si="0"/>
        <v>0</v>
      </c>
      <c r="I25" s="258"/>
      <c r="J25" s="258"/>
      <c r="K25" s="259">
        <f t="shared" si="1"/>
        <v>0</v>
      </c>
      <c r="L25" s="257">
        <f t="shared" si="2"/>
        <v>0</v>
      </c>
      <c r="M25" s="258">
        <f t="shared" si="3"/>
        <v>0</v>
      </c>
      <c r="N25" s="258">
        <f t="shared" si="4"/>
        <v>0</v>
      </c>
      <c r="O25" s="258">
        <f t="shared" si="5"/>
        <v>0</v>
      </c>
      <c r="P25" s="260">
        <f t="shared" si="6"/>
        <v>0</v>
      </c>
      <c r="Q25" s="262"/>
    </row>
    <row r="26" spans="1:25" ht="33.75" x14ac:dyDescent="0.2">
      <c r="A26" s="79" t="str">
        <f>IF(COUNTBLANK(B26)=1," ",COUNTA($B$13:B26))</f>
        <v xml:space="preserve"> </v>
      </c>
      <c r="B26" s="129"/>
      <c r="C26" s="474" t="s">
        <v>140</v>
      </c>
      <c r="D26" s="475" t="s">
        <v>59</v>
      </c>
      <c r="E26" s="470">
        <v>131.5</v>
      </c>
      <c r="F26" s="257"/>
      <c r="G26" s="258"/>
      <c r="H26" s="258">
        <f t="shared" si="0"/>
        <v>0</v>
      </c>
      <c r="I26" s="258"/>
      <c r="J26" s="258"/>
      <c r="K26" s="259">
        <f t="shared" si="1"/>
        <v>0</v>
      </c>
      <c r="L26" s="257">
        <f t="shared" si="2"/>
        <v>0</v>
      </c>
      <c r="M26" s="258">
        <f t="shared" si="3"/>
        <v>0</v>
      </c>
      <c r="N26" s="258">
        <f t="shared" si="4"/>
        <v>0</v>
      </c>
      <c r="O26" s="258">
        <f t="shared" si="5"/>
        <v>0</v>
      </c>
      <c r="P26" s="260">
        <f t="shared" si="6"/>
        <v>0</v>
      </c>
      <c r="Q26" s="262"/>
    </row>
    <row r="27" spans="1:25" x14ac:dyDescent="0.2">
      <c r="A27" s="79" t="str">
        <f>IF(COUNTBLANK(B27)=1," ",COUNTA($B$13:B27))</f>
        <v xml:space="preserve"> </v>
      </c>
      <c r="B27" s="129"/>
      <c r="C27" s="474" t="s">
        <v>73</v>
      </c>
      <c r="D27" s="475" t="s">
        <v>85</v>
      </c>
      <c r="E27" s="469">
        <f>E23*16*2</f>
        <v>640</v>
      </c>
      <c r="F27" s="257"/>
      <c r="G27" s="258"/>
      <c r="H27" s="258">
        <f t="shared" si="0"/>
        <v>0</v>
      </c>
      <c r="I27" s="258"/>
      <c r="J27" s="258"/>
      <c r="K27" s="259">
        <f t="shared" si="1"/>
        <v>0</v>
      </c>
      <c r="L27" s="257">
        <f t="shared" si="2"/>
        <v>0</v>
      </c>
      <c r="M27" s="258">
        <f t="shared" si="3"/>
        <v>0</v>
      </c>
      <c r="N27" s="258">
        <f t="shared" si="4"/>
        <v>0</v>
      </c>
      <c r="O27" s="258">
        <f t="shared" si="5"/>
        <v>0</v>
      </c>
      <c r="P27" s="260">
        <f t="shared" si="6"/>
        <v>0</v>
      </c>
      <c r="Q27" s="262"/>
    </row>
    <row r="28" spans="1:25" x14ac:dyDescent="0.2">
      <c r="A28" s="79" t="str">
        <f>IF(COUNTBLANK(B28)=1," ",COUNTA($B$13:B28))</f>
        <v xml:space="preserve"> </v>
      </c>
      <c r="B28" s="129"/>
      <c r="C28" s="474" t="s">
        <v>377</v>
      </c>
      <c r="D28" s="475" t="s">
        <v>72</v>
      </c>
      <c r="E28" s="469">
        <f>E23</f>
        <v>20</v>
      </c>
      <c r="F28" s="53"/>
      <c r="G28" s="50"/>
      <c r="H28" s="50">
        <f t="shared" si="0"/>
        <v>0</v>
      </c>
      <c r="I28" s="50"/>
      <c r="J28" s="50"/>
      <c r="K28" s="51">
        <f t="shared" si="1"/>
        <v>0</v>
      </c>
      <c r="L28" s="53">
        <f t="shared" si="2"/>
        <v>0</v>
      </c>
      <c r="M28" s="50">
        <f t="shared" si="3"/>
        <v>0</v>
      </c>
      <c r="N28" s="50">
        <f t="shared" si="4"/>
        <v>0</v>
      </c>
      <c r="O28" s="50">
        <f t="shared" si="5"/>
        <v>0</v>
      </c>
      <c r="P28" s="78">
        <f t="shared" si="6"/>
        <v>0</v>
      </c>
      <c r="Q28" s="79"/>
    </row>
    <row r="29" spans="1:25" x14ac:dyDescent="0.2">
      <c r="A29" s="79" t="str">
        <f>IF(COUNTBLANK(B29)=1," ",COUNTA($B$13:B29))</f>
        <v xml:space="preserve"> </v>
      </c>
      <c r="B29" s="129"/>
      <c r="C29" s="474" t="s">
        <v>81</v>
      </c>
      <c r="D29" s="475" t="s">
        <v>59</v>
      </c>
      <c r="E29" s="469">
        <f>2.112*E20+1.42*E21+1.53*E22</f>
        <v>32.771999999999998</v>
      </c>
      <c r="F29" s="53"/>
      <c r="G29" s="50"/>
      <c r="H29" s="50">
        <f t="shared" si="0"/>
        <v>0</v>
      </c>
      <c r="I29" s="50"/>
      <c r="J29" s="50"/>
      <c r="K29" s="51">
        <f t="shared" si="1"/>
        <v>0</v>
      </c>
      <c r="L29" s="53">
        <f t="shared" si="2"/>
        <v>0</v>
      </c>
      <c r="M29" s="50">
        <f t="shared" si="3"/>
        <v>0</v>
      </c>
      <c r="N29" s="50">
        <f t="shared" si="4"/>
        <v>0</v>
      </c>
      <c r="O29" s="50">
        <f t="shared" si="5"/>
        <v>0</v>
      </c>
      <c r="P29" s="78">
        <f t="shared" si="6"/>
        <v>0</v>
      </c>
      <c r="Q29" s="79"/>
    </row>
    <row r="30" spans="1:25" ht="67.5" x14ac:dyDescent="0.2">
      <c r="A30" s="79">
        <f>IF(COUNTBLANK(B30)=1," ",COUNTA($B$13:B30))</f>
        <v>9</v>
      </c>
      <c r="B30" s="139" t="s">
        <v>58</v>
      </c>
      <c r="C30" s="474" t="s">
        <v>216</v>
      </c>
      <c r="D30" s="475" t="s">
        <v>61</v>
      </c>
      <c r="E30" s="476">
        <v>6</v>
      </c>
      <c r="F30" s="53"/>
      <c r="G30" s="50"/>
      <c r="H30" s="50">
        <f t="shared" si="0"/>
        <v>0</v>
      </c>
      <c r="I30" s="50"/>
      <c r="J30" s="50"/>
      <c r="K30" s="51">
        <f t="shared" si="1"/>
        <v>0</v>
      </c>
      <c r="L30" s="53">
        <f t="shared" si="2"/>
        <v>0</v>
      </c>
      <c r="M30" s="50">
        <f t="shared" si="3"/>
        <v>0</v>
      </c>
      <c r="N30" s="50">
        <f t="shared" si="4"/>
        <v>0</v>
      </c>
      <c r="O30" s="50">
        <f t="shared" si="5"/>
        <v>0</v>
      </c>
      <c r="P30" s="78">
        <f t="shared" si="6"/>
        <v>0</v>
      </c>
      <c r="Q30" s="79"/>
    </row>
    <row r="31" spans="1:25" x14ac:dyDescent="0.2">
      <c r="A31" s="79">
        <f>IF(COUNTBLANK(B31)=1," ",COUNTA($B$13:B31))</f>
        <v>10</v>
      </c>
      <c r="B31" s="139" t="s">
        <v>58</v>
      </c>
      <c r="C31" s="474" t="s">
        <v>98</v>
      </c>
      <c r="D31" s="475" t="s">
        <v>85</v>
      </c>
      <c r="E31" s="469">
        <f>E30</f>
        <v>6</v>
      </c>
      <c r="F31" s="53"/>
      <c r="G31" s="50"/>
      <c r="H31" s="50">
        <f t="shared" si="0"/>
        <v>0</v>
      </c>
      <c r="I31" s="50"/>
      <c r="J31" s="50"/>
      <c r="K31" s="51">
        <f t="shared" si="1"/>
        <v>0</v>
      </c>
      <c r="L31" s="53">
        <f t="shared" si="2"/>
        <v>0</v>
      </c>
      <c r="M31" s="50">
        <f t="shared" si="3"/>
        <v>0</v>
      </c>
      <c r="N31" s="50">
        <f t="shared" si="4"/>
        <v>0</v>
      </c>
      <c r="O31" s="50">
        <f t="shared" si="5"/>
        <v>0</v>
      </c>
      <c r="P31" s="78">
        <f t="shared" si="6"/>
        <v>0</v>
      </c>
      <c r="Q31" s="79"/>
    </row>
    <row r="32" spans="1:25" ht="11.25" customHeight="1" x14ac:dyDescent="0.2">
      <c r="A32" s="79" t="str">
        <f>IF(COUNTBLANK(B32)=1," ",COUNTA($B$13:B32))</f>
        <v xml:space="preserve"> </v>
      </c>
      <c r="B32" s="139"/>
      <c r="C32" s="474" t="s">
        <v>70</v>
      </c>
      <c r="D32" s="475" t="s">
        <v>85</v>
      </c>
      <c r="E32" s="469">
        <f>E31*16</f>
        <v>96</v>
      </c>
      <c r="F32" s="257"/>
      <c r="G32" s="258"/>
      <c r="H32" s="258">
        <f t="shared" si="0"/>
        <v>0</v>
      </c>
      <c r="I32" s="258"/>
      <c r="J32" s="258"/>
      <c r="K32" s="259">
        <f t="shared" si="1"/>
        <v>0</v>
      </c>
      <c r="L32" s="257">
        <f t="shared" si="2"/>
        <v>0</v>
      </c>
      <c r="M32" s="258">
        <f t="shared" si="3"/>
        <v>0</v>
      </c>
      <c r="N32" s="258">
        <f t="shared" si="4"/>
        <v>0</v>
      </c>
      <c r="O32" s="258">
        <f t="shared" si="5"/>
        <v>0</v>
      </c>
      <c r="P32" s="260">
        <f t="shared" si="6"/>
        <v>0</v>
      </c>
      <c r="Q32" s="262"/>
      <c r="S32" s="264"/>
      <c r="T32" s="264"/>
      <c r="U32" s="264"/>
      <c r="V32" s="264"/>
      <c r="W32" s="264"/>
      <c r="X32" s="264"/>
      <c r="Y32" s="264"/>
    </row>
    <row r="33" spans="1:25" x14ac:dyDescent="0.2">
      <c r="A33" s="79" t="str">
        <f>IF(COUNTBLANK(B33)=1," ",COUNTA($B$13:B33))</f>
        <v xml:space="preserve"> </v>
      </c>
      <c r="B33" s="139"/>
      <c r="C33" s="474" t="s">
        <v>71</v>
      </c>
      <c r="D33" s="475" t="s">
        <v>85</v>
      </c>
      <c r="E33" s="469">
        <f>E32*4</f>
        <v>384</v>
      </c>
      <c r="F33" s="257"/>
      <c r="G33" s="258"/>
      <c r="H33" s="258">
        <f t="shared" si="0"/>
        <v>0</v>
      </c>
      <c r="I33" s="258"/>
      <c r="J33" s="258"/>
      <c r="K33" s="259">
        <f t="shared" si="1"/>
        <v>0</v>
      </c>
      <c r="L33" s="257">
        <f t="shared" si="2"/>
        <v>0</v>
      </c>
      <c r="M33" s="258">
        <f t="shared" si="3"/>
        <v>0</v>
      </c>
      <c r="N33" s="258">
        <f t="shared" si="4"/>
        <v>0</v>
      </c>
      <c r="O33" s="258">
        <f t="shared" si="5"/>
        <v>0</v>
      </c>
      <c r="P33" s="260">
        <f t="shared" si="6"/>
        <v>0</v>
      </c>
      <c r="Q33" s="262"/>
      <c r="S33" s="264"/>
      <c r="T33" s="264"/>
      <c r="U33" s="264"/>
      <c r="V33" s="264"/>
      <c r="W33" s="264"/>
      <c r="X33" s="264"/>
      <c r="Y33" s="264"/>
    </row>
    <row r="34" spans="1:25" ht="33.75" x14ac:dyDescent="0.2">
      <c r="A34" s="79" t="str">
        <f>IF(COUNTBLANK(B34)=1," ",COUNTA($B$13:B34))</f>
        <v xml:space="preserve"> </v>
      </c>
      <c r="B34" s="139"/>
      <c r="C34" s="474" t="s">
        <v>487</v>
      </c>
      <c r="D34" s="475" t="s">
        <v>59</v>
      </c>
      <c r="E34" s="469">
        <f>(2.25+2.1)*2*E30</f>
        <v>52.199999999999996</v>
      </c>
      <c r="F34" s="257"/>
      <c r="G34" s="258"/>
      <c r="H34" s="258">
        <f t="shared" si="0"/>
        <v>0</v>
      </c>
      <c r="I34" s="258"/>
      <c r="J34" s="258"/>
      <c r="K34" s="259">
        <f t="shared" si="1"/>
        <v>0</v>
      </c>
      <c r="L34" s="257">
        <f t="shared" si="2"/>
        <v>0</v>
      </c>
      <c r="M34" s="258">
        <f t="shared" si="3"/>
        <v>0</v>
      </c>
      <c r="N34" s="258">
        <f t="shared" si="4"/>
        <v>0</v>
      </c>
      <c r="O34" s="258">
        <f t="shared" si="5"/>
        <v>0</v>
      </c>
      <c r="P34" s="260">
        <f t="shared" si="6"/>
        <v>0</v>
      </c>
      <c r="Q34" s="361"/>
    </row>
    <row r="35" spans="1:25" x14ac:dyDescent="0.2">
      <c r="A35" s="79" t="str">
        <f>IF(COUNTBLANK(B35)=1," ",COUNTA($B$13:B35))</f>
        <v xml:space="preserve"> </v>
      </c>
      <c r="B35" s="139"/>
      <c r="C35" s="474" t="s">
        <v>73</v>
      </c>
      <c r="D35" s="475" t="s">
        <v>85</v>
      </c>
      <c r="E35" s="469">
        <f>E32*2</f>
        <v>192</v>
      </c>
      <c r="F35" s="257"/>
      <c r="G35" s="258"/>
      <c r="H35" s="258">
        <f t="shared" si="0"/>
        <v>0</v>
      </c>
      <c r="I35" s="258"/>
      <c r="J35" s="258"/>
      <c r="K35" s="259">
        <f t="shared" si="1"/>
        <v>0</v>
      </c>
      <c r="L35" s="257">
        <f t="shared" si="2"/>
        <v>0</v>
      </c>
      <c r="M35" s="258">
        <f t="shared" si="3"/>
        <v>0</v>
      </c>
      <c r="N35" s="258">
        <f t="shared" si="4"/>
        <v>0</v>
      </c>
      <c r="O35" s="258">
        <f t="shared" si="5"/>
        <v>0</v>
      </c>
      <c r="P35" s="260">
        <f t="shared" si="6"/>
        <v>0</v>
      </c>
      <c r="Q35" s="359"/>
      <c r="R35" s="262"/>
    </row>
    <row r="36" spans="1:25" x14ac:dyDescent="0.2">
      <c r="A36" s="79" t="str">
        <f>IF(COUNTBLANK(B36)=1," ",COUNTA($B$13:B36))</f>
        <v xml:space="preserve"> </v>
      </c>
      <c r="B36" s="139"/>
      <c r="C36" s="474" t="s">
        <v>377</v>
      </c>
      <c r="D36" s="475" t="s">
        <v>72</v>
      </c>
      <c r="E36" s="469">
        <f>E30*2</f>
        <v>12</v>
      </c>
      <c r="F36" s="53"/>
      <c r="G36" s="50"/>
      <c r="H36" s="50">
        <f t="shared" si="0"/>
        <v>0</v>
      </c>
      <c r="I36" s="50"/>
      <c r="J36" s="50"/>
      <c r="K36" s="51">
        <f t="shared" si="1"/>
        <v>0</v>
      </c>
      <c r="L36" s="53">
        <f t="shared" si="2"/>
        <v>0</v>
      </c>
      <c r="M36" s="50">
        <f t="shared" si="3"/>
        <v>0</v>
      </c>
      <c r="N36" s="50">
        <f t="shared" si="4"/>
        <v>0</v>
      </c>
      <c r="O36" s="50">
        <f t="shared" si="5"/>
        <v>0</v>
      </c>
      <c r="P36" s="78">
        <f t="shared" si="6"/>
        <v>0</v>
      </c>
      <c r="Q36" s="79"/>
    </row>
    <row r="37" spans="1:25" ht="112.5" x14ac:dyDescent="0.2">
      <c r="A37" s="79">
        <f>IF(COUNTBLANK(B37)=1," ",COUNTA($B$13:B37))</f>
        <v>11</v>
      </c>
      <c r="B37" s="139" t="s">
        <v>58</v>
      </c>
      <c r="C37" s="474" t="s">
        <v>217</v>
      </c>
      <c r="D37" s="475" t="s">
        <v>61</v>
      </c>
      <c r="E37" s="476">
        <v>6</v>
      </c>
      <c r="F37" s="53"/>
      <c r="G37" s="50"/>
      <c r="H37" s="50"/>
      <c r="I37" s="50"/>
      <c r="J37" s="50"/>
      <c r="K37" s="51"/>
      <c r="L37" s="53"/>
      <c r="M37" s="50"/>
      <c r="N37" s="50"/>
      <c r="O37" s="50"/>
      <c r="P37" s="78"/>
      <c r="Q37" s="79"/>
    </row>
    <row r="38" spans="1:25" x14ac:dyDescent="0.2">
      <c r="A38" s="79">
        <f>IF(COUNTBLANK(B38)=1," ",COUNTA($B$13:B38))</f>
        <v>12</v>
      </c>
      <c r="B38" s="139" t="s">
        <v>58</v>
      </c>
      <c r="C38" s="474" t="s">
        <v>98</v>
      </c>
      <c r="D38" s="475" t="s">
        <v>85</v>
      </c>
      <c r="E38" s="469">
        <f>E37</f>
        <v>6</v>
      </c>
      <c r="F38" s="53"/>
      <c r="G38" s="50"/>
      <c r="H38" s="50"/>
      <c r="I38" s="50"/>
      <c r="J38" s="50"/>
      <c r="K38" s="51"/>
      <c r="L38" s="53"/>
      <c r="M38" s="50"/>
      <c r="N38" s="50"/>
      <c r="O38" s="50"/>
      <c r="P38" s="78"/>
      <c r="Q38" s="79"/>
    </row>
    <row r="39" spans="1:25" x14ac:dyDescent="0.2">
      <c r="A39" s="79" t="str">
        <f>IF(COUNTBLANK(B39)=1," ",COUNTA($B$13:B39))</f>
        <v xml:space="preserve"> </v>
      </c>
      <c r="B39" s="139"/>
      <c r="C39" s="474" t="s">
        <v>70</v>
      </c>
      <c r="D39" s="475" t="s">
        <v>85</v>
      </c>
      <c r="E39" s="469">
        <f>E38*16</f>
        <v>96</v>
      </c>
      <c r="F39" s="257"/>
      <c r="G39" s="258"/>
      <c r="H39" s="258"/>
      <c r="I39" s="258"/>
      <c r="J39" s="258"/>
      <c r="K39" s="259"/>
      <c r="L39" s="257"/>
      <c r="M39" s="258"/>
      <c r="N39" s="258"/>
      <c r="O39" s="258"/>
      <c r="P39" s="260"/>
      <c r="Q39" s="262"/>
    </row>
    <row r="40" spans="1:25" x14ac:dyDescent="0.2">
      <c r="A40" s="79" t="str">
        <f>IF(COUNTBLANK(B40)=1," ",COUNTA($B$13:B40))</f>
        <v xml:space="preserve"> </v>
      </c>
      <c r="B40" s="139"/>
      <c r="C40" s="474" t="s">
        <v>71</v>
      </c>
      <c r="D40" s="475" t="s">
        <v>85</v>
      </c>
      <c r="E40" s="469">
        <f>E39*4</f>
        <v>384</v>
      </c>
      <c r="F40" s="257"/>
      <c r="G40" s="258"/>
      <c r="H40" s="258"/>
      <c r="I40" s="258"/>
      <c r="J40" s="258"/>
      <c r="K40" s="259"/>
      <c r="L40" s="257"/>
      <c r="M40" s="258"/>
      <c r="N40" s="258"/>
      <c r="O40" s="258"/>
      <c r="P40" s="260"/>
      <c r="Q40" s="262"/>
    </row>
    <row r="41" spans="1:25" ht="33.75" x14ac:dyDescent="0.2">
      <c r="A41" s="79" t="str">
        <f>IF(COUNTBLANK(B41)=1," ",COUNTA($B$13:B41))</f>
        <v xml:space="preserve"> </v>
      </c>
      <c r="B41" s="139"/>
      <c r="C41" s="474" t="s">
        <v>487</v>
      </c>
      <c r="D41" s="475" t="s">
        <v>59</v>
      </c>
      <c r="E41" s="469">
        <f>(0.88+1.55)*2*E37</f>
        <v>29.160000000000004</v>
      </c>
      <c r="F41" s="53"/>
      <c r="G41" s="50"/>
      <c r="H41" s="50"/>
      <c r="I41" s="50"/>
      <c r="J41" s="50"/>
      <c r="K41" s="51"/>
      <c r="L41" s="53"/>
      <c r="M41" s="50"/>
      <c r="N41" s="50"/>
      <c r="O41" s="50"/>
      <c r="P41" s="78"/>
      <c r="Q41" s="361"/>
    </row>
    <row r="42" spans="1:25" x14ac:dyDescent="0.2">
      <c r="A42" s="79" t="str">
        <f>IF(COUNTBLANK(B42)=1," ",COUNTA($B$13:B42))</f>
        <v xml:space="preserve"> </v>
      </c>
      <c r="B42" s="139"/>
      <c r="C42" s="474" t="s">
        <v>73</v>
      </c>
      <c r="D42" s="475" t="s">
        <v>85</v>
      </c>
      <c r="E42" s="469">
        <f>E39*4</f>
        <v>384</v>
      </c>
      <c r="F42" s="257"/>
      <c r="G42" s="258"/>
      <c r="H42" s="258"/>
      <c r="I42" s="258"/>
      <c r="J42" s="258"/>
      <c r="K42" s="259"/>
      <c r="L42" s="257"/>
      <c r="M42" s="258"/>
      <c r="N42" s="258"/>
      <c r="O42" s="258"/>
      <c r="P42" s="260"/>
      <c r="Q42" s="262"/>
    </row>
    <row r="43" spans="1:25" x14ac:dyDescent="0.2">
      <c r="A43" s="79" t="str">
        <f>IF(COUNTBLANK(B43)=1," ",COUNTA($B$13:B43))</f>
        <v xml:space="preserve"> </v>
      </c>
      <c r="B43" s="139"/>
      <c r="C43" s="474" t="s">
        <v>377</v>
      </c>
      <c r="D43" s="475" t="s">
        <v>72</v>
      </c>
      <c r="E43" s="469">
        <f>E37</f>
        <v>6</v>
      </c>
      <c r="F43" s="53"/>
      <c r="G43" s="50"/>
      <c r="H43" s="50"/>
      <c r="I43" s="50"/>
      <c r="J43" s="50"/>
      <c r="K43" s="51"/>
      <c r="L43" s="53"/>
      <c r="M43" s="50"/>
      <c r="N43" s="50"/>
      <c r="O43" s="50"/>
      <c r="P43" s="78"/>
      <c r="Q43" s="79"/>
    </row>
    <row r="44" spans="1:25" ht="33.75" x14ac:dyDescent="0.2">
      <c r="A44" s="79">
        <f>IF(COUNTBLANK(B44)=1," ",COUNTA($B$13:B44))</f>
        <v>13</v>
      </c>
      <c r="B44" s="139" t="s">
        <v>58</v>
      </c>
      <c r="C44" s="474" t="s">
        <v>218</v>
      </c>
      <c r="D44" s="475" t="s">
        <v>131</v>
      </c>
      <c r="E44" s="469">
        <v>2</v>
      </c>
      <c r="F44" s="80"/>
      <c r="G44" s="81"/>
      <c r="H44" s="81">
        <f t="shared" si="0"/>
        <v>0</v>
      </c>
      <c r="I44" s="81"/>
      <c r="J44" s="81"/>
      <c r="K44" s="82">
        <f t="shared" si="1"/>
        <v>0</v>
      </c>
      <c r="L44" s="80">
        <f t="shared" si="2"/>
        <v>0</v>
      </c>
      <c r="M44" s="81">
        <f t="shared" si="3"/>
        <v>0</v>
      </c>
      <c r="N44" s="81">
        <f t="shared" si="4"/>
        <v>0</v>
      </c>
      <c r="O44" s="81">
        <f t="shared" si="5"/>
        <v>0</v>
      </c>
      <c r="P44" s="83">
        <f t="shared" si="6"/>
        <v>0</v>
      </c>
      <c r="Q44" s="79"/>
    </row>
    <row r="45" spans="1:25" ht="56.25" x14ac:dyDescent="0.2">
      <c r="A45" s="79">
        <f>IF(COUNTBLANK(B45)=1," ",COUNTA($B$13:B45))</f>
        <v>14</v>
      </c>
      <c r="B45" s="139" t="s">
        <v>58</v>
      </c>
      <c r="C45" s="474" t="s">
        <v>404</v>
      </c>
      <c r="D45" s="475" t="s">
        <v>85</v>
      </c>
      <c r="E45" s="469">
        <v>52</v>
      </c>
      <c r="F45" s="80"/>
      <c r="G45" s="81"/>
      <c r="H45" s="81"/>
      <c r="I45" s="81"/>
      <c r="J45" s="81"/>
      <c r="K45" s="82"/>
      <c r="L45" s="80"/>
      <c r="M45" s="81"/>
      <c r="N45" s="81"/>
      <c r="O45" s="81"/>
      <c r="P45" s="83"/>
      <c r="Q45" s="79"/>
    </row>
    <row r="46" spans="1:25" ht="33.75" x14ac:dyDescent="0.2">
      <c r="A46" s="79">
        <f>IF(COUNTBLANK(B46)=1," ",COUNTA($B$13:B46))</f>
        <v>15</v>
      </c>
      <c r="B46" s="139" t="s">
        <v>58</v>
      </c>
      <c r="C46" s="474" t="s">
        <v>495</v>
      </c>
      <c r="D46" s="475" t="s">
        <v>85</v>
      </c>
      <c r="E46" s="469">
        <v>10</v>
      </c>
      <c r="F46" s="84"/>
      <c r="G46" s="85"/>
      <c r="H46" s="85">
        <f t="shared" si="0"/>
        <v>0</v>
      </c>
      <c r="I46" s="85"/>
      <c r="J46" s="85"/>
      <c r="K46" s="86">
        <f t="shared" si="1"/>
        <v>0</v>
      </c>
      <c r="L46" s="84">
        <f t="shared" si="2"/>
        <v>0</v>
      </c>
      <c r="M46" s="85">
        <f t="shared" si="3"/>
        <v>0</v>
      </c>
      <c r="N46" s="85">
        <f t="shared" si="4"/>
        <v>0</v>
      </c>
      <c r="O46" s="85">
        <f t="shared" si="5"/>
        <v>0</v>
      </c>
      <c r="P46" s="87">
        <f t="shared" si="6"/>
        <v>0</v>
      </c>
      <c r="Q46" s="79"/>
    </row>
    <row r="47" spans="1:25" ht="56.25" x14ac:dyDescent="0.2">
      <c r="A47" s="79">
        <f>IF(COUNTBLANK(B47)=1," ",COUNTA($B$13:B47))</f>
        <v>16</v>
      </c>
      <c r="B47" s="139" t="s">
        <v>58</v>
      </c>
      <c r="C47" s="474" t="s">
        <v>405</v>
      </c>
      <c r="D47" s="475" t="s">
        <v>85</v>
      </c>
      <c r="E47" s="469">
        <v>4</v>
      </c>
      <c r="F47" s="53"/>
      <c r="G47" s="50"/>
      <c r="H47" s="50">
        <f t="shared" si="0"/>
        <v>0</v>
      </c>
      <c r="I47" s="50"/>
      <c r="J47" s="50"/>
      <c r="K47" s="51">
        <f t="shared" si="1"/>
        <v>0</v>
      </c>
      <c r="L47" s="53">
        <f>ROUND(E47*F47,2)</f>
        <v>0</v>
      </c>
      <c r="M47" s="50">
        <f>ROUND(H47*E47,2)</f>
        <v>0</v>
      </c>
      <c r="N47" s="50">
        <f>ROUND(I47*E47,2)</f>
        <v>0</v>
      </c>
      <c r="O47" s="50">
        <f>ROUND(J47*E47,2)</f>
        <v>0</v>
      </c>
      <c r="P47" s="78">
        <f t="shared" si="6"/>
        <v>0</v>
      </c>
      <c r="Q47" s="79"/>
    </row>
    <row r="48" spans="1:25" ht="56.25" x14ac:dyDescent="0.2">
      <c r="A48" s="79">
        <v>17</v>
      </c>
      <c r="B48" s="139" t="s">
        <v>58</v>
      </c>
      <c r="C48" s="474" t="s">
        <v>406</v>
      </c>
      <c r="D48" s="475" t="s">
        <v>85</v>
      </c>
      <c r="E48" s="469">
        <v>11</v>
      </c>
      <c r="F48" s="53"/>
      <c r="G48" s="50"/>
      <c r="H48" s="50"/>
      <c r="I48" s="50"/>
      <c r="J48" s="50"/>
      <c r="K48" s="51"/>
      <c r="L48" s="53"/>
      <c r="M48" s="50"/>
      <c r="N48" s="50"/>
      <c r="O48" s="50"/>
      <c r="P48" s="78"/>
      <c r="Q48" s="79"/>
    </row>
    <row r="49" spans="1:23" x14ac:dyDescent="0.2">
      <c r="A49" s="79">
        <v>18</v>
      </c>
      <c r="B49" s="139" t="s">
        <v>58</v>
      </c>
      <c r="C49" s="474" t="s">
        <v>142</v>
      </c>
      <c r="D49" s="475" t="s">
        <v>85</v>
      </c>
      <c r="E49" s="469">
        <f>E45+E47+E46</f>
        <v>66</v>
      </c>
      <c r="F49" s="84"/>
      <c r="G49" s="85"/>
      <c r="H49" s="85">
        <f t="shared" si="0"/>
        <v>0</v>
      </c>
      <c r="I49" s="85"/>
      <c r="J49" s="85"/>
      <c r="K49" s="86">
        <f t="shared" si="1"/>
        <v>0</v>
      </c>
      <c r="L49" s="84">
        <f t="shared" si="2"/>
        <v>0</v>
      </c>
      <c r="M49" s="85">
        <f t="shared" si="3"/>
        <v>0</v>
      </c>
      <c r="N49" s="85">
        <f t="shared" si="4"/>
        <v>0</v>
      </c>
      <c r="O49" s="85">
        <f t="shared" si="5"/>
        <v>0</v>
      </c>
      <c r="P49" s="87">
        <f t="shared" si="6"/>
        <v>0</v>
      </c>
      <c r="Q49" s="79"/>
    </row>
    <row r="50" spans="1:23" x14ac:dyDescent="0.2">
      <c r="A50" s="79" t="str">
        <f>IF(COUNTBLANK(B50)=1," ",COUNTA($B$13:B50))</f>
        <v xml:space="preserve"> </v>
      </c>
      <c r="B50" s="139"/>
      <c r="C50" s="474" t="s">
        <v>70</v>
      </c>
      <c r="D50" s="475" t="s">
        <v>85</v>
      </c>
      <c r="E50" s="469">
        <f>E49*4</f>
        <v>264</v>
      </c>
      <c r="F50" s="257"/>
      <c r="G50" s="258"/>
      <c r="H50" s="258">
        <f t="shared" si="0"/>
        <v>0</v>
      </c>
      <c r="I50" s="258"/>
      <c r="J50" s="258"/>
      <c r="K50" s="259">
        <f t="shared" si="1"/>
        <v>0</v>
      </c>
      <c r="L50" s="257">
        <f t="shared" si="2"/>
        <v>0</v>
      </c>
      <c r="M50" s="258">
        <f t="shared" si="3"/>
        <v>0</v>
      </c>
      <c r="N50" s="258">
        <f t="shared" si="4"/>
        <v>0</v>
      </c>
      <c r="O50" s="258">
        <f t="shared" si="5"/>
        <v>0</v>
      </c>
      <c r="P50" s="260">
        <f t="shared" si="6"/>
        <v>0</v>
      </c>
      <c r="Q50" s="262"/>
      <c r="R50" s="434"/>
      <c r="S50" s="264"/>
      <c r="T50" s="264"/>
      <c r="U50" s="264"/>
      <c r="V50" s="264"/>
    </row>
    <row r="51" spans="1:23" x14ac:dyDescent="0.2">
      <c r="A51" s="79" t="str">
        <f>IF(COUNTBLANK(B51)=1," ",COUNTA($B$13:B51))</f>
        <v xml:space="preserve"> </v>
      </c>
      <c r="B51" s="139"/>
      <c r="C51" s="474" t="s">
        <v>71</v>
      </c>
      <c r="D51" s="475" t="s">
        <v>85</v>
      </c>
      <c r="E51" s="469">
        <f>E50*2</f>
        <v>528</v>
      </c>
      <c r="F51" s="257"/>
      <c r="G51" s="258"/>
      <c r="H51" s="258">
        <f t="shared" si="0"/>
        <v>0</v>
      </c>
      <c r="I51" s="258"/>
      <c r="J51" s="258"/>
      <c r="K51" s="259">
        <f t="shared" si="1"/>
        <v>0</v>
      </c>
      <c r="L51" s="257">
        <f t="shared" si="2"/>
        <v>0</v>
      </c>
      <c r="M51" s="258">
        <f t="shared" si="3"/>
        <v>0</v>
      </c>
      <c r="N51" s="258">
        <f t="shared" si="4"/>
        <v>0</v>
      </c>
      <c r="O51" s="258">
        <f t="shared" si="5"/>
        <v>0</v>
      </c>
      <c r="P51" s="260">
        <f t="shared" si="6"/>
        <v>0</v>
      </c>
      <c r="Q51" s="262"/>
      <c r="R51" s="434"/>
      <c r="S51" s="264"/>
      <c r="T51" s="264"/>
      <c r="U51" s="264"/>
      <c r="V51" s="264"/>
    </row>
    <row r="52" spans="1:23" ht="33.75" x14ac:dyDescent="0.2">
      <c r="A52" s="79" t="str">
        <f>IF(COUNTBLANK(B52)=1," ",COUNTA($B$13:B52))</f>
        <v xml:space="preserve"> </v>
      </c>
      <c r="B52" s="139"/>
      <c r="C52" s="474" t="s">
        <v>140</v>
      </c>
      <c r="D52" s="475" t="s">
        <v>59</v>
      </c>
      <c r="E52" s="469">
        <v>16.380000000000003</v>
      </c>
      <c r="F52" s="84"/>
      <c r="G52" s="85"/>
      <c r="H52" s="85">
        <f t="shared" si="0"/>
        <v>0</v>
      </c>
      <c r="I52" s="85"/>
      <c r="J52" s="85"/>
      <c r="K52" s="86">
        <f t="shared" si="1"/>
        <v>0</v>
      </c>
      <c r="L52" s="84">
        <f t="shared" si="2"/>
        <v>0</v>
      </c>
      <c r="M52" s="85">
        <f t="shared" si="3"/>
        <v>0</v>
      </c>
      <c r="N52" s="85">
        <f t="shared" si="4"/>
        <v>0</v>
      </c>
      <c r="O52" s="85">
        <f t="shared" si="5"/>
        <v>0</v>
      </c>
      <c r="P52" s="87">
        <f t="shared" si="6"/>
        <v>0</v>
      </c>
      <c r="Q52" s="79"/>
      <c r="S52" s="264"/>
      <c r="T52" s="264"/>
      <c r="U52" s="264"/>
      <c r="V52" s="264"/>
    </row>
    <row r="53" spans="1:23" x14ac:dyDescent="0.2">
      <c r="A53" s="79" t="str">
        <f>IF(COUNTBLANK(B53)=1," ",COUNTA($B$13:B53))</f>
        <v xml:space="preserve"> </v>
      </c>
      <c r="B53" s="139"/>
      <c r="C53" s="474" t="s">
        <v>73</v>
      </c>
      <c r="D53" s="475" t="s">
        <v>85</v>
      </c>
      <c r="E53" s="469">
        <f>E50*4</f>
        <v>1056</v>
      </c>
      <c r="F53" s="257"/>
      <c r="G53" s="258"/>
      <c r="H53" s="258">
        <f t="shared" si="0"/>
        <v>0</v>
      </c>
      <c r="I53" s="258"/>
      <c r="J53" s="258"/>
      <c r="K53" s="259">
        <f t="shared" si="1"/>
        <v>0</v>
      </c>
      <c r="L53" s="257">
        <f t="shared" si="2"/>
        <v>0</v>
      </c>
      <c r="M53" s="258">
        <f t="shared" si="3"/>
        <v>0</v>
      </c>
      <c r="N53" s="258">
        <f t="shared" si="4"/>
        <v>0</v>
      </c>
      <c r="O53" s="258">
        <f t="shared" si="5"/>
        <v>0</v>
      </c>
      <c r="P53" s="260">
        <f t="shared" si="6"/>
        <v>0</v>
      </c>
      <c r="Q53" s="262"/>
    </row>
    <row r="54" spans="1:23" x14ac:dyDescent="0.2">
      <c r="A54" s="79" t="str">
        <f>IF(COUNTBLANK(B54)=1," ",COUNTA($B$13:B54))</f>
        <v xml:space="preserve"> </v>
      </c>
      <c r="B54" s="140"/>
      <c r="C54" s="474" t="s">
        <v>377</v>
      </c>
      <c r="D54" s="475" t="s">
        <v>72</v>
      </c>
      <c r="E54" s="469">
        <f>E49</f>
        <v>66</v>
      </c>
      <c r="F54" s="84"/>
      <c r="G54" s="85"/>
      <c r="H54" s="85">
        <f t="shared" si="0"/>
        <v>0</v>
      </c>
      <c r="I54" s="85"/>
      <c r="J54" s="85"/>
      <c r="K54" s="86">
        <f t="shared" si="1"/>
        <v>0</v>
      </c>
      <c r="L54" s="84">
        <f t="shared" si="2"/>
        <v>0</v>
      </c>
      <c r="M54" s="85">
        <f t="shared" si="3"/>
        <v>0</v>
      </c>
      <c r="N54" s="85">
        <f t="shared" si="4"/>
        <v>0</v>
      </c>
      <c r="O54" s="85">
        <f t="shared" si="5"/>
        <v>0</v>
      </c>
      <c r="P54" s="87">
        <f t="shared" si="6"/>
        <v>0</v>
      </c>
      <c r="Q54" s="79"/>
    </row>
    <row r="55" spans="1:23" ht="56.25" x14ac:dyDescent="0.2">
      <c r="A55" s="79">
        <v>19</v>
      </c>
      <c r="B55" s="139" t="s">
        <v>58</v>
      </c>
      <c r="C55" s="474" t="s">
        <v>219</v>
      </c>
      <c r="D55" s="475" t="s">
        <v>141</v>
      </c>
      <c r="E55" s="469">
        <v>85</v>
      </c>
      <c r="F55" s="84"/>
      <c r="G55" s="85"/>
      <c r="H55" s="85"/>
      <c r="I55" s="85"/>
      <c r="J55" s="85"/>
      <c r="K55" s="86"/>
      <c r="L55" s="84"/>
      <c r="M55" s="85"/>
      <c r="N55" s="85"/>
      <c r="O55" s="85"/>
      <c r="P55" s="87"/>
      <c r="Q55" s="79"/>
      <c r="R55" s="477"/>
      <c r="S55" s="477"/>
    </row>
    <row r="56" spans="1:23" ht="67.5" x14ac:dyDescent="0.2">
      <c r="A56" s="79">
        <v>20</v>
      </c>
      <c r="B56" s="139" t="s">
        <v>58</v>
      </c>
      <c r="C56" s="474" t="s">
        <v>220</v>
      </c>
      <c r="D56" s="475" t="s">
        <v>85</v>
      </c>
      <c r="E56" s="469">
        <v>94</v>
      </c>
      <c r="F56" s="84"/>
      <c r="G56" s="85"/>
      <c r="H56" s="85"/>
      <c r="I56" s="85"/>
      <c r="J56" s="85"/>
      <c r="K56" s="86"/>
      <c r="L56" s="84"/>
      <c r="M56" s="85"/>
      <c r="N56" s="85"/>
      <c r="O56" s="85"/>
      <c r="P56" s="87"/>
      <c r="Q56" s="79"/>
      <c r="R56" s="477"/>
      <c r="S56" s="477"/>
    </row>
    <row r="57" spans="1:23" ht="78.75" x14ac:dyDescent="0.2">
      <c r="A57" s="261">
        <v>21</v>
      </c>
      <c r="B57" s="139" t="s">
        <v>58</v>
      </c>
      <c r="C57" s="474" t="s">
        <v>460</v>
      </c>
      <c r="D57" s="475" t="s">
        <v>141</v>
      </c>
      <c r="E57" s="469">
        <v>14</v>
      </c>
      <c r="F57" s="257"/>
      <c r="G57" s="258"/>
      <c r="H57" s="258"/>
      <c r="I57" s="258"/>
      <c r="J57" s="258"/>
      <c r="K57" s="259"/>
      <c r="L57" s="257"/>
      <c r="M57" s="258"/>
      <c r="N57" s="258"/>
      <c r="O57" s="258"/>
      <c r="P57" s="260"/>
      <c r="Q57" s="261"/>
      <c r="R57" s="478"/>
      <c r="S57" s="477"/>
    </row>
    <row r="58" spans="1:23" x14ac:dyDescent="0.2">
      <c r="A58" s="79">
        <v>22</v>
      </c>
      <c r="B58" s="139" t="s">
        <v>58</v>
      </c>
      <c r="C58" s="474" t="s">
        <v>143</v>
      </c>
      <c r="D58" s="475" t="s">
        <v>59</v>
      </c>
      <c r="E58" s="469">
        <f>apjomi!L12</f>
        <v>2048.7960000000003</v>
      </c>
      <c r="F58" s="53"/>
      <c r="G58" s="50"/>
      <c r="H58" s="50">
        <f t="shared" si="0"/>
        <v>0</v>
      </c>
      <c r="I58" s="50"/>
      <c r="J58" s="50"/>
      <c r="K58" s="51">
        <f t="shared" si="1"/>
        <v>0</v>
      </c>
      <c r="L58" s="53">
        <f t="shared" si="2"/>
        <v>0</v>
      </c>
      <c r="M58" s="50">
        <f t="shared" si="3"/>
        <v>0</v>
      </c>
      <c r="N58" s="50">
        <f t="shared" si="4"/>
        <v>0</v>
      </c>
      <c r="O58" s="50">
        <f t="shared" si="5"/>
        <v>0</v>
      </c>
      <c r="P58" s="78">
        <f t="shared" si="6"/>
        <v>0</v>
      </c>
      <c r="Q58" s="436"/>
      <c r="R58" s="262"/>
      <c r="S58" s="477"/>
    </row>
    <row r="59" spans="1:23" ht="22.5" x14ac:dyDescent="0.2">
      <c r="A59" s="79">
        <v>23</v>
      </c>
      <c r="B59" s="139" t="s">
        <v>58</v>
      </c>
      <c r="C59" s="474" t="s">
        <v>494</v>
      </c>
      <c r="D59" s="475" t="s">
        <v>59</v>
      </c>
      <c r="E59" s="469">
        <f>apjomi!N12</f>
        <v>164.124</v>
      </c>
      <c r="F59" s="53"/>
      <c r="G59" s="50"/>
      <c r="H59" s="50">
        <f t="shared" si="0"/>
        <v>0</v>
      </c>
      <c r="I59" s="50"/>
      <c r="J59" s="50"/>
      <c r="K59" s="51">
        <f t="shared" si="1"/>
        <v>0</v>
      </c>
      <c r="L59" s="53">
        <f t="shared" si="2"/>
        <v>0</v>
      </c>
      <c r="M59" s="50">
        <f t="shared" si="3"/>
        <v>0</v>
      </c>
      <c r="N59" s="50">
        <f t="shared" si="4"/>
        <v>0</v>
      </c>
      <c r="O59" s="50">
        <f t="shared" si="5"/>
        <v>0</v>
      </c>
      <c r="P59" s="78">
        <f t="shared" si="6"/>
        <v>0</v>
      </c>
      <c r="Q59" s="437"/>
      <c r="R59" s="262"/>
      <c r="S59" s="361"/>
    </row>
    <row r="60" spans="1:23" ht="20.65" customHeight="1" x14ac:dyDescent="0.2">
      <c r="A60" s="79">
        <v>24</v>
      </c>
      <c r="B60" s="129" t="s">
        <v>58</v>
      </c>
      <c r="C60" s="474" t="s">
        <v>144</v>
      </c>
      <c r="D60" s="475" t="s">
        <v>59</v>
      </c>
      <c r="E60" s="469">
        <f>apjomi!R12*1.05</f>
        <v>501.20532000000014</v>
      </c>
      <c r="F60" s="53"/>
      <c r="G60" s="50"/>
      <c r="H60" s="50">
        <f t="shared" si="0"/>
        <v>0</v>
      </c>
      <c r="I60" s="50"/>
      <c r="J60" s="50"/>
      <c r="K60" s="51">
        <f t="shared" si="1"/>
        <v>0</v>
      </c>
      <c r="L60" s="53">
        <f t="shared" si="2"/>
        <v>0</v>
      </c>
      <c r="M60" s="50">
        <f t="shared" si="3"/>
        <v>0</v>
      </c>
      <c r="N60" s="50">
        <f t="shared" si="4"/>
        <v>0</v>
      </c>
      <c r="O60" s="50">
        <f t="shared" si="5"/>
        <v>0</v>
      </c>
      <c r="P60" s="78">
        <f t="shared" si="6"/>
        <v>0</v>
      </c>
      <c r="Q60" s="438"/>
      <c r="R60" s="362"/>
      <c r="S60" s="479"/>
      <c r="T60" s="348"/>
      <c r="U60" s="348"/>
      <c r="V60" s="348"/>
      <c r="W60" s="348"/>
    </row>
    <row r="61" spans="1:23" x14ac:dyDescent="0.2">
      <c r="A61" s="79">
        <v>25</v>
      </c>
      <c r="B61" s="129" t="s">
        <v>58</v>
      </c>
      <c r="C61" s="474" t="s">
        <v>99</v>
      </c>
      <c r="D61" s="475" t="s">
        <v>59</v>
      </c>
      <c r="E61" s="469">
        <f>apjomi!Q12</f>
        <v>34.211999999999996</v>
      </c>
      <c r="F61" s="53"/>
      <c r="G61" s="50"/>
      <c r="H61" s="50">
        <f t="shared" si="0"/>
        <v>0</v>
      </c>
      <c r="I61" s="50"/>
      <c r="J61" s="50"/>
      <c r="K61" s="51">
        <f t="shared" si="1"/>
        <v>0</v>
      </c>
      <c r="L61" s="53">
        <f t="shared" si="2"/>
        <v>0</v>
      </c>
      <c r="M61" s="50">
        <f t="shared" si="3"/>
        <v>0</v>
      </c>
      <c r="N61" s="50">
        <f t="shared" si="4"/>
        <v>0</v>
      </c>
      <c r="O61" s="50">
        <f t="shared" si="5"/>
        <v>0</v>
      </c>
      <c r="P61" s="78">
        <f t="shared" si="6"/>
        <v>0</v>
      </c>
      <c r="Q61" s="79"/>
      <c r="R61" s="477"/>
      <c r="S61" s="477"/>
    </row>
    <row r="62" spans="1:23" ht="22.5" x14ac:dyDescent="0.2">
      <c r="A62" s="79">
        <v>26</v>
      </c>
      <c r="B62" s="129" t="s">
        <v>58</v>
      </c>
      <c r="C62" s="474" t="s">
        <v>145</v>
      </c>
      <c r="D62" s="475" t="s">
        <v>63</v>
      </c>
      <c r="E62" s="469">
        <f>apjomi!P12</f>
        <v>57.443400000000004</v>
      </c>
      <c r="F62" s="53"/>
      <c r="G62" s="50"/>
      <c r="H62" s="50">
        <f t="shared" si="0"/>
        <v>0</v>
      </c>
      <c r="I62" s="50"/>
      <c r="J62" s="50"/>
      <c r="K62" s="51">
        <f t="shared" si="1"/>
        <v>0</v>
      </c>
      <c r="L62" s="53">
        <f t="shared" si="2"/>
        <v>0</v>
      </c>
      <c r="M62" s="50">
        <f t="shared" si="3"/>
        <v>0</v>
      </c>
      <c r="N62" s="50">
        <f t="shared" si="4"/>
        <v>0</v>
      </c>
      <c r="O62" s="50">
        <f t="shared" si="5"/>
        <v>0</v>
      </c>
      <c r="P62" s="78">
        <f t="shared" si="6"/>
        <v>0</v>
      </c>
      <c r="Q62" s="79"/>
      <c r="R62" s="477"/>
      <c r="S62" s="477"/>
    </row>
    <row r="63" spans="1:23" x14ac:dyDescent="0.2">
      <c r="A63" s="79" t="str">
        <f>IF(COUNTBLANK(B63)=1," ",COUNTA($B$13:B63))</f>
        <v xml:space="preserve"> </v>
      </c>
      <c r="B63" s="129"/>
      <c r="C63" s="474" t="s">
        <v>378</v>
      </c>
      <c r="D63" s="475" t="s">
        <v>59</v>
      </c>
      <c r="E63" s="469">
        <f>apjomi!N12</f>
        <v>164.124</v>
      </c>
      <c r="F63" s="53"/>
      <c r="G63" s="50"/>
      <c r="H63" s="50">
        <f t="shared" si="0"/>
        <v>0</v>
      </c>
      <c r="I63" s="50"/>
      <c r="J63" s="50"/>
      <c r="K63" s="51">
        <f t="shared" si="1"/>
        <v>0</v>
      </c>
      <c r="L63" s="53">
        <f t="shared" si="2"/>
        <v>0</v>
      </c>
      <c r="M63" s="50">
        <f t="shared" si="3"/>
        <v>0</v>
      </c>
      <c r="N63" s="50">
        <f t="shared" si="4"/>
        <v>0</v>
      </c>
      <c r="O63" s="50">
        <f t="shared" si="5"/>
        <v>0</v>
      </c>
      <c r="P63" s="78">
        <f t="shared" si="6"/>
        <v>0</v>
      </c>
      <c r="Q63" s="79"/>
      <c r="R63" s="477"/>
      <c r="S63" s="477"/>
    </row>
    <row r="64" spans="1:23" x14ac:dyDescent="0.2">
      <c r="A64" s="79" t="str">
        <f>IF(COUNTBLANK(B64)=1," ",COUNTA($B$13:B64))</f>
        <v xml:space="preserve"> </v>
      </c>
      <c r="B64" s="129"/>
      <c r="C64" s="474" t="s">
        <v>379</v>
      </c>
      <c r="D64" s="475" t="s">
        <v>63</v>
      </c>
      <c r="E64" s="469">
        <f>E62*1.2</f>
        <v>68.932079999999999</v>
      </c>
      <c r="F64" s="53"/>
      <c r="G64" s="50"/>
      <c r="H64" s="50">
        <f t="shared" si="0"/>
        <v>0</v>
      </c>
      <c r="I64" s="50"/>
      <c r="J64" s="50"/>
      <c r="K64" s="51">
        <f t="shared" si="1"/>
        <v>0</v>
      </c>
      <c r="L64" s="53">
        <f t="shared" si="2"/>
        <v>0</v>
      </c>
      <c r="M64" s="50">
        <f t="shared" si="3"/>
        <v>0</v>
      </c>
      <c r="N64" s="50">
        <f t="shared" si="4"/>
        <v>0</v>
      </c>
      <c r="O64" s="50">
        <f t="shared" si="5"/>
        <v>0</v>
      </c>
      <c r="P64" s="78">
        <f t="shared" si="6"/>
        <v>0</v>
      </c>
      <c r="Q64" s="79"/>
    </row>
    <row r="65" spans="1:17" x14ac:dyDescent="0.2">
      <c r="A65" s="79" t="str">
        <f>IF(COUNTBLANK(B65)=1," ",COUNTA($B$13:B65))</f>
        <v xml:space="preserve"> </v>
      </c>
      <c r="B65" s="129"/>
      <c r="C65" s="474" t="s">
        <v>366</v>
      </c>
      <c r="D65" s="475" t="s">
        <v>64</v>
      </c>
      <c r="E65" s="469">
        <f>E62*5</f>
        <v>287.21700000000004</v>
      </c>
      <c r="F65" s="53"/>
      <c r="G65" s="50"/>
      <c r="H65" s="50">
        <f t="shared" si="0"/>
        <v>0</v>
      </c>
      <c r="I65" s="50"/>
      <c r="J65" s="50"/>
      <c r="K65" s="51">
        <f t="shared" si="1"/>
        <v>0</v>
      </c>
      <c r="L65" s="53">
        <f t="shared" si="2"/>
        <v>0</v>
      </c>
      <c r="M65" s="50">
        <f t="shared" si="3"/>
        <v>0</v>
      </c>
      <c r="N65" s="50">
        <f t="shared" si="4"/>
        <v>0</v>
      </c>
      <c r="O65" s="50">
        <f t="shared" si="5"/>
        <v>0</v>
      </c>
      <c r="P65" s="78">
        <f t="shared" si="6"/>
        <v>0</v>
      </c>
      <c r="Q65" s="79"/>
    </row>
    <row r="66" spans="1:17" x14ac:dyDescent="0.2">
      <c r="A66" s="79" t="str">
        <f>IF(COUNTBLANK(B66)=1," ",COUNTA($B$13:B66))</f>
        <v xml:space="preserve"> </v>
      </c>
      <c r="B66" s="129"/>
      <c r="C66" s="474" t="s">
        <v>380</v>
      </c>
      <c r="D66" s="475" t="s">
        <v>64</v>
      </c>
      <c r="E66" s="469">
        <f>E59*2*0.125</f>
        <v>41.030999999999999</v>
      </c>
      <c r="F66" s="53"/>
      <c r="G66" s="50"/>
      <c r="H66" s="50">
        <f t="shared" si="0"/>
        <v>0</v>
      </c>
      <c r="I66" s="50"/>
      <c r="J66" s="50"/>
      <c r="K66" s="51">
        <f t="shared" si="1"/>
        <v>0</v>
      </c>
      <c r="L66" s="53">
        <f t="shared" si="2"/>
        <v>0</v>
      </c>
      <c r="M66" s="50">
        <f t="shared" si="3"/>
        <v>0</v>
      </c>
      <c r="N66" s="50">
        <f t="shared" si="4"/>
        <v>0</v>
      </c>
      <c r="O66" s="50">
        <f t="shared" si="5"/>
        <v>0</v>
      </c>
      <c r="P66" s="78">
        <f t="shared" si="6"/>
        <v>0</v>
      </c>
      <c r="Q66" s="79"/>
    </row>
    <row r="67" spans="1:17" x14ac:dyDescent="0.2">
      <c r="A67" s="79" t="str">
        <f>IF(COUNTBLANK(B67)=1," ",COUNTA($B$13:B67))</f>
        <v xml:space="preserve"> </v>
      </c>
      <c r="B67" s="129"/>
      <c r="C67" s="474" t="s">
        <v>381</v>
      </c>
      <c r="D67" s="475" t="s">
        <v>64</v>
      </c>
      <c r="E67" s="469">
        <f>E62*0.5</f>
        <v>28.721700000000002</v>
      </c>
      <c r="F67" s="53"/>
      <c r="G67" s="50"/>
      <c r="H67" s="50">
        <f t="shared" si="0"/>
        <v>0</v>
      </c>
      <c r="I67" s="50"/>
      <c r="J67" s="50"/>
      <c r="K67" s="51">
        <f t="shared" si="1"/>
        <v>0</v>
      </c>
      <c r="L67" s="53">
        <f t="shared" si="2"/>
        <v>0</v>
      </c>
      <c r="M67" s="50">
        <f t="shared" si="3"/>
        <v>0</v>
      </c>
      <c r="N67" s="50">
        <f t="shared" si="4"/>
        <v>0</v>
      </c>
      <c r="O67" s="50">
        <f t="shared" si="5"/>
        <v>0</v>
      </c>
      <c r="P67" s="78">
        <f t="shared" si="6"/>
        <v>0</v>
      </c>
      <c r="Q67" s="79"/>
    </row>
    <row r="68" spans="1:17" ht="12" thickBot="1" x14ac:dyDescent="0.25">
      <c r="A68" s="79" t="str">
        <f>IF(COUNTBLANK(B68)=1," ",COUNTA($B$13:B68))</f>
        <v xml:space="preserve"> </v>
      </c>
      <c r="B68" s="129"/>
      <c r="C68" s="474" t="s">
        <v>75</v>
      </c>
      <c r="D68" s="475" t="s">
        <v>85</v>
      </c>
      <c r="E68" s="469">
        <f>E63</f>
        <v>164.124</v>
      </c>
      <c r="F68" s="53"/>
      <c r="G68" s="50"/>
      <c r="H68" s="50">
        <f t="shared" si="0"/>
        <v>0</v>
      </c>
      <c r="I68" s="50"/>
      <c r="J68" s="50"/>
      <c r="K68" s="51">
        <f t="shared" si="1"/>
        <v>0</v>
      </c>
      <c r="L68" s="53">
        <f t="shared" si="2"/>
        <v>0</v>
      </c>
      <c r="M68" s="50">
        <f t="shared" si="3"/>
        <v>0</v>
      </c>
      <c r="N68" s="50">
        <f t="shared" si="4"/>
        <v>0</v>
      </c>
      <c r="O68" s="50">
        <f t="shared" si="5"/>
        <v>0</v>
      </c>
      <c r="P68" s="78">
        <f t="shared" si="6"/>
        <v>0</v>
      </c>
      <c r="Q68" s="79"/>
    </row>
    <row r="69" spans="1:17" ht="10.7" customHeight="1" thickBot="1" x14ac:dyDescent="0.25">
      <c r="A69" s="428" t="s">
        <v>486</v>
      </c>
      <c r="B69" s="429"/>
      <c r="C69" s="429"/>
      <c r="D69" s="429"/>
      <c r="E69" s="429"/>
      <c r="F69" s="429"/>
      <c r="G69" s="429"/>
      <c r="H69" s="429"/>
      <c r="I69" s="429"/>
      <c r="J69" s="429"/>
      <c r="K69" s="430"/>
      <c r="L69" s="54">
        <f>SUM(L14:L68)</f>
        <v>0</v>
      </c>
      <c r="M69" s="55">
        <f>SUM(M14:M68)</f>
        <v>0</v>
      </c>
      <c r="N69" s="55">
        <f>SUM(N14:N68)</f>
        <v>0</v>
      </c>
      <c r="O69" s="55">
        <f>SUM(O14:O68)</f>
        <v>0</v>
      </c>
      <c r="P69" s="56">
        <f>SUM(P14:P68)</f>
        <v>0</v>
      </c>
    </row>
    <row r="70" spans="1:17" x14ac:dyDescent="0.2">
      <c r="A70" s="12"/>
      <c r="B70" s="24"/>
      <c r="C70" s="12"/>
      <c r="D70" s="12"/>
      <c r="E70" s="12"/>
      <c r="F70" s="12"/>
      <c r="G70" s="12"/>
      <c r="H70" s="12"/>
      <c r="I70" s="12"/>
      <c r="J70" s="12"/>
      <c r="K70" s="12"/>
      <c r="L70" s="12"/>
      <c r="M70" s="12"/>
      <c r="N70" s="12"/>
      <c r="O70" s="12"/>
      <c r="P70" s="12"/>
    </row>
    <row r="71" spans="1:17" x14ac:dyDescent="0.2">
      <c r="A71" s="12"/>
      <c r="B71" s="24"/>
      <c r="C71" s="12"/>
      <c r="D71" s="12"/>
      <c r="E71" s="12"/>
      <c r="F71" s="12"/>
      <c r="G71" s="12"/>
      <c r="H71" s="12"/>
      <c r="I71" s="12"/>
      <c r="J71" s="12"/>
      <c r="K71" s="12"/>
      <c r="L71" s="12"/>
      <c r="M71" s="12"/>
      <c r="N71" s="12"/>
      <c r="O71" s="12"/>
      <c r="P71" s="12"/>
    </row>
    <row r="72" spans="1:17" x14ac:dyDescent="0.2">
      <c r="A72" s="1" t="s">
        <v>14</v>
      </c>
      <c r="B72" s="24"/>
      <c r="C72" s="439">
        <f>'Kops a'!C38:H38</f>
        <v>0</v>
      </c>
      <c r="D72" s="439"/>
      <c r="E72" s="439"/>
      <c r="F72" s="439"/>
      <c r="G72" s="439"/>
      <c r="H72" s="439"/>
      <c r="I72" s="12"/>
      <c r="J72" s="12"/>
      <c r="K72" s="12"/>
      <c r="L72" s="12"/>
      <c r="M72" s="12"/>
      <c r="N72" s="12"/>
      <c r="O72" s="12"/>
      <c r="P72" s="12"/>
    </row>
    <row r="73" spans="1:17" x14ac:dyDescent="0.2">
      <c r="A73" s="12"/>
      <c r="B73" s="24"/>
      <c r="C73" s="363" t="s">
        <v>15</v>
      </c>
      <c r="D73" s="363"/>
      <c r="E73" s="363"/>
      <c r="F73" s="363"/>
      <c r="G73" s="363"/>
      <c r="H73" s="363"/>
      <c r="I73" s="12"/>
      <c r="J73" s="12"/>
      <c r="K73" s="12"/>
      <c r="L73" s="12"/>
      <c r="M73" s="12"/>
      <c r="N73" s="12"/>
      <c r="O73" s="12"/>
      <c r="P73" s="12"/>
    </row>
    <row r="74" spans="1:17" x14ac:dyDescent="0.2">
      <c r="A74" s="12"/>
      <c r="B74" s="24"/>
      <c r="C74" s="12"/>
      <c r="D74" s="12"/>
      <c r="E74" s="12"/>
      <c r="F74" s="12"/>
      <c r="G74" s="12"/>
      <c r="H74" s="12"/>
      <c r="I74" s="12"/>
      <c r="J74" s="12"/>
      <c r="K74" s="12"/>
      <c r="L74" s="12"/>
      <c r="M74" s="12"/>
      <c r="N74" s="12"/>
      <c r="O74" s="12"/>
      <c r="P74" s="12"/>
    </row>
    <row r="75" spans="1:17" x14ac:dyDescent="0.2">
      <c r="A75" s="68" t="str">
        <f>'Kops a'!A41</f>
        <v>Tāme sastādīta 2021. gada</v>
      </c>
      <c r="B75" s="133"/>
      <c r="C75" s="69"/>
      <c r="D75" s="69"/>
      <c r="E75" s="12"/>
      <c r="F75" s="12"/>
      <c r="G75" s="12"/>
      <c r="H75" s="12"/>
      <c r="I75" s="12"/>
      <c r="J75" s="12"/>
      <c r="K75" s="12"/>
      <c r="L75" s="12"/>
      <c r="M75" s="12"/>
      <c r="N75" s="12"/>
      <c r="O75" s="12"/>
      <c r="P75" s="12"/>
    </row>
    <row r="76" spans="1:17" x14ac:dyDescent="0.2">
      <c r="A76" s="12"/>
      <c r="B76" s="24"/>
      <c r="C76" s="12"/>
      <c r="D76" s="12"/>
      <c r="E76" s="12"/>
      <c r="F76" s="12"/>
      <c r="G76" s="12"/>
      <c r="H76" s="12"/>
      <c r="I76" s="12"/>
      <c r="J76" s="12"/>
      <c r="K76" s="12"/>
      <c r="L76" s="12"/>
      <c r="M76" s="12"/>
      <c r="N76" s="12"/>
      <c r="O76" s="12"/>
      <c r="P76" s="12"/>
    </row>
    <row r="77" spans="1:17" x14ac:dyDescent="0.2">
      <c r="A77" s="1" t="s">
        <v>37</v>
      </c>
      <c r="B77" s="24"/>
      <c r="C77" s="439">
        <f>'Kops a'!C43:H43</f>
        <v>0</v>
      </c>
      <c r="D77" s="439"/>
      <c r="E77" s="439"/>
      <c r="F77" s="439"/>
      <c r="G77" s="439"/>
      <c r="H77" s="439"/>
      <c r="I77" s="12"/>
      <c r="J77" s="12"/>
      <c r="K77" s="12"/>
      <c r="L77" s="12"/>
      <c r="M77" s="12"/>
      <c r="N77" s="12"/>
      <c r="O77" s="12"/>
      <c r="P77" s="12"/>
    </row>
    <row r="78" spans="1:17" x14ac:dyDescent="0.2">
      <c r="A78" s="12"/>
      <c r="B78" s="24"/>
      <c r="C78" s="363" t="s">
        <v>15</v>
      </c>
      <c r="D78" s="363"/>
      <c r="E78" s="363"/>
      <c r="F78" s="363"/>
      <c r="G78" s="363"/>
      <c r="H78" s="363"/>
      <c r="I78" s="12"/>
      <c r="J78" s="12"/>
      <c r="K78" s="12"/>
      <c r="L78" s="12"/>
      <c r="M78" s="12"/>
      <c r="N78" s="12"/>
      <c r="O78" s="12"/>
      <c r="P78" s="12"/>
    </row>
    <row r="79" spans="1:17" x14ac:dyDescent="0.2">
      <c r="A79" s="12"/>
      <c r="B79" s="24"/>
      <c r="C79" s="12"/>
      <c r="D79" s="12"/>
      <c r="E79" s="12"/>
      <c r="F79" s="12"/>
      <c r="G79" s="12"/>
      <c r="H79" s="12"/>
      <c r="I79" s="12"/>
      <c r="J79" s="12"/>
      <c r="K79" s="12"/>
      <c r="L79" s="12"/>
      <c r="M79" s="12"/>
      <c r="N79" s="12"/>
      <c r="O79" s="12"/>
      <c r="P79" s="12"/>
    </row>
    <row r="80" spans="1:17" x14ac:dyDescent="0.2">
      <c r="A80" s="68" t="s">
        <v>54</v>
      </c>
      <c r="B80" s="133"/>
      <c r="C80" s="72">
        <f>'Kops a'!C46</f>
        <v>0</v>
      </c>
      <c r="D80" s="36"/>
      <c r="E80" s="12"/>
      <c r="F80" s="12"/>
      <c r="G80" s="12"/>
      <c r="H80" s="12"/>
      <c r="I80" s="12"/>
      <c r="J80" s="12"/>
      <c r="K80" s="12"/>
      <c r="L80" s="12"/>
      <c r="M80" s="12"/>
      <c r="N80" s="12"/>
      <c r="O80" s="12"/>
      <c r="P80" s="12"/>
    </row>
    <row r="81" spans="1:16" x14ac:dyDescent="0.2">
      <c r="A81" s="12"/>
      <c r="B81" s="24"/>
      <c r="C81" s="12"/>
      <c r="D81" s="12"/>
      <c r="E81" s="12"/>
      <c r="F81" s="12"/>
      <c r="G81" s="12"/>
      <c r="H81" s="12"/>
      <c r="I81" s="12"/>
      <c r="J81" s="12"/>
      <c r="K81" s="12"/>
      <c r="L81" s="12"/>
      <c r="M81" s="12"/>
      <c r="N81" s="12"/>
      <c r="O81" s="12"/>
      <c r="P81" s="12"/>
    </row>
    <row r="82" spans="1:16" ht="12" x14ac:dyDescent="0.2">
      <c r="A82" s="106" t="s">
        <v>89</v>
      </c>
      <c r="B82" s="136"/>
      <c r="C82" s="108"/>
      <c r="D82" s="108"/>
      <c r="E82" s="109"/>
      <c r="F82" s="110"/>
      <c r="G82" s="109"/>
      <c r="H82" s="111"/>
      <c r="I82" s="111"/>
      <c r="J82" s="112"/>
      <c r="K82" s="113"/>
      <c r="L82" s="113"/>
      <c r="M82" s="113"/>
      <c r="N82" s="113"/>
      <c r="O82" s="113"/>
    </row>
    <row r="83" spans="1:16" ht="12" x14ac:dyDescent="0.2">
      <c r="A83" s="435" t="s">
        <v>90</v>
      </c>
      <c r="B83" s="435"/>
      <c r="C83" s="435"/>
      <c r="D83" s="435"/>
      <c r="E83" s="435"/>
      <c r="F83" s="435"/>
      <c r="G83" s="435"/>
      <c r="H83" s="435"/>
      <c r="I83" s="435"/>
      <c r="J83" s="435"/>
      <c r="K83" s="435"/>
      <c r="L83" s="435"/>
      <c r="M83" s="435"/>
      <c r="N83" s="435"/>
      <c r="O83" s="435"/>
    </row>
    <row r="84" spans="1:16" ht="12" x14ac:dyDescent="0.2">
      <c r="A84" s="435" t="s">
        <v>91</v>
      </c>
      <c r="B84" s="435"/>
      <c r="C84" s="435"/>
      <c r="D84" s="435"/>
      <c r="E84" s="435"/>
      <c r="F84" s="435"/>
      <c r="G84" s="435"/>
      <c r="H84" s="435"/>
      <c r="I84" s="435"/>
      <c r="J84" s="435"/>
      <c r="K84" s="435"/>
      <c r="L84" s="435"/>
      <c r="M84" s="435"/>
      <c r="N84" s="435"/>
      <c r="O84" s="435"/>
    </row>
  </sheetData>
  <mergeCells count="26">
    <mergeCell ref="C2:I2"/>
    <mergeCell ref="C3:I3"/>
    <mergeCell ref="D5:L5"/>
    <mergeCell ref="D6:L6"/>
    <mergeCell ref="D7:L7"/>
    <mergeCell ref="C4:I4"/>
    <mergeCell ref="A84:O84"/>
    <mergeCell ref="N9:O9"/>
    <mergeCell ref="A12:A13"/>
    <mergeCell ref="B12:B13"/>
    <mergeCell ref="C12:C13"/>
    <mergeCell ref="D12:D13"/>
    <mergeCell ref="E12:E13"/>
    <mergeCell ref="L12:P12"/>
    <mergeCell ref="C72:H72"/>
    <mergeCell ref="C73:H73"/>
    <mergeCell ref="C77:H77"/>
    <mergeCell ref="C78:H78"/>
    <mergeCell ref="D8:L8"/>
    <mergeCell ref="A69:K69"/>
    <mergeCell ref="R50:R51"/>
    <mergeCell ref="A83:O83"/>
    <mergeCell ref="F12:K12"/>
    <mergeCell ref="A9:F9"/>
    <mergeCell ref="J9:M9"/>
    <mergeCell ref="Q58:Q60"/>
  </mergeCells>
  <phoneticPr fontId="11" type="noConversion"/>
  <conditionalFormatting sqref="I14:J68 A14:G68">
    <cfRule type="cellIs" dxfId="177" priority="24" operator="equal">
      <formula>0</formula>
    </cfRule>
  </conditionalFormatting>
  <conditionalFormatting sqref="N9:O9 H14:H68 K14:P68">
    <cfRule type="cellIs" dxfId="176" priority="23" operator="equal">
      <formula>0</formula>
    </cfRule>
  </conditionalFormatting>
  <conditionalFormatting sqref="A9:F9">
    <cfRule type="containsText" dxfId="175" priority="21"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74" priority="20" operator="equal">
      <formula>0</formula>
    </cfRule>
  </conditionalFormatting>
  <conditionalFormatting sqref="O10">
    <cfRule type="cellIs" dxfId="173" priority="19" operator="equal">
      <formula>"20__. gada __. _________"</formula>
    </cfRule>
  </conditionalFormatting>
  <conditionalFormatting sqref="L69:P69">
    <cfRule type="cellIs" dxfId="172" priority="13" operator="equal">
      <formula>0</formula>
    </cfRule>
  </conditionalFormatting>
  <conditionalFormatting sqref="C4:I4">
    <cfRule type="cellIs" dxfId="171" priority="12" operator="equal">
      <formula>0</formula>
    </cfRule>
  </conditionalFormatting>
  <conditionalFormatting sqref="D5:L8">
    <cfRule type="cellIs" dxfId="170" priority="10" operator="equal">
      <formula>0</formula>
    </cfRule>
  </conditionalFormatting>
  <conditionalFormatting sqref="P10">
    <cfRule type="cellIs" dxfId="169" priority="9" operator="equal">
      <formula>"20__. gada __. _________"</formula>
    </cfRule>
  </conditionalFormatting>
  <conditionalFormatting sqref="C77:H77">
    <cfRule type="cellIs" dxfId="168" priority="6" operator="equal">
      <formula>0</formula>
    </cfRule>
  </conditionalFormatting>
  <conditionalFormatting sqref="C72:H72">
    <cfRule type="cellIs" dxfId="167" priority="5" operator="equal">
      <formula>0</formula>
    </cfRule>
  </conditionalFormatting>
  <conditionalFormatting sqref="C77:H77 C80 C72:H72">
    <cfRule type="cellIs" dxfId="166" priority="4" operator="equal">
      <formula>0</formula>
    </cfRule>
  </conditionalFormatting>
  <conditionalFormatting sqref="D1">
    <cfRule type="cellIs" dxfId="165" priority="3" operator="equal">
      <formula>0</formula>
    </cfRule>
  </conditionalFormatting>
  <conditionalFormatting sqref="A69:K69">
    <cfRule type="containsText" dxfId="164" priority="1" operator="containsText" text="Tiešās izmaksas kopā, t. sk. darba devēja sociālais nodoklis __.__% ">
      <formula>NOT(ISERROR(SEARCH("Tiešās izmaksas kopā, t. sk. darba devēja sociālais nodoklis __.__% ",A69)))</formula>
    </cfRule>
  </conditionalFormatting>
  <pageMargins left="0" right="0" top="0.78740157480314965" bottom="0.39370078740157483" header="0" footer="0.31496062992125984"/>
  <pageSetup scale="88" orientation="landscape" r:id="rId1"/>
  <rowBreaks count="1" manualBreakCount="1">
    <brk id="29" max="15"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8" operator="containsText" id="{46B16A03-C867-4231-9EE2-FA19DDA4D492}">
            <xm:f>NOT(ISERROR(SEARCH("Tāme sastādīta ____. gada ___. ______________",A75)))</xm:f>
            <xm:f>"Tāme sastādīta ____. gada ___. ______________"</xm:f>
            <x14:dxf>
              <font>
                <color auto="1"/>
              </font>
              <fill>
                <patternFill>
                  <bgColor rgb="FFC6EFCE"/>
                </patternFill>
              </fill>
            </x14:dxf>
          </x14:cfRule>
          <xm:sqref>A75</xm:sqref>
        </x14:conditionalFormatting>
        <x14:conditionalFormatting xmlns:xm="http://schemas.microsoft.com/office/excel/2006/main">
          <x14:cfRule type="containsText" priority="7" operator="containsText" id="{2AF3CC58-04F0-4432-AA0F-D3D058C3CAD1}">
            <xm:f>NOT(ISERROR(SEARCH("Sertifikāta Nr. _________________________________",A80)))</xm:f>
            <xm:f>"Sertifikāta Nr. _________________________________"</xm:f>
            <x14:dxf>
              <font>
                <color auto="1"/>
              </font>
              <fill>
                <patternFill>
                  <bgColor rgb="FFC6EFCE"/>
                </patternFill>
              </fill>
            </x14:dxf>
          </x14:cfRule>
          <xm:sqref>A80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A1:X55"/>
  <sheetViews>
    <sheetView topLeftCell="B1" zoomScale="115" zoomScaleNormal="115" zoomScaleSheetLayoutView="100" workbookViewId="0">
      <selection activeCell="N11" sqref="N11"/>
    </sheetView>
  </sheetViews>
  <sheetFormatPr defaultColWidth="9" defaultRowHeight="11.25" x14ac:dyDescent="0.25"/>
  <cols>
    <col min="1" max="1" width="9" style="141"/>
    <col min="2" max="2" width="29.140625" style="142" customWidth="1"/>
    <col min="3" max="5" width="8.42578125" style="141" customWidth="1"/>
    <col min="6" max="6" width="10" style="141" customWidth="1"/>
    <col min="7" max="7" width="7.28515625" style="141" customWidth="1"/>
    <col min="8" max="8" width="7.28515625" style="343" customWidth="1"/>
    <col min="9" max="9" width="6.7109375" style="141" customWidth="1"/>
    <col min="10" max="11" width="4.28515625" style="141" customWidth="1"/>
    <col min="12" max="13" width="9.85546875" style="141" customWidth="1"/>
    <col min="14" max="14" width="7" style="141" customWidth="1"/>
    <col min="15" max="16" width="10.85546875" style="141" customWidth="1"/>
    <col min="17" max="17" width="7.42578125" style="141" customWidth="1"/>
    <col min="18" max="19" width="6.42578125" style="141" customWidth="1"/>
    <col min="20" max="20" width="5.42578125" style="141" customWidth="1"/>
    <col min="21" max="21" width="5.85546875" style="141" customWidth="1"/>
    <col min="22" max="22" width="7.140625" style="141" customWidth="1"/>
    <col min="23" max="24" width="7.85546875" style="141" customWidth="1"/>
    <col min="25" max="16384" width="9" style="141"/>
  </cols>
  <sheetData>
    <row r="1" spans="1:24" x14ac:dyDescent="0.25">
      <c r="L1" s="446" t="s">
        <v>221</v>
      </c>
      <c r="M1" s="446"/>
      <c r="N1" s="446"/>
      <c r="O1" s="446" t="s">
        <v>222</v>
      </c>
      <c r="P1" s="446"/>
      <c r="Q1" s="446" t="s">
        <v>223</v>
      </c>
      <c r="R1" s="446"/>
      <c r="S1" s="447" t="s">
        <v>224</v>
      </c>
      <c r="T1" s="447"/>
      <c r="U1" s="447"/>
      <c r="V1" s="447"/>
      <c r="W1" s="447"/>
      <c r="X1" s="142"/>
    </row>
    <row r="2" spans="1:24" x14ac:dyDescent="0.25">
      <c r="B2" s="448" t="s">
        <v>225</v>
      </c>
      <c r="C2" s="446" t="s">
        <v>226</v>
      </c>
      <c r="D2" s="446"/>
      <c r="E2" s="446"/>
      <c r="F2" s="446" t="s">
        <v>227</v>
      </c>
      <c r="G2" s="446"/>
      <c r="H2" s="343" t="s">
        <v>469</v>
      </c>
      <c r="I2" s="446" t="s">
        <v>228</v>
      </c>
      <c r="J2" s="446"/>
      <c r="K2" s="446"/>
      <c r="O2" s="141" t="s">
        <v>229</v>
      </c>
      <c r="P2" s="141" t="s">
        <v>230</v>
      </c>
      <c r="Q2" s="141" t="s">
        <v>230</v>
      </c>
      <c r="R2" s="141" t="s">
        <v>231</v>
      </c>
      <c r="S2" s="443" t="s">
        <v>232</v>
      </c>
      <c r="T2" s="443" t="s">
        <v>233</v>
      </c>
      <c r="U2" s="443" t="s">
        <v>234</v>
      </c>
      <c r="V2" s="443" t="s">
        <v>235</v>
      </c>
      <c r="W2" s="444" t="s">
        <v>236</v>
      </c>
    </row>
    <row r="3" spans="1:24" x14ac:dyDescent="0.25">
      <c r="B3" s="448"/>
      <c r="C3" s="141" t="s">
        <v>237</v>
      </c>
      <c r="D3" s="141" t="s">
        <v>238</v>
      </c>
      <c r="E3" s="141" t="s">
        <v>239</v>
      </c>
      <c r="F3" s="141" t="s">
        <v>240</v>
      </c>
      <c r="G3" s="141" t="s">
        <v>241</v>
      </c>
      <c r="H3" s="343" t="s">
        <v>59</v>
      </c>
      <c r="I3" s="141" t="s">
        <v>242</v>
      </c>
      <c r="J3" s="141" t="str">
        <f>C3</f>
        <v>PVC</v>
      </c>
      <c r="K3" s="141" t="str">
        <f>D3</f>
        <v>koka</v>
      </c>
      <c r="L3" s="141" t="s">
        <v>243</v>
      </c>
      <c r="M3" s="141" t="s">
        <v>244</v>
      </c>
      <c r="N3" s="141" t="s">
        <v>245</v>
      </c>
      <c r="O3" s="143">
        <v>0.15</v>
      </c>
      <c r="P3" s="143">
        <v>0.35</v>
      </c>
      <c r="R3" s="105">
        <v>1.05</v>
      </c>
      <c r="S3" s="443"/>
      <c r="T3" s="443"/>
      <c r="U3" s="443"/>
      <c r="V3" s="443"/>
      <c r="W3" s="444"/>
    </row>
    <row r="4" spans="1:24" x14ac:dyDescent="0.25">
      <c r="B4" s="144" t="s">
        <v>246</v>
      </c>
      <c r="C4" s="145">
        <f t="shared" ref="C4:C9" si="0">E4-D4</f>
        <v>88</v>
      </c>
      <c r="D4" s="143">
        <v>6</v>
      </c>
      <c r="E4" s="105">
        <v>94</v>
      </c>
      <c r="F4" s="143">
        <v>2.1120000000000001</v>
      </c>
      <c r="G4" s="143">
        <v>1.35</v>
      </c>
      <c r="H4" s="143"/>
      <c r="I4" s="161">
        <f t="shared" ref="I4:I6" si="1">F4*G4</f>
        <v>2.8512000000000004</v>
      </c>
      <c r="J4" s="161">
        <f t="shared" ref="J4:J9" si="2">I4*C4</f>
        <v>250.90560000000005</v>
      </c>
      <c r="K4" s="161">
        <f t="shared" ref="K4:K9" si="3">I4*D4</f>
        <v>17.107200000000002</v>
      </c>
      <c r="L4" s="161">
        <f t="shared" ref="L4:L5" si="4">(F4*2+G4*2)*E4</f>
        <v>650.85599999999999</v>
      </c>
      <c r="M4" s="161">
        <f t="shared" ref="M4:M5" si="5">N4</f>
        <v>41.544000000000004</v>
      </c>
      <c r="N4" s="161">
        <f>(F4*2+G4*2)*D4</f>
        <v>41.544000000000004</v>
      </c>
      <c r="O4" s="161">
        <f t="shared" ref="O4:O6" si="6">L4*$O$3</f>
        <v>97.628399999999999</v>
      </c>
      <c r="P4" s="161">
        <f t="shared" ref="P4" si="7">N4*$P$3</f>
        <v>14.5404</v>
      </c>
      <c r="Q4" s="161">
        <f t="shared" ref="Q4:Q9" si="8">F4*D4</f>
        <v>12.672000000000001</v>
      </c>
      <c r="R4" s="161">
        <f>E4*F4*$R$3</f>
        <v>208.45440000000002</v>
      </c>
      <c r="S4" s="161">
        <f t="shared" ref="S4:S9" si="9">E4*(F4+2*G4)</f>
        <v>452.32800000000003</v>
      </c>
      <c r="T4" s="161">
        <f t="shared" ref="T4:T6" si="10">S4</f>
        <v>452.32800000000003</v>
      </c>
      <c r="U4" s="161">
        <f>E4*F4</f>
        <v>198.52800000000002</v>
      </c>
      <c r="V4" s="161">
        <f>U4</f>
        <v>198.52800000000002</v>
      </c>
      <c r="W4" s="162"/>
      <c r="X4" s="147" t="s">
        <v>247</v>
      </c>
    </row>
    <row r="5" spans="1:24" x14ac:dyDescent="0.25">
      <c r="B5" s="144" t="s">
        <v>248</v>
      </c>
      <c r="C5" s="145">
        <f t="shared" si="0"/>
        <v>108</v>
      </c>
      <c r="D5" s="143">
        <v>12</v>
      </c>
      <c r="E5" s="105">
        <v>120</v>
      </c>
      <c r="F5" s="143">
        <v>1.42</v>
      </c>
      <c r="G5" s="143">
        <v>1.35</v>
      </c>
      <c r="H5" s="143"/>
      <c r="I5" s="161">
        <f t="shared" si="1"/>
        <v>1.917</v>
      </c>
      <c r="J5" s="161">
        <f t="shared" si="2"/>
        <v>207.036</v>
      </c>
      <c r="K5" s="161">
        <f t="shared" si="3"/>
        <v>23.004000000000001</v>
      </c>
      <c r="L5" s="161">
        <f t="shared" si="4"/>
        <v>664.8</v>
      </c>
      <c r="M5" s="161">
        <f t="shared" si="5"/>
        <v>66.48</v>
      </c>
      <c r="N5" s="161">
        <f>(F5*2+G5*2)*D5</f>
        <v>66.48</v>
      </c>
      <c r="O5" s="161">
        <f t="shared" si="6"/>
        <v>99.719999999999985</v>
      </c>
      <c r="P5" s="161">
        <f>N5*$P$3</f>
        <v>23.268000000000001</v>
      </c>
      <c r="Q5" s="161">
        <f t="shared" si="8"/>
        <v>17.04</v>
      </c>
      <c r="R5" s="161">
        <f t="shared" ref="R5:R8" si="11">E5*F5*$R$3</f>
        <v>178.92</v>
      </c>
      <c r="S5" s="161">
        <f t="shared" si="9"/>
        <v>494.40000000000003</v>
      </c>
      <c r="T5" s="161">
        <f t="shared" si="10"/>
        <v>494.40000000000003</v>
      </c>
      <c r="U5" s="161">
        <f t="shared" ref="U5:U6" si="12">E5*F5</f>
        <v>170.39999999999998</v>
      </c>
      <c r="V5" s="161">
        <f t="shared" ref="V5:V6" si="13">U5</f>
        <v>170.39999999999998</v>
      </c>
      <c r="W5" s="162"/>
      <c r="X5" s="147"/>
    </row>
    <row r="6" spans="1:24" x14ac:dyDescent="0.25">
      <c r="B6" s="144" t="s">
        <v>249</v>
      </c>
      <c r="C6" s="145">
        <f t="shared" si="0"/>
        <v>26</v>
      </c>
      <c r="D6" s="143">
        <v>2</v>
      </c>
      <c r="E6" s="105">
        <v>28</v>
      </c>
      <c r="F6" s="143">
        <v>1.53</v>
      </c>
      <c r="G6" s="143">
        <v>1.35</v>
      </c>
      <c r="H6" s="143">
        <f>F6+F7+G7+F7+G7-G6+F6+G6</f>
        <v>8.4</v>
      </c>
      <c r="I6" s="161">
        <f t="shared" si="1"/>
        <v>2.0655000000000001</v>
      </c>
      <c r="J6" s="161">
        <f t="shared" si="2"/>
        <v>53.703000000000003</v>
      </c>
      <c r="K6" s="161">
        <f t="shared" si="3"/>
        <v>4.1310000000000002</v>
      </c>
      <c r="L6" s="161">
        <f>H6*E6</f>
        <v>235.20000000000002</v>
      </c>
      <c r="M6" s="161">
        <f>H6*D6</f>
        <v>16.8</v>
      </c>
      <c r="N6" s="161">
        <f>M6</f>
        <v>16.8</v>
      </c>
      <c r="O6" s="161">
        <f t="shared" si="6"/>
        <v>35.28</v>
      </c>
      <c r="P6" s="161">
        <f>N6*$P$3</f>
        <v>5.88</v>
      </c>
      <c r="Q6" s="161">
        <f t="shared" si="8"/>
        <v>3.06</v>
      </c>
      <c r="R6" s="161">
        <f t="shared" si="11"/>
        <v>44.982000000000006</v>
      </c>
      <c r="S6" s="161">
        <f t="shared" si="9"/>
        <v>118.44000000000001</v>
      </c>
      <c r="T6" s="161">
        <f t="shared" si="10"/>
        <v>118.44000000000001</v>
      </c>
      <c r="U6" s="161">
        <f t="shared" si="12"/>
        <v>42.84</v>
      </c>
      <c r="V6" s="161">
        <f t="shared" si="13"/>
        <v>42.84</v>
      </c>
      <c r="W6" s="162"/>
      <c r="X6" s="147" t="s">
        <v>250</v>
      </c>
    </row>
    <row r="7" spans="1:24" x14ac:dyDescent="0.25">
      <c r="B7" s="144" t="s">
        <v>259</v>
      </c>
      <c r="C7" s="145">
        <f>E7-D7</f>
        <v>26</v>
      </c>
      <c r="D7" s="143">
        <f>D6</f>
        <v>2</v>
      </c>
      <c r="E7" s="105">
        <f>E6</f>
        <v>28</v>
      </c>
      <c r="F7" s="143">
        <v>0.72</v>
      </c>
      <c r="G7" s="143">
        <v>1.95</v>
      </c>
      <c r="H7" s="143"/>
      <c r="I7" s="161">
        <f>F7*G7</f>
        <v>1.4039999999999999</v>
      </c>
      <c r="J7" s="161">
        <f t="shared" si="2"/>
        <v>36.503999999999998</v>
      </c>
      <c r="K7" s="161">
        <f t="shared" si="3"/>
        <v>2.8079999999999998</v>
      </c>
      <c r="L7" s="161">
        <f>(F7*2+G7*2)*E7-G6*E7</f>
        <v>111.71999999999997</v>
      </c>
      <c r="M7" s="161"/>
      <c r="N7" s="161">
        <f t="shared" ref="N7:N9" si="14">M7</f>
        <v>0</v>
      </c>
      <c r="O7" s="161">
        <f>L7*$O$3</f>
        <v>16.757999999999996</v>
      </c>
      <c r="P7" s="161">
        <f>N7*$P$3</f>
        <v>0</v>
      </c>
      <c r="Q7" s="161">
        <f t="shared" si="8"/>
        <v>1.44</v>
      </c>
      <c r="R7" s="161"/>
      <c r="S7" s="161">
        <f t="shared" si="9"/>
        <v>129.36000000000001</v>
      </c>
      <c r="T7" s="161">
        <f>S7</f>
        <v>129.36000000000001</v>
      </c>
      <c r="U7" s="161">
        <f>E7*F7</f>
        <v>20.16</v>
      </c>
      <c r="V7" s="161">
        <f>U7</f>
        <v>20.16</v>
      </c>
      <c r="W7" s="162"/>
      <c r="X7" s="147" t="s">
        <v>252</v>
      </c>
    </row>
    <row r="8" spans="1:24" x14ac:dyDescent="0.25">
      <c r="B8" s="144" t="s">
        <v>251</v>
      </c>
      <c r="C8" s="145">
        <f t="shared" si="0"/>
        <v>28</v>
      </c>
      <c r="D8" s="143">
        <v>0</v>
      </c>
      <c r="E8" s="105">
        <v>28</v>
      </c>
      <c r="F8" s="143">
        <v>1.53</v>
      </c>
      <c r="G8" s="143">
        <v>1.35</v>
      </c>
      <c r="H8" s="143">
        <f>F8+F9+G9+F9+G9-G8+F8+G8</f>
        <v>8.4</v>
      </c>
      <c r="I8" s="161">
        <f>F8*G8</f>
        <v>2.0655000000000001</v>
      </c>
      <c r="J8" s="161">
        <f t="shared" si="2"/>
        <v>57.834000000000003</v>
      </c>
      <c r="K8" s="161">
        <f t="shared" si="3"/>
        <v>0</v>
      </c>
      <c r="L8" s="161">
        <f>H8*E8</f>
        <v>235.20000000000002</v>
      </c>
      <c r="M8" s="161">
        <f>H8*D8</f>
        <v>0</v>
      </c>
      <c r="N8" s="161">
        <f t="shared" si="14"/>
        <v>0</v>
      </c>
      <c r="O8" s="161">
        <f>L8*$O$3</f>
        <v>35.28</v>
      </c>
      <c r="P8" s="161">
        <f>N8*$P$3</f>
        <v>0</v>
      </c>
      <c r="Q8" s="161">
        <f t="shared" si="8"/>
        <v>0</v>
      </c>
      <c r="R8" s="161">
        <f t="shared" si="11"/>
        <v>44.982000000000006</v>
      </c>
      <c r="S8" s="161">
        <f t="shared" si="9"/>
        <v>118.44000000000001</v>
      </c>
      <c r="T8" s="161">
        <f>S8</f>
        <v>118.44000000000001</v>
      </c>
      <c r="U8" s="161">
        <f>E8*F8</f>
        <v>42.84</v>
      </c>
      <c r="V8" s="161">
        <f>U8</f>
        <v>42.84</v>
      </c>
      <c r="W8" s="162"/>
      <c r="X8" s="147"/>
    </row>
    <row r="9" spans="1:24" x14ac:dyDescent="0.25">
      <c r="B9" s="144" t="s">
        <v>259</v>
      </c>
      <c r="C9" s="145">
        <f t="shared" si="0"/>
        <v>28</v>
      </c>
      <c r="D9" s="143">
        <f>D8</f>
        <v>0</v>
      </c>
      <c r="E9" s="105">
        <f>E8</f>
        <v>28</v>
      </c>
      <c r="F9" s="143">
        <v>0.72</v>
      </c>
      <c r="G9" s="143">
        <v>1.95</v>
      </c>
      <c r="H9" s="143"/>
      <c r="I9" s="161">
        <f>F9*G9</f>
        <v>1.4039999999999999</v>
      </c>
      <c r="J9" s="161">
        <f t="shared" si="2"/>
        <v>39.311999999999998</v>
      </c>
      <c r="K9" s="161">
        <f t="shared" si="3"/>
        <v>0</v>
      </c>
      <c r="L9" s="161">
        <f>(F9*2+G9*2)*E9-G8*E9</f>
        <v>111.71999999999997</v>
      </c>
      <c r="M9" s="161"/>
      <c r="N9" s="161">
        <f t="shared" si="14"/>
        <v>0</v>
      </c>
      <c r="O9" s="161">
        <f>L9*$O$3</f>
        <v>16.757999999999996</v>
      </c>
      <c r="P9" s="161">
        <f>N9*$P$3</f>
        <v>0</v>
      </c>
      <c r="Q9" s="161">
        <f t="shared" si="8"/>
        <v>0</v>
      </c>
      <c r="R9" s="161"/>
      <c r="S9" s="161">
        <f t="shared" si="9"/>
        <v>129.36000000000001</v>
      </c>
      <c r="T9" s="161">
        <f>S9</f>
        <v>129.36000000000001</v>
      </c>
      <c r="U9" s="161">
        <f>E9*F9</f>
        <v>20.16</v>
      </c>
      <c r="V9" s="161">
        <f>U9</f>
        <v>20.16</v>
      </c>
      <c r="W9" s="162"/>
      <c r="X9" s="147" t="s">
        <v>252</v>
      </c>
    </row>
    <row r="10" spans="1:24" x14ac:dyDescent="0.25">
      <c r="B10" s="144"/>
      <c r="C10" s="148"/>
      <c r="D10" s="143"/>
      <c r="E10" s="143">
        <f>SUM(E4:E9)</f>
        <v>326</v>
      </c>
      <c r="F10" s="143"/>
      <c r="G10" s="143"/>
      <c r="H10" s="143"/>
      <c r="M10" s="149">
        <f>SUM(M4:M9)</f>
        <v>124.824</v>
      </c>
      <c r="R10" s="161"/>
      <c r="W10" s="146"/>
      <c r="X10" s="147"/>
    </row>
    <row r="11" spans="1:24" ht="49.5" x14ac:dyDescent="0.25">
      <c r="B11" s="150" t="s">
        <v>253</v>
      </c>
      <c r="C11" s="148"/>
      <c r="D11" s="143">
        <v>6</v>
      </c>
      <c r="E11" s="145">
        <f>D11+C11</f>
        <v>6</v>
      </c>
      <c r="F11" s="143">
        <v>2.1</v>
      </c>
      <c r="G11" s="143">
        <v>2.35</v>
      </c>
      <c r="H11" s="143"/>
      <c r="I11" s="161">
        <f t="shared" ref="I11" si="15">F11*G11</f>
        <v>4.9350000000000005</v>
      </c>
      <c r="J11" s="161">
        <f>I11*C11</f>
        <v>0</v>
      </c>
      <c r="K11" s="161">
        <f>I11*D11</f>
        <v>29.610000000000003</v>
      </c>
      <c r="L11" s="161">
        <f>(F11*2+G11)*E11</f>
        <v>39.300000000000004</v>
      </c>
      <c r="M11" s="161">
        <f>N11</f>
        <v>39.300000000000004</v>
      </c>
      <c r="N11" s="161">
        <f>(F11*2+G11)*D11</f>
        <v>39.300000000000004</v>
      </c>
      <c r="O11" s="161">
        <f t="shared" ref="O11" si="16">L11*$O$3</f>
        <v>5.8950000000000005</v>
      </c>
      <c r="P11" s="161">
        <f t="shared" ref="P11" si="17">N11*$P$3</f>
        <v>13.755000000000001</v>
      </c>
      <c r="Q11" s="161"/>
      <c r="R11" s="161"/>
      <c r="S11" s="161"/>
      <c r="T11" s="161"/>
      <c r="U11" s="161"/>
      <c r="V11" s="161"/>
    </row>
    <row r="12" spans="1:24" x14ac:dyDescent="0.25">
      <c r="B12" s="144"/>
      <c r="D12" s="151"/>
      <c r="E12" s="152">
        <f>SUM(E4:E11)</f>
        <v>658</v>
      </c>
      <c r="F12" s="151"/>
      <c r="G12" s="151"/>
      <c r="H12" s="151"/>
      <c r="I12" s="151"/>
      <c r="J12" s="152">
        <f>SUM(J4:J11)</f>
        <v>645.29460000000006</v>
      </c>
      <c r="K12" s="152">
        <f>SUM(K4:K11)</f>
        <v>76.660200000000003</v>
      </c>
      <c r="L12" s="152">
        <f>SUM(L4:L11)</f>
        <v>2048.7960000000003</v>
      </c>
      <c r="M12" s="152">
        <f>M10+M11</f>
        <v>164.124</v>
      </c>
      <c r="N12" s="152">
        <f>SUM(N4:N11)</f>
        <v>164.124</v>
      </c>
      <c r="O12" s="152">
        <f t="shared" ref="O12:V12" si="18">SUM(O4:O11)</f>
        <v>307.31939999999992</v>
      </c>
      <c r="P12" s="153">
        <f t="shared" si="18"/>
        <v>57.443400000000004</v>
      </c>
      <c r="Q12" s="153">
        <f t="shared" si="18"/>
        <v>34.211999999999996</v>
      </c>
      <c r="R12" s="153">
        <f>SUM(R4:R11)</f>
        <v>477.33840000000009</v>
      </c>
      <c r="S12" s="152">
        <f t="shared" si="18"/>
        <v>1442.3280000000004</v>
      </c>
      <c r="T12" s="152">
        <f t="shared" si="18"/>
        <v>1442.3280000000004</v>
      </c>
      <c r="U12" s="152">
        <f t="shared" si="18"/>
        <v>494.92800000000005</v>
      </c>
      <c r="V12" s="152">
        <f t="shared" si="18"/>
        <v>494.92800000000005</v>
      </c>
      <c r="W12" s="154">
        <v>210</v>
      </c>
    </row>
    <row r="13" spans="1:24" x14ac:dyDescent="0.25">
      <c r="B13" s="155" t="s">
        <v>254</v>
      </c>
    </row>
    <row r="14" spans="1:24" x14ac:dyDescent="0.2">
      <c r="A14" s="168"/>
      <c r="B14" s="445" t="s">
        <v>291</v>
      </c>
      <c r="C14" s="445"/>
      <c r="D14" s="445"/>
      <c r="E14" s="445"/>
      <c r="F14" s="445"/>
    </row>
    <row r="15" spans="1:24" x14ac:dyDescent="0.15">
      <c r="A15" s="172" t="s">
        <v>292</v>
      </c>
      <c r="B15" s="173" t="s">
        <v>258</v>
      </c>
      <c r="C15" s="174" t="s">
        <v>293</v>
      </c>
      <c r="D15" s="174" t="s">
        <v>42</v>
      </c>
      <c r="E15" s="174" t="s">
        <v>294</v>
      </c>
      <c r="F15" s="174" t="s">
        <v>305</v>
      </c>
      <c r="G15" s="174" t="s">
        <v>295</v>
      </c>
      <c r="H15" s="345"/>
    </row>
    <row r="16" spans="1:24" x14ac:dyDescent="0.15">
      <c r="A16" s="172"/>
      <c r="B16" s="173"/>
      <c r="C16" s="160">
        <v>95</v>
      </c>
      <c r="D16" s="174"/>
      <c r="E16" s="174"/>
      <c r="F16" s="174"/>
      <c r="G16" s="174"/>
      <c r="H16" s="345"/>
    </row>
    <row r="17" spans="1:8" ht="22.5" x14ac:dyDescent="0.2">
      <c r="A17" s="159">
        <v>1</v>
      </c>
      <c r="B17" s="169" t="s">
        <v>307</v>
      </c>
      <c r="C17" s="159">
        <f>ROUNDUP(C16/0.6,0)</f>
        <v>159</v>
      </c>
      <c r="D17" s="159" t="s">
        <v>59</v>
      </c>
      <c r="E17" s="159">
        <v>12.4</v>
      </c>
      <c r="F17" s="159">
        <f>E17*C17</f>
        <v>1971.6000000000001</v>
      </c>
      <c r="G17" s="176">
        <f>F17*0.025*0.1</f>
        <v>4.9290000000000012</v>
      </c>
      <c r="H17" s="346"/>
    </row>
    <row r="18" spans="1:8" x14ac:dyDescent="0.2">
      <c r="A18" s="159">
        <v>2</v>
      </c>
      <c r="B18" s="170" t="s">
        <v>296</v>
      </c>
      <c r="C18" s="159"/>
      <c r="D18" s="159" t="s">
        <v>63</v>
      </c>
      <c r="E18" s="159"/>
      <c r="F18" s="159">
        <f>ROUNDUP(E17*C17,0)</f>
        <v>1972</v>
      </c>
      <c r="G18" s="176">
        <f>F18</f>
        <v>1972</v>
      </c>
      <c r="H18" s="346"/>
    </row>
    <row r="19" spans="1:8" ht="22.5" x14ac:dyDescent="0.2">
      <c r="A19" s="159">
        <v>3</v>
      </c>
      <c r="B19" s="169" t="s">
        <v>306</v>
      </c>
      <c r="C19" s="177">
        <f>ROUNDUP(C16/0.6,0)</f>
        <v>159</v>
      </c>
      <c r="D19" s="159" t="str">
        <f>D17</f>
        <v>m</v>
      </c>
      <c r="E19" s="159">
        <f>E17</f>
        <v>12.4</v>
      </c>
      <c r="F19" s="159">
        <f>F17</f>
        <v>1971.6000000000001</v>
      </c>
      <c r="G19" s="176">
        <f>F19*0.025*0.075</f>
        <v>3.6967500000000002</v>
      </c>
      <c r="H19" s="346"/>
    </row>
    <row r="20" spans="1:8" ht="22.5" x14ac:dyDescent="0.2">
      <c r="A20" s="159">
        <v>4</v>
      </c>
      <c r="B20" s="169" t="s">
        <v>304</v>
      </c>
      <c r="C20" s="159">
        <f>ROUNDUP(E17/0.3,0)</f>
        <v>42</v>
      </c>
      <c r="D20" s="159" t="s">
        <v>59</v>
      </c>
      <c r="E20" s="159">
        <f>C16</f>
        <v>95</v>
      </c>
      <c r="F20" s="159">
        <f>C20*E20+15</f>
        <v>4005</v>
      </c>
      <c r="G20" s="176">
        <f>F20*0.1*0.038</f>
        <v>15.218999999999999</v>
      </c>
      <c r="H20" s="346"/>
    </row>
    <row r="21" spans="1:8" ht="22.5" x14ac:dyDescent="0.2">
      <c r="A21" s="159">
        <v>5</v>
      </c>
      <c r="B21" s="169" t="s">
        <v>297</v>
      </c>
      <c r="C21" s="159"/>
      <c r="D21" s="159" t="s">
        <v>63</v>
      </c>
      <c r="E21" s="159"/>
      <c r="F21" s="159">
        <f>ROUNDUP(F18,0)</f>
        <v>1972</v>
      </c>
      <c r="G21" s="159">
        <f>F21</f>
        <v>1972</v>
      </c>
      <c r="H21" s="347"/>
    </row>
    <row r="22" spans="1:8" x14ac:dyDescent="0.2">
      <c r="A22" s="159">
        <v>8</v>
      </c>
      <c r="B22" s="169" t="s">
        <v>298</v>
      </c>
      <c r="C22" s="159">
        <v>2</v>
      </c>
      <c r="D22" s="159" t="s">
        <v>59</v>
      </c>
      <c r="E22" s="171">
        <f>E17</f>
        <v>12.4</v>
      </c>
      <c r="F22" s="171">
        <f>C22*E22</f>
        <v>24.8</v>
      </c>
      <c r="G22" s="159">
        <f t="shared" ref="G22:G23" si="19">F22</f>
        <v>24.8</v>
      </c>
      <c r="H22" s="347"/>
    </row>
    <row r="23" spans="1:8" x14ac:dyDescent="0.2">
      <c r="A23" s="159">
        <v>9</v>
      </c>
      <c r="B23" s="169" t="s">
        <v>299</v>
      </c>
      <c r="C23" s="159">
        <v>1</v>
      </c>
      <c r="D23" s="159" t="s">
        <v>59</v>
      </c>
      <c r="E23" s="171">
        <f>C17</f>
        <v>159</v>
      </c>
      <c r="F23" s="171">
        <f>C23*E23</f>
        <v>159</v>
      </c>
      <c r="G23" s="159">
        <f t="shared" si="19"/>
        <v>159</v>
      </c>
      <c r="H23" s="347"/>
    </row>
    <row r="24" spans="1:8" x14ac:dyDescent="0.25">
      <c r="A24" s="142"/>
      <c r="B24" s="141"/>
    </row>
    <row r="25" spans="1:8" x14ac:dyDescent="0.25">
      <c r="H25" s="141"/>
    </row>
    <row r="26" spans="1:8" ht="12.75" x14ac:dyDescent="0.2">
      <c r="A26" s="379" t="s">
        <v>333</v>
      </c>
      <c r="B26" s="379"/>
      <c r="C26" s="379"/>
      <c r="D26" s="379"/>
      <c r="E26" s="379"/>
      <c r="F26" s="379"/>
      <c r="G26" s="379"/>
      <c r="H26" s="203">
        <f>14*4</f>
        <v>56</v>
      </c>
    </row>
    <row r="27" spans="1:8" x14ac:dyDescent="0.25">
      <c r="A27" s="440" t="s">
        <v>292</v>
      </c>
      <c r="B27" s="442" t="s">
        <v>317</v>
      </c>
      <c r="C27" s="440" t="s">
        <v>318</v>
      </c>
      <c r="D27" s="440" t="s">
        <v>319</v>
      </c>
      <c r="E27" s="440" t="s">
        <v>320</v>
      </c>
      <c r="F27" s="440" t="s">
        <v>321</v>
      </c>
      <c r="G27" s="440" t="s">
        <v>322</v>
      </c>
      <c r="H27" s="440" t="s">
        <v>334</v>
      </c>
    </row>
    <row r="28" spans="1:8" x14ac:dyDescent="0.25">
      <c r="A28" s="441"/>
      <c r="B28" s="442"/>
      <c r="C28" s="441"/>
      <c r="D28" s="441"/>
      <c r="E28" s="441"/>
      <c r="F28" s="441"/>
      <c r="G28" s="441"/>
      <c r="H28" s="441"/>
    </row>
    <row r="29" spans="1:8" x14ac:dyDescent="0.25">
      <c r="A29" s="210">
        <v>1</v>
      </c>
      <c r="B29" s="211" t="s">
        <v>323</v>
      </c>
      <c r="C29" s="212" t="s">
        <v>74</v>
      </c>
      <c r="D29" s="213">
        <v>1</v>
      </c>
      <c r="E29" s="214">
        <v>5</v>
      </c>
      <c r="F29" s="214">
        <v>1.99</v>
      </c>
      <c r="G29" s="214">
        <f>F29*E29</f>
        <v>9.9499999999999993</v>
      </c>
      <c r="H29" s="206">
        <f t="shared" ref="H29:H35" si="20">G29*$H$26</f>
        <v>557.19999999999993</v>
      </c>
    </row>
    <row r="30" spans="1:8" ht="22.5" x14ac:dyDescent="0.25">
      <c r="A30" s="79">
        <f>A29+1</f>
        <v>2</v>
      </c>
      <c r="B30" s="211" t="s">
        <v>324</v>
      </c>
      <c r="C30" s="212" t="s">
        <v>74</v>
      </c>
      <c r="D30" s="213">
        <v>9</v>
      </c>
      <c r="E30" s="214">
        <f>9*1.1</f>
        <v>9.9</v>
      </c>
      <c r="F30" s="214">
        <f>0.01*0.05*1*7800</f>
        <v>3.9</v>
      </c>
      <c r="G30" s="214">
        <f>E30*F30</f>
        <v>38.61</v>
      </c>
      <c r="H30" s="206">
        <f t="shared" si="20"/>
        <v>2162.16</v>
      </c>
    </row>
    <row r="31" spans="1:8" ht="22.5" x14ac:dyDescent="0.25">
      <c r="A31" s="79">
        <f t="shared" ref="A31:A35" si="21">A30+1</f>
        <v>3</v>
      </c>
      <c r="B31" s="211" t="s">
        <v>325</v>
      </c>
      <c r="C31" s="212" t="s">
        <v>74</v>
      </c>
      <c r="D31" s="213">
        <v>9</v>
      </c>
      <c r="E31" s="214">
        <f>0.2*9</f>
        <v>1.8</v>
      </c>
      <c r="F31" s="214">
        <f>0.01*0.05*1*7800</f>
        <v>3.9</v>
      </c>
      <c r="G31" s="214">
        <f>E31*F31</f>
        <v>7.02</v>
      </c>
      <c r="H31" s="206">
        <f t="shared" si="20"/>
        <v>393.12</v>
      </c>
    </row>
    <row r="32" spans="1:8" ht="22.5" x14ac:dyDescent="0.25">
      <c r="A32" s="79">
        <f t="shared" si="21"/>
        <v>4</v>
      </c>
      <c r="B32" s="211" t="s">
        <v>326</v>
      </c>
      <c r="C32" s="212" t="s">
        <v>74</v>
      </c>
      <c r="D32" s="213">
        <v>2</v>
      </c>
      <c r="E32" s="214">
        <f>4.6*2</f>
        <v>9.1999999999999993</v>
      </c>
      <c r="F32" s="214">
        <f>0.01*0.05*1*7800</f>
        <v>3.9</v>
      </c>
      <c r="G32" s="214">
        <f>E32*F32</f>
        <v>35.879999999999995</v>
      </c>
      <c r="H32" s="206">
        <f t="shared" si="20"/>
        <v>2009.2799999999997</v>
      </c>
    </row>
    <row r="33" spans="1:8" ht="22.5" x14ac:dyDescent="0.25">
      <c r="A33" s="79">
        <f t="shared" si="21"/>
        <v>5</v>
      </c>
      <c r="B33" s="211" t="s">
        <v>327</v>
      </c>
      <c r="C33" s="212" t="s">
        <v>74</v>
      </c>
      <c r="D33" s="213">
        <v>2</v>
      </c>
      <c r="E33" s="214">
        <f>4.7*2</f>
        <v>9.4</v>
      </c>
      <c r="F33" s="214">
        <f>0.006*0.03*1*7800</f>
        <v>1.4039999999999999</v>
      </c>
      <c r="G33" s="214">
        <f>E33*F33</f>
        <v>13.1976</v>
      </c>
      <c r="H33" s="206">
        <f t="shared" si="20"/>
        <v>739.06560000000002</v>
      </c>
    </row>
    <row r="34" spans="1:8" x14ac:dyDescent="0.25">
      <c r="A34" s="79">
        <f t="shared" si="21"/>
        <v>6</v>
      </c>
      <c r="B34" s="211" t="s">
        <v>328</v>
      </c>
      <c r="C34" s="212" t="s">
        <v>74</v>
      </c>
      <c r="D34" s="213">
        <v>9</v>
      </c>
      <c r="E34" s="214"/>
      <c r="F34" s="214"/>
      <c r="G34" s="214">
        <f>0.008*0.1*0.15*9*7800</f>
        <v>8.4239999999999995</v>
      </c>
      <c r="H34" s="206">
        <f t="shared" si="20"/>
        <v>471.74399999999997</v>
      </c>
    </row>
    <row r="35" spans="1:8" x14ac:dyDescent="0.25">
      <c r="A35" s="79">
        <f t="shared" si="21"/>
        <v>7</v>
      </c>
      <c r="B35" s="211" t="s">
        <v>329</v>
      </c>
      <c r="C35" s="212" t="s">
        <v>74</v>
      </c>
      <c r="D35" s="213">
        <v>2</v>
      </c>
      <c r="E35" s="214"/>
      <c r="F35" s="214"/>
      <c r="G35" s="214">
        <f>0.008*0.2*0.2*2*7800</f>
        <v>4.992</v>
      </c>
      <c r="H35" s="206">
        <f t="shared" si="20"/>
        <v>279.55200000000002</v>
      </c>
    </row>
    <row r="36" spans="1:8" x14ac:dyDescent="0.25">
      <c r="A36" s="210"/>
      <c r="B36" s="211"/>
      <c r="C36" s="212"/>
      <c r="D36" s="213"/>
      <c r="E36" s="214"/>
      <c r="F36" s="214"/>
      <c r="G36" s="214"/>
      <c r="H36" s="215">
        <f>SUM(H29:H35)</f>
        <v>6612.1215999999986</v>
      </c>
    </row>
    <row r="37" spans="1:8" x14ac:dyDescent="0.25">
      <c r="A37" s="200">
        <f>A35+1</f>
        <v>8</v>
      </c>
      <c r="B37" s="207" t="s">
        <v>330</v>
      </c>
      <c r="C37" s="204" t="s">
        <v>74</v>
      </c>
      <c r="D37" s="205">
        <v>18</v>
      </c>
      <c r="E37" s="206"/>
      <c r="F37" s="206"/>
      <c r="G37" s="206"/>
      <c r="H37" s="206">
        <f>D37*$H$26</f>
        <v>1008</v>
      </c>
    </row>
    <row r="38" spans="1:8" x14ac:dyDescent="0.2">
      <c r="A38" s="200">
        <f>A37+1</f>
        <v>9</v>
      </c>
      <c r="B38" s="207" t="s">
        <v>331</v>
      </c>
      <c r="C38" s="204" t="s">
        <v>74</v>
      </c>
      <c r="D38" s="205">
        <v>8</v>
      </c>
      <c r="E38" s="206"/>
      <c r="F38" s="201"/>
      <c r="G38" s="202"/>
      <c r="H38" s="206">
        <f>D38*$H$26</f>
        <v>448</v>
      </c>
    </row>
    <row r="39" spans="1:8" x14ac:dyDescent="0.25">
      <c r="A39" s="200">
        <f>A38+1</f>
        <v>10</v>
      </c>
      <c r="B39" s="207" t="s">
        <v>332</v>
      </c>
      <c r="C39" s="204" t="s">
        <v>63</v>
      </c>
      <c r="D39" s="209">
        <v>4.46</v>
      </c>
      <c r="E39" s="206"/>
      <c r="F39" s="209"/>
      <c r="G39" s="208"/>
      <c r="H39" s="206">
        <f>D39*$H$26</f>
        <v>249.76</v>
      </c>
    </row>
    <row r="41" spans="1:8" x14ac:dyDescent="0.25">
      <c r="B41" s="141"/>
    </row>
    <row r="42" spans="1:8" x14ac:dyDescent="0.25">
      <c r="B42" s="141"/>
    </row>
    <row r="43" spans="1:8" x14ac:dyDescent="0.25">
      <c r="B43" s="141"/>
    </row>
    <row r="44" spans="1:8" x14ac:dyDescent="0.25">
      <c r="B44" s="141"/>
    </row>
    <row r="45" spans="1:8" x14ac:dyDescent="0.25">
      <c r="B45" s="141"/>
    </row>
    <row r="46" spans="1:8" x14ac:dyDescent="0.25">
      <c r="B46" s="141"/>
    </row>
    <row r="47" spans="1:8" x14ac:dyDescent="0.25">
      <c r="B47" s="141"/>
    </row>
    <row r="48" spans="1:8" x14ac:dyDescent="0.25">
      <c r="B48" s="141"/>
    </row>
    <row r="49" spans="2:2" x14ac:dyDescent="0.25">
      <c r="B49" s="141"/>
    </row>
    <row r="50" spans="2:2" x14ac:dyDescent="0.25">
      <c r="B50" s="141"/>
    </row>
    <row r="51" spans="2:2" x14ac:dyDescent="0.25">
      <c r="B51" s="141"/>
    </row>
    <row r="52" spans="2:2" x14ac:dyDescent="0.25">
      <c r="B52" s="141"/>
    </row>
    <row r="53" spans="2:2" x14ac:dyDescent="0.25">
      <c r="B53" s="141"/>
    </row>
    <row r="54" spans="2:2" x14ac:dyDescent="0.25">
      <c r="B54" s="141"/>
    </row>
    <row r="55" spans="2:2" x14ac:dyDescent="0.25">
      <c r="B55" s="141"/>
    </row>
  </sheetData>
  <mergeCells count="23">
    <mergeCell ref="U2:U3"/>
    <mergeCell ref="V2:V3"/>
    <mergeCell ref="W2:W3"/>
    <mergeCell ref="B14:F14"/>
    <mergeCell ref="L1:N1"/>
    <mergeCell ref="O1:P1"/>
    <mergeCell ref="Q1:R1"/>
    <mergeCell ref="S1:W1"/>
    <mergeCell ref="B2:B3"/>
    <mergeCell ref="C2:E2"/>
    <mergeCell ref="F2:G2"/>
    <mergeCell ref="I2:K2"/>
    <mergeCell ref="S2:S3"/>
    <mergeCell ref="T2:T3"/>
    <mergeCell ref="H27:H28"/>
    <mergeCell ref="A26:G26"/>
    <mergeCell ref="A27:A28"/>
    <mergeCell ref="B27:B28"/>
    <mergeCell ref="C27:C28"/>
    <mergeCell ref="D27:D28"/>
    <mergeCell ref="E27:E28"/>
    <mergeCell ref="F27:F28"/>
    <mergeCell ref="G27:G28"/>
  </mergeCells>
  <pageMargins left="0.7" right="0.7" top="0.75" bottom="0.75" header="0.3" footer="0.3"/>
  <pageSetup paperSize="9" scale="41" orientation="portrait" r:id="rId1"/>
  <ignoredErrors>
    <ignoredError sqref="L7 M10:N10"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sheetPr>
  <dimension ref="A1:U63"/>
  <sheetViews>
    <sheetView topLeftCell="A34" zoomScale="115" zoomScaleNormal="115" zoomScaleSheetLayoutView="115" workbookViewId="0">
      <selection activeCell="G85" sqref="G85"/>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20.28515625" style="1" customWidth="1"/>
    <col min="18" max="19" width="9.140625" style="1"/>
    <col min="20" max="20" width="10" style="1" bestFit="1" customWidth="1"/>
    <col min="21" max="16384" width="9.140625" style="1"/>
  </cols>
  <sheetData>
    <row r="1" spans="1:20" x14ac:dyDescent="0.2">
      <c r="A1" s="16"/>
      <c r="B1" s="16"/>
      <c r="C1" s="20" t="s">
        <v>38</v>
      </c>
      <c r="D1" s="37">
        <f>'Kops a'!A17</f>
        <v>3</v>
      </c>
      <c r="E1" s="16"/>
      <c r="F1" s="16"/>
      <c r="G1" s="16"/>
      <c r="H1" s="16"/>
      <c r="I1" s="16"/>
      <c r="J1" s="16"/>
      <c r="N1" s="19"/>
      <c r="O1" s="20"/>
      <c r="P1" s="21"/>
    </row>
    <row r="2" spans="1:20" x14ac:dyDescent="0.2">
      <c r="A2" s="22"/>
      <c r="B2" s="22"/>
      <c r="C2" s="410" t="s">
        <v>152</v>
      </c>
      <c r="D2" s="410"/>
      <c r="E2" s="410"/>
      <c r="F2" s="410"/>
      <c r="G2" s="410"/>
      <c r="H2" s="410"/>
      <c r="I2" s="410"/>
      <c r="J2" s="22"/>
    </row>
    <row r="3" spans="1:20" x14ac:dyDescent="0.2">
      <c r="A3" s="23"/>
      <c r="B3" s="23"/>
      <c r="C3" s="372" t="s">
        <v>17</v>
      </c>
      <c r="D3" s="372"/>
      <c r="E3" s="372"/>
      <c r="F3" s="372"/>
      <c r="G3" s="372"/>
      <c r="H3" s="372"/>
      <c r="I3" s="372"/>
      <c r="J3" s="23"/>
    </row>
    <row r="4" spans="1:20" x14ac:dyDescent="0.2">
      <c r="A4" s="23"/>
      <c r="B4" s="23"/>
      <c r="C4" s="412" t="s">
        <v>52</v>
      </c>
      <c r="D4" s="412"/>
      <c r="E4" s="412"/>
      <c r="F4" s="412"/>
      <c r="G4" s="412"/>
      <c r="H4" s="412"/>
      <c r="I4" s="412"/>
      <c r="J4" s="23"/>
    </row>
    <row r="5" spans="1:20" x14ac:dyDescent="0.2">
      <c r="A5" s="16"/>
      <c r="B5" s="16"/>
      <c r="C5" s="20" t="s">
        <v>5</v>
      </c>
      <c r="D5" s="433" t="str">
        <f>'Kops a'!D6</f>
        <v>Dzīvojamās ēkas vienkāršotā atjaunošana</v>
      </c>
      <c r="E5" s="433"/>
      <c r="F5" s="433"/>
      <c r="G5" s="433"/>
      <c r="H5" s="433"/>
      <c r="I5" s="433"/>
      <c r="J5" s="433"/>
      <c r="K5" s="433"/>
      <c r="L5" s="433"/>
      <c r="M5" s="12"/>
      <c r="N5" s="12"/>
      <c r="O5" s="12"/>
      <c r="P5" s="12"/>
    </row>
    <row r="6" spans="1:20" x14ac:dyDescent="0.2">
      <c r="A6" s="16"/>
      <c r="B6" s="16"/>
      <c r="C6" s="20" t="s">
        <v>6</v>
      </c>
      <c r="D6" s="433" t="str">
        <f>'Kops a'!D7</f>
        <v>Daudzdzīvokļu dzīvojamās mājas energoefektivitātes paaugstināšanas pasākumi</v>
      </c>
      <c r="E6" s="433"/>
      <c r="F6" s="433"/>
      <c r="G6" s="433"/>
      <c r="H6" s="433"/>
      <c r="I6" s="433"/>
      <c r="J6" s="433"/>
      <c r="K6" s="433"/>
      <c r="L6" s="433"/>
      <c r="M6" s="12"/>
      <c r="N6" s="12"/>
      <c r="O6" s="12"/>
      <c r="P6" s="12"/>
    </row>
    <row r="7" spans="1:20" x14ac:dyDescent="0.2">
      <c r="A7" s="16"/>
      <c r="B7" s="16"/>
      <c r="C7" s="20" t="s">
        <v>7</v>
      </c>
      <c r="D7" s="433" t="str">
        <f>'Kops a'!D8</f>
        <v xml:space="preserve">Atmodas bulvārī 12, Liepājā. </v>
      </c>
      <c r="E7" s="433"/>
      <c r="F7" s="433"/>
      <c r="G7" s="433"/>
      <c r="H7" s="433"/>
      <c r="I7" s="433"/>
      <c r="J7" s="433"/>
      <c r="K7" s="433"/>
      <c r="L7" s="433"/>
      <c r="M7" s="12"/>
      <c r="N7" s="12"/>
      <c r="O7" s="12"/>
      <c r="P7" s="12"/>
    </row>
    <row r="8" spans="1:20" x14ac:dyDescent="0.2">
      <c r="A8" s="16"/>
      <c r="B8" s="16"/>
      <c r="C8" s="97" t="s">
        <v>20</v>
      </c>
      <c r="D8" s="433" t="str">
        <f>'Kops a'!D9</f>
        <v>WS-5-18</v>
      </c>
      <c r="E8" s="433"/>
      <c r="F8" s="433"/>
      <c r="G8" s="433"/>
      <c r="H8" s="433"/>
      <c r="I8" s="433"/>
      <c r="J8" s="433"/>
      <c r="K8" s="433"/>
      <c r="L8" s="433"/>
      <c r="M8" s="12"/>
      <c r="N8" s="12"/>
      <c r="O8" s="12"/>
      <c r="P8" s="12"/>
    </row>
    <row r="9" spans="1:20" ht="11.25" customHeight="1" x14ac:dyDescent="0.2">
      <c r="A9" s="413" t="s">
        <v>493</v>
      </c>
      <c r="B9" s="413"/>
      <c r="C9" s="413"/>
      <c r="D9" s="413"/>
      <c r="E9" s="413"/>
      <c r="F9" s="413"/>
      <c r="G9" s="24"/>
      <c r="H9" s="24"/>
      <c r="I9" s="24"/>
      <c r="J9" s="417" t="s">
        <v>39</v>
      </c>
      <c r="K9" s="417"/>
      <c r="L9" s="417"/>
      <c r="M9" s="417"/>
      <c r="N9" s="424">
        <f>P48</f>
        <v>0</v>
      </c>
      <c r="O9" s="424"/>
      <c r="P9" s="24"/>
    </row>
    <row r="10" spans="1:20" x14ac:dyDescent="0.2">
      <c r="A10" s="25"/>
      <c r="B10" s="26"/>
      <c r="C10" s="97"/>
      <c r="D10" s="16"/>
      <c r="E10" s="16"/>
      <c r="F10" s="16"/>
      <c r="G10" s="16"/>
      <c r="H10" s="16"/>
      <c r="I10" s="16"/>
      <c r="J10" s="16"/>
      <c r="K10" s="16"/>
      <c r="L10" s="22"/>
      <c r="M10" s="22"/>
      <c r="O10" s="71"/>
      <c r="P10" s="70" t="str">
        <f>A54</f>
        <v>Tāme sastādīta 2021. gada</v>
      </c>
    </row>
    <row r="11" spans="1:20" ht="12" thickBot="1" x14ac:dyDescent="0.25">
      <c r="A11" s="25"/>
      <c r="B11" s="26"/>
      <c r="C11" s="97"/>
      <c r="D11" s="16"/>
      <c r="E11" s="16"/>
      <c r="F11" s="16"/>
      <c r="G11" s="16"/>
      <c r="H11" s="16"/>
      <c r="I11" s="16"/>
      <c r="J11" s="16"/>
      <c r="K11" s="16"/>
      <c r="L11" s="27"/>
      <c r="M11" s="27"/>
      <c r="N11" s="28"/>
      <c r="O11" s="19"/>
      <c r="P11" s="16"/>
    </row>
    <row r="12" spans="1:20" x14ac:dyDescent="0.2">
      <c r="A12" s="383" t="s">
        <v>23</v>
      </c>
      <c r="B12" s="419" t="s">
        <v>40</v>
      </c>
      <c r="C12" s="415" t="s">
        <v>41</v>
      </c>
      <c r="D12" s="422" t="s">
        <v>42</v>
      </c>
      <c r="E12" s="431" t="s">
        <v>43</v>
      </c>
      <c r="F12" s="414" t="s">
        <v>44</v>
      </c>
      <c r="G12" s="415"/>
      <c r="H12" s="415"/>
      <c r="I12" s="415"/>
      <c r="J12" s="415"/>
      <c r="K12" s="416"/>
      <c r="L12" s="414" t="s">
        <v>45</v>
      </c>
      <c r="M12" s="415"/>
      <c r="N12" s="415"/>
      <c r="O12" s="415"/>
      <c r="P12" s="416"/>
    </row>
    <row r="13" spans="1:20" ht="83.25" customHeight="1" thickBot="1" x14ac:dyDescent="0.25">
      <c r="A13" s="418"/>
      <c r="B13" s="420"/>
      <c r="C13" s="421"/>
      <c r="D13" s="423"/>
      <c r="E13" s="432"/>
      <c r="F13" s="101" t="s">
        <v>46</v>
      </c>
      <c r="G13" s="102" t="s">
        <v>47</v>
      </c>
      <c r="H13" s="102" t="s">
        <v>48</v>
      </c>
      <c r="I13" s="102" t="s">
        <v>49</v>
      </c>
      <c r="J13" s="102" t="s">
        <v>50</v>
      </c>
      <c r="K13" s="46" t="s">
        <v>51</v>
      </c>
      <c r="L13" s="101" t="s">
        <v>46</v>
      </c>
      <c r="M13" s="102" t="s">
        <v>48</v>
      </c>
      <c r="N13" s="102" t="s">
        <v>49</v>
      </c>
      <c r="O13" s="102" t="s">
        <v>50</v>
      </c>
      <c r="P13" s="46" t="s">
        <v>51</v>
      </c>
      <c r="Q13" s="477"/>
      <c r="R13" s="477"/>
      <c r="S13" s="477"/>
      <c r="T13" s="477"/>
    </row>
    <row r="14" spans="1:20" x14ac:dyDescent="0.2">
      <c r="A14" s="79">
        <f>IF(COUNTBLANK(B14)=1," ",COUNTA($B$13:B14))</f>
        <v>1</v>
      </c>
      <c r="B14" s="118" t="s">
        <v>58</v>
      </c>
      <c r="C14" s="472" t="s">
        <v>146</v>
      </c>
      <c r="D14" s="483" t="s">
        <v>63</v>
      </c>
      <c r="E14" s="469">
        <f>156-14</f>
        <v>142</v>
      </c>
      <c r="F14" s="53"/>
      <c r="G14" s="50"/>
      <c r="H14" s="50">
        <f>ROUND(F14*G14,2)</f>
        <v>0</v>
      </c>
      <c r="I14" s="50"/>
      <c r="J14" s="50"/>
      <c r="K14" s="51">
        <f>SUM(H14:J14)</f>
        <v>0</v>
      </c>
      <c r="L14" s="53">
        <f>ROUND(E14*F14,2)</f>
        <v>0</v>
      </c>
      <c r="M14" s="50">
        <f>ROUND(H14*E14,2)</f>
        <v>0</v>
      </c>
      <c r="N14" s="50">
        <f>ROUND(I14*E14,2)</f>
        <v>0</v>
      </c>
      <c r="O14" s="50">
        <f>ROUND(J14*E14,2)</f>
        <v>0</v>
      </c>
      <c r="P14" s="78">
        <f>SUM(M14:O14)</f>
        <v>0</v>
      </c>
      <c r="Q14" s="477"/>
      <c r="R14" s="477"/>
      <c r="S14" s="477"/>
      <c r="T14" s="477"/>
    </row>
    <row r="15" spans="1:20" x14ac:dyDescent="0.2">
      <c r="A15" s="79" t="str">
        <f>IF(COUNTBLANK(B15)=1," ",COUNTA($B$13:B15))</f>
        <v xml:space="preserve"> </v>
      </c>
      <c r="B15" s="118"/>
      <c r="C15" s="472" t="s">
        <v>202</v>
      </c>
      <c r="D15" s="483" t="s">
        <v>67</v>
      </c>
      <c r="E15" s="469">
        <f>E14*0.1</f>
        <v>14.200000000000001</v>
      </c>
      <c r="F15" s="53"/>
      <c r="G15" s="50"/>
      <c r="H15" s="50"/>
      <c r="I15" s="50"/>
      <c r="J15" s="50"/>
      <c r="K15" s="51"/>
      <c r="L15" s="53"/>
      <c r="M15" s="50"/>
      <c r="N15" s="50"/>
      <c r="O15" s="50"/>
      <c r="P15" s="78"/>
      <c r="Q15" s="477"/>
      <c r="R15" s="477"/>
      <c r="S15" s="477"/>
      <c r="T15" s="477"/>
    </row>
    <row r="16" spans="1:20" ht="67.5" x14ac:dyDescent="0.2">
      <c r="A16" s="79">
        <f>IF(COUNTBLANK(B16)=1," ",COUNTA($B$13:B16))</f>
        <v>2</v>
      </c>
      <c r="B16" s="118" t="s">
        <v>58</v>
      </c>
      <c r="C16" s="472" t="s">
        <v>382</v>
      </c>
      <c r="D16" s="483" t="s">
        <v>131</v>
      </c>
      <c r="E16" s="469">
        <v>1</v>
      </c>
      <c r="F16" s="53"/>
      <c r="G16" s="50"/>
      <c r="H16" s="50"/>
      <c r="I16" s="50"/>
      <c r="J16" s="50"/>
      <c r="K16" s="51"/>
      <c r="L16" s="53"/>
      <c r="M16" s="50"/>
      <c r="N16" s="50"/>
      <c r="O16" s="50"/>
      <c r="P16" s="78"/>
      <c r="Q16" s="261"/>
      <c r="R16" s="477"/>
      <c r="S16" s="477"/>
      <c r="T16" s="477"/>
    </row>
    <row r="17" spans="1:21" ht="9.4" customHeight="1" x14ac:dyDescent="0.2">
      <c r="A17" s="79">
        <f>IF(COUNTBLANK(B17)=1," ",COUNTA($B$13:B17))</f>
        <v>3</v>
      </c>
      <c r="B17" s="118" t="s">
        <v>58</v>
      </c>
      <c r="C17" s="472" t="s">
        <v>471</v>
      </c>
      <c r="D17" s="483" t="s">
        <v>67</v>
      </c>
      <c r="E17" s="469">
        <f>(11.1*2+94.75*2)*0.8*0.6</f>
        <v>101.616</v>
      </c>
      <c r="F17" s="226"/>
      <c r="G17" s="227"/>
      <c r="H17" s="227">
        <f t="shared" ref="H17" si="0">ROUND(F17*G17,2)</f>
        <v>0</v>
      </c>
      <c r="I17" s="227"/>
      <c r="J17" s="227"/>
      <c r="K17" s="51"/>
      <c r="L17" s="53"/>
      <c r="M17" s="50"/>
      <c r="N17" s="50"/>
      <c r="O17" s="50"/>
      <c r="P17" s="78"/>
      <c r="Q17" s="361"/>
      <c r="R17" s="477"/>
      <c r="S17" s="477"/>
      <c r="T17" s="477"/>
    </row>
    <row r="18" spans="1:21" ht="45" x14ac:dyDescent="0.2">
      <c r="A18" s="79">
        <f>IF(COUNTBLANK(B18)=1," ",COUNTA($B$13:B24))</f>
        <v>5</v>
      </c>
      <c r="B18" s="261" t="s">
        <v>260</v>
      </c>
      <c r="C18" s="472" t="s">
        <v>481</v>
      </c>
      <c r="D18" s="483" t="s">
        <v>63</v>
      </c>
      <c r="E18" s="469">
        <f>(11.1*2+94.75*2)*(0.6+0.77)</f>
        <v>290.029</v>
      </c>
      <c r="F18" s="53"/>
      <c r="G18" s="50"/>
      <c r="H18" s="50">
        <f>ROUND(F18*G18,2)</f>
        <v>0</v>
      </c>
      <c r="I18" s="50"/>
      <c r="J18" s="50"/>
      <c r="K18" s="51"/>
      <c r="L18" s="53"/>
      <c r="M18" s="50"/>
      <c r="N18" s="50"/>
      <c r="O18" s="50"/>
      <c r="P18" s="78"/>
      <c r="Q18" s="449"/>
      <c r="R18" s="477"/>
      <c r="S18" s="477"/>
      <c r="T18" s="477"/>
    </row>
    <row r="19" spans="1:21" x14ac:dyDescent="0.2">
      <c r="A19" s="79">
        <f>IF(COUNTBLANK(B19)=1," ",COUNTA($B$13:B19))</f>
        <v>5</v>
      </c>
      <c r="B19" s="118" t="s">
        <v>58</v>
      </c>
      <c r="C19" s="472" t="s">
        <v>472</v>
      </c>
      <c r="D19" s="483" t="s">
        <v>63</v>
      </c>
      <c r="E19" s="469">
        <f>E18</f>
        <v>290.029</v>
      </c>
      <c r="F19" s="53"/>
      <c r="G19" s="50"/>
      <c r="H19" s="50">
        <f t="shared" ref="H19:H47" si="1">ROUND(F19*G19,2)</f>
        <v>0</v>
      </c>
      <c r="I19" s="50"/>
      <c r="J19" s="50"/>
      <c r="K19" s="51"/>
      <c r="L19" s="53"/>
      <c r="M19" s="50"/>
      <c r="N19" s="50"/>
      <c r="O19" s="50"/>
      <c r="P19" s="78"/>
      <c r="Q19" s="450"/>
      <c r="R19" s="477"/>
      <c r="S19" s="477"/>
      <c r="T19" s="477"/>
    </row>
    <row r="20" spans="1:21" x14ac:dyDescent="0.2">
      <c r="A20" s="79" t="str">
        <f>IF(COUNTBLANK(B20)=1," ",COUNTA($B$13:B20))</f>
        <v xml:space="preserve"> </v>
      </c>
      <c r="B20" s="118"/>
      <c r="C20" s="472" t="s">
        <v>383</v>
      </c>
      <c r="D20" s="483" t="s">
        <v>64</v>
      </c>
      <c r="E20" s="469">
        <f>E19*0.5</f>
        <v>145.0145</v>
      </c>
      <c r="F20" s="53"/>
      <c r="G20" s="50"/>
      <c r="H20" s="50">
        <f t="shared" si="1"/>
        <v>0</v>
      </c>
      <c r="I20" s="50"/>
      <c r="J20" s="50"/>
      <c r="K20" s="51"/>
      <c r="L20" s="53"/>
      <c r="M20" s="50"/>
      <c r="N20" s="50"/>
      <c r="O20" s="50"/>
      <c r="P20" s="78"/>
      <c r="Q20" s="450"/>
      <c r="R20" s="477"/>
      <c r="S20" s="477"/>
      <c r="T20" s="477"/>
    </row>
    <row r="21" spans="1:21" ht="22.5" customHeight="1" x14ac:dyDescent="0.2">
      <c r="A21" s="79" t="str">
        <f>IF(COUNTBLANK(B21)=1," ",COUNTA($B$13:B21))</f>
        <v xml:space="preserve"> </v>
      </c>
      <c r="B21" s="118"/>
      <c r="C21" s="472" t="s">
        <v>384</v>
      </c>
      <c r="D21" s="483" t="s">
        <v>64</v>
      </c>
      <c r="E21" s="469">
        <f>E19*4.1</f>
        <v>1189.1188999999999</v>
      </c>
      <c r="F21" s="53"/>
      <c r="G21" s="50"/>
      <c r="H21" s="50">
        <f t="shared" si="1"/>
        <v>0</v>
      </c>
      <c r="I21" s="50"/>
      <c r="J21" s="50"/>
      <c r="K21" s="51"/>
      <c r="L21" s="53"/>
      <c r="M21" s="50"/>
      <c r="N21" s="50"/>
      <c r="O21" s="50"/>
      <c r="P21" s="78"/>
      <c r="Q21" s="450"/>
      <c r="R21" s="477"/>
      <c r="S21" s="264"/>
      <c r="T21" s="264"/>
      <c r="U21" s="264"/>
    </row>
    <row r="22" spans="1:21" ht="12" thickBot="1" x14ac:dyDescent="0.25">
      <c r="A22" s="79" t="str">
        <f>IF(COUNTBLANK(B22)=1," ",COUNTA($B$13:B22))</f>
        <v xml:space="preserve"> </v>
      </c>
      <c r="B22" s="118"/>
      <c r="C22" s="472" t="s">
        <v>497</v>
      </c>
      <c r="D22" s="483" t="s">
        <v>64</v>
      </c>
      <c r="E22" s="469">
        <f>E23*0.15</f>
        <v>47.854785</v>
      </c>
      <c r="F22" s="53"/>
      <c r="G22" s="50"/>
      <c r="H22" s="50">
        <f t="shared" si="1"/>
        <v>0</v>
      </c>
      <c r="I22" s="50"/>
      <c r="J22" s="50"/>
      <c r="K22" s="51"/>
      <c r="L22" s="53"/>
      <c r="M22" s="50"/>
      <c r="N22" s="50"/>
      <c r="O22" s="50"/>
      <c r="P22" s="78"/>
      <c r="Q22" s="451"/>
      <c r="R22" s="477"/>
      <c r="S22" s="264"/>
      <c r="T22" s="264"/>
      <c r="U22" s="264"/>
    </row>
    <row r="23" spans="1:21" ht="22.5" x14ac:dyDescent="0.2">
      <c r="A23" s="79" t="str">
        <f>IF(COUNTBLANK(B23)=1," ",COUNTA($B$13:B23))</f>
        <v xml:space="preserve"> </v>
      </c>
      <c r="B23" s="261"/>
      <c r="C23" s="474" t="s">
        <v>470</v>
      </c>
      <c r="D23" s="475" t="s">
        <v>63</v>
      </c>
      <c r="E23" s="475">
        <f>E18*1.1</f>
        <v>319.03190000000001</v>
      </c>
      <c r="F23" s="104"/>
      <c r="G23" s="50"/>
      <c r="H23" s="50">
        <f t="shared" si="1"/>
        <v>0</v>
      </c>
      <c r="I23" s="50"/>
      <c r="J23" s="50"/>
      <c r="K23" s="51"/>
      <c r="L23" s="53"/>
      <c r="M23" s="50"/>
      <c r="N23" s="50"/>
      <c r="O23" s="50"/>
      <c r="P23" s="78"/>
      <c r="Q23" s="480"/>
      <c r="R23" s="477"/>
      <c r="S23" s="264"/>
      <c r="T23" s="264"/>
      <c r="U23" s="264"/>
    </row>
    <row r="24" spans="1:21" x14ac:dyDescent="0.2">
      <c r="A24" s="79" t="str">
        <f>IF(COUNTBLANK(B24)=1," ",COUNTA($B$13:B24))</f>
        <v xml:space="preserve"> </v>
      </c>
      <c r="B24" s="261"/>
      <c r="C24" s="474" t="s">
        <v>385</v>
      </c>
      <c r="D24" s="475" t="s">
        <v>85</v>
      </c>
      <c r="E24" s="475">
        <f>ROUNDUP(E23/2*6,0)</f>
        <v>958</v>
      </c>
      <c r="F24" s="104"/>
      <c r="G24" s="50"/>
      <c r="H24" s="50">
        <f t="shared" si="1"/>
        <v>0</v>
      </c>
      <c r="I24" s="50"/>
      <c r="J24" s="50"/>
      <c r="K24" s="51"/>
      <c r="L24" s="53"/>
      <c r="M24" s="50"/>
      <c r="N24" s="50"/>
      <c r="O24" s="50"/>
      <c r="P24" s="78"/>
      <c r="Q24" s="481"/>
      <c r="R24" s="477"/>
      <c r="S24" s="477"/>
      <c r="T24" s="477"/>
    </row>
    <row r="25" spans="1:21" x14ac:dyDescent="0.2">
      <c r="A25" s="79"/>
      <c r="B25" s="261"/>
      <c r="C25" s="474" t="s">
        <v>80</v>
      </c>
      <c r="D25" s="475" t="s">
        <v>64</v>
      </c>
      <c r="E25" s="475">
        <f>E18*5</f>
        <v>1450.145</v>
      </c>
      <c r="F25" s="351"/>
      <c r="G25" s="351"/>
      <c r="H25" s="351"/>
      <c r="I25" s="351"/>
      <c r="J25" s="351"/>
      <c r="K25" s="51"/>
      <c r="L25" s="53"/>
      <c r="M25" s="50"/>
      <c r="N25" s="50"/>
      <c r="O25" s="50"/>
      <c r="P25" s="78"/>
      <c r="Q25" s="481"/>
      <c r="R25" s="477"/>
      <c r="S25" s="477"/>
      <c r="T25" s="477"/>
    </row>
    <row r="26" spans="1:21" x14ac:dyDescent="0.2">
      <c r="A26" s="79"/>
      <c r="B26" s="261"/>
      <c r="C26" s="474" t="s">
        <v>125</v>
      </c>
      <c r="D26" s="475" t="s">
        <v>63</v>
      </c>
      <c r="E26" s="475">
        <f>E18*1.1</f>
        <v>319.03190000000001</v>
      </c>
      <c r="F26" s="351"/>
      <c r="G26" s="351"/>
      <c r="H26" s="351"/>
      <c r="I26" s="351"/>
      <c r="J26" s="351"/>
      <c r="K26" s="352"/>
      <c r="L26" s="351"/>
      <c r="M26" s="351"/>
      <c r="N26" s="351"/>
      <c r="O26" s="351"/>
      <c r="P26" s="352"/>
      <c r="Q26" s="481"/>
      <c r="R26" s="477"/>
      <c r="S26" s="477"/>
      <c r="T26" s="477"/>
    </row>
    <row r="27" spans="1:21" x14ac:dyDescent="0.2">
      <c r="A27" s="79"/>
      <c r="B27" s="261"/>
      <c r="C27" s="474" t="s">
        <v>80</v>
      </c>
      <c r="D27" s="475" t="s">
        <v>64</v>
      </c>
      <c r="E27" s="475">
        <f>E18*3</f>
        <v>870.08699999999999</v>
      </c>
      <c r="F27" s="351"/>
      <c r="G27" s="351"/>
      <c r="H27" s="351"/>
      <c r="I27" s="351"/>
      <c r="J27" s="351"/>
      <c r="K27" s="352"/>
      <c r="L27" s="351"/>
      <c r="M27" s="351"/>
      <c r="N27" s="351"/>
      <c r="O27" s="351"/>
      <c r="P27" s="352"/>
      <c r="Q27" s="481"/>
      <c r="R27" s="477"/>
      <c r="S27" s="477"/>
      <c r="T27" s="477"/>
    </row>
    <row r="28" spans="1:21" ht="33.75" x14ac:dyDescent="0.2">
      <c r="A28" s="79">
        <f>IF(COUNTBLANK(B28)=1," ",COUNTA($B$13:B28))</f>
        <v>6</v>
      </c>
      <c r="B28" s="118" t="s">
        <v>58</v>
      </c>
      <c r="C28" s="474" t="s">
        <v>484</v>
      </c>
      <c r="D28" s="475" t="s">
        <v>59</v>
      </c>
      <c r="E28" s="469">
        <f>94.75*2</f>
        <v>189.5</v>
      </c>
      <c r="F28" s="351"/>
      <c r="G28" s="351"/>
      <c r="H28" s="351"/>
      <c r="I28" s="351"/>
      <c r="J28" s="351"/>
      <c r="K28" s="352"/>
      <c r="L28" s="351"/>
      <c r="M28" s="351"/>
      <c r="N28" s="351"/>
      <c r="O28" s="351"/>
      <c r="P28" s="352"/>
      <c r="Q28" s="481"/>
      <c r="R28" s="477"/>
      <c r="S28" s="477"/>
      <c r="T28" s="477"/>
    </row>
    <row r="29" spans="1:21" ht="22.5" x14ac:dyDescent="0.2">
      <c r="A29" s="79"/>
      <c r="B29" s="261"/>
      <c r="C29" s="474" t="s">
        <v>483</v>
      </c>
      <c r="D29" s="475" t="s">
        <v>85</v>
      </c>
      <c r="E29" s="475">
        <f>ROUNDUP(E28/0.3,0)</f>
        <v>632</v>
      </c>
      <c r="F29" s="351"/>
      <c r="G29" s="351"/>
      <c r="H29" s="351"/>
      <c r="I29" s="351"/>
      <c r="J29" s="351"/>
      <c r="K29" s="352"/>
      <c r="L29" s="351"/>
      <c r="M29" s="351"/>
      <c r="N29" s="351"/>
      <c r="O29" s="351"/>
      <c r="P29" s="352"/>
      <c r="Q29" s="481"/>
      <c r="R29" s="477"/>
      <c r="S29" s="477"/>
      <c r="T29" s="477"/>
    </row>
    <row r="30" spans="1:21" x14ac:dyDescent="0.2">
      <c r="A30" s="79" t="str">
        <f>IF(COUNTBLANK(B30)=1," ",COUNTA($B$13:B37))</f>
        <v xml:space="preserve"> </v>
      </c>
      <c r="B30" s="261"/>
      <c r="C30" s="474" t="s">
        <v>485</v>
      </c>
      <c r="D30" s="475" t="s">
        <v>72</v>
      </c>
      <c r="E30" s="475">
        <f>E28*0.4</f>
        <v>75.8</v>
      </c>
      <c r="F30" s="351"/>
      <c r="G30" s="351"/>
      <c r="H30" s="351"/>
      <c r="I30" s="351"/>
      <c r="J30" s="351"/>
      <c r="K30" s="352"/>
      <c r="L30" s="351"/>
      <c r="M30" s="351"/>
      <c r="N30" s="351"/>
      <c r="O30" s="351"/>
      <c r="P30" s="352"/>
      <c r="Q30" s="481"/>
      <c r="R30" s="477"/>
      <c r="S30" s="477"/>
      <c r="T30" s="477"/>
    </row>
    <row r="31" spans="1:21" ht="90" x14ac:dyDescent="0.2">
      <c r="A31" s="79">
        <f>IF(COUNTBLANK(B31)=1," ",COUNTA($B$13:B31))</f>
        <v>7</v>
      </c>
      <c r="B31" s="261" t="s">
        <v>260</v>
      </c>
      <c r="C31" s="474" t="s">
        <v>496</v>
      </c>
      <c r="D31" s="475" t="s">
        <v>63</v>
      </c>
      <c r="E31" s="469">
        <f>(11.1*2+94.75*2)*0.77</f>
        <v>163.00899999999999</v>
      </c>
      <c r="F31" s="104"/>
      <c r="G31" s="50"/>
      <c r="H31" s="50">
        <f t="shared" si="1"/>
        <v>0</v>
      </c>
      <c r="I31" s="50"/>
      <c r="J31" s="50"/>
      <c r="K31" s="51">
        <f t="shared" ref="K31:K47" si="2">SUM(H31:J31)</f>
        <v>0</v>
      </c>
      <c r="L31" s="53">
        <f t="shared" ref="L31:L47" si="3">ROUND(E31*F31,2)</f>
        <v>0</v>
      </c>
      <c r="M31" s="50">
        <f t="shared" ref="M31:M47" si="4">ROUND(H31*E31,2)</f>
        <v>0</v>
      </c>
      <c r="N31" s="50">
        <f t="shared" ref="N31:N47" si="5">ROUND(I31*E31,2)</f>
        <v>0</v>
      </c>
      <c r="O31" s="50">
        <f t="shared" ref="O31:O47" si="6">ROUND(J31*E31,2)</f>
        <v>0</v>
      </c>
      <c r="P31" s="78">
        <f t="shared" ref="P31:P47" si="7">SUM(M31:O31)</f>
        <v>0</v>
      </c>
      <c r="Q31" s="481"/>
      <c r="R31" s="449"/>
      <c r="S31" s="477"/>
      <c r="T31" s="477"/>
    </row>
    <row r="32" spans="1:21" x14ac:dyDescent="0.2">
      <c r="A32" s="79"/>
      <c r="B32" s="261"/>
      <c r="C32" s="474" t="s">
        <v>482</v>
      </c>
      <c r="D32" s="475" t="s">
        <v>85</v>
      </c>
      <c r="E32" s="475">
        <f>ROUNDUP(E31/2*6,0)</f>
        <v>490</v>
      </c>
      <c r="F32" s="104"/>
      <c r="G32" s="50"/>
      <c r="H32" s="50"/>
      <c r="I32" s="50"/>
      <c r="J32" s="50"/>
      <c r="K32" s="51"/>
      <c r="L32" s="53"/>
      <c r="M32" s="50"/>
      <c r="N32" s="50"/>
      <c r="O32" s="50"/>
      <c r="P32" s="78"/>
      <c r="Q32" s="481"/>
      <c r="R32" s="450"/>
      <c r="S32" s="477"/>
      <c r="T32" s="477"/>
    </row>
    <row r="33" spans="1:20" x14ac:dyDescent="0.2">
      <c r="A33" s="79" t="str">
        <f>IF(COUNTBLANK(B33)=1," ",COUNTA($B$13:B33))</f>
        <v xml:space="preserve"> </v>
      </c>
      <c r="B33" s="261"/>
      <c r="C33" s="474" t="s">
        <v>80</v>
      </c>
      <c r="D33" s="475" t="s">
        <v>64</v>
      </c>
      <c r="E33" s="475">
        <f>E31*5</f>
        <v>815.04499999999996</v>
      </c>
      <c r="F33" s="104"/>
      <c r="G33" s="50"/>
      <c r="H33" s="50">
        <f t="shared" si="1"/>
        <v>0</v>
      </c>
      <c r="I33" s="50"/>
      <c r="J33" s="50"/>
      <c r="K33" s="51">
        <f t="shared" si="2"/>
        <v>0</v>
      </c>
      <c r="L33" s="53">
        <f t="shared" si="3"/>
        <v>0</v>
      </c>
      <c r="M33" s="50">
        <f t="shared" si="4"/>
        <v>0</v>
      </c>
      <c r="N33" s="50">
        <f t="shared" si="5"/>
        <v>0</v>
      </c>
      <c r="O33" s="50">
        <f t="shared" si="6"/>
        <v>0</v>
      </c>
      <c r="P33" s="78">
        <f t="shared" si="7"/>
        <v>0</v>
      </c>
      <c r="Q33" s="481"/>
      <c r="R33" s="450"/>
      <c r="S33" s="477"/>
      <c r="T33" s="477"/>
    </row>
    <row r="34" spans="1:20" x14ac:dyDescent="0.2">
      <c r="A34" s="79" t="str">
        <f>IF(COUNTBLANK(B34)=1," ",COUNTA($B$13:B34))</f>
        <v xml:space="preserve"> </v>
      </c>
      <c r="B34" s="261"/>
      <c r="C34" s="474" t="s">
        <v>210</v>
      </c>
      <c r="D34" s="475" t="s">
        <v>63</v>
      </c>
      <c r="E34" s="475">
        <f>E31*1.1</f>
        <v>179.3099</v>
      </c>
      <c r="F34" s="104"/>
      <c r="G34" s="50"/>
      <c r="H34" s="50">
        <f t="shared" si="1"/>
        <v>0</v>
      </c>
      <c r="I34" s="50"/>
      <c r="J34" s="50"/>
      <c r="K34" s="51">
        <f t="shared" si="2"/>
        <v>0</v>
      </c>
      <c r="L34" s="53">
        <f t="shared" si="3"/>
        <v>0</v>
      </c>
      <c r="M34" s="50">
        <f t="shared" si="4"/>
        <v>0</v>
      </c>
      <c r="N34" s="50">
        <f t="shared" si="5"/>
        <v>0</v>
      </c>
      <c r="O34" s="50">
        <f t="shared" si="6"/>
        <v>0</v>
      </c>
      <c r="P34" s="78">
        <f t="shared" si="7"/>
        <v>0</v>
      </c>
      <c r="Q34" s="481"/>
      <c r="R34" s="450"/>
      <c r="S34" s="477"/>
      <c r="T34" s="477"/>
    </row>
    <row r="35" spans="1:20" ht="12" thickBot="1" x14ac:dyDescent="0.25">
      <c r="A35" s="79" t="str">
        <f>IF(COUNTBLANK(B35)=1," ",COUNTA($B$13:B35))</f>
        <v xml:space="preserve"> </v>
      </c>
      <c r="B35" s="261"/>
      <c r="C35" s="474" t="s">
        <v>80</v>
      </c>
      <c r="D35" s="475" t="s">
        <v>64</v>
      </c>
      <c r="E35" s="475">
        <f>E31*0.3</f>
        <v>48.902699999999996</v>
      </c>
      <c r="F35" s="104"/>
      <c r="G35" s="50"/>
      <c r="H35" s="50">
        <f t="shared" si="1"/>
        <v>0</v>
      </c>
      <c r="I35" s="50"/>
      <c r="J35" s="50"/>
      <c r="K35" s="51">
        <f t="shared" si="2"/>
        <v>0</v>
      </c>
      <c r="L35" s="53">
        <f>ROUND(E36*F35,2)</f>
        <v>0</v>
      </c>
      <c r="M35" s="50">
        <f>ROUND(H35*E36,2)</f>
        <v>0</v>
      </c>
      <c r="N35" s="50">
        <f>ROUND(I35*E36,2)</f>
        <v>0</v>
      </c>
      <c r="O35" s="50">
        <f>ROUND(J35*E36,2)</f>
        <v>0</v>
      </c>
      <c r="P35" s="78">
        <f t="shared" si="7"/>
        <v>0</v>
      </c>
      <c r="Q35" s="481"/>
      <c r="R35" s="451"/>
      <c r="S35" s="477"/>
      <c r="T35" s="477"/>
    </row>
    <row r="36" spans="1:20" x14ac:dyDescent="0.2">
      <c r="A36" s="79"/>
      <c r="B36" s="261"/>
      <c r="C36" s="474" t="s">
        <v>104</v>
      </c>
      <c r="D36" s="475" t="s">
        <v>64</v>
      </c>
      <c r="E36" s="475">
        <f>E31*0.3</f>
        <v>48.902699999999996</v>
      </c>
      <c r="F36" s="104"/>
      <c r="G36" s="50"/>
      <c r="H36" s="50"/>
      <c r="I36" s="50"/>
      <c r="J36" s="50"/>
      <c r="K36" s="51"/>
      <c r="L36" s="53"/>
      <c r="M36" s="50"/>
      <c r="N36" s="50"/>
      <c r="O36" s="50"/>
      <c r="P36" s="78"/>
      <c r="Q36" s="481"/>
      <c r="R36" s="477"/>
      <c r="S36" s="477"/>
      <c r="T36" s="477"/>
    </row>
    <row r="37" spans="1:20" ht="12" thickBot="1" x14ac:dyDescent="0.25">
      <c r="A37" s="79"/>
      <c r="B37" s="261"/>
      <c r="C37" s="485" t="s">
        <v>473</v>
      </c>
      <c r="D37" s="486" t="s">
        <v>64</v>
      </c>
      <c r="E37" s="487">
        <f>E31*6.8</f>
        <v>1108.4612</v>
      </c>
      <c r="F37" s="104"/>
      <c r="G37" s="50"/>
      <c r="H37" s="50"/>
      <c r="I37" s="50"/>
      <c r="J37" s="50"/>
      <c r="K37" s="51"/>
      <c r="L37" s="53"/>
      <c r="M37" s="50"/>
      <c r="N37" s="50"/>
      <c r="O37" s="50"/>
      <c r="P37" s="78"/>
      <c r="Q37" s="482"/>
      <c r="R37" s="477"/>
      <c r="S37" s="477"/>
      <c r="T37" s="477"/>
    </row>
    <row r="38" spans="1:20" x14ac:dyDescent="0.2">
      <c r="A38" s="79">
        <f>IF(COUNTBLANK(B38)=1," ",COUNTA($B$13:B38))</f>
        <v>8</v>
      </c>
      <c r="B38" s="118" t="s">
        <v>147</v>
      </c>
      <c r="C38" s="472" t="s">
        <v>148</v>
      </c>
      <c r="D38" s="483"/>
      <c r="E38" s="469"/>
      <c r="F38" s="53"/>
      <c r="G38" s="50"/>
      <c r="H38" s="50">
        <f t="shared" si="1"/>
        <v>0</v>
      </c>
      <c r="I38" s="50"/>
      <c r="J38" s="50"/>
      <c r="K38" s="51">
        <f t="shared" si="2"/>
        <v>0</v>
      </c>
      <c r="L38" s="53">
        <f t="shared" si="3"/>
        <v>0</v>
      </c>
      <c r="M38" s="50">
        <f t="shared" si="4"/>
        <v>0</v>
      </c>
      <c r="N38" s="50">
        <f t="shared" si="5"/>
        <v>0</v>
      </c>
      <c r="O38" s="50">
        <f t="shared" si="6"/>
        <v>0</v>
      </c>
      <c r="P38" s="78">
        <f t="shared" si="7"/>
        <v>0</v>
      </c>
      <c r="Q38" s="118"/>
      <c r="R38" s="477"/>
      <c r="S38" s="477"/>
      <c r="T38" s="477"/>
    </row>
    <row r="39" spans="1:20" x14ac:dyDescent="0.2">
      <c r="A39" s="79" t="str">
        <f>IF(COUNTBLANK(B39)=1," ",COUNTA($B$13:B39))</f>
        <v xml:space="preserve"> </v>
      </c>
      <c r="B39" s="118"/>
      <c r="C39" s="472" t="s">
        <v>106</v>
      </c>
      <c r="D39" s="483" t="s">
        <v>63</v>
      </c>
      <c r="E39" s="469">
        <f>E14</f>
        <v>142</v>
      </c>
      <c r="F39" s="92"/>
      <c r="G39" s="93"/>
      <c r="H39" s="93">
        <f t="shared" si="1"/>
        <v>0</v>
      </c>
      <c r="I39" s="93"/>
      <c r="J39" s="93"/>
      <c r="K39" s="94">
        <f t="shared" si="2"/>
        <v>0</v>
      </c>
      <c r="L39" s="92">
        <f t="shared" si="3"/>
        <v>0</v>
      </c>
      <c r="M39" s="93">
        <f t="shared" si="4"/>
        <v>0</v>
      </c>
      <c r="N39" s="93">
        <f t="shared" si="5"/>
        <v>0</v>
      </c>
      <c r="O39" s="93">
        <f t="shared" si="6"/>
        <v>0</v>
      </c>
      <c r="P39" s="95">
        <f t="shared" si="7"/>
        <v>0</v>
      </c>
      <c r="Q39" s="261"/>
      <c r="R39" s="477"/>
      <c r="S39" s="477"/>
      <c r="T39" s="477"/>
    </row>
    <row r="40" spans="1:20" x14ac:dyDescent="0.2">
      <c r="A40" s="79" t="str">
        <f>IF(COUNTBLANK(B40)=1," ",COUNTA($B$13:B40))</f>
        <v xml:space="preserve"> </v>
      </c>
      <c r="B40" s="118"/>
      <c r="C40" s="472" t="s">
        <v>203</v>
      </c>
      <c r="D40" s="483" t="s">
        <v>67</v>
      </c>
      <c r="E40" s="469">
        <f>E39*0.25*1.1</f>
        <v>39.050000000000004</v>
      </c>
      <c r="F40" s="92"/>
      <c r="G40" s="93"/>
      <c r="H40" s="93">
        <f t="shared" si="1"/>
        <v>0</v>
      </c>
      <c r="I40" s="93"/>
      <c r="J40" s="93"/>
      <c r="K40" s="94">
        <f t="shared" si="2"/>
        <v>0</v>
      </c>
      <c r="L40" s="92">
        <f t="shared" si="3"/>
        <v>0</v>
      </c>
      <c r="M40" s="93">
        <f t="shared" si="4"/>
        <v>0</v>
      </c>
      <c r="N40" s="93">
        <f t="shared" si="5"/>
        <v>0</v>
      </c>
      <c r="O40" s="93">
        <f t="shared" si="6"/>
        <v>0</v>
      </c>
      <c r="P40" s="95">
        <f t="shared" si="7"/>
        <v>0</v>
      </c>
      <c r="Q40" s="261"/>
      <c r="R40" s="477"/>
      <c r="S40" s="477"/>
      <c r="T40" s="477"/>
    </row>
    <row r="41" spans="1:20" x14ac:dyDescent="0.2">
      <c r="A41" s="79" t="str">
        <f>IF(COUNTBLANK(B41)=1," ",COUNTA($B$13:B41))</f>
        <v xml:space="preserve"> </v>
      </c>
      <c r="B41" s="118"/>
      <c r="C41" s="472" t="s">
        <v>149</v>
      </c>
      <c r="D41" s="483" t="s">
        <v>67</v>
      </c>
      <c r="E41" s="469">
        <f>E39*0.1*1.1</f>
        <v>15.620000000000003</v>
      </c>
      <c r="F41" s="92"/>
      <c r="G41" s="93"/>
      <c r="H41" s="93">
        <f t="shared" si="1"/>
        <v>0</v>
      </c>
      <c r="I41" s="93"/>
      <c r="J41" s="93"/>
      <c r="K41" s="94">
        <f t="shared" si="2"/>
        <v>0</v>
      </c>
      <c r="L41" s="92">
        <f t="shared" si="3"/>
        <v>0</v>
      </c>
      <c r="M41" s="93">
        <f t="shared" si="4"/>
        <v>0</v>
      </c>
      <c r="N41" s="93">
        <f t="shared" si="5"/>
        <v>0</v>
      </c>
      <c r="O41" s="93">
        <f t="shared" si="6"/>
        <v>0</v>
      </c>
      <c r="P41" s="95">
        <f t="shared" si="7"/>
        <v>0</v>
      </c>
      <c r="Q41" s="261"/>
      <c r="R41" s="477"/>
      <c r="S41" s="477"/>
      <c r="T41" s="477"/>
    </row>
    <row r="42" spans="1:20" x14ac:dyDescent="0.2">
      <c r="A42" s="79" t="str">
        <f>IF(COUNTBLANK(B42)=1," ",COUNTA($B$13:B42))</f>
        <v xml:space="preserve"> </v>
      </c>
      <c r="B42" s="118"/>
      <c r="C42" s="472" t="s">
        <v>479</v>
      </c>
      <c r="D42" s="483" t="s">
        <v>63</v>
      </c>
      <c r="E42" s="469">
        <f>E39*1.1</f>
        <v>156.20000000000002</v>
      </c>
      <c r="F42" s="92"/>
      <c r="G42" s="93"/>
      <c r="H42" s="93">
        <f t="shared" si="1"/>
        <v>0</v>
      </c>
      <c r="I42" s="93"/>
      <c r="J42" s="93"/>
      <c r="K42" s="94">
        <f t="shared" si="2"/>
        <v>0</v>
      </c>
      <c r="L42" s="92">
        <f t="shared" si="3"/>
        <v>0</v>
      </c>
      <c r="M42" s="93">
        <f t="shared" si="4"/>
        <v>0</v>
      </c>
      <c r="N42" s="93">
        <f t="shared" si="5"/>
        <v>0</v>
      </c>
      <c r="O42" s="93">
        <f t="shared" si="6"/>
        <v>0</v>
      </c>
      <c r="P42" s="95">
        <f t="shared" si="7"/>
        <v>0</v>
      </c>
      <c r="Q42" s="261"/>
      <c r="R42" s="477"/>
      <c r="S42" s="477"/>
      <c r="T42" s="477"/>
    </row>
    <row r="43" spans="1:20" ht="22.5" x14ac:dyDescent="0.2">
      <c r="A43" s="79">
        <f>IF(COUNTBLANK(B43)=1," ",COUNTA($B$13:B43))</f>
        <v>9</v>
      </c>
      <c r="B43" s="118" t="s">
        <v>147</v>
      </c>
      <c r="C43" s="472" t="s">
        <v>208</v>
      </c>
      <c r="D43" s="483" t="s">
        <v>131</v>
      </c>
      <c r="E43" s="484">
        <v>12</v>
      </c>
      <c r="F43" s="92"/>
      <c r="G43" s="93"/>
      <c r="H43" s="93"/>
      <c r="I43" s="93"/>
      <c r="J43" s="93"/>
      <c r="K43" s="94"/>
      <c r="L43" s="92"/>
      <c r="M43" s="93"/>
      <c r="N43" s="93"/>
      <c r="O43" s="93"/>
      <c r="P43" s="95"/>
      <c r="Q43" s="262"/>
      <c r="R43" s="477"/>
      <c r="S43" s="477"/>
      <c r="T43" s="477"/>
    </row>
    <row r="44" spans="1:20" x14ac:dyDescent="0.2">
      <c r="A44" s="79"/>
      <c r="B44" s="118"/>
      <c r="C44" s="472" t="s">
        <v>207</v>
      </c>
      <c r="D44" s="483" t="s">
        <v>67</v>
      </c>
      <c r="E44" s="484">
        <f>0.3*1*E43</f>
        <v>3.5999999999999996</v>
      </c>
      <c r="F44" s="92"/>
      <c r="G44" s="93"/>
      <c r="H44" s="93"/>
      <c r="I44" s="93"/>
      <c r="J44" s="93"/>
      <c r="K44" s="94"/>
      <c r="L44" s="92"/>
      <c r="M44" s="93"/>
      <c r="N44" s="93"/>
      <c r="O44" s="93"/>
      <c r="P44" s="95"/>
      <c r="Q44" s="261"/>
      <c r="R44" s="477"/>
      <c r="S44" s="477"/>
      <c r="T44" s="477"/>
    </row>
    <row r="45" spans="1:20" x14ac:dyDescent="0.2">
      <c r="A45" s="79">
        <f>IF(COUNTBLANK(B45)=1," ",COUNTA($B$13:B45))</f>
        <v>10</v>
      </c>
      <c r="B45" s="47" t="s">
        <v>58</v>
      </c>
      <c r="C45" s="472" t="s">
        <v>150</v>
      </c>
      <c r="D45" s="483" t="s">
        <v>63</v>
      </c>
      <c r="E45" s="469">
        <f>210*0.5</f>
        <v>105</v>
      </c>
      <c r="F45" s="53"/>
      <c r="G45" s="50"/>
      <c r="H45" s="50">
        <f t="shared" si="1"/>
        <v>0</v>
      </c>
      <c r="I45" s="50"/>
      <c r="J45" s="50"/>
      <c r="K45" s="51">
        <f t="shared" si="2"/>
        <v>0</v>
      </c>
      <c r="L45" s="53">
        <f t="shared" si="3"/>
        <v>0</v>
      </c>
      <c r="M45" s="50">
        <f t="shared" si="4"/>
        <v>0</v>
      </c>
      <c r="N45" s="50">
        <f t="shared" si="5"/>
        <v>0</v>
      </c>
      <c r="O45" s="50">
        <f t="shared" si="6"/>
        <v>0</v>
      </c>
      <c r="P45" s="78">
        <f t="shared" si="7"/>
        <v>0</v>
      </c>
      <c r="Q45" s="261"/>
      <c r="R45" s="477"/>
      <c r="S45" s="477"/>
      <c r="T45" s="477"/>
    </row>
    <row r="46" spans="1:20" x14ac:dyDescent="0.2">
      <c r="A46" s="79" t="str">
        <f>IF(COUNTBLANK(B46)=1," ",COUNTA($B$13:B46))</f>
        <v xml:space="preserve"> </v>
      </c>
      <c r="B46" s="47"/>
      <c r="C46" s="472" t="s">
        <v>107</v>
      </c>
      <c r="D46" s="483" t="s">
        <v>67</v>
      </c>
      <c r="E46" s="469">
        <f>E45*0.3</f>
        <v>31.5</v>
      </c>
      <c r="F46" s="53"/>
      <c r="G46" s="50"/>
      <c r="H46" s="50">
        <f t="shared" si="1"/>
        <v>0</v>
      </c>
      <c r="I46" s="50"/>
      <c r="J46" s="50"/>
      <c r="K46" s="51">
        <f t="shared" si="2"/>
        <v>0</v>
      </c>
      <c r="L46" s="53">
        <f t="shared" si="3"/>
        <v>0</v>
      </c>
      <c r="M46" s="50">
        <f t="shared" si="4"/>
        <v>0</v>
      </c>
      <c r="N46" s="50">
        <f t="shared" si="5"/>
        <v>0</v>
      </c>
      <c r="O46" s="50">
        <f t="shared" si="6"/>
        <v>0</v>
      </c>
      <c r="P46" s="78">
        <f t="shared" si="7"/>
        <v>0</v>
      </c>
      <c r="Q46" s="79"/>
    </row>
    <row r="47" spans="1:20" ht="12" thickBot="1" x14ac:dyDescent="0.25">
      <c r="A47" s="79" t="str">
        <f>IF(COUNTBLANK(B47)=1," ",COUNTA($B$13:B47))</f>
        <v xml:space="preserve"> </v>
      </c>
      <c r="B47" s="47"/>
      <c r="C47" s="472" t="s">
        <v>151</v>
      </c>
      <c r="D47" s="483" t="s">
        <v>64</v>
      </c>
      <c r="E47" s="469">
        <f>E45*0.03</f>
        <v>3.15</v>
      </c>
      <c r="F47" s="53"/>
      <c r="G47" s="50"/>
      <c r="H47" s="50">
        <f t="shared" si="1"/>
        <v>0</v>
      </c>
      <c r="I47" s="50"/>
      <c r="J47" s="50"/>
      <c r="K47" s="51">
        <f t="shared" si="2"/>
        <v>0</v>
      </c>
      <c r="L47" s="53">
        <f t="shared" si="3"/>
        <v>0</v>
      </c>
      <c r="M47" s="50">
        <f t="shared" si="4"/>
        <v>0</v>
      </c>
      <c r="N47" s="50">
        <f t="shared" si="5"/>
        <v>0</v>
      </c>
      <c r="O47" s="50">
        <f t="shared" si="6"/>
        <v>0</v>
      </c>
      <c r="P47" s="78">
        <f t="shared" si="7"/>
        <v>0</v>
      </c>
      <c r="Q47" s="79"/>
    </row>
    <row r="48" spans="1:20" ht="10.7" customHeight="1" thickBot="1" x14ac:dyDescent="0.25">
      <c r="A48" s="428" t="s">
        <v>486</v>
      </c>
      <c r="B48" s="429"/>
      <c r="C48" s="429"/>
      <c r="D48" s="429"/>
      <c r="E48" s="429"/>
      <c r="F48" s="429"/>
      <c r="G48" s="429"/>
      <c r="H48" s="429"/>
      <c r="I48" s="429"/>
      <c r="J48" s="429"/>
      <c r="K48" s="430"/>
      <c r="L48" s="54">
        <f>SUM(L14:L47)</f>
        <v>0</v>
      </c>
      <c r="M48" s="55">
        <f>SUM(M14:M47)</f>
        <v>0</v>
      </c>
      <c r="N48" s="55">
        <f>SUM(N14:N47)</f>
        <v>0</v>
      </c>
      <c r="O48" s="55">
        <f>SUM(O14:O47)</f>
        <v>0</v>
      </c>
      <c r="P48" s="56">
        <f>SUM(P14:P47)</f>
        <v>0</v>
      </c>
    </row>
    <row r="49" spans="1:16" x14ac:dyDescent="0.2">
      <c r="A49" s="12"/>
      <c r="B49" s="12"/>
      <c r="C49" s="12"/>
      <c r="D49" s="12"/>
      <c r="E49" s="12"/>
      <c r="F49" s="12"/>
      <c r="G49" s="12"/>
      <c r="H49" s="12"/>
      <c r="I49" s="12"/>
      <c r="J49" s="12"/>
      <c r="K49" s="12"/>
      <c r="L49" s="12"/>
      <c r="M49" s="12"/>
      <c r="N49" s="12"/>
      <c r="O49" s="12"/>
      <c r="P49" s="12"/>
    </row>
    <row r="50" spans="1:16" x14ac:dyDescent="0.2">
      <c r="A50" s="12"/>
      <c r="B50" s="12"/>
      <c r="C50" s="12"/>
      <c r="D50" s="12"/>
      <c r="E50" s="12"/>
      <c r="F50" s="12"/>
      <c r="G50" s="12"/>
      <c r="H50" s="12"/>
      <c r="I50" s="12"/>
      <c r="J50" s="12"/>
      <c r="K50" s="12"/>
      <c r="L50" s="12"/>
      <c r="M50" s="12"/>
      <c r="N50" s="12"/>
      <c r="O50" s="12"/>
      <c r="P50" s="12"/>
    </row>
    <row r="51" spans="1:16" x14ac:dyDescent="0.2">
      <c r="A51" s="1" t="s">
        <v>14</v>
      </c>
      <c r="B51" s="12"/>
      <c r="C51" s="439">
        <f>'Kops a'!C38:H38</f>
        <v>0</v>
      </c>
      <c r="D51" s="439"/>
      <c r="E51" s="439"/>
      <c r="F51" s="439"/>
      <c r="G51" s="439"/>
      <c r="H51" s="439"/>
      <c r="I51" s="12"/>
      <c r="J51" s="12"/>
      <c r="K51" s="12"/>
      <c r="L51" s="12"/>
      <c r="M51" s="12"/>
      <c r="N51" s="12"/>
      <c r="O51" s="12"/>
      <c r="P51" s="12"/>
    </row>
    <row r="52" spans="1:16" x14ac:dyDescent="0.2">
      <c r="A52" s="12"/>
      <c r="B52" s="12"/>
      <c r="C52" s="363" t="s">
        <v>15</v>
      </c>
      <c r="D52" s="363"/>
      <c r="E52" s="363"/>
      <c r="F52" s="363"/>
      <c r="G52" s="363"/>
      <c r="H52" s="363"/>
      <c r="I52" s="12"/>
      <c r="J52" s="12"/>
      <c r="K52" s="12"/>
      <c r="L52" s="12"/>
      <c r="M52" s="12"/>
      <c r="N52" s="12"/>
      <c r="O52" s="12"/>
      <c r="P52" s="12"/>
    </row>
    <row r="53" spans="1:16" x14ac:dyDescent="0.2">
      <c r="A53" s="12"/>
      <c r="B53" s="12"/>
      <c r="C53" s="12"/>
      <c r="D53" s="12"/>
      <c r="E53" s="12"/>
      <c r="F53" s="12"/>
      <c r="G53" s="12"/>
      <c r="H53" s="12"/>
      <c r="I53" s="12"/>
      <c r="J53" s="12"/>
      <c r="K53" s="12"/>
      <c r="L53" s="12"/>
      <c r="M53" s="12"/>
      <c r="N53" s="12"/>
      <c r="O53" s="12"/>
      <c r="P53" s="12"/>
    </row>
    <row r="54" spans="1:16" x14ac:dyDescent="0.2">
      <c r="A54" s="68" t="str">
        <f>'Kops a'!A41</f>
        <v>Tāme sastādīta 2021. gada</v>
      </c>
      <c r="B54" s="69"/>
      <c r="C54" s="69"/>
      <c r="D54" s="69"/>
      <c r="E54" s="12"/>
      <c r="F54" s="12"/>
      <c r="G54" s="12"/>
      <c r="H54" s="12"/>
      <c r="I54" s="12"/>
      <c r="J54" s="12"/>
      <c r="K54" s="12"/>
      <c r="L54" s="12"/>
      <c r="M54" s="12"/>
      <c r="N54" s="12"/>
      <c r="O54" s="12"/>
      <c r="P54" s="12"/>
    </row>
    <row r="55" spans="1:16" x14ac:dyDescent="0.2">
      <c r="A55" s="12"/>
      <c r="B55" s="12"/>
      <c r="C55" s="12"/>
      <c r="D55" s="12"/>
      <c r="E55" s="12"/>
      <c r="F55" s="12"/>
      <c r="G55" s="12"/>
      <c r="H55" s="12"/>
      <c r="I55" s="12"/>
      <c r="J55" s="12"/>
      <c r="K55" s="12"/>
      <c r="L55" s="12"/>
      <c r="M55" s="12"/>
      <c r="N55" s="12"/>
      <c r="O55" s="12"/>
      <c r="P55" s="12"/>
    </row>
    <row r="56" spans="1:16" x14ac:dyDescent="0.2">
      <c r="A56" s="1" t="s">
        <v>37</v>
      </c>
      <c r="B56" s="12"/>
      <c r="C56" s="439">
        <f>'Kops a'!C43:H43</f>
        <v>0</v>
      </c>
      <c r="D56" s="439"/>
      <c r="E56" s="439"/>
      <c r="F56" s="439"/>
      <c r="G56" s="439"/>
      <c r="H56" s="439"/>
      <c r="I56" s="12"/>
      <c r="J56" s="12"/>
      <c r="K56" s="12"/>
      <c r="L56" s="12"/>
      <c r="M56" s="12"/>
      <c r="N56" s="12"/>
      <c r="O56" s="12"/>
      <c r="P56" s="12"/>
    </row>
    <row r="57" spans="1:16" x14ac:dyDescent="0.2">
      <c r="A57" s="12"/>
      <c r="B57" s="12"/>
      <c r="C57" s="363" t="s">
        <v>15</v>
      </c>
      <c r="D57" s="363"/>
      <c r="E57" s="363"/>
      <c r="F57" s="363"/>
      <c r="G57" s="363"/>
      <c r="H57" s="363"/>
      <c r="I57" s="12"/>
      <c r="J57" s="12"/>
      <c r="K57" s="12"/>
      <c r="L57" s="12"/>
      <c r="M57" s="12"/>
      <c r="N57" s="12"/>
      <c r="O57" s="12"/>
      <c r="P57" s="12"/>
    </row>
    <row r="58" spans="1:16" x14ac:dyDescent="0.2">
      <c r="A58" s="12"/>
      <c r="B58" s="12"/>
      <c r="C58" s="12"/>
      <c r="D58" s="12"/>
      <c r="E58" s="12"/>
      <c r="F58" s="12"/>
      <c r="G58" s="12"/>
      <c r="H58" s="12"/>
      <c r="I58" s="12"/>
      <c r="J58" s="12"/>
      <c r="K58" s="12"/>
      <c r="L58" s="12"/>
      <c r="M58" s="12"/>
      <c r="N58" s="12"/>
      <c r="O58" s="12"/>
      <c r="P58" s="12"/>
    </row>
    <row r="59" spans="1:16" x14ac:dyDescent="0.2">
      <c r="A59" s="68" t="s">
        <v>54</v>
      </c>
      <c r="B59" s="69"/>
      <c r="C59" s="72">
        <f>'Kops a'!C46</f>
        <v>0</v>
      </c>
      <c r="D59" s="36"/>
      <c r="E59" s="12"/>
      <c r="F59" s="12"/>
      <c r="G59" s="12"/>
      <c r="H59" s="12"/>
      <c r="I59" s="12"/>
      <c r="J59" s="12"/>
      <c r="K59" s="12"/>
      <c r="L59" s="12"/>
      <c r="M59" s="12"/>
      <c r="N59" s="12"/>
      <c r="O59" s="12"/>
      <c r="P59" s="12"/>
    </row>
    <row r="60" spans="1:16" x14ac:dyDescent="0.2">
      <c r="A60" s="12"/>
      <c r="B60" s="12"/>
      <c r="C60" s="12"/>
      <c r="D60" s="12"/>
      <c r="E60" s="12"/>
      <c r="F60" s="12"/>
      <c r="G60" s="12"/>
      <c r="H60" s="12"/>
      <c r="I60" s="12"/>
      <c r="J60" s="12"/>
      <c r="K60" s="12"/>
      <c r="L60" s="12"/>
      <c r="M60" s="12"/>
      <c r="N60" s="12"/>
      <c r="O60" s="12"/>
      <c r="P60" s="12"/>
    </row>
    <row r="61" spans="1:16" ht="12" x14ac:dyDescent="0.2">
      <c r="A61" s="106" t="s">
        <v>89</v>
      </c>
      <c r="B61" s="107"/>
      <c r="C61" s="108"/>
      <c r="D61" s="108"/>
      <c r="E61" s="109"/>
      <c r="F61" s="110"/>
      <c r="G61" s="109"/>
      <c r="H61" s="111"/>
      <c r="I61" s="111"/>
      <c r="J61" s="112"/>
      <c r="K61" s="113"/>
      <c r="L61" s="113"/>
      <c r="M61" s="113"/>
      <c r="N61" s="113"/>
      <c r="O61" s="113"/>
    </row>
    <row r="62" spans="1:16" ht="12" x14ac:dyDescent="0.2">
      <c r="A62" s="435" t="s">
        <v>90</v>
      </c>
      <c r="B62" s="435"/>
      <c r="C62" s="435"/>
      <c r="D62" s="435"/>
      <c r="E62" s="435"/>
      <c r="F62" s="435"/>
      <c r="G62" s="435"/>
      <c r="H62" s="435"/>
      <c r="I62" s="435"/>
      <c r="J62" s="435"/>
      <c r="K62" s="435"/>
      <c r="L62" s="435"/>
      <c r="M62" s="435"/>
      <c r="N62" s="435"/>
      <c r="O62" s="435"/>
    </row>
    <row r="63" spans="1:16" ht="12" x14ac:dyDescent="0.2">
      <c r="A63" s="435" t="s">
        <v>91</v>
      </c>
      <c r="B63" s="435"/>
      <c r="C63" s="435"/>
      <c r="D63" s="435"/>
      <c r="E63" s="435"/>
      <c r="F63" s="435"/>
      <c r="G63" s="435"/>
      <c r="H63" s="435"/>
      <c r="I63" s="435"/>
      <c r="J63" s="435"/>
      <c r="K63" s="435"/>
      <c r="L63" s="435"/>
      <c r="M63" s="435"/>
      <c r="N63" s="435"/>
      <c r="O63" s="435"/>
    </row>
  </sheetData>
  <mergeCells count="27">
    <mergeCell ref="C2:I2"/>
    <mergeCell ref="C3:I3"/>
    <mergeCell ref="D5:L5"/>
    <mergeCell ref="D6:L6"/>
    <mergeCell ref="D7:L7"/>
    <mergeCell ref="C4:I4"/>
    <mergeCell ref="A62:O62"/>
    <mergeCell ref="F12:K12"/>
    <mergeCell ref="A9:F9"/>
    <mergeCell ref="J9:M9"/>
    <mergeCell ref="A63:O63"/>
    <mergeCell ref="N9:O9"/>
    <mergeCell ref="A12:A13"/>
    <mergeCell ref="B12:B13"/>
    <mergeCell ref="C12:C13"/>
    <mergeCell ref="D12:D13"/>
    <mergeCell ref="E12:E13"/>
    <mergeCell ref="L12:P12"/>
    <mergeCell ref="C51:H51"/>
    <mergeCell ref="C52:H52"/>
    <mergeCell ref="C56:H56"/>
    <mergeCell ref="C57:H57"/>
    <mergeCell ref="Q23:Q37"/>
    <mergeCell ref="Q18:Q22"/>
    <mergeCell ref="R31:R35"/>
    <mergeCell ref="D8:L8"/>
    <mergeCell ref="A48:K48"/>
  </mergeCells>
  <phoneticPr fontId="11" type="noConversion"/>
  <conditionalFormatting sqref="N9:O9 H14:H47 K14:P47">
    <cfRule type="cellIs" dxfId="161" priority="31" operator="equal">
      <formula>0</formula>
    </cfRule>
  </conditionalFormatting>
  <conditionalFormatting sqref="A9:F9">
    <cfRule type="containsText" dxfId="160" priority="29"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59" priority="28" operator="equal">
      <formula>0</formula>
    </cfRule>
  </conditionalFormatting>
  <conditionalFormatting sqref="O10">
    <cfRule type="cellIs" dxfId="158" priority="27" operator="equal">
      <formula>"20__. gada __. _________"</formula>
    </cfRule>
  </conditionalFormatting>
  <conditionalFormatting sqref="L48:P48">
    <cfRule type="cellIs" dxfId="157" priority="21" operator="equal">
      <formula>0</formula>
    </cfRule>
  </conditionalFormatting>
  <conditionalFormatting sqref="C4:I4">
    <cfRule type="cellIs" dxfId="156" priority="20" operator="equal">
      <formula>0</formula>
    </cfRule>
  </conditionalFormatting>
  <conditionalFormatting sqref="D5:L8">
    <cfRule type="cellIs" dxfId="155" priority="17" operator="equal">
      <formula>0</formula>
    </cfRule>
  </conditionalFormatting>
  <conditionalFormatting sqref="F35:G36 A35:B37 D37:G37 C36:E36 A38:G47 A14:G34 I14:J47">
    <cfRule type="cellIs" dxfId="154" priority="16" operator="equal">
      <formula>0</formula>
    </cfRule>
  </conditionalFormatting>
  <conditionalFormatting sqref="P10">
    <cfRule type="cellIs" dxfId="153" priority="13" operator="equal">
      <formula>"20__. gada __. _________"</formula>
    </cfRule>
  </conditionalFormatting>
  <conditionalFormatting sqref="C56:H56">
    <cfRule type="cellIs" dxfId="152" priority="10" operator="equal">
      <formula>0</formula>
    </cfRule>
  </conditionalFormatting>
  <conditionalFormatting sqref="C51:H51">
    <cfRule type="cellIs" dxfId="151" priority="9" operator="equal">
      <formula>0</formula>
    </cfRule>
  </conditionalFormatting>
  <conditionalFormatting sqref="C56:H56 C59 C51:H51">
    <cfRule type="cellIs" dxfId="150" priority="8" operator="equal">
      <formula>0</formula>
    </cfRule>
  </conditionalFormatting>
  <conditionalFormatting sqref="D1">
    <cfRule type="cellIs" dxfId="149" priority="7" operator="equal">
      <formula>0</formula>
    </cfRule>
  </conditionalFormatting>
  <conditionalFormatting sqref="C35:E36">
    <cfRule type="cellIs" dxfId="148" priority="5" operator="equal">
      <formula>0</formula>
    </cfRule>
  </conditionalFormatting>
  <conditionalFormatting sqref="A29:E30 C28:E28">
    <cfRule type="cellIs" dxfId="147" priority="4" operator="equal">
      <formula>0</formula>
    </cfRule>
  </conditionalFormatting>
  <conditionalFormatting sqref="A28:B28">
    <cfRule type="cellIs" dxfId="146" priority="3" operator="equal">
      <formula>0</formula>
    </cfRule>
  </conditionalFormatting>
  <conditionalFormatting sqref="A48:K48">
    <cfRule type="containsText" dxfId="145" priority="1" operator="containsText" text="Tiešās izmaksas kopā, t. sk. darba devēja sociālais nodoklis __.__% ">
      <formula>NOT(ISERROR(SEARCH("Tiešās izmaksas kopā, t. sk. darba devēja sociālais nodoklis __.__% ",A48)))</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2" operator="containsText" id="{D422C369-7259-49E7-A89B-9D562DEE2E41}">
            <xm:f>NOT(ISERROR(SEARCH("Tāme sastādīta ____. gada ___. ______________",A54)))</xm:f>
            <xm:f>"Tāme sastādīta ____. gada ___. ______________"</xm:f>
            <x14:dxf>
              <font>
                <color auto="1"/>
              </font>
              <fill>
                <patternFill>
                  <bgColor rgb="FFC6EFCE"/>
                </patternFill>
              </fill>
            </x14:dxf>
          </x14:cfRule>
          <xm:sqref>A54</xm:sqref>
        </x14:conditionalFormatting>
        <x14:conditionalFormatting xmlns:xm="http://schemas.microsoft.com/office/excel/2006/main">
          <x14:cfRule type="containsText" priority="11" operator="containsText" id="{D859E3E6-089F-4F16-889A-98EF63E5F3AC}">
            <xm:f>NOT(ISERROR(SEARCH("Sertifikāta Nr. _________________________________",A59)))</xm:f>
            <xm:f>"Sertifikāta Nr. _________________________________"</xm:f>
            <x14:dxf>
              <font>
                <color auto="1"/>
              </font>
              <fill>
                <patternFill>
                  <bgColor rgb="FFC6EFCE"/>
                </patternFill>
              </fill>
            </x14:dxf>
          </x14:cfRule>
          <xm:sqref>A59</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92D050"/>
  </sheetPr>
  <dimension ref="A1:R57"/>
  <sheetViews>
    <sheetView topLeftCell="A25" zoomScale="115" zoomScaleNormal="115" zoomScaleSheetLayoutView="130" workbookViewId="0">
      <selection activeCell="G85" sqref="G85"/>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8" x14ac:dyDescent="0.2">
      <c r="A1" s="16"/>
      <c r="B1" s="16"/>
      <c r="C1" s="20" t="s">
        <v>38</v>
      </c>
      <c r="D1" s="37">
        <f>'Kops a'!A18</f>
        <v>4</v>
      </c>
      <c r="E1" s="16"/>
      <c r="F1" s="16"/>
      <c r="G1" s="16"/>
      <c r="H1" s="16"/>
      <c r="I1" s="16"/>
      <c r="J1" s="16"/>
      <c r="N1" s="19"/>
      <c r="O1" s="20"/>
      <c r="P1" s="21"/>
    </row>
    <row r="2" spans="1:18" x14ac:dyDescent="0.2">
      <c r="A2" s="22"/>
      <c r="B2" s="22"/>
      <c r="C2" s="410" t="s">
        <v>153</v>
      </c>
      <c r="D2" s="410"/>
      <c r="E2" s="410"/>
      <c r="F2" s="410"/>
      <c r="G2" s="410"/>
      <c r="H2" s="410"/>
      <c r="I2" s="410"/>
      <c r="J2" s="22"/>
    </row>
    <row r="3" spans="1:18" x14ac:dyDescent="0.2">
      <c r="A3" s="23"/>
      <c r="B3" s="23"/>
      <c r="C3" s="372" t="s">
        <v>17</v>
      </c>
      <c r="D3" s="372"/>
      <c r="E3" s="372"/>
      <c r="F3" s="372"/>
      <c r="G3" s="372"/>
      <c r="H3" s="372"/>
      <c r="I3" s="372"/>
      <c r="J3" s="23"/>
    </row>
    <row r="4" spans="1:18" x14ac:dyDescent="0.2">
      <c r="A4" s="23"/>
      <c r="B4" s="23"/>
      <c r="C4" s="412" t="s">
        <v>52</v>
      </c>
      <c r="D4" s="412"/>
      <c r="E4" s="412"/>
      <c r="F4" s="412"/>
      <c r="G4" s="412"/>
      <c r="H4" s="412"/>
      <c r="I4" s="412"/>
      <c r="J4" s="23"/>
    </row>
    <row r="5" spans="1:18" x14ac:dyDescent="0.2">
      <c r="A5" s="16"/>
      <c r="B5" s="16"/>
      <c r="C5" s="20" t="s">
        <v>5</v>
      </c>
      <c r="D5" s="433" t="str">
        <f>'Kops a'!D6</f>
        <v>Dzīvojamās ēkas vienkāršotā atjaunošana</v>
      </c>
      <c r="E5" s="433"/>
      <c r="F5" s="433"/>
      <c r="G5" s="433"/>
      <c r="H5" s="433"/>
      <c r="I5" s="433"/>
      <c r="J5" s="433"/>
      <c r="K5" s="433"/>
      <c r="L5" s="433"/>
      <c r="M5" s="12"/>
      <c r="N5" s="12"/>
      <c r="O5" s="12"/>
      <c r="P5" s="12"/>
    </row>
    <row r="6" spans="1:18" x14ac:dyDescent="0.2">
      <c r="A6" s="16"/>
      <c r="B6" s="16"/>
      <c r="C6" s="20" t="s">
        <v>6</v>
      </c>
      <c r="D6" s="433" t="str">
        <f>'Kops a'!D7</f>
        <v>Daudzdzīvokļu dzīvojamās mājas energoefektivitātes paaugstināšanas pasākumi</v>
      </c>
      <c r="E6" s="433"/>
      <c r="F6" s="433"/>
      <c r="G6" s="433"/>
      <c r="H6" s="433"/>
      <c r="I6" s="433"/>
      <c r="J6" s="433"/>
      <c r="K6" s="433"/>
      <c r="L6" s="433"/>
      <c r="M6" s="12"/>
      <c r="N6" s="12"/>
      <c r="O6" s="12"/>
      <c r="P6" s="12"/>
    </row>
    <row r="7" spans="1:18" x14ac:dyDescent="0.2">
      <c r="A7" s="16"/>
      <c r="B7" s="16"/>
      <c r="C7" s="20" t="s">
        <v>7</v>
      </c>
      <c r="D7" s="433" t="str">
        <f>'Kops a'!D8</f>
        <v xml:space="preserve">Atmodas bulvārī 12, Liepājā. </v>
      </c>
      <c r="E7" s="433"/>
      <c r="F7" s="433"/>
      <c r="G7" s="433"/>
      <c r="H7" s="433"/>
      <c r="I7" s="433"/>
      <c r="J7" s="433"/>
      <c r="K7" s="433"/>
      <c r="L7" s="433"/>
      <c r="M7" s="12"/>
      <c r="N7" s="12"/>
      <c r="O7" s="12"/>
      <c r="P7" s="12"/>
    </row>
    <row r="8" spans="1:18" x14ac:dyDescent="0.2">
      <c r="A8" s="16"/>
      <c r="B8" s="16"/>
      <c r="C8" s="97" t="s">
        <v>20</v>
      </c>
      <c r="D8" s="433" t="str">
        <f>'Kops a'!D9</f>
        <v>WS-5-18</v>
      </c>
      <c r="E8" s="433"/>
      <c r="F8" s="433"/>
      <c r="G8" s="433"/>
      <c r="H8" s="433"/>
      <c r="I8" s="433"/>
      <c r="J8" s="433"/>
      <c r="K8" s="433"/>
      <c r="L8" s="433"/>
      <c r="M8" s="12"/>
      <c r="N8" s="12"/>
      <c r="O8" s="12"/>
      <c r="P8" s="12"/>
    </row>
    <row r="9" spans="1:18" ht="11.25" customHeight="1" x14ac:dyDescent="0.2">
      <c r="A9" s="413" t="s">
        <v>493</v>
      </c>
      <c r="B9" s="413"/>
      <c r="C9" s="413"/>
      <c r="D9" s="413"/>
      <c r="E9" s="413"/>
      <c r="F9" s="413"/>
      <c r="G9" s="24"/>
      <c r="H9" s="24"/>
      <c r="I9" s="24"/>
      <c r="J9" s="417" t="s">
        <v>39</v>
      </c>
      <c r="K9" s="417"/>
      <c r="L9" s="417"/>
      <c r="M9" s="417"/>
      <c r="N9" s="424">
        <f>P42</f>
        <v>0</v>
      </c>
      <c r="O9" s="424"/>
      <c r="P9" s="24"/>
    </row>
    <row r="10" spans="1:18" x14ac:dyDescent="0.2">
      <c r="A10" s="25"/>
      <c r="B10" s="26"/>
      <c r="C10" s="97"/>
      <c r="D10" s="16"/>
      <c r="E10" s="16"/>
      <c r="F10" s="16"/>
      <c r="G10" s="16"/>
      <c r="H10" s="16"/>
      <c r="I10" s="16"/>
      <c r="J10" s="16"/>
      <c r="K10" s="16"/>
      <c r="L10" s="22"/>
      <c r="M10" s="22"/>
      <c r="O10" s="71"/>
      <c r="P10" s="70" t="str">
        <f>A48</f>
        <v>Tāme sastādīta 2021. gada</v>
      </c>
    </row>
    <row r="11" spans="1:18" ht="12" thickBot="1" x14ac:dyDescent="0.25">
      <c r="A11" s="25"/>
      <c r="B11" s="26"/>
      <c r="C11" s="97"/>
      <c r="D11" s="16"/>
      <c r="E11" s="16"/>
      <c r="F11" s="16"/>
      <c r="G11" s="16"/>
      <c r="H11" s="16"/>
      <c r="I11" s="16"/>
      <c r="J11" s="16"/>
      <c r="K11" s="16"/>
      <c r="L11" s="27"/>
      <c r="M11" s="27"/>
      <c r="N11" s="28"/>
      <c r="O11" s="19"/>
      <c r="P11" s="16"/>
    </row>
    <row r="12" spans="1:18" x14ac:dyDescent="0.2">
      <c r="A12" s="383" t="s">
        <v>23</v>
      </c>
      <c r="B12" s="419" t="s">
        <v>40</v>
      </c>
      <c r="C12" s="415" t="s">
        <v>41</v>
      </c>
      <c r="D12" s="422" t="s">
        <v>42</v>
      </c>
      <c r="E12" s="431" t="s">
        <v>43</v>
      </c>
      <c r="F12" s="414" t="s">
        <v>44</v>
      </c>
      <c r="G12" s="415"/>
      <c r="H12" s="415"/>
      <c r="I12" s="415"/>
      <c r="J12" s="415"/>
      <c r="K12" s="416"/>
      <c r="L12" s="414" t="s">
        <v>45</v>
      </c>
      <c r="M12" s="415"/>
      <c r="N12" s="415"/>
      <c r="O12" s="415"/>
      <c r="P12" s="416"/>
    </row>
    <row r="13" spans="1:18" ht="82.7" customHeight="1" thickBot="1" x14ac:dyDescent="0.25">
      <c r="A13" s="418"/>
      <c r="B13" s="420"/>
      <c r="C13" s="421"/>
      <c r="D13" s="423"/>
      <c r="E13" s="432"/>
      <c r="F13" s="101" t="s">
        <v>46</v>
      </c>
      <c r="G13" s="102" t="s">
        <v>47</v>
      </c>
      <c r="H13" s="102" t="s">
        <v>48</v>
      </c>
      <c r="I13" s="102" t="s">
        <v>49</v>
      </c>
      <c r="J13" s="102" t="s">
        <v>50</v>
      </c>
      <c r="K13" s="46" t="s">
        <v>51</v>
      </c>
      <c r="L13" s="101" t="s">
        <v>46</v>
      </c>
      <c r="M13" s="102" t="s">
        <v>48</v>
      </c>
      <c r="N13" s="102" t="s">
        <v>49</v>
      </c>
      <c r="O13" s="102" t="s">
        <v>50</v>
      </c>
      <c r="P13" s="46" t="s">
        <v>51</v>
      </c>
    </row>
    <row r="14" spans="1:18" x14ac:dyDescent="0.2">
      <c r="A14" s="79">
        <f>IF(COUNTBLANK(B14)=1," ",COUNTA($B$13:B14))</f>
        <v>1</v>
      </c>
      <c r="B14" s="29" t="s">
        <v>58</v>
      </c>
      <c r="C14" s="35" t="s">
        <v>261</v>
      </c>
      <c r="D14" s="18" t="s">
        <v>63</v>
      </c>
      <c r="E14" s="52">
        <f>3.2*1*6</f>
        <v>19.200000000000003</v>
      </c>
      <c r="F14" s="53"/>
      <c r="G14" s="50"/>
      <c r="H14" s="50">
        <f t="shared" ref="H14:H16" si="0">ROUND(F14*G14,2)</f>
        <v>0</v>
      </c>
      <c r="I14" s="50"/>
      <c r="J14" s="50"/>
      <c r="K14" s="51">
        <f t="shared" ref="K14:K16" si="1">SUM(H14:J14)</f>
        <v>0</v>
      </c>
      <c r="L14" s="53">
        <f t="shared" ref="L14:L16" si="2">ROUND(E14*F14,2)</f>
        <v>0</v>
      </c>
      <c r="M14" s="50">
        <f t="shared" ref="M14:M16" si="3">ROUND(H14*E14,2)</f>
        <v>0</v>
      </c>
      <c r="N14" s="50">
        <f t="shared" ref="N14:N16" si="4">ROUND(I14*E14,2)</f>
        <v>0</v>
      </c>
      <c r="O14" s="50">
        <f t="shared" ref="O14:O16" si="5">ROUND(J14*E14,2)</f>
        <v>0</v>
      </c>
      <c r="P14" s="78">
        <f t="shared" ref="P14:P16" si="6">SUM(M14:O14)</f>
        <v>0</v>
      </c>
      <c r="Q14" s="79"/>
      <c r="R14" s="79"/>
    </row>
    <row r="15" spans="1:18" x14ac:dyDescent="0.2">
      <c r="A15" s="79">
        <f>IF(COUNTBLANK(B15)=1," ",COUNTA($B$13:B15))</f>
        <v>2</v>
      </c>
      <c r="B15" s="29" t="s">
        <v>58</v>
      </c>
      <c r="C15" s="35" t="s">
        <v>154</v>
      </c>
      <c r="D15" s="18" t="s">
        <v>63</v>
      </c>
      <c r="E15" s="52">
        <f>E14</f>
        <v>19.200000000000003</v>
      </c>
      <c r="F15" s="53"/>
      <c r="G15" s="50"/>
      <c r="H15" s="50">
        <f t="shared" si="0"/>
        <v>0</v>
      </c>
      <c r="I15" s="50"/>
      <c r="J15" s="50"/>
      <c r="K15" s="51">
        <f t="shared" si="1"/>
        <v>0</v>
      </c>
      <c r="L15" s="53">
        <f t="shared" si="2"/>
        <v>0</v>
      </c>
      <c r="M15" s="50">
        <f t="shared" si="3"/>
        <v>0</v>
      </c>
      <c r="N15" s="50">
        <f t="shared" si="4"/>
        <v>0</v>
      </c>
      <c r="O15" s="50">
        <f t="shared" si="5"/>
        <v>0</v>
      </c>
      <c r="P15" s="78">
        <f t="shared" si="6"/>
        <v>0</v>
      </c>
      <c r="Q15" s="79"/>
      <c r="R15" s="79"/>
    </row>
    <row r="16" spans="1:18" ht="22.5" x14ac:dyDescent="0.2">
      <c r="A16" s="79">
        <f>IF(COUNTBLANK(B16)=1," ",COUNTA($B$13:B16))</f>
        <v>3</v>
      </c>
      <c r="B16" s="29" t="s">
        <v>58</v>
      </c>
      <c r="C16" s="35" t="s">
        <v>155</v>
      </c>
      <c r="D16" s="18" t="s">
        <v>63</v>
      </c>
      <c r="E16" s="52">
        <f>E15</f>
        <v>19.200000000000003</v>
      </c>
      <c r="F16" s="53"/>
      <c r="G16" s="50"/>
      <c r="H16" s="50">
        <f t="shared" si="0"/>
        <v>0</v>
      </c>
      <c r="I16" s="50"/>
      <c r="J16" s="50"/>
      <c r="K16" s="51">
        <f t="shared" si="1"/>
        <v>0</v>
      </c>
      <c r="L16" s="53">
        <f t="shared" si="2"/>
        <v>0</v>
      </c>
      <c r="M16" s="50">
        <f t="shared" si="3"/>
        <v>0</v>
      </c>
      <c r="N16" s="50">
        <f t="shared" si="4"/>
        <v>0</v>
      </c>
      <c r="O16" s="50">
        <f t="shared" si="5"/>
        <v>0</v>
      </c>
      <c r="P16" s="78">
        <f t="shared" si="6"/>
        <v>0</v>
      </c>
      <c r="Q16" s="79"/>
      <c r="R16" s="79"/>
    </row>
    <row r="17" spans="1:18" x14ac:dyDescent="0.2">
      <c r="A17" s="79" t="str">
        <f>IF(COUNTBLANK(B17)=1," ",COUNTA($B$13:B17))</f>
        <v xml:space="preserve"> </v>
      </c>
      <c r="B17" s="29"/>
      <c r="C17" s="35" t="s">
        <v>79</v>
      </c>
      <c r="D17" s="18" t="s">
        <v>67</v>
      </c>
      <c r="E17" s="52">
        <f>E16*0.03</f>
        <v>0.57600000000000007</v>
      </c>
      <c r="F17" s="53"/>
      <c r="G17" s="50"/>
      <c r="H17" s="50">
        <f t="shared" ref="H17:H41" si="7">ROUND(F17*G17,2)</f>
        <v>0</v>
      </c>
      <c r="I17" s="50"/>
      <c r="J17" s="50"/>
      <c r="K17" s="51">
        <f t="shared" ref="K17:K41" si="8">SUM(H17:J17)</f>
        <v>0</v>
      </c>
      <c r="L17" s="53">
        <f t="shared" ref="L17:L41" si="9">ROUND(E17*F17,2)</f>
        <v>0</v>
      </c>
      <c r="M17" s="50">
        <f t="shared" ref="M17:M41" si="10">ROUND(H17*E17,2)</f>
        <v>0</v>
      </c>
      <c r="N17" s="50">
        <f t="shared" ref="N17:N41" si="11">ROUND(I17*E17,2)</f>
        <v>0</v>
      </c>
      <c r="O17" s="50">
        <f t="shared" ref="O17:O41" si="12">ROUND(J17*E17,2)</f>
        <v>0</v>
      </c>
      <c r="P17" s="78">
        <f t="shared" ref="P17:P41" si="13">SUM(M17:O17)</f>
        <v>0</v>
      </c>
      <c r="Q17" s="79"/>
      <c r="R17" s="79"/>
    </row>
    <row r="18" spans="1:18" ht="22.5" x14ac:dyDescent="0.2">
      <c r="A18" s="79">
        <f>IF(COUNTBLANK(B18)=1," ",COUNTA($B$13:B18))</f>
        <v>4</v>
      </c>
      <c r="B18" s="29" t="s">
        <v>58</v>
      </c>
      <c r="C18" s="35" t="s">
        <v>156</v>
      </c>
      <c r="D18" s="18" t="s">
        <v>63</v>
      </c>
      <c r="E18" s="52">
        <f>E14</f>
        <v>19.200000000000003</v>
      </c>
      <c r="F18" s="53"/>
      <c r="G18" s="50"/>
      <c r="H18" s="50">
        <f t="shared" si="7"/>
        <v>0</v>
      </c>
      <c r="I18" s="50"/>
      <c r="J18" s="50"/>
      <c r="K18" s="51">
        <f t="shared" si="8"/>
        <v>0</v>
      </c>
      <c r="L18" s="53">
        <f t="shared" si="9"/>
        <v>0</v>
      </c>
      <c r="M18" s="50">
        <f t="shared" si="10"/>
        <v>0</v>
      </c>
      <c r="N18" s="50">
        <f t="shared" si="11"/>
        <v>0</v>
      </c>
      <c r="O18" s="50">
        <f t="shared" si="12"/>
        <v>0</v>
      </c>
      <c r="P18" s="78">
        <f t="shared" si="13"/>
        <v>0</v>
      </c>
      <c r="Q18" s="79"/>
      <c r="R18" s="79"/>
    </row>
    <row r="19" spans="1:18" x14ac:dyDescent="0.2">
      <c r="A19" s="79" t="str">
        <f>IF(COUNTBLANK(B19)=1," ",COUNTA($B$13:B19))</f>
        <v xml:space="preserve"> </v>
      </c>
      <c r="B19" s="29"/>
      <c r="C19" s="35" t="s">
        <v>157</v>
      </c>
      <c r="D19" s="18" t="s">
        <v>63</v>
      </c>
      <c r="E19" s="52">
        <v>6.7155000000000014</v>
      </c>
      <c r="F19" s="53"/>
      <c r="G19" s="50"/>
      <c r="H19" s="50">
        <f t="shared" si="7"/>
        <v>0</v>
      </c>
      <c r="I19" s="50"/>
      <c r="J19" s="50"/>
      <c r="K19" s="51">
        <f t="shared" si="8"/>
        <v>0</v>
      </c>
      <c r="L19" s="53">
        <f t="shared" si="9"/>
        <v>0</v>
      </c>
      <c r="M19" s="50">
        <f t="shared" si="10"/>
        <v>0</v>
      </c>
      <c r="N19" s="50">
        <f t="shared" si="11"/>
        <v>0</v>
      </c>
      <c r="O19" s="50">
        <f t="shared" si="12"/>
        <v>0</v>
      </c>
      <c r="P19" s="78">
        <f t="shared" si="13"/>
        <v>0</v>
      </c>
      <c r="Q19" s="79"/>
      <c r="R19" s="79"/>
    </row>
    <row r="20" spans="1:18" x14ac:dyDescent="0.2">
      <c r="A20" s="79" t="str">
        <f>IF(COUNTBLANK(B20)=1," ",COUNTA($B$13:B20))</f>
        <v xml:space="preserve"> </v>
      </c>
      <c r="B20" s="29"/>
      <c r="C20" s="35" t="s">
        <v>158</v>
      </c>
      <c r="D20" s="18" t="s">
        <v>63</v>
      </c>
      <c r="E20" s="52">
        <v>6.7155000000000014</v>
      </c>
      <c r="F20" s="53"/>
      <c r="G20" s="50"/>
      <c r="H20" s="50">
        <f t="shared" si="7"/>
        <v>0</v>
      </c>
      <c r="I20" s="50"/>
      <c r="J20" s="50"/>
      <c r="K20" s="51">
        <f t="shared" si="8"/>
        <v>0</v>
      </c>
      <c r="L20" s="53">
        <f t="shared" si="9"/>
        <v>0</v>
      </c>
      <c r="M20" s="50">
        <f t="shared" si="10"/>
        <v>0</v>
      </c>
      <c r="N20" s="50">
        <f t="shared" si="11"/>
        <v>0</v>
      </c>
      <c r="O20" s="50">
        <f t="shared" si="12"/>
        <v>0</v>
      </c>
      <c r="P20" s="78">
        <f t="shared" si="13"/>
        <v>0</v>
      </c>
      <c r="Q20" s="79"/>
      <c r="R20" s="79"/>
    </row>
    <row r="21" spans="1:18" x14ac:dyDescent="0.2">
      <c r="A21" s="79" t="str">
        <f>IF(COUNTBLANK(B21)=1," ",COUNTA($B$13:B21))</f>
        <v xml:space="preserve"> </v>
      </c>
      <c r="B21" s="29"/>
      <c r="C21" s="35" t="s">
        <v>159</v>
      </c>
      <c r="D21" s="18" t="s">
        <v>160</v>
      </c>
      <c r="E21" s="52">
        <v>3</v>
      </c>
      <c r="F21" s="53"/>
      <c r="G21" s="50"/>
      <c r="H21" s="50">
        <f t="shared" si="7"/>
        <v>0</v>
      </c>
      <c r="I21" s="50"/>
      <c r="J21" s="50"/>
      <c r="K21" s="51">
        <f t="shared" si="8"/>
        <v>0</v>
      </c>
      <c r="L21" s="53">
        <f t="shared" si="9"/>
        <v>0</v>
      </c>
      <c r="M21" s="50">
        <f t="shared" si="10"/>
        <v>0</v>
      </c>
      <c r="N21" s="50">
        <f t="shared" si="11"/>
        <v>0</v>
      </c>
      <c r="O21" s="50">
        <f t="shared" si="12"/>
        <v>0</v>
      </c>
      <c r="P21" s="78">
        <f t="shared" si="13"/>
        <v>0</v>
      </c>
      <c r="Q21" s="79"/>
      <c r="R21" s="79"/>
    </row>
    <row r="22" spans="1:18" ht="22.5" x14ac:dyDescent="0.2">
      <c r="A22" s="79">
        <f>IF(COUNTBLANK(B22)=1," ",COUNTA($B$13:B22))</f>
        <v>5</v>
      </c>
      <c r="B22" s="29" t="s">
        <v>58</v>
      </c>
      <c r="C22" s="35" t="s">
        <v>161</v>
      </c>
      <c r="D22" s="18" t="s">
        <v>59</v>
      </c>
      <c r="E22" s="52">
        <f>(3.2+2)*6*0.4</f>
        <v>12.480000000000002</v>
      </c>
      <c r="F22" s="53"/>
      <c r="G22" s="50"/>
      <c r="H22" s="50">
        <f t="shared" si="7"/>
        <v>0</v>
      </c>
      <c r="I22" s="50"/>
      <c r="J22" s="50"/>
      <c r="K22" s="51">
        <f t="shared" si="8"/>
        <v>0</v>
      </c>
      <c r="L22" s="53">
        <f t="shared" si="9"/>
        <v>0</v>
      </c>
      <c r="M22" s="50">
        <f t="shared" si="10"/>
        <v>0</v>
      </c>
      <c r="N22" s="50">
        <f t="shared" si="11"/>
        <v>0</v>
      </c>
      <c r="O22" s="50">
        <f t="shared" si="12"/>
        <v>0</v>
      </c>
      <c r="P22" s="78">
        <f t="shared" si="13"/>
        <v>0</v>
      </c>
      <c r="Q22" s="79"/>
      <c r="R22" s="79"/>
    </row>
    <row r="23" spans="1:18" x14ac:dyDescent="0.2">
      <c r="A23" s="79" t="str">
        <f>IF(COUNTBLANK(B23)=1," ",COUNTA($B$13:B23))</f>
        <v xml:space="preserve"> </v>
      </c>
      <c r="B23" s="29"/>
      <c r="C23" s="35" t="s">
        <v>83</v>
      </c>
      <c r="D23" s="18" t="s">
        <v>63</v>
      </c>
      <c r="E23" s="52">
        <f>E22</f>
        <v>12.480000000000002</v>
      </c>
      <c r="F23" s="53"/>
      <c r="G23" s="50"/>
      <c r="H23" s="50">
        <f t="shared" si="7"/>
        <v>0</v>
      </c>
      <c r="I23" s="50"/>
      <c r="J23" s="50"/>
      <c r="K23" s="51">
        <f t="shared" si="8"/>
        <v>0</v>
      </c>
      <c r="L23" s="53">
        <f t="shared" si="9"/>
        <v>0</v>
      </c>
      <c r="M23" s="50">
        <f t="shared" si="10"/>
        <v>0</v>
      </c>
      <c r="N23" s="50">
        <f t="shared" si="11"/>
        <v>0</v>
      </c>
      <c r="O23" s="50">
        <f t="shared" si="12"/>
        <v>0</v>
      </c>
      <c r="P23" s="78">
        <f t="shared" si="13"/>
        <v>0</v>
      </c>
      <c r="Q23" s="79"/>
      <c r="R23" s="79"/>
    </row>
    <row r="24" spans="1:18" x14ac:dyDescent="0.2">
      <c r="A24" s="79" t="str">
        <f>IF(COUNTBLANK(B24)=1," ",COUNTA($B$13:B24))</f>
        <v xml:space="preserve"> </v>
      </c>
      <c r="B24" s="29"/>
      <c r="C24" s="35" t="s">
        <v>262</v>
      </c>
      <c r="D24" s="18" t="s">
        <v>61</v>
      </c>
      <c r="E24" s="52">
        <f>ROUNDUP(E23*6,0)</f>
        <v>75</v>
      </c>
      <c r="F24" s="53"/>
      <c r="G24" s="50"/>
      <c r="H24" s="50">
        <f t="shared" si="7"/>
        <v>0</v>
      </c>
      <c r="I24" s="50"/>
      <c r="J24" s="50"/>
      <c r="K24" s="51">
        <f t="shared" si="8"/>
        <v>0</v>
      </c>
      <c r="L24" s="53">
        <f t="shared" si="9"/>
        <v>0</v>
      </c>
      <c r="M24" s="50">
        <f t="shared" si="10"/>
        <v>0</v>
      </c>
      <c r="N24" s="50">
        <f t="shared" si="11"/>
        <v>0</v>
      </c>
      <c r="O24" s="50">
        <f t="shared" si="12"/>
        <v>0</v>
      </c>
      <c r="P24" s="78">
        <f t="shared" si="13"/>
        <v>0</v>
      </c>
      <c r="Q24" s="79"/>
      <c r="R24" s="79"/>
    </row>
    <row r="25" spans="1:18" x14ac:dyDescent="0.2">
      <c r="A25" s="79" t="str">
        <f>IF(COUNTBLANK(B25)=1," ",COUNTA($B$13:B25))</f>
        <v xml:space="preserve"> </v>
      </c>
      <c r="B25" s="29"/>
      <c r="C25" s="35" t="s">
        <v>386</v>
      </c>
      <c r="D25" s="18" t="s">
        <v>63</v>
      </c>
      <c r="E25" s="52">
        <f>E18</f>
        <v>19.200000000000003</v>
      </c>
      <c r="F25" s="53"/>
      <c r="G25" s="50"/>
      <c r="H25" s="50">
        <f t="shared" si="7"/>
        <v>0</v>
      </c>
      <c r="I25" s="50"/>
      <c r="J25" s="50"/>
      <c r="K25" s="51">
        <f t="shared" si="8"/>
        <v>0</v>
      </c>
      <c r="L25" s="53">
        <f t="shared" si="9"/>
        <v>0</v>
      </c>
      <c r="M25" s="50">
        <f t="shared" si="10"/>
        <v>0</v>
      </c>
      <c r="N25" s="50">
        <f t="shared" si="11"/>
        <v>0</v>
      </c>
      <c r="O25" s="50">
        <f t="shared" si="12"/>
        <v>0</v>
      </c>
      <c r="P25" s="78">
        <f t="shared" si="13"/>
        <v>0</v>
      </c>
      <c r="Q25" s="79"/>
      <c r="R25" s="79"/>
    </row>
    <row r="26" spans="1:18" ht="22.5" x14ac:dyDescent="0.2">
      <c r="A26" s="79">
        <f>IF(COUNTBLANK(B26)=1," ",COUNTA($B$13:B26))</f>
        <v>6</v>
      </c>
      <c r="B26" s="29" t="s">
        <v>58</v>
      </c>
      <c r="C26" s="35" t="s">
        <v>162</v>
      </c>
      <c r="D26" s="18" t="s">
        <v>59</v>
      </c>
      <c r="E26" s="52">
        <f>6*3.2</f>
        <v>19.200000000000003</v>
      </c>
      <c r="F26" s="53"/>
      <c r="G26" s="50"/>
      <c r="H26" s="50">
        <f t="shared" si="7"/>
        <v>0</v>
      </c>
      <c r="I26" s="50"/>
      <c r="J26" s="50"/>
      <c r="K26" s="51">
        <f t="shared" si="8"/>
        <v>0</v>
      </c>
      <c r="L26" s="53">
        <f t="shared" si="9"/>
        <v>0</v>
      </c>
      <c r="M26" s="50">
        <f t="shared" si="10"/>
        <v>0</v>
      </c>
      <c r="N26" s="50">
        <f t="shared" si="11"/>
        <v>0</v>
      </c>
      <c r="O26" s="50">
        <f t="shared" si="12"/>
        <v>0</v>
      </c>
      <c r="P26" s="78">
        <f t="shared" si="13"/>
        <v>0</v>
      </c>
      <c r="Q26" s="79"/>
      <c r="R26" s="79"/>
    </row>
    <row r="27" spans="1:18" x14ac:dyDescent="0.2">
      <c r="A27" s="79" t="str">
        <f>IF(COUNTBLANK(B27)=1," ",COUNTA($B$13:B27))</f>
        <v xml:space="preserve"> </v>
      </c>
      <c r="B27" s="29"/>
      <c r="C27" s="35" t="s">
        <v>83</v>
      </c>
      <c r="D27" s="18" t="s">
        <v>63</v>
      </c>
      <c r="E27" s="52">
        <f>3.2*0.4*6</f>
        <v>7.6800000000000015</v>
      </c>
      <c r="F27" s="53"/>
      <c r="G27" s="50"/>
      <c r="H27" s="50">
        <f t="shared" si="7"/>
        <v>0</v>
      </c>
      <c r="I27" s="50"/>
      <c r="J27" s="50"/>
      <c r="K27" s="51">
        <f t="shared" si="8"/>
        <v>0</v>
      </c>
      <c r="L27" s="53">
        <f t="shared" si="9"/>
        <v>0</v>
      </c>
      <c r="M27" s="50">
        <f t="shared" si="10"/>
        <v>0</v>
      </c>
      <c r="N27" s="50">
        <f t="shared" si="11"/>
        <v>0</v>
      </c>
      <c r="O27" s="50">
        <f t="shared" si="12"/>
        <v>0</v>
      </c>
      <c r="P27" s="78">
        <f t="shared" si="13"/>
        <v>0</v>
      </c>
      <c r="Q27" s="79"/>
      <c r="R27" s="79"/>
    </row>
    <row r="28" spans="1:18" x14ac:dyDescent="0.2">
      <c r="A28" s="79" t="str">
        <f>IF(COUNTBLANK(B28)=1," ",COUNTA($B$13:B28))</f>
        <v xml:space="preserve"> </v>
      </c>
      <c r="B28" s="29"/>
      <c r="C28" s="35" t="s">
        <v>262</v>
      </c>
      <c r="D28" s="18" t="s">
        <v>61</v>
      </c>
      <c r="E28" s="52">
        <f>ROUNDUP(E27*6,0)</f>
        <v>47</v>
      </c>
      <c r="F28" s="53"/>
      <c r="G28" s="50"/>
      <c r="H28" s="50">
        <f t="shared" si="7"/>
        <v>0</v>
      </c>
      <c r="I28" s="50"/>
      <c r="J28" s="50"/>
      <c r="K28" s="51">
        <f t="shared" si="8"/>
        <v>0</v>
      </c>
      <c r="L28" s="53">
        <f t="shared" si="9"/>
        <v>0</v>
      </c>
      <c r="M28" s="50">
        <f t="shared" si="10"/>
        <v>0</v>
      </c>
      <c r="N28" s="50">
        <f t="shared" si="11"/>
        <v>0</v>
      </c>
      <c r="O28" s="50">
        <f t="shared" si="12"/>
        <v>0</v>
      </c>
      <c r="P28" s="78">
        <f t="shared" si="13"/>
        <v>0</v>
      </c>
      <c r="Q28" s="79"/>
      <c r="R28" s="79"/>
    </row>
    <row r="29" spans="1:18" ht="22.5" x14ac:dyDescent="0.2">
      <c r="A29" s="79" t="str">
        <f>IF(COUNTBLANK(B29)=1," ",COUNTA($B$13:B29))</f>
        <v xml:space="preserve"> </v>
      </c>
      <c r="B29" s="29"/>
      <c r="C29" s="35" t="s">
        <v>163</v>
      </c>
      <c r="D29" s="18"/>
      <c r="E29" s="52"/>
      <c r="F29" s="53"/>
      <c r="G29" s="50"/>
      <c r="H29" s="50">
        <f t="shared" si="7"/>
        <v>0</v>
      </c>
      <c r="I29" s="50"/>
      <c r="J29" s="50"/>
      <c r="K29" s="51">
        <f t="shared" si="8"/>
        <v>0</v>
      </c>
      <c r="L29" s="53">
        <f t="shared" si="9"/>
        <v>0</v>
      </c>
      <c r="M29" s="50">
        <f t="shared" si="10"/>
        <v>0</v>
      </c>
      <c r="N29" s="50">
        <f t="shared" si="11"/>
        <v>0</v>
      </c>
      <c r="O29" s="50">
        <f t="shared" si="12"/>
        <v>0</v>
      </c>
      <c r="P29" s="78">
        <f t="shared" si="13"/>
        <v>0</v>
      </c>
      <c r="Q29" s="79"/>
      <c r="R29" s="79"/>
    </row>
    <row r="30" spans="1:18" ht="22.5" x14ac:dyDescent="0.2">
      <c r="A30" s="79">
        <f>IF(COUNTBLANK(B30)=1," ",COUNTA($B$13:B30))</f>
        <v>7</v>
      </c>
      <c r="B30" s="29" t="s">
        <v>58</v>
      </c>
      <c r="C30" s="35" t="s">
        <v>164</v>
      </c>
      <c r="D30" s="18" t="s">
        <v>59</v>
      </c>
      <c r="E30" s="52">
        <f>E26</f>
        <v>19.200000000000003</v>
      </c>
      <c r="F30" s="53"/>
      <c r="G30" s="50"/>
      <c r="H30" s="50">
        <f t="shared" si="7"/>
        <v>0</v>
      </c>
      <c r="I30" s="50"/>
      <c r="J30" s="50"/>
      <c r="K30" s="51">
        <f t="shared" si="8"/>
        <v>0</v>
      </c>
      <c r="L30" s="53">
        <f t="shared" si="9"/>
        <v>0</v>
      </c>
      <c r="M30" s="50">
        <f t="shared" si="10"/>
        <v>0</v>
      </c>
      <c r="N30" s="50">
        <f t="shared" si="11"/>
        <v>0</v>
      </c>
      <c r="O30" s="50">
        <f t="shared" si="12"/>
        <v>0</v>
      </c>
      <c r="P30" s="78">
        <f t="shared" si="13"/>
        <v>0</v>
      </c>
      <c r="Q30" s="79"/>
      <c r="R30" s="79"/>
    </row>
    <row r="31" spans="1:18" ht="22.5" x14ac:dyDescent="0.2">
      <c r="A31" s="79">
        <f>IF(COUNTBLANK(B31)=1," ",COUNTA($B$13:B31))</f>
        <v>8</v>
      </c>
      <c r="B31" s="29" t="s">
        <v>58</v>
      </c>
      <c r="C31" s="35" t="s">
        <v>165</v>
      </c>
      <c r="D31" s="18" t="s">
        <v>63</v>
      </c>
      <c r="E31" s="52">
        <f>E30*0.3</f>
        <v>5.7600000000000007</v>
      </c>
      <c r="F31" s="53"/>
      <c r="G31" s="50"/>
      <c r="H31" s="50">
        <f t="shared" si="7"/>
        <v>0</v>
      </c>
      <c r="I31" s="50"/>
      <c r="J31" s="50"/>
      <c r="K31" s="51">
        <f t="shared" si="8"/>
        <v>0</v>
      </c>
      <c r="L31" s="53">
        <f t="shared" si="9"/>
        <v>0</v>
      </c>
      <c r="M31" s="50">
        <f t="shared" si="10"/>
        <v>0</v>
      </c>
      <c r="N31" s="50">
        <f t="shared" si="11"/>
        <v>0</v>
      </c>
      <c r="O31" s="50">
        <f t="shared" si="12"/>
        <v>0</v>
      </c>
      <c r="P31" s="78">
        <f t="shared" si="13"/>
        <v>0</v>
      </c>
      <c r="Q31" s="79"/>
      <c r="R31" s="79"/>
    </row>
    <row r="32" spans="1:18" x14ac:dyDescent="0.2">
      <c r="A32" s="79" t="str">
        <f>IF(COUNTBLANK(B32)=1," ",COUNTA($B$13:B32))</f>
        <v xml:space="preserve"> </v>
      </c>
      <c r="B32" s="29"/>
      <c r="C32" s="35" t="s">
        <v>105</v>
      </c>
      <c r="D32" s="18" t="s">
        <v>64</v>
      </c>
      <c r="E32" s="52">
        <f>E31*5</f>
        <v>28.800000000000004</v>
      </c>
      <c r="F32" s="53"/>
      <c r="G32" s="50"/>
      <c r="H32" s="50">
        <f t="shared" si="7"/>
        <v>0</v>
      </c>
      <c r="I32" s="50"/>
      <c r="J32" s="50"/>
      <c r="K32" s="51">
        <f t="shared" si="8"/>
        <v>0</v>
      </c>
      <c r="L32" s="53">
        <f t="shared" si="9"/>
        <v>0</v>
      </c>
      <c r="M32" s="50">
        <f t="shared" si="10"/>
        <v>0</v>
      </c>
      <c r="N32" s="50">
        <f t="shared" si="11"/>
        <v>0</v>
      </c>
      <c r="O32" s="50">
        <f t="shared" si="12"/>
        <v>0</v>
      </c>
      <c r="P32" s="78">
        <f t="shared" si="13"/>
        <v>0</v>
      </c>
      <c r="Q32" s="79"/>
      <c r="R32" s="79"/>
    </row>
    <row r="33" spans="1:18" x14ac:dyDescent="0.2">
      <c r="A33" s="79">
        <f>IF(COUNTBLANK(B33)=1," ",COUNTA($B$13:B33))</f>
        <v>9</v>
      </c>
      <c r="B33" s="29" t="s">
        <v>58</v>
      </c>
      <c r="C33" s="35" t="s">
        <v>166</v>
      </c>
      <c r="D33" s="18" t="s">
        <v>63</v>
      </c>
      <c r="E33" s="52">
        <f>E18</f>
        <v>19.200000000000003</v>
      </c>
      <c r="F33" s="53"/>
      <c r="G33" s="50"/>
      <c r="H33" s="50">
        <f t="shared" si="7"/>
        <v>0</v>
      </c>
      <c r="I33" s="50"/>
      <c r="J33" s="50"/>
      <c r="K33" s="51">
        <f t="shared" si="8"/>
        <v>0</v>
      </c>
      <c r="L33" s="53">
        <f t="shared" si="9"/>
        <v>0</v>
      </c>
      <c r="M33" s="50">
        <f t="shared" si="10"/>
        <v>0</v>
      </c>
      <c r="N33" s="50">
        <f t="shared" si="11"/>
        <v>0</v>
      </c>
      <c r="O33" s="50">
        <f t="shared" si="12"/>
        <v>0</v>
      </c>
      <c r="P33" s="78">
        <f t="shared" si="13"/>
        <v>0</v>
      </c>
      <c r="Q33" s="79"/>
      <c r="R33" s="79"/>
    </row>
    <row r="34" spans="1:18" x14ac:dyDescent="0.2">
      <c r="A34" s="79" t="str">
        <f>IF(COUNTBLANK(B34)=1," ",COUNTA($B$13:B34))</f>
        <v xml:space="preserve"> </v>
      </c>
      <c r="B34" s="29"/>
      <c r="C34" s="35" t="s">
        <v>104</v>
      </c>
      <c r="D34" s="18" t="s">
        <v>64</v>
      </c>
      <c r="E34" s="52">
        <f>E33*0.3</f>
        <v>5.7600000000000007</v>
      </c>
      <c r="F34" s="53"/>
      <c r="G34" s="50"/>
      <c r="H34" s="50">
        <f t="shared" si="7"/>
        <v>0</v>
      </c>
      <c r="I34" s="50"/>
      <c r="J34" s="50"/>
      <c r="K34" s="51">
        <f t="shared" si="8"/>
        <v>0</v>
      </c>
      <c r="L34" s="53">
        <f t="shared" si="9"/>
        <v>0</v>
      </c>
      <c r="M34" s="50">
        <f t="shared" si="10"/>
        <v>0</v>
      </c>
      <c r="N34" s="50">
        <f t="shared" si="11"/>
        <v>0</v>
      </c>
      <c r="O34" s="50">
        <f t="shared" si="12"/>
        <v>0</v>
      </c>
      <c r="P34" s="78">
        <f t="shared" si="13"/>
        <v>0</v>
      </c>
      <c r="Q34" s="79"/>
      <c r="R34" s="79"/>
    </row>
    <row r="35" spans="1:18" ht="22.5" x14ac:dyDescent="0.2">
      <c r="A35" s="79">
        <f>IF(COUNTBLANK(B35)=1," ",COUNTA($B$13:B35))</f>
        <v>10</v>
      </c>
      <c r="B35" s="29" t="s">
        <v>58</v>
      </c>
      <c r="C35" s="35" t="s">
        <v>387</v>
      </c>
      <c r="D35" s="18" t="s">
        <v>64</v>
      </c>
      <c r="E35" s="52">
        <f>E33*1.5</f>
        <v>28.800000000000004</v>
      </c>
      <c r="F35" s="53"/>
      <c r="G35" s="50"/>
      <c r="H35" s="50">
        <f t="shared" si="7"/>
        <v>0</v>
      </c>
      <c r="I35" s="50"/>
      <c r="J35" s="50"/>
      <c r="K35" s="51">
        <f t="shared" si="8"/>
        <v>0</v>
      </c>
      <c r="L35" s="53">
        <f t="shared" si="9"/>
        <v>0</v>
      </c>
      <c r="M35" s="50">
        <f t="shared" si="10"/>
        <v>0</v>
      </c>
      <c r="N35" s="50">
        <f t="shared" si="11"/>
        <v>0</v>
      </c>
      <c r="O35" s="50">
        <f t="shared" si="12"/>
        <v>0</v>
      </c>
      <c r="P35" s="78">
        <f t="shared" si="13"/>
        <v>0</v>
      </c>
      <c r="Q35" s="79"/>
      <c r="R35" s="79"/>
    </row>
    <row r="36" spans="1:18" ht="22.5" x14ac:dyDescent="0.2">
      <c r="A36" s="79">
        <f>IF(COUNTBLANK(B36)=1," ",COUNTA($B$13:B36))</f>
        <v>11</v>
      </c>
      <c r="B36" s="29" t="s">
        <v>58</v>
      </c>
      <c r="C36" s="35" t="s">
        <v>388</v>
      </c>
      <c r="D36" s="18" t="s">
        <v>63</v>
      </c>
      <c r="E36" s="52">
        <f>E18</f>
        <v>19.200000000000003</v>
      </c>
      <c r="F36" s="53"/>
      <c r="G36" s="50"/>
      <c r="H36" s="50">
        <f t="shared" si="7"/>
        <v>0</v>
      </c>
      <c r="I36" s="50"/>
      <c r="J36" s="50"/>
      <c r="K36" s="51">
        <f t="shared" si="8"/>
        <v>0</v>
      </c>
      <c r="L36" s="53">
        <f t="shared" si="9"/>
        <v>0</v>
      </c>
      <c r="M36" s="50">
        <f t="shared" si="10"/>
        <v>0</v>
      </c>
      <c r="N36" s="50">
        <f t="shared" si="11"/>
        <v>0</v>
      </c>
      <c r="O36" s="50">
        <f t="shared" si="12"/>
        <v>0</v>
      </c>
      <c r="P36" s="78">
        <f t="shared" si="13"/>
        <v>0</v>
      </c>
      <c r="Q36" s="79"/>
      <c r="R36" s="79"/>
    </row>
    <row r="37" spans="1:18" x14ac:dyDescent="0.2">
      <c r="A37" s="79">
        <f>IF(COUNTBLANK(B37)=1," ",COUNTA($B$13:B37))</f>
        <v>12</v>
      </c>
      <c r="B37" s="29" t="s">
        <v>58</v>
      </c>
      <c r="C37" s="35" t="s">
        <v>76</v>
      </c>
      <c r="D37" s="18" t="s">
        <v>63</v>
      </c>
      <c r="E37" s="52">
        <v>6</v>
      </c>
      <c r="F37" s="53"/>
      <c r="G37" s="50"/>
      <c r="H37" s="50">
        <f t="shared" si="7"/>
        <v>0</v>
      </c>
      <c r="I37" s="50"/>
      <c r="J37" s="50"/>
      <c r="K37" s="51">
        <f t="shared" si="8"/>
        <v>0</v>
      </c>
      <c r="L37" s="53">
        <f t="shared" si="9"/>
        <v>0</v>
      </c>
      <c r="M37" s="50">
        <f t="shared" si="10"/>
        <v>0</v>
      </c>
      <c r="N37" s="50">
        <f t="shared" si="11"/>
        <v>0</v>
      </c>
      <c r="O37" s="50">
        <f t="shared" si="12"/>
        <v>0</v>
      </c>
      <c r="P37" s="78">
        <f t="shared" si="13"/>
        <v>0</v>
      </c>
      <c r="Q37" s="79"/>
      <c r="R37" s="79"/>
    </row>
    <row r="38" spans="1:18" x14ac:dyDescent="0.2">
      <c r="A38" s="79">
        <f>IF(COUNTBLANK(B38)=1," ",COUNTA($B$13:B38))</f>
        <v>13</v>
      </c>
      <c r="B38" s="29" t="s">
        <v>58</v>
      </c>
      <c r="C38" s="35" t="s">
        <v>77</v>
      </c>
      <c r="D38" s="18" t="s">
        <v>82</v>
      </c>
      <c r="E38" s="52">
        <f>E37</f>
        <v>6</v>
      </c>
      <c r="F38" s="53"/>
      <c r="G38" s="50"/>
      <c r="H38" s="50">
        <f t="shared" si="7"/>
        <v>0</v>
      </c>
      <c r="I38" s="50"/>
      <c r="J38" s="50"/>
      <c r="K38" s="51">
        <f t="shared" si="8"/>
        <v>0</v>
      </c>
      <c r="L38" s="53">
        <f t="shared" si="9"/>
        <v>0</v>
      </c>
      <c r="M38" s="50">
        <f t="shared" si="10"/>
        <v>0</v>
      </c>
      <c r="N38" s="50">
        <f t="shared" si="11"/>
        <v>0</v>
      </c>
      <c r="O38" s="50">
        <f t="shared" si="12"/>
        <v>0</v>
      </c>
      <c r="P38" s="78">
        <f t="shared" si="13"/>
        <v>0</v>
      </c>
      <c r="Q38" s="79"/>
      <c r="R38" s="79"/>
    </row>
    <row r="39" spans="1:18" x14ac:dyDescent="0.2">
      <c r="A39" s="79">
        <f>IF(COUNTBLANK(B39)=1," ",COUNTA($B$13:B39))</f>
        <v>14</v>
      </c>
      <c r="B39" s="29" t="s">
        <v>58</v>
      </c>
      <c r="C39" s="35" t="s">
        <v>78</v>
      </c>
      <c r="D39" s="18" t="s">
        <v>82</v>
      </c>
      <c r="E39" s="52">
        <f t="shared" ref="E39:E40" si="14">E38</f>
        <v>6</v>
      </c>
      <c r="F39" s="53"/>
      <c r="G39" s="50"/>
      <c r="H39" s="50">
        <f t="shared" si="7"/>
        <v>0</v>
      </c>
      <c r="I39" s="50"/>
      <c r="J39" s="50"/>
      <c r="K39" s="51">
        <f t="shared" si="8"/>
        <v>0</v>
      </c>
      <c r="L39" s="53">
        <f t="shared" si="9"/>
        <v>0</v>
      </c>
      <c r="M39" s="50">
        <f t="shared" si="10"/>
        <v>0</v>
      </c>
      <c r="N39" s="50">
        <f t="shared" si="11"/>
        <v>0</v>
      </c>
      <c r="O39" s="50">
        <f t="shared" si="12"/>
        <v>0</v>
      </c>
      <c r="P39" s="78">
        <f t="shared" si="13"/>
        <v>0</v>
      </c>
      <c r="Q39" s="79"/>
      <c r="R39" s="79"/>
    </row>
    <row r="40" spans="1:18" x14ac:dyDescent="0.2">
      <c r="A40" s="79">
        <f>IF(COUNTBLANK(B40)=1," ",COUNTA($B$13:B40))</f>
        <v>15</v>
      </c>
      <c r="B40" s="29" t="s">
        <v>58</v>
      </c>
      <c r="C40" s="35" t="s">
        <v>389</v>
      </c>
      <c r="D40" s="18" t="s">
        <v>61</v>
      </c>
      <c r="E40" s="52">
        <f t="shared" si="14"/>
        <v>6</v>
      </c>
      <c r="F40" s="53"/>
      <c r="G40" s="50"/>
      <c r="H40" s="50">
        <f t="shared" si="7"/>
        <v>0</v>
      </c>
      <c r="I40" s="50"/>
      <c r="J40" s="50"/>
      <c r="K40" s="51">
        <f t="shared" si="8"/>
        <v>0</v>
      </c>
      <c r="L40" s="53">
        <f t="shared" si="9"/>
        <v>0</v>
      </c>
      <c r="M40" s="50">
        <f t="shared" si="10"/>
        <v>0</v>
      </c>
      <c r="N40" s="50">
        <f t="shared" si="11"/>
        <v>0</v>
      </c>
      <c r="O40" s="50">
        <f t="shared" si="12"/>
        <v>0</v>
      </c>
      <c r="P40" s="78">
        <f t="shared" si="13"/>
        <v>0</v>
      </c>
      <c r="Q40" s="79"/>
      <c r="R40" s="79"/>
    </row>
    <row r="41" spans="1:18" ht="12" thickBot="1" x14ac:dyDescent="0.25">
      <c r="A41" s="79">
        <f>IF(COUNTBLANK(B41)=1," ",COUNTA($B$13:B41))</f>
        <v>16</v>
      </c>
      <c r="B41" s="29" t="s">
        <v>58</v>
      </c>
      <c r="C41" s="35" t="s">
        <v>167</v>
      </c>
      <c r="D41" s="18" t="s">
        <v>67</v>
      </c>
      <c r="E41" s="52">
        <v>1</v>
      </c>
      <c r="F41" s="53"/>
      <c r="G41" s="50"/>
      <c r="H41" s="50">
        <f t="shared" si="7"/>
        <v>0</v>
      </c>
      <c r="I41" s="50"/>
      <c r="J41" s="50"/>
      <c r="K41" s="51">
        <f t="shared" si="8"/>
        <v>0</v>
      </c>
      <c r="L41" s="53">
        <f t="shared" si="9"/>
        <v>0</v>
      </c>
      <c r="M41" s="50">
        <f t="shared" si="10"/>
        <v>0</v>
      </c>
      <c r="N41" s="50">
        <f t="shared" si="11"/>
        <v>0</v>
      </c>
      <c r="O41" s="50">
        <f t="shared" si="12"/>
        <v>0</v>
      </c>
      <c r="P41" s="78">
        <f t="shared" si="13"/>
        <v>0</v>
      </c>
      <c r="Q41" s="79"/>
      <c r="R41" s="79"/>
    </row>
    <row r="42" spans="1:18" ht="10.7" customHeight="1" thickBot="1" x14ac:dyDescent="0.25">
      <c r="A42" s="428" t="s">
        <v>486</v>
      </c>
      <c r="B42" s="429"/>
      <c r="C42" s="429"/>
      <c r="D42" s="429"/>
      <c r="E42" s="429"/>
      <c r="F42" s="429"/>
      <c r="G42" s="429"/>
      <c r="H42" s="429"/>
      <c r="I42" s="429"/>
      <c r="J42" s="429"/>
      <c r="K42" s="430"/>
      <c r="L42" s="54">
        <f>SUM(L14:L41)</f>
        <v>0</v>
      </c>
      <c r="M42" s="55">
        <f>SUM(M14:M41)</f>
        <v>0</v>
      </c>
      <c r="N42" s="55">
        <f>SUM(N14:N41)</f>
        <v>0</v>
      </c>
      <c r="O42" s="55">
        <f>SUM(O14:O41)</f>
        <v>0</v>
      </c>
      <c r="P42" s="56">
        <f>SUM(P14:P41)</f>
        <v>0</v>
      </c>
    </row>
    <row r="43" spans="1:18" x14ac:dyDescent="0.2">
      <c r="A43" s="12"/>
      <c r="B43" s="12"/>
      <c r="C43" s="12"/>
      <c r="D43" s="12"/>
      <c r="E43" s="12"/>
      <c r="F43" s="12"/>
      <c r="G43" s="12"/>
      <c r="H43" s="12"/>
      <c r="I43" s="12"/>
      <c r="J43" s="12"/>
      <c r="K43" s="12"/>
      <c r="L43" s="12"/>
      <c r="M43" s="12"/>
      <c r="N43" s="12"/>
      <c r="O43" s="12"/>
      <c r="P43" s="12"/>
    </row>
    <row r="44" spans="1:18" x14ac:dyDescent="0.2">
      <c r="A44" s="12"/>
      <c r="B44" s="12"/>
      <c r="C44" s="12"/>
      <c r="D44" s="12"/>
      <c r="E44" s="12"/>
      <c r="F44" s="12"/>
      <c r="G44" s="12"/>
      <c r="H44" s="12"/>
      <c r="I44" s="12"/>
      <c r="J44" s="12"/>
      <c r="K44" s="12"/>
      <c r="L44" s="12"/>
      <c r="M44" s="12"/>
      <c r="N44" s="12"/>
      <c r="O44" s="12"/>
      <c r="P44" s="12"/>
    </row>
    <row r="45" spans="1:18" x14ac:dyDescent="0.2">
      <c r="A45" s="1" t="s">
        <v>14</v>
      </c>
      <c r="B45" s="12"/>
      <c r="C45" s="439">
        <f>'Kops a'!C38:H38</f>
        <v>0</v>
      </c>
      <c r="D45" s="439"/>
      <c r="E45" s="439"/>
      <c r="F45" s="439"/>
      <c r="G45" s="439"/>
      <c r="H45" s="439"/>
      <c r="I45" s="12"/>
      <c r="J45" s="12"/>
      <c r="K45" s="12"/>
      <c r="L45" s="12"/>
      <c r="M45" s="12"/>
      <c r="N45" s="12"/>
      <c r="O45" s="12"/>
      <c r="P45" s="12"/>
    </row>
    <row r="46" spans="1:18" x14ac:dyDescent="0.2">
      <c r="A46" s="12"/>
      <c r="B46" s="12"/>
      <c r="C46" s="363" t="s">
        <v>15</v>
      </c>
      <c r="D46" s="363"/>
      <c r="E46" s="363"/>
      <c r="F46" s="363"/>
      <c r="G46" s="363"/>
      <c r="H46" s="363"/>
      <c r="I46" s="12"/>
      <c r="J46" s="12"/>
      <c r="K46" s="12"/>
      <c r="L46" s="12"/>
      <c r="M46" s="12"/>
      <c r="N46" s="12"/>
      <c r="O46" s="12"/>
      <c r="P46" s="12"/>
    </row>
    <row r="47" spans="1:18" x14ac:dyDescent="0.2">
      <c r="A47" s="12"/>
      <c r="B47" s="12"/>
      <c r="C47" s="12"/>
      <c r="D47" s="12"/>
      <c r="E47" s="12"/>
      <c r="F47" s="12"/>
      <c r="G47" s="12"/>
      <c r="H47" s="12"/>
      <c r="I47" s="12"/>
      <c r="J47" s="12"/>
      <c r="K47" s="12"/>
      <c r="L47" s="12"/>
      <c r="M47" s="12"/>
      <c r="N47" s="12"/>
      <c r="O47" s="12"/>
      <c r="P47" s="12"/>
    </row>
    <row r="48" spans="1:18" x14ac:dyDescent="0.2">
      <c r="A48" s="68" t="str">
        <f>'Kops a'!A41</f>
        <v>Tāme sastādīta 2021. gada</v>
      </c>
      <c r="B48" s="69"/>
      <c r="C48" s="69"/>
      <c r="D48" s="69"/>
      <c r="E48" s="12"/>
      <c r="F48" s="12"/>
      <c r="G48" s="12"/>
      <c r="H48" s="12"/>
      <c r="I48" s="12"/>
      <c r="J48" s="12"/>
      <c r="K48" s="12"/>
      <c r="L48" s="12"/>
      <c r="M48" s="12"/>
      <c r="N48" s="12"/>
      <c r="O48" s="12"/>
      <c r="P48" s="12"/>
    </row>
    <row r="49" spans="1:16" x14ac:dyDescent="0.2">
      <c r="A49" s="12"/>
      <c r="B49" s="12"/>
      <c r="C49" s="12"/>
      <c r="D49" s="12"/>
      <c r="E49" s="12"/>
      <c r="F49" s="12"/>
      <c r="G49" s="12"/>
      <c r="H49" s="12"/>
      <c r="I49" s="12"/>
      <c r="J49" s="12"/>
      <c r="K49" s="12"/>
      <c r="L49" s="12"/>
      <c r="M49" s="12"/>
      <c r="N49" s="12"/>
      <c r="O49" s="12"/>
      <c r="P49" s="12"/>
    </row>
    <row r="50" spans="1:16" x14ac:dyDescent="0.2">
      <c r="A50" s="1" t="s">
        <v>37</v>
      </c>
      <c r="B50" s="12"/>
      <c r="C50" s="439">
        <f>'Kops a'!C43:H43</f>
        <v>0</v>
      </c>
      <c r="D50" s="439"/>
      <c r="E50" s="439"/>
      <c r="F50" s="439"/>
      <c r="G50" s="439"/>
      <c r="H50" s="439"/>
      <c r="I50" s="12"/>
      <c r="J50" s="12"/>
      <c r="K50" s="12"/>
      <c r="L50" s="12"/>
      <c r="M50" s="12"/>
      <c r="N50" s="12"/>
      <c r="O50" s="12"/>
      <c r="P50" s="12"/>
    </row>
    <row r="51" spans="1:16" x14ac:dyDescent="0.2">
      <c r="A51" s="12"/>
      <c r="B51" s="12"/>
      <c r="C51" s="363" t="s">
        <v>15</v>
      </c>
      <c r="D51" s="363"/>
      <c r="E51" s="363"/>
      <c r="F51" s="363"/>
      <c r="G51" s="363"/>
      <c r="H51" s="363"/>
      <c r="I51" s="12"/>
      <c r="J51" s="12"/>
      <c r="K51" s="12"/>
      <c r="L51" s="12"/>
      <c r="M51" s="12"/>
      <c r="N51" s="12"/>
      <c r="O51" s="12"/>
      <c r="P51" s="12"/>
    </row>
    <row r="52" spans="1:16" x14ac:dyDescent="0.2">
      <c r="A52" s="12"/>
      <c r="B52" s="12"/>
      <c r="C52" s="12"/>
      <c r="D52" s="12"/>
      <c r="E52" s="12"/>
      <c r="F52" s="12"/>
      <c r="G52" s="12"/>
      <c r="H52" s="12"/>
      <c r="I52" s="12"/>
      <c r="J52" s="12"/>
      <c r="K52" s="12"/>
      <c r="L52" s="12"/>
      <c r="M52" s="12"/>
      <c r="N52" s="12"/>
      <c r="O52" s="12"/>
      <c r="P52" s="12"/>
    </row>
    <row r="53" spans="1:16" x14ac:dyDescent="0.2">
      <c r="A53" s="68" t="s">
        <v>54</v>
      </c>
      <c r="B53" s="69"/>
      <c r="C53" s="72">
        <f>'Kops a'!C46</f>
        <v>0</v>
      </c>
      <c r="D53" s="36"/>
      <c r="E53" s="12"/>
      <c r="F53" s="12"/>
      <c r="G53" s="12"/>
      <c r="H53" s="12"/>
      <c r="I53" s="12"/>
      <c r="J53" s="12"/>
      <c r="K53" s="12"/>
      <c r="L53" s="12"/>
      <c r="M53" s="12"/>
      <c r="N53" s="12"/>
      <c r="O53" s="12"/>
      <c r="P53" s="12"/>
    </row>
    <row r="54" spans="1:16" x14ac:dyDescent="0.2">
      <c r="A54" s="12"/>
      <c r="B54" s="12"/>
      <c r="C54" s="12"/>
      <c r="D54" s="12"/>
      <c r="E54" s="12"/>
      <c r="F54" s="12"/>
      <c r="G54" s="12"/>
      <c r="H54" s="12"/>
      <c r="I54" s="12"/>
      <c r="J54" s="12"/>
      <c r="K54" s="12"/>
      <c r="L54" s="12"/>
      <c r="M54" s="12"/>
      <c r="N54" s="12"/>
      <c r="O54" s="12"/>
      <c r="P54" s="12"/>
    </row>
    <row r="55" spans="1:16" ht="12" x14ac:dyDescent="0.2">
      <c r="A55" s="106" t="s">
        <v>89</v>
      </c>
      <c r="B55" s="107"/>
      <c r="C55" s="108"/>
      <c r="D55" s="108"/>
      <c r="E55" s="109"/>
      <c r="F55" s="110"/>
      <c r="G55" s="109"/>
      <c r="H55" s="111"/>
      <c r="I55" s="111"/>
      <c r="J55" s="112"/>
      <c r="K55" s="113"/>
      <c r="L55" s="113"/>
      <c r="M55" s="113"/>
      <c r="N55" s="113"/>
      <c r="O55" s="113"/>
    </row>
    <row r="56" spans="1:16" ht="12" x14ac:dyDescent="0.2">
      <c r="A56" s="435" t="s">
        <v>90</v>
      </c>
      <c r="B56" s="435"/>
      <c r="C56" s="435"/>
      <c r="D56" s="435"/>
      <c r="E56" s="435"/>
      <c r="F56" s="435"/>
      <c r="G56" s="435"/>
      <c r="H56" s="435"/>
      <c r="I56" s="435"/>
      <c r="J56" s="435"/>
      <c r="K56" s="435"/>
      <c r="L56" s="435"/>
      <c r="M56" s="435"/>
      <c r="N56" s="435"/>
      <c r="O56" s="435"/>
    </row>
    <row r="57" spans="1:16" ht="12" x14ac:dyDescent="0.2">
      <c r="A57" s="435" t="s">
        <v>91</v>
      </c>
      <c r="B57" s="435"/>
      <c r="C57" s="435"/>
      <c r="D57" s="435"/>
      <c r="E57" s="435"/>
      <c r="F57" s="435"/>
      <c r="G57" s="435"/>
      <c r="H57" s="435"/>
      <c r="I57" s="435"/>
      <c r="J57" s="435"/>
      <c r="K57" s="435"/>
      <c r="L57" s="435"/>
      <c r="M57" s="435"/>
      <c r="N57" s="435"/>
      <c r="O57" s="435"/>
    </row>
  </sheetData>
  <mergeCells count="24">
    <mergeCell ref="A57:O57"/>
    <mergeCell ref="C2:I2"/>
    <mergeCell ref="C3:I3"/>
    <mergeCell ref="D5:L5"/>
    <mergeCell ref="D6:L6"/>
    <mergeCell ref="D7:L7"/>
    <mergeCell ref="N9:O9"/>
    <mergeCell ref="A12:A13"/>
    <mergeCell ref="B12:B13"/>
    <mergeCell ref="C12:C13"/>
    <mergeCell ref="D12:D13"/>
    <mergeCell ref="E12:E13"/>
    <mergeCell ref="L12:P12"/>
    <mergeCell ref="C45:H45"/>
    <mergeCell ref="C46:H46"/>
    <mergeCell ref="C50:H50"/>
    <mergeCell ref="C51:H51"/>
    <mergeCell ref="C4:I4"/>
    <mergeCell ref="D8:L8"/>
    <mergeCell ref="A42:K42"/>
    <mergeCell ref="A56:O56"/>
    <mergeCell ref="F12:K12"/>
    <mergeCell ref="A9:F9"/>
    <mergeCell ref="J9:M9"/>
  </mergeCells>
  <conditionalFormatting sqref="I14:J41 A14:G41">
    <cfRule type="cellIs" dxfId="142" priority="28" operator="equal">
      <formula>0</formula>
    </cfRule>
  </conditionalFormatting>
  <conditionalFormatting sqref="N9:O9 H14:H41 K14:P41">
    <cfRule type="cellIs" dxfId="141" priority="27" operator="equal">
      <formula>0</formula>
    </cfRule>
  </conditionalFormatting>
  <conditionalFormatting sqref="A9:F9">
    <cfRule type="containsText" dxfId="140"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39" priority="24" operator="equal">
      <formula>0</formula>
    </cfRule>
  </conditionalFormatting>
  <conditionalFormatting sqref="O10">
    <cfRule type="cellIs" dxfId="138" priority="23" operator="equal">
      <formula>"20__. gada __. _________"</formula>
    </cfRule>
  </conditionalFormatting>
  <conditionalFormatting sqref="L42:P42">
    <cfRule type="cellIs" dxfId="137" priority="17" operator="equal">
      <formula>0</formula>
    </cfRule>
  </conditionalFormatting>
  <conditionalFormatting sqref="C4:I4">
    <cfRule type="cellIs" dxfId="136" priority="16" operator="equal">
      <formula>0</formula>
    </cfRule>
  </conditionalFormatting>
  <conditionalFormatting sqref="D5:L8">
    <cfRule type="cellIs" dxfId="135" priority="13" operator="equal">
      <formula>0</formula>
    </cfRule>
  </conditionalFormatting>
  <conditionalFormatting sqref="P10">
    <cfRule type="cellIs" dxfId="134" priority="9" operator="equal">
      <formula>"20__. gada __. _________"</formula>
    </cfRule>
  </conditionalFormatting>
  <conditionalFormatting sqref="C50:H50">
    <cfRule type="cellIs" dxfId="133" priority="6" operator="equal">
      <formula>0</formula>
    </cfRule>
  </conditionalFormatting>
  <conditionalFormatting sqref="C45:H45">
    <cfRule type="cellIs" dxfId="132" priority="5" operator="equal">
      <formula>0</formula>
    </cfRule>
  </conditionalFormatting>
  <conditionalFormatting sqref="C50:H50 C53 C45:H45">
    <cfRule type="cellIs" dxfId="131" priority="4" operator="equal">
      <formula>0</formula>
    </cfRule>
  </conditionalFormatting>
  <conditionalFormatting sqref="D1">
    <cfRule type="cellIs" dxfId="130" priority="3" operator="equal">
      <formula>0</formula>
    </cfRule>
  </conditionalFormatting>
  <conditionalFormatting sqref="A42:K42">
    <cfRule type="containsText" dxfId="129" priority="1" operator="containsText" text="Tiešās izmaksas kopā, t. sk. darba devēja sociālais nodoklis __.__% ">
      <formula>NOT(ISERROR(SEARCH("Tiešās izmaksas kopā, t. sk. darba devēja sociālais nodoklis __.__% ",A42)))</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8" operator="containsText" id="{0B610FE1-6F17-46AF-982B-27B20E80701D}">
            <xm:f>NOT(ISERROR(SEARCH("Tāme sastādīta ____. gada ___. ______________",A48)))</xm:f>
            <xm:f>"Tāme sastādīta ____. gada ___. ______________"</xm:f>
            <x14:dxf>
              <font>
                <color auto="1"/>
              </font>
              <fill>
                <patternFill>
                  <bgColor rgb="FFC6EFCE"/>
                </patternFill>
              </fill>
            </x14:dxf>
          </x14:cfRule>
          <xm:sqref>A48</xm:sqref>
        </x14:conditionalFormatting>
        <x14:conditionalFormatting xmlns:xm="http://schemas.microsoft.com/office/excel/2006/main">
          <x14:cfRule type="containsText" priority="7" operator="containsText" id="{F3EAEDA8-031E-4BF8-B71A-4A6D64C3BFEB}">
            <xm:f>NOT(ISERROR(SEARCH("Sertifikāta Nr. _________________________________",A53)))</xm:f>
            <xm:f>"Sertifikāta Nr. _________________________________"</xm:f>
            <x14:dxf>
              <font>
                <color auto="1"/>
              </font>
              <fill>
                <patternFill>
                  <bgColor rgb="FFC6EFCE"/>
                </patternFill>
              </fill>
            </x14:dxf>
          </x14:cfRule>
          <xm:sqref>A53</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92D050"/>
  </sheetPr>
  <dimension ref="A1:R37"/>
  <sheetViews>
    <sheetView zoomScale="130" zoomScaleNormal="130" zoomScaleSheetLayoutView="115" workbookViewId="0">
      <selection activeCell="G85" sqref="G85"/>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8" x14ac:dyDescent="0.2">
      <c r="A1" s="16"/>
      <c r="B1" s="16"/>
      <c r="C1" s="20" t="s">
        <v>38</v>
      </c>
      <c r="D1" s="37">
        <f>'Kops a'!A19</f>
        <v>5</v>
      </c>
      <c r="E1" s="16"/>
      <c r="F1" s="16"/>
      <c r="G1" s="16"/>
      <c r="H1" s="16"/>
      <c r="I1" s="16"/>
      <c r="J1" s="16"/>
      <c r="N1" s="19"/>
      <c r="O1" s="20"/>
      <c r="P1" s="21"/>
    </row>
    <row r="2" spans="1:18" x14ac:dyDescent="0.2">
      <c r="A2" s="22"/>
      <c r="B2" s="22"/>
      <c r="C2" s="410" t="s">
        <v>170</v>
      </c>
      <c r="D2" s="410"/>
      <c r="E2" s="410"/>
      <c r="F2" s="410"/>
      <c r="G2" s="410"/>
      <c r="H2" s="410"/>
      <c r="I2" s="410"/>
      <c r="J2" s="22"/>
    </row>
    <row r="3" spans="1:18" x14ac:dyDescent="0.2">
      <c r="A3" s="23"/>
      <c r="B3" s="23"/>
      <c r="C3" s="372" t="s">
        <v>17</v>
      </c>
      <c r="D3" s="372"/>
      <c r="E3" s="372"/>
      <c r="F3" s="372"/>
      <c r="G3" s="372"/>
      <c r="H3" s="372"/>
      <c r="I3" s="372"/>
      <c r="J3" s="23"/>
    </row>
    <row r="4" spans="1:18" x14ac:dyDescent="0.2">
      <c r="A4" s="23"/>
      <c r="B4" s="23"/>
      <c r="C4" s="412" t="s">
        <v>52</v>
      </c>
      <c r="D4" s="412"/>
      <c r="E4" s="412"/>
      <c r="F4" s="412"/>
      <c r="G4" s="412"/>
      <c r="H4" s="412"/>
      <c r="I4" s="412"/>
      <c r="J4" s="23"/>
    </row>
    <row r="5" spans="1:18" x14ac:dyDescent="0.2">
      <c r="A5" s="16"/>
      <c r="B5" s="16"/>
      <c r="C5" s="20" t="s">
        <v>5</v>
      </c>
      <c r="D5" s="433" t="str">
        <f>'Kops a'!D6</f>
        <v>Dzīvojamās ēkas vienkāršotā atjaunošana</v>
      </c>
      <c r="E5" s="433"/>
      <c r="F5" s="433"/>
      <c r="G5" s="433"/>
      <c r="H5" s="433"/>
      <c r="I5" s="433"/>
      <c r="J5" s="433"/>
      <c r="K5" s="433"/>
      <c r="L5" s="433"/>
      <c r="M5" s="12"/>
      <c r="N5" s="12"/>
      <c r="O5" s="12"/>
      <c r="P5" s="12"/>
    </row>
    <row r="6" spans="1:18" x14ac:dyDescent="0.2">
      <c r="A6" s="16"/>
      <c r="B6" s="16"/>
      <c r="C6" s="20" t="s">
        <v>6</v>
      </c>
      <c r="D6" s="433" t="str">
        <f>'Kops a'!D7</f>
        <v>Daudzdzīvokļu dzīvojamās mājas energoefektivitātes paaugstināšanas pasākumi</v>
      </c>
      <c r="E6" s="433"/>
      <c r="F6" s="433"/>
      <c r="G6" s="433"/>
      <c r="H6" s="433"/>
      <c r="I6" s="433"/>
      <c r="J6" s="433"/>
      <c r="K6" s="433"/>
      <c r="L6" s="433"/>
      <c r="M6" s="12"/>
      <c r="N6" s="12"/>
      <c r="O6" s="12"/>
      <c r="P6" s="12"/>
    </row>
    <row r="7" spans="1:18" x14ac:dyDescent="0.2">
      <c r="A7" s="16"/>
      <c r="B7" s="16"/>
      <c r="C7" s="20" t="s">
        <v>7</v>
      </c>
      <c r="D7" s="433" t="str">
        <f>'Kops a'!D8</f>
        <v xml:space="preserve">Atmodas bulvārī 12, Liepājā. </v>
      </c>
      <c r="E7" s="433"/>
      <c r="F7" s="433"/>
      <c r="G7" s="433"/>
      <c r="H7" s="433"/>
      <c r="I7" s="433"/>
      <c r="J7" s="433"/>
      <c r="K7" s="433"/>
      <c r="L7" s="433"/>
      <c r="M7" s="12"/>
      <c r="N7" s="12"/>
      <c r="O7" s="12"/>
      <c r="P7" s="12"/>
    </row>
    <row r="8" spans="1:18" x14ac:dyDescent="0.2">
      <c r="A8" s="16"/>
      <c r="B8" s="16"/>
      <c r="C8" s="97" t="s">
        <v>20</v>
      </c>
      <c r="D8" s="433" t="str">
        <f>'Kops a'!D9</f>
        <v>WS-5-18</v>
      </c>
      <c r="E8" s="433"/>
      <c r="F8" s="433"/>
      <c r="G8" s="433"/>
      <c r="H8" s="433"/>
      <c r="I8" s="433"/>
      <c r="J8" s="433"/>
      <c r="K8" s="433"/>
      <c r="L8" s="433"/>
      <c r="M8" s="12"/>
      <c r="N8" s="12"/>
      <c r="O8" s="12"/>
      <c r="P8" s="12"/>
    </row>
    <row r="9" spans="1:18" ht="11.25" customHeight="1" x14ac:dyDescent="0.2">
      <c r="A9" s="413" t="s">
        <v>493</v>
      </c>
      <c r="B9" s="413"/>
      <c r="C9" s="413"/>
      <c r="D9" s="413"/>
      <c r="E9" s="413"/>
      <c r="F9" s="413"/>
      <c r="G9" s="24"/>
      <c r="H9" s="24"/>
      <c r="I9" s="24"/>
      <c r="J9" s="417" t="s">
        <v>39</v>
      </c>
      <c r="K9" s="417"/>
      <c r="L9" s="417"/>
      <c r="M9" s="417"/>
      <c r="N9" s="424">
        <f>P22</f>
        <v>0</v>
      </c>
      <c r="O9" s="424"/>
      <c r="P9" s="24"/>
    </row>
    <row r="10" spans="1:18" x14ac:dyDescent="0.2">
      <c r="A10" s="25"/>
      <c r="B10" s="26"/>
      <c r="C10" s="97"/>
      <c r="D10" s="16"/>
      <c r="E10" s="16"/>
      <c r="F10" s="16"/>
      <c r="G10" s="16"/>
      <c r="H10" s="16"/>
      <c r="I10" s="16"/>
      <c r="J10" s="16"/>
      <c r="K10" s="16"/>
      <c r="L10" s="22"/>
      <c r="M10" s="22"/>
      <c r="O10" s="71"/>
      <c r="P10" s="70" t="str">
        <f>A28</f>
        <v>Tāme sastādīta 2021. gada</v>
      </c>
    </row>
    <row r="11" spans="1:18" ht="12" thickBot="1" x14ac:dyDescent="0.25">
      <c r="A11" s="25"/>
      <c r="B11" s="26"/>
      <c r="C11" s="97"/>
      <c r="D11" s="16"/>
      <c r="E11" s="16"/>
      <c r="F11" s="16"/>
      <c r="G11" s="16"/>
      <c r="H11" s="16"/>
      <c r="I11" s="16"/>
      <c r="J11" s="16"/>
      <c r="K11" s="16"/>
      <c r="L11" s="27"/>
      <c r="M11" s="27"/>
      <c r="N11" s="28"/>
      <c r="O11" s="19"/>
      <c r="P11" s="16"/>
    </row>
    <row r="12" spans="1:18" x14ac:dyDescent="0.2">
      <c r="A12" s="383" t="s">
        <v>23</v>
      </c>
      <c r="B12" s="419" t="s">
        <v>40</v>
      </c>
      <c r="C12" s="415" t="s">
        <v>41</v>
      </c>
      <c r="D12" s="422" t="s">
        <v>42</v>
      </c>
      <c r="E12" s="431" t="s">
        <v>43</v>
      </c>
      <c r="F12" s="414" t="s">
        <v>44</v>
      </c>
      <c r="G12" s="415"/>
      <c r="H12" s="415"/>
      <c r="I12" s="415"/>
      <c r="J12" s="415"/>
      <c r="K12" s="416"/>
      <c r="L12" s="414" t="s">
        <v>45</v>
      </c>
      <c r="M12" s="415"/>
      <c r="N12" s="415"/>
      <c r="O12" s="415"/>
      <c r="P12" s="416"/>
    </row>
    <row r="13" spans="1:18" ht="126.75" customHeight="1" thickBot="1" x14ac:dyDescent="0.25">
      <c r="A13" s="418"/>
      <c r="B13" s="420"/>
      <c r="C13" s="421"/>
      <c r="D13" s="423"/>
      <c r="E13" s="432"/>
      <c r="F13" s="101" t="s">
        <v>46</v>
      </c>
      <c r="G13" s="102" t="s">
        <v>47</v>
      </c>
      <c r="H13" s="102" t="s">
        <v>48</v>
      </c>
      <c r="I13" s="102" t="s">
        <v>49</v>
      </c>
      <c r="J13" s="102" t="s">
        <v>50</v>
      </c>
      <c r="K13" s="46" t="s">
        <v>51</v>
      </c>
      <c r="L13" s="101" t="s">
        <v>46</v>
      </c>
      <c r="M13" s="102" t="s">
        <v>48</v>
      </c>
      <c r="N13" s="102" t="s">
        <v>49</v>
      </c>
      <c r="O13" s="102" t="s">
        <v>50</v>
      </c>
      <c r="P13" s="46" t="s">
        <v>51</v>
      </c>
    </row>
    <row r="14" spans="1:18" x14ac:dyDescent="0.2">
      <c r="A14" s="79">
        <f>IF(COUNTBLANK(B14)=1," ",COUNTA($B$13:B14))</f>
        <v>1</v>
      </c>
      <c r="B14" s="47" t="s">
        <v>58</v>
      </c>
      <c r="C14" s="48" t="s">
        <v>168</v>
      </c>
      <c r="D14" s="49" t="s">
        <v>67</v>
      </c>
      <c r="E14" s="52">
        <v>4</v>
      </c>
      <c r="F14" s="53"/>
      <c r="G14" s="50"/>
      <c r="H14" s="50">
        <f>ROUND(F14*G14,2)</f>
        <v>0</v>
      </c>
      <c r="I14" s="50"/>
      <c r="J14" s="50"/>
      <c r="K14" s="51">
        <f>SUM(H14:J14)</f>
        <v>0</v>
      </c>
      <c r="L14" s="53">
        <f>ROUND(E14*F14,2)</f>
        <v>0</v>
      </c>
      <c r="M14" s="50">
        <f>ROUND(H14*E14,2)</f>
        <v>0</v>
      </c>
      <c r="N14" s="50">
        <f>ROUND(I14*E14,2)</f>
        <v>0</v>
      </c>
      <c r="O14" s="50">
        <f>ROUND(J14*E14,2)</f>
        <v>0</v>
      </c>
      <c r="P14" s="78">
        <f>SUM(M14:O14)</f>
        <v>0</v>
      </c>
      <c r="Q14" s="79"/>
      <c r="R14" s="79"/>
    </row>
    <row r="15" spans="1:18" x14ac:dyDescent="0.2">
      <c r="A15" s="79">
        <f>IF(COUNTBLANK(B15)=1," ",COUNTA($B$13:B15))</f>
        <v>2</v>
      </c>
      <c r="B15" s="29" t="s">
        <v>58</v>
      </c>
      <c r="C15" s="35" t="s">
        <v>66</v>
      </c>
      <c r="D15" s="18" t="s">
        <v>67</v>
      </c>
      <c r="E15" s="52">
        <f>E14</f>
        <v>4</v>
      </c>
      <c r="F15" s="53"/>
      <c r="G15" s="50"/>
      <c r="H15" s="50">
        <f t="shared" ref="H15:H21" si="0">ROUND(F15*G15,2)</f>
        <v>0</v>
      </c>
      <c r="I15" s="50"/>
      <c r="J15" s="50"/>
      <c r="K15" s="51">
        <f t="shared" ref="K15:K21" si="1">SUM(H15:J15)</f>
        <v>0</v>
      </c>
      <c r="L15" s="53">
        <f t="shared" ref="L15:L21" si="2">ROUND(E15*F15,2)</f>
        <v>0</v>
      </c>
      <c r="M15" s="50">
        <f t="shared" ref="M15:M21" si="3">ROUND(H15*E15,2)</f>
        <v>0</v>
      </c>
      <c r="N15" s="50">
        <f t="shared" ref="N15:N21" si="4">ROUND(I15*E15,2)</f>
        <v>0</v>
      </c>
      <c r="O15" s="50">
        <f t="shared" ref="O15:O21" si="5">ROUND(J15*E15,2)</f>
        <v>0</v>
      </c>
      <c r="P15" s="78">
        <f t="shared" ref="P15:P21" si="6">SUM(M15:O15)</f>
        <v>0</v>
      </c>
      <c r="Q15" s="79"/>
      <c r="R15" s="79"/>
    </row>
    <row r="16" spans="1:18" x14ac:dyDescent="0.2">
      <c r="A16" s="79" t="str">
        <f>IF(COUNTBLANK(B16)=1," ",COUNTA($B$13:B16))</f>
        <v xml:space="preserve"> </v>
      </c>
      <c r="B16" s="29"/>
      <c r="C16" s="35" t="s">
        <v>68</v>
      </c>
      <c r="D16" s="18" t="s">
        <v>61</v>
      </c>
      <c r="E16" s="52">
        <f>4/E15</f>
        <v>1</v>
      </c>
      <c r="F16" s="53"/>
      <c r="G16" s="50"/>
      <c r="H16" s="50">
        <f t="shared" si="0"/>
        <v>0</v>
      </c>
      <c r="I16" s="50"/>
      <c r="J16" s="50"/>
      <c r="K16" s="51">
        <f t="shared" si="1"/>
        <v>0</v>
      </c>
      <c r="L16" s="53">
        <f t="shared" si="2"/>
        <v>0</v>
      </c>
      <c r="M16" s="50">
        <f t="shared" si="3"/>
        <v>0</v>
      </c>
      <c r="N16" s="50">
        <f t="shared" si="4"/>
        <v>0</v>
      </c>
      <c r="O16" s="50">
        <f t="shared" si="5"/>
        <v>0</v>
      </c>
      <c r="P16" s="78">
        <f t="shared" si="6"/>
        <v>0</v>
      </c>
      <c r="Q16" s="79"/>
      <c r="R16" s="79"/>
    </row>
    <row r="17" spans="1:18" x14ac:dyDescent="0.2">
      <c r="A17" s="79">
        <f>IF(COUNTBLANK(B17)=1," ",COUNTA($B$13:B17))</f>
        <v>3</v>
      </c>
      <c r="B17" s="29" t="s">
        <v>58</v>
      </c>
      <c r="C17" s="35" t="s">
        <v>263</v>
      </c>
      <c r="D17" s="18" t="s">
        <v>63</v>
      </c>
      <c r="E17" s="52">
        <v>870</v>
      </c>
      <c r="F17" s="53"/>
      <c r="G17" s="50"/>
      <c r="H17" s="50">
        <f t="shared" si="0"/>
        <v>0</v>
      </c>
      <c r="I17" s="50"/>
      <c r="J17" s="50"/>
      <c r="K17" s="51">
        <f t="shared" si="1"/>
        <v>0</v>
      </c>
      <c r="L17" s="53">
        <f t="shared" si="2"/>
        <v>0</v>
      </c>
      <c r="M17" s="50">
        <f t="shared" si="3"/>
        <v>0</v>
      </c>
      <c r="N17" s="50">
        <f t="shared" si="4"/>
        <v>0</v>
      </c>
      <c r="O17" s="50">
        <f t="shared" si="5"/>
        <v>0</v>
      </c>
      <c r="P17" s="78">
        <f t="shared" si="6"/>
        <v>0</v>
      </c>
      <c r="Q17" s="79"/>
      <c r="R17" s="79"/>
    </row>
    <row r="18" spans="1:18" x14ac:dyDescent="0.2">
      <c r="A18" s="79" t="str">
        <f>IF(COUNTBLANK(B18)=1," ",COUNTA($B$13:B18))</f>
        <v xml:space="preserve"> </v>
      </c>
      <c r="B18" s="29"/>
      <c r="C18" s="35" t="s">
        <v>365</v>
      </c>
      <c r="D18" s="18" t="s">
        <v>64</v>
      </c>
      <c r="E18" s="52">
        <f>E17*0.3</f>
        <v>261</v>
      </c>
      <c r="F18" s="53"/>
      <c r="G18" s="50"/>
      <c r="H18" s="50">
        <f t="shared" si="0"/>
        <v>0</v>
      </c>
      <c r="I18" s="50"/>
      <c r="J18" s="50"/>
      <c r="K18" s="51">
        <f t="shared" si="1"/>
        <v>0</v>
      </c>
      <c r="L18" s="53">
        <f t="shared" si="2"/>
        <v>0</v>
      </c>
      <c r="M18" s="50">
        <f t="shared" si="3"/>
        <v>0</v>
      </c>
      <c r="N18" s="50">
        <f t="shared" si="4"/>
        <v>0</v>
      </c>
      <c r="O18" s="50">
        <f t="shared" si="5"/>
        <v>0</v>
      </c>
      <c r="P18" s="78">
        <f t="shared" si="6"/>
        <v>0</v>
      </c>
      <c r="Q18" s="79"/>
      <c r="R18" s="79"/>
    </row>
    <row r="19" spans="1:18" ht="45" x14ac:dyDescent="0.2">
      <c r="A19" s="79">
        <f>IF(COUNTBLANK(B19)=1," ",COUNTA($B$13:B19))</f>
        <v>4</v>
      </c>
      <c r="B19" s="29" t="s">
        <v>58</v>
      </c>
      <c r="C19" s="35" t="s">
        <v>264</v>
      </c>
      <c r="D19" s="18" t="s">
        <v>63</v>
      </c>
      <c r="E19" s="52">
        <f>E17</f>
        <v>870</v>
      </c>
      <c r="F19" s="53"/>
      <c r="G19" s="50"/>
      <c r="H19" s="50">
        <f t="shared" si="0"/>
        <v>0</v>
      </c>
      <c r="I19" s="50"/>
      <c r="J19" s="50"/>
      <c r="K19" s="51">
        <f t="shared" si="1"/>
        <v>0</v>
      </c>
      <c r="L19" s="53">
        <f t="shared" si="2"/>
        <v>0</v>
      </c>
      <c r="M19" s="50">
        <f t="shared" si="3"/>
        <v>0</v>
      </c>
      <c r="N19" s="50">
        <f t="shared" si="4"/>
        <v>0</v>
      </c>
      <c r="O19" s="50">
        <f t="shared" si="5"/>
        <v>0</v>
      </c>
      <c r="P19" s="78">
        <f t="shared" si="6"/>
        <v>0</v>
      </c>
      <c r="Q19" s="79"/>
      <c r="R19" s="79"/>
    </row>
    <row r="20" spans="1:18" x14ac:dyDescent="0.2">
      <c r="A20" s="79" t="str">
        <f>IF(COUNTBLANK(B20)=1," ",COUNTA($B$13:B20))</f>
        <v xml:space="preserve"> </v>
      </c>
      <c r="B20" s="29"/>
      <c r="C20" s="35" t="s">
        <v>169</v>
      </c>
      <c r="D20" s="18" t="s">
        <v>63</v>
      </c>
      <c r="E20" s="52">
        <f>E19*1.15</f>
        <v>1000.4999999999999</v>
      </c>
      <c r="F20" s="53"/>
      <c r="G20" s="50"/>
      <c r="H20" s="50">
        <f t="shared" si="0"/>
        <v>0</v>
      </c>
      <c r="I20" s="50"/>
      <c r="J20" s="50"/>
      <c r="K20" s="51">
        <f t="shared" si="1"/>
        <v>0</v>
      </c>
      <c r="L20" s="53">
        <f t="shared" si="2"/>
        <v>0</v>
      </c>
      <c r="M20" s="50">
        <f t="shared" si="3"/>
        <v>0</v>
      </c>
      <c r="N20" s="50">
        <f t="shared" si="4"/>
        <v>0</v>
      </c>
      <c r="O20" s="50">
        <f t="shared" si="5"/>
        <v>0</v>
      </c>
      <c r="P20" s="78">
        <f t="shared" si="6"/>
        <v>0</v>
      </c>
      <c r="Q20" s="79"/>
      <c r="R20" s="79"/>
    </row>
    <row r="21" spans="1:18" ht="12" thickBot="1" x14ac:dyDescent="0.25">
      <c r="A21" s="79" t="str">
        <f>IF(COUNTBLANK(B21)=1," ",COUNTA($B$13:B21))</f>
        <v xml:space="preserve"> </v>
      </c>
      <c r="B21" s="29"/>
      <c r="C21" s="35" t="s">
        <v>80</v>
      </c>
      <c r="D21" s="18" t="s">
        <v>64</v>
      </c>
      <c r="E21" s="52">
        <f>E19*5</f>
        <v>4350</v>
      </c>
      <c r="F21" s="53"/>
      <c r="G21" s="50"/>
      <c r="H21" s="50">
        <f t="shared" si="0"/>
        <v>0</v>
      </c>
      <c r="I21" s="50"/>
      <c r="J21" s="50"/>
      <c r="K21" s="51">
        <f t="shared" si="1"/>
        <v>0</v>
      </c>
      <c r="L21" s="53">
        <f t="shared" si="2"/>
        <v>0</v>
      </c>
      <c r="M21" s="50">
        <f t="shared" si="3"/>
        <v>0</v>
      </c>
      <c r="N21" s="50">
        <f t="shared" si="4"/>
        <v>0</v>
      </c>
      <c r="O21" s="50">
        <f t="shared" si="5"/>
        <v>0</v>
      </c>
      <c r="P21" s="78">
        <f t="shared" si="6"/>
        <v>0</v>
      </c>
      <c r="Q21" s="79"/>
      <c r="R21" s="79"/>
    </row>
    <row r="22" spans="1:18" ht="10.7" customHeight="1" thickBot="1" x14ac:dyDescent="0.25">
      <c r="A22" s="428" t="s">
        <v>486</v>
      </c>
      <c r="B22" s="429"/>
      <c r="C22" s="429"/>
      <c r="D22" s="429"/>
      <c r="E22" s="429"/>
      <c r="F22" s="429"/>
      <c r="G22" s="429"/>
      <c r="H22" s="429"/>
      <c r="I22" s="429"/>
      <c r="J22" s="429"/>
      <c r="K22" s="430"/>
      <c r="L22" s="54">
        <f>SUM(L14:L21)</f>
        <v>0</v>
      </c>
      <c r="M22" s="55">
        <f>SUM(M14:M21)</f>
        <v>0</v>
      </c>
      <c r="N22" s="55">
        <f>SUM(N14:N21)</f>
        <v>0</v>
      </c>
      <c r="O22" s="55">
        <f>SUM(O14:O21)</f>
        <v>0</v>
      </c>
      <c r="P22" s="56">
        <f>SUM(P14:P21)</f>
        <v>0</v>
      </c>
    </row>
    <row r="23" spans="1:18" x14ac:dyDescent="0.2">
      <c r="A23" s="12"/>
      <c r="B23" s="12"/>
      <c r="C23" s="12"/>
      <c r="D23" s="12"/>
      <c r="E23" s="12"/>
      <c r="F23" s="12"/>
      <c r="G23" s="12"/>
      <c r="H23" s="12"/>
      <c r="I23" s="12"/>
      <c r="J23" s="12"/>
      <c r="K23" s="12"/>
      <c r="L23" s="12"/>
      <c r="M23" s="12"/>
      <c r="N23" s="12"/>
      <c r="O23" s="12"/>
      <c r="P23" s="12"/>
    </row>
    <row r="24" spans="1:18" x14ac:dyDescent="0.2">
      <c r="A24" s="12"/>
      <c r="B24" s="12"/>
      <c r="C24" s="12"/>
      <c r="D24" s="12"/>
      <c r="E24" s="12"/>
      <c r="F24" s="12"/>
      <c r="G24" s="12"/>
      <c r="H24" s="12"/>
      <c r="I24" s="12"/>
      <c r="J24" s="12"/>
      <c r="K24" s="12"/>
      <c r="L24" s="12"/>
      <c r="M24" s="12"/>
      <c r="N24" s="12"/>
      <c r="O24" s="12"/>
      <c r="P24" s="12"/>
    </row>
    <row r="25" spans="1:18" x14ac:dyDescent="0.2">
      <c r="A25" s="1" t="s">
        <v>14</v>
      </c>
      <c r="B25" s="12"/>
      <c r="C25" s="439">
        <f>'Kops a'!C38:H38</f>
        <v>0</v>
      </c>
      <c r="D25" s="439"/>
      <c r="E25" s="439"/>
      <c r="F25" s="439"/>
      <c r="G25" s="439"/>
      <c r="H25" s="439"/>
      <c r="I25" s="12"/>
      <c r="J25" s="12"/>
      <c r="K25" s="12"/>
      <c r="L25" s="12"/>
      <c r="M25" s="12"/>
      <c r="N25" s="12"/>
      <c r="O25" s="12"/>
      <c r="P25" s="12"/>
    </row>
    <row r="26" spans="1:18" x14ac:dyDescent="0.2">
      <c r="A26" s="12"/>
      <c r="B26" s="12"/>
      <c r="C26" s="363" t="s">
        <v>15</v>
      </c>
      <c r="D26" s="363"/>
      <c r="E26" s="363"/>
      <c r="F26" s="363"/>
      <c r="G26" s="363"/>
      <c r="H26" s="363"/>
      <c r="I26" s="12"/>
      <c r="J26" s="12"/>
      <c r="K26" s="12"/>
      <c r="L26" s="12"/>
      <c r="M26" s="12"/>
      <c r="N26" s="12"/>
      <c r="O26" s="12"/>
      <c r="P26" s="12"/>
    </row>
    <row r="27" spans="1:18" x14ac:dyDescent="0.2">
      <c r="A27" s="12"/>
      <c r="B27" s="12"/>
      <c r="C27" s="12"/>
      <c r="D27" s="12"/>
      <c r="E27" s="12"/>
      <c r="F27" s="12"/>
      <c r="G27" s="12"/>
      <c r="H27" s="12"/>
      <c r="I27" s="12"/>
      <c r="J27" s="12"/>
      <c r="K27" s="12"/>
      <c r="L27" s="12"/>
      <c r="M27" s="12"/>
      <c r="N27" s="12"/>
      <c r="O27" s="12"/>
      <c r="P27" s="12"/>
    </row>
    <row r="28" spans="1:18" x14ac:dyDescent="0.2">
      <c r="A28" s="68" t="str">
        <f>'Kops a'!A41</f>
        <v>Tāme sastādīta 2021. gada</v>
      </c>
      <c r="B28" s="69"/>
      <c r="C28" s="69"/>
      <c r="D28" s="69"/>
      <c r="E28" s="12"/>
      <c r="F28" s="12"/>
      <c r="G28" s="12"/>
      <c r="H28" s="12"/>
      <c r="I28" s="12"/>
      <c r="J28" s="12"/>
      <c r="K28" s="12"/>
      <c r="L28" s="12"/>
      <c r="M28" s="12"/>
      <c r="N28" s="12"/>
      <c r="O28" s="12"/>
      <c r="P28" s="12"/>
    </row>
    <row r="29" spans="1:18" x14ac:dyDescent="0.2">
      <c r="A29" s="12"/>
      <c r="B29" s="12"/>
      <c r="C29" s="12"/>
      <c r="D29" s="12"/>
      <c r="E29" s="12"/>
      <c r="F29" s="12"/>
      <c r="G29" s="12"/>
      <c r="H29" s="12"/>
      <c r="I29" s="12"/>
      <c r="J29" s="12"/>
      <c r="K29" s="12"/>
      <c r="L29" s="12"/>
      <c r="M29" s="12"/>
      <c r="N29" s="12"/>
      <c r="O29" s="12"/>
      <c r="P29" s="12"/>
    </row>
    <row r="30" spans="1:18" x14ac:dyDescent="0.2">
      <c r="A30" s="1" t="s">
        <v>37</v>
      </c>
      <c r="B30" s="12"/>
      <c r="C30" s="439">
        <f>'Kops a'!C43:H43</f>
        <v>0</v>
      </c>
      <c r="D30" s="439"/>
      <c r="E30" s="439"/>
      <c r="F30" s="439"/>
      <c r="G30" s="439"/>
      <c r="H30" s="439"/>
      <c r="I30" s="12"/>
      <c r="J30" s="12"/>
      <c r="K30" s="12"/>
      <c r="L30" s="12"/>
      <c r="M30" s="12"/>
      <c r="N30" s="12"/>
      <c r="O30" s="12"/>
      <c r="P30" s="12"/>
    </row>
    <row r="31" spans="1:18" x14ac:dyDescent="0.2">
      <c r="A31" s="12"/>
      <c r="B31" s="12"/>
      <c r="C31" s="363" t="s">
        <v>15</v>
      </c>
      <c r="D31" s="363"/>
      <c r="E31" s="363"/>
      <c r="F31" s="363"/>
      <c r="G31" s="363"/>
      <c r="H31" s="363"/>
      <c r="I31" s="12"/>
      <c r="J31" s="12"/>
      <c r="K31" s="12"/>
      <c r="L31" s="12"/>
      <c r="M31" s="12"/>
      <c r="N31" s="12"/>
      <c r="O31" s="12"/>
      <c r="P31" s="12"/>
    </row>
    <row r="32" spans="1:18" x14ac:dyDescent="0.2">
      <c r="A32" s="12"/>
      <c r="B32" s="12"/>
      <c r="C32" s="12"/>
      <c r="D32" s="12"/>
      <c r="E32" s="12"/>
      <c r="F32" s="12"/>
      <c r="G32" s="12"/>
      <c r="H32" s="12"/>
      <c r="I32" s="12"/>
      <c r="J32" s="12"/>
      <c r="K32" s="12"/>
      <c r="L32" s="12"/>
      <c r="M32" s="12"/>
      <c r="N32" s="12"/>
      <c r="O32" s="12"/>
      <c r="P32" s="12"/>
    </row>
    <row r="33" spans="1:16" x14ac:dyDescent="0.2">
      <c r="A33" s="68" t="s">
        <v>54</v>
      </c>
      <c r="B33" s="69"/>
      <c r="C33" s="72">
        <f>'Kops a'!C46</f>
        <v>0</v>
      </c>
      <c r="D33" s="36"/>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ht="12" x14ac:dyDescent="0.2">
      <c r="A35" s="106" t="s">
        <v>89</v>
      </c>
      <c r="B35" s="107"/>
      <c r="C35" s="108"/>
      <c r="D35" s="108"/>
      <c r="E35" s="109"/>
      <c r="F35" s="110"/>
      <c r="G35" s="109"/>
      <c r="H35" s="111"/>
      <c r="I35" s="111"/>
      <c r="J35" s="112"/>
      <c r="K35" s="113"/>
      <c r="L35" s="113"/>
      <c r="M35" s="113"/>
      <c r="N35" s="113"/>
      <c r="O35" s="113"/>
    </row>
    <row r="36" spans="1:16" ht="12" x14ac:dyDescent="0.2">
      <c r="A36" s="435" t="s">
        <v>90</v>
      </c>
      <c r="B36" s="435"/>
      <c r="C36" s="435"/>
      <c r="D36" s="435"/>
      <c r="E36" s="435"/>
      <c r="F36" s="435"/>
      <c r="G36" s="435"/>
      <c r="H36" s="435"/>
      <c r="I36" s="435"/>
      <c r="J36" s="435"/>
      <c r="K36" s="435"/>
      <c r="L36" s="435"/>
      <c r="M36" s="435"/>
      <c r="N36" s="435"/>
      <c r="O36" s="435"/>
    </row>
    <row r="37" spans="1:16" ht="12" x14ac:dyDescent="0.2">
      <c r="A37" s="435" t="s">
        <v>91</v>
      </c>
      <c r="B37" s="435"/>
      <c r="C37" s="435"/>
      <c r="D37" s="435"/>
      <c r="E37" s="435"/>
      <c r="F37" s="435"/>
      <c r="G37" s="435"/>
      <c r="H37" s="435"/>
      <c r="I37" s="435"/>
      <c r="J37" s="435"/>
      <c r="K37" s="435"/>
      <c r="L37" s="435"/>
      <c r="M37" s="435"/>
      <c r="N37" s="435"/>
      <c r="O37" s="435"/>
    </row>
  </sheetData>
  <mergeCells count="24">
    <mergeCell ref="A37:O37"/>
    <mergeCell ref="C2:I2"/>
    <mergeCell ref="C3:I3"/>
    <mergeCell ref="D5:L5"/>
    <mergeCell ref="D6:L6"/>
    <mergeCell ref="D7:L7"/>
    <mergeCell ref="N9:O9"/>
    <mergeCell ref="A12:A13"/>
    <mergeCell ref="B12:B13"/>
    <mergeCell ref="C12:C13"/>
    <mergeCell ref="D12:D13"/>
    <mergeCell ref="E12:E13"/>
    <mergeCell ref="L12:P12"/>
    <mergeCell ref="C25:H25"/>
    <mergeCell ref="C26:H26"/>
    <mergeCell ref="C30:H30"/>
    <mergeCell ref="C31:H31"/>
    <mergeCell ref="C4:I4"/>
    <mergeCell ref="D8:L8"/>
    <mergeCell ref="A22:K22"/>
    <mergeCell ref="A36:O36"/>
    <mergeCell ref="F12:K12"/>
    <mergeCell ref="A9:F9"/>
    <mergeCell ref="J9:M9"/>
  </mergeCells>
  <conditionalFormatting sqref="B15:G21 I14:J21 A14:A21">
    <cfRule type="cellIs" dxfId="126" priority="29" operator="equal">
      <formula>0</formula>
    </cfRule>
  </conditionalFormatting>
  <conditionalFormatting sqref="N9:O9 H14:H21 K14:P21">
    <cfRule type="cellIs" dxfId="125" priority="28" operator="equal">
      <formula>0</formula>
    </cfRule>
  </conditionalFormatting>
  <conditionalFormatting sqref="A9:F9">
    <cfRule type="containsText" dxfId="124" priority="2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23" priority="25" operator="equal">
      <formula>0</formula>
    </cfRule>
  </conditionalFormatting>
  <conditionalFormatting sqref="O10">
    <cfRule type="cellIs" dxfId="122" priority="24" operator="equal">
      <formula>"20__. gada __. _________"</formula>
    </cfRule>
  </conditionalFormatting>
  <conditionalFormatting sqref="L22:P22">
    <cfRule type="cellIs" dxfId="121" priority="18" operator="equal">
      <formula>0</formula>
    </cfRule>
  </conditionalFormatting>
  <conditionalFormatting sqref="C4:I4">
    <cfRule type="cellIs" dxfId="120" priority="17" operator="equal">
      <formula>0</formula>
    </cfRule>
  </conditionalFormatting>
  <conditionalFormatting sqref="D5:L8">
    <cfRule type="cellIs" dxfId="119" priority="13" operator="equal">
      <formula>0</formula>
    </cfRule>
  </conditionalFormatting>
  <conditionalFormatting sqref="B14 D14:G14">
    <cfRule type="cellIs" dxfId="118" priority="12" operator="equal">
      <formula>0</formula>
    </cfRule>
  </conditionalFormatting>
  <conditionalFormatting sqref="C14">
    <cfRule type="cellIs" dxfId="117" priority="11" operator="equal">
      <formula>0</formula>
    </cfRule>
  </conditionalFormatting>
  <conditionalFormatting sqref="P10">
    <cfRule type="cellIs" dxfId="116" priority="9" operator="equal">
      <formula>"20__. gada __. _________"</formula>
    </cfRule>
  </conditionalFormatting>
  <conditionalFormatting sqref="C30:H30">
    <cfRule type="cellIs" dxfId="115" priority="6" operator="equal">
      <formula>0</formula>
    </cfRule>
  </conditionalFormatting>
  <conditionalFormatting sqref="C25:H25">
    <cfRule type="cellIs" dxfId="114" priority="5" operator="equal">
      <formula>0</formula>
    </cfRule>
  </conditionalFormatting>
  <conditionalFormatting sqref="C30:H30 C33 C25:H25">
    <cfRule type="cellIs" dxfId="113" priority="4" operator="equal">
      <formula>0</formula>
    </cfRule>
  </conditionalFormatting>
  <conditionalFormatting sqref="D1">
    <cfRule type="cellIs" dxfId="112" priority="3" operator="equal">
      <formula>0</formula>
    </cfRule>
  </conditionalFormatting>
  <conditionalFormatting sqref="A22:K22">
    <cfRule type="containsText" dxfId="111" priority="1" operator="containsText" text="Tiešās izmaksas kopā, t. sk. darba devēja sociālais nodoklis __.__% ">
      <formula>NOT(ISERROR(SEARCH("Tiešās izmaksas kopā, t. sk. darba devēja sociālais nodoklis __.__% ",A22)))</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8" operator="containsText" id="{A5F45D83-914D-4306-B26D-4B74C3C819FC}">
            <xm:f>NOT(ISERROR(SEARCH("Tāme sastādīta ____. gada ___. ______________",A28)))</xm:f>
            <xm:f>"Tāme sastādīta ____. gada ___. ______________"</xm:f>
            <x14:dxf>
              <font>
                <color auto="1"/>
              </font>
              <fill>
                <patternFill>
                  <bgColor rgb="FFC6EFCE"/>
                </patternFill>
              </fill>
            </x14:dxf>
          </x14:cfRule>
          <xm:sqref>A28</xm:sqref>
        </x14:conditionalFormatting>
        <x14:conditionalFormatting xmlns:xm="http://schemas.microsoft.com/office/excel/2006/main">
          <x14:cfRule type="containsText" priority="7" operator="containsText" id="{A2E03CF5-E14D-4A31-8C34-6550548A72DB}">
            <xm:f>NOT(ISERROR(SEARCH("Sertifikāta Nr. _________________________________",A33)))</xm:f>
            <xm:f>"Sertifikāta Nr. _________________________________"</xm:f>
            <x14:dxf>
              <font>
                <color auto="1"/>
              </font>
              <fill>
                <patternFill>
                  <bgColor rgb="FFC6EFCE"/>
                </patternFill>
              </fill>
            </x14:dxf>
          </x14:cfRule>
          <xm:sqref>A33</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U64"/>
  <sheetViews>
    <sheetView topLeftCell="A37" zoomScale="115" zoomScaleNormal="115" zoomScaleSheetLayoutView="130" workbookViewId="0">
      <selection activeCell="G85" sqref="G85"/>
    </sheetView>
  </sheetViews>
  <sheetFormatPr defaultColWidth="9.140625" defaultRowHeight="11.25" x14ac:dyDescent="0.2"/>
  <cols>
    <col min="1" max="1" width="4.5703125" style="1" customWidth="1"/>
    <col min="2" max="2" width="5.28515625" style="16" customWidth="1"/>
    <col min="3" max="3" width="38.42578125" style="1" customWidth="1"/>
    <col min="4" max="4" width="5.85546875" style="1" customWidth="1"/>
    <col min="5" max="5" width="7.85546875" style="1" customWidth="1"/>
    <col min="6" max="16" width="6.140625" style="1" customWidth="1"/>
    <col min="17" max="17" width="24.42578125" style="1" customWidth="1"/>
    <col min="18" max="16384" width="9.140625" style="1"/>
  </cols>
  <sheetData>
    <row r="1" spans="1:17" x14ac:dyDescent="0.2">
      <c r="A1" s="16"/>
      <c r="C1" s="20" t="s">
        <v>38</v>
      </c>
      <c r="D1" s="357">
        <f>'Kops a'!A20</f>
        <v>6</v>
      </c>
      <c r="E1" s="16"/>
      <c r="F1" s="16"/>
      <c r="G1" s="16"/>
      <c r="H1" s="16"/>
      <c r="I1" s="16"/>
      <c r="J1" s="16"/>
      <c r="N1" s="19"/>
      <c r="O1" s="20"/>
      <c r="P1" s="21"/>
    </row>
    <row r="2" spans="1:17" x14ac:dyDescent="0.2">
      <c r="A2" s="22"/>
      <c r="B2" s="22"/>
      <c r="C2" s="410" t="s">
        <v>171</v>
      </c>
      <c r="D2" s="410"/>
      <c r="E2" s="410"/>
      <c r="F2" s="410"/>
      <c r="G2" s="410"/>
      <c r="H2" s="410"/>
      <c r="I2" s="410"/>
      <c r="J2" s="22"/>
    </row>
    <row r="3" spans="1:17" x14ac:dyDescent="0.2">
      <c r="A3" s="23"/>
      <c r="B3" s="23"/>
      <c r="C3" s="372" t="s">
        <v>17</v>
      </c>
      <c r="D3" s="372"/>
      <c r="E3" s="372"/>
      <c r="F3" s="372"/>
      <c r="G3" s="372"/>
      <c r="H3" s="372"/>
      <c r="I3" s="372"/>
      <c r="J3" s="23"/>
    </row>
    <row r="4" spans="1:17" x14ac:dyDescent="0.2">
      <c r="A4" s="23"/>
      <c r="B4" s="23"/>
      <c r="C4" s="412" t="s">
        <v>52</v>
      </c>
      <c r="D4" s="412"/>
      <c r="E4" s="412"/>
      <c r="F4" s="412"/>
      <c r="G4" s="412"/>
      <c r="H4" s="412"/>
      <c r="I4" s="412"/>
      <c r="J4" s="23"/>
    </row>
    <row r="5" spans="1:17" x14ac:dyDescent="0.2">
      <c r="A5" s="16"/>
      <c r="C5" s="20" t="s">
        <v>5</v>
      </c>
      <c r="D5" s="433" t="str">
        <f>'Kops a'!D6</f>
        <v>Dzīvojamās ēkas vienkāršotā atjaunošana</v>
      </c>
      <c r="E5" s="433"/>
      <c r="F5" s="433"/>
      <c r="G5" s="433"/>
      <c r="H5" s="433"/>
      <c r="I5" s="433"/>
      <c r="J5" s="433"/>
      <c r="K5" s="433"/>
      <c r="L5" s="433"/>
      <c r="M5" s="12"/>
      <c r="N5" s="12"/>
      <c r="O5" s="12"/>
      <c r="P5" s="12"/>
    </row>
    <row r="6" spans="1:17" x14ac:dyDescent="0.2">
      <c r="A6" s="16"/>
      <c r="C6" s="20" t="s">
        <v>6</v>
      </c>
      <c r="D6" s="433" t="str">
        <f>'Kops a'!D7</f>
        <v>Daudzdzīvokļu dzīvojamās mājas energoefektivitātes paaugstināšanas pasākumi</v>
      </c>
      <c r="E6" s="433"/>
      <c r="F6" s="433"/>
      <c r="G6" s="433"/>
      <c r="H6" s="433"/>
      <c r="I6" s="433"/>
      <c r="J6" s="433"/>
      <c r="K6" s="433"/>
      <c r="L6" s="433"/>
      <c r="M6" s="12"/>
      <c r="N6" s="12"/>
      <c r="O6" s="12"/>
      <c r="P6" s="12"/>
    </row>
    <row r="7" spans="1:17" x14ac:dyDescent="0.2">
      <c r="A7" s="16"/>
      <c r="C7" s="20" t="s">
        <v>7</v>
      </c>
      <c r="D7" s="433" t="str">
        <f>'Kops a'!D8</f>
        <v xml:space="preserve">Atmodas bulvārī 12, Liepājā. </v>
      </c>
      <c r="E7" s="433"/>
      <c r="F7" s="433"/>
      <c r="G7" s="433"/>
      <c r="H7" s="433"/>
      <c r="I7" s="433"/>
      <c r="J7" s="433"/>
      <c r="K7" s="433"/>
      <c r="L7" s="433"/>
      <c r="M7" s="12"/>
      <c r="N7" s="12"/>
      <c r="O7" s="12"/>
      <c r="P7" s="12"/>
    </row>
    <row r="8" spans="1:17" x14ac:dyDescent="0.2">
      <c r="A8" s="16"/>
      <c r="C8" s="97" t="s">
        <v>20</v>
      </c>
      <c r="D8" s="433" t="str">
        <f>'Kops a'!D9</f>
        <v>WS-5-18</v>
      </c>
      <c r="E8" s="433"/>
      <c r="F8" s="433"/>
      <c r="G8" s="433"/>
      <c r="H8" s="433"/>
      <c r="I8" s="433"/>
      <c r="J8" s="433"/>
      <c r="K8" s="433"/>
      <c r="L8" s="433"/>
      <c r="M8" s="12"/>
      <c r="N8" s="12"/>
      <c r="O8" s="12"/>
      <c r="P8" s="12"/>
    </row>
    <row r="9" spans="1:17" ht="11.25" customHeight="1" x14ac:dyDescent="0.2">
      <c r="A9" s="413" t="s">
        <v>493</v>
      </c>
      <c r="B9" s="413"/>
      <c r="C9" s="413"/>
      <c r="D9" s="413"/>
      <c r="E9" s="413"/>
      <c r="F9" s="413"/>
      <c r="G9" s="24"/>
      <c r="H9" s="24"/>
      <c r="I9" s="24"/>
      <c r="J9" s="417" t="s">
        <v>39</v>
      </c>
      <c r="K9" s="417"/>
      <c r="L9" s="417"/>
      <c r="M9" s="417"/>
      <c r="N9" s="424">
        <f>P49</f>
        <v>0</v>
      </c>
      <c r="O9" s="424"/>
      <c r="P9" s="24"/>
    </row>
    <row r="10" spans="1:17" x14ac:dyDescent="0.2">
      <c r="A10" s="25"/>
      <c r="B10" s="26"/>
      <c r="C10" s="97"/>
      <c r="D10" s="16"/>
      <c r="E10" s="16"/>
      <c r="F10" s="16"/>
      <c r="G10" s="16"/>
      <c r="H10" s="16"/>
      <c r="I10" s="16"/>
      <c r="J10" s="16"/>
      <c r="K10" s="16"/>
      <c r="L10" s="22"/>
      <c r="M10" s="22"/>
      <c r="O10" s="71"/>
      <c r="P10" s="70" t="str">
        <f>A55</f>
        <v>Tāme sastādīta 2021. gada</v>
      </c>
    </row>
    <row r="11" spans="1:17" ht="12" thickBot="1" x14ac:dyDescent="0.25">
      <c r="A11" s="25"/>
      <c r="B11" s="26"/>
      <c r="C11" s="97"/>
      <c r="D11" s="16"/>
      <c r="E11" s="16"/>
      <c r="F11" s="16"/>
      <c r="G11" s="16"/>
      <c r="H11" s="16"/>
      <c r="I11" s="16"/>
      <c r="J11" s="16"/>
      <c r="K11" s="16"/>
      <c r="L11" s="27"/>
      <c r="M11" s="27"/>
      <c r="N11" s="28"/>
      <c r="O11" s="19"/>
      <c r="P11" s="16"/>
    </row>
    <row r="12" spans="1:17" x14ac:dyDescent="0.2">
      <c r="A12" s="383" t="s">
        <v>23</v>
      </c>
      <c r="B12" s="419" t="s">
        <v>40</v>
      </c>
      <c r="C12" s="415" t="s">
        <v>41</v>
      </c>
      <c r="D12" s="422" t="s">
        <v>42</v>
      </c>
      <c r="E12" s="431" t="s">
        <v>43</v>
      </c>
      <c r="F12" s="414" t="s">
        <v>44</v>
      </c>
      <c r="G12" s="415"/>
      <c r="H12" s="415"/>
      <c r="I12" s="415"/>
      <c r="J12" s="415"/>
      <c r="K12" s="416"/>
      <c r="L12" s="414" t="s">
        <v>45</v>
      </c>
      <c r="M12" s="415"/>
      <c r="N12" s="415"/>
      <c r="O12" s="415"/>
      <c r="P12" s="416"/>
    </row>
    <row r="13" spans="1:17" ht="94.15" customHeight="1" thickBot="1" x14ac:dyDescent="0.25">
      <c r="A13" s="418"/>
      <c r="B13" s="420"/>
      <c r="C13" s="421"/>
      <c r="D13" s="423"/>
      <c r="E13" s="432"/>
      <c r="F13" s="101" t="s">
        <v>46</v>
      </c>
      <c r="G13" s="102" t="s">
        <v>47</v>
      </c>
      <c r="H13" s="102" t="s">
        <v>48</v>
      </c>
      <c r="I13" s="102" t="s">
        <v>49</v>
      </c>
      <c r="J13" s="102" t="s">
        <v>50</v>
      </c>
      <c r="K13" s="46" t="s">
        <v>51</v>
      </c>
      <c r="L13" s="101" t="s">
        <v>46</v>
      </c>
      <c r="M13" s="102" t="s">
        <v>48</v>
      </c>
      <c r="N13" s="102" t="s">
        <v>49</v>
      </c>
      <c r="O13" s="102" t="s">
        <v>50</v>
      </c>
      <c r="P13" s="46" t="s">
        <v>51</v>
      </c>
    </row>
    <row r="14" spans="1:17" ht="22.5" x14ac:dyDescent="0.2">
      <c r="A14" s="79">
        <f>IF(COUNTBLANK(B14)=1," ",COUNTA($B$13:B14))</f>
        <v>1</v>
      </c>
      <c r="B14" s="118" t="s">
        <v>58</v>
      </c>
      <c r="C14" s="117" t="s">
        <v>172</v>
      </c>
      <c r="D14" s="119" t="s">
        <v>67</v>
      </c>
      <c r="E14" s="116">
        <f>E15*0.25</f>
        <v>211.8</v>
      </c>
      <c r="F14" s="257"/>
      <c r="G14" s="258"/>
      <c r="H14" s="258">
        <f>ROUND(F14*G14,2)</f>
        <v>0</v>
      </c>
      <c r="I14" s="258"/>
      <c r="J14" s="258"/>
      <c r="K14" s="259">
        <f>SUM(H14:J14)</f>
        <v>0</v>
      </c>
      <c r="L14" s="257">
        <f>ROUND(E14*F14,2)</f>
        <v>0</v>
      </c>
      <c r="M14" s="258">
        <f>ROUND(H14*E14,2)</f>
        <v>0</v>
      </c>
      <c r="N14" s="258">
        <f>ROUND(I14*E14,2)</f>
        <v>0</v>
      </c>
      <c r="O14" s="258">
        <f>ROUND(J14*E14,2)</f>
        <v>0</v>
      </c>
      <c r="P14" s="260">
        <f>SUM(M14:O14)</f>
        <v>0</v>
      </c>
      <c r="Q14" s="350"/>
    </row>
    <row r="15" spans="1:17" x14ac:dyDescent="0.2">
      <c r="A15" s="79">
        <f>IF(COUNTBLANK(B15)=1," ",COUNTA($B$13:B15))</f>
        <v>2</v>
      </c>
      <c r="B15" s="139" t="s">
        <v>58</v>
      </c>
      <c r="C15" s="114" t="s">
        <v>173</v>
      </c>
      <c r="D15" s="115" t="s">
        <v>63</v>
      </c>
      <c r="E15" s="116">
        <f>960-17*6-1.8*6</f>
        <v>847.2</v>
      </c>
      <c r="F15" s="88"/>
      <c r="G15" s="89"/>
      <c r="H15" s="89">
        <f t="shared" ref="H15:H32" si="0">ROUND(F15*G15,2)</f>
        <v>0</v>
      </c>
      <c r="I15" s="89"/>
      <c r="J15" s="89"/>
      <c r="K15" s="90">
        <f t="shared" ref="K15:K32" si="1">SUM(H15:J15)</f>
        <v>0</v>
      </c>
      <c r="L15" s="88">
        <f t="shared" ref="L15:L33" si="2">ROUND(E15*F15,2)</f>
        <v>0</v>
      </c>
      <c r="M15" s="89">
        <f t="shared" ref="M15:M32" si="3">ROUND(H15*E15,2)</f>
        <v>0</v>
      </c>
      <c r="N15" s="89">
        <f t="shared" ref="N15:N33" si="4">ROUND(I15*E15,2)</f>
        <v>0</v>
      </c>
      <c r="O15" s="89">
        <f t="shared" ref="O15:O33" si="5">ROUND(J15*E15,2)</f>
        <v>0</v>
      </c>
      <c r="P15" s="91">
        <f t="shared" ref="P15:P32" si="6">SUM(M15:O15)</f>
        <v>0</v>
      </c>
      <c r="Q15" s="349"/>
    </row>
    <row r="16" spans="1:17" x14ac:dyDescent="0.2">
      <c r="A16" s="79" t="str">
        <f>IF(COUNTBLANK(B16)=1," ",COUNTA($B$13:B16))</f>
        <v xml:space="preserve"> </v>
      </c>
      <c r="B16" s="139"/>
      <c r="C16" s="114" t="s">
        <v>174</v>
      </c>
      <c r="D16" s="115" t="s">
        <v>63</v>
      </c>
      <c r="E16" s="116">
        <f>E15*1.1</f>
        <v>931.92000000000007</v>
      </c>
      <c r="F16" s="88"/>
      <c r="G16" s="89"/>
      <c r="H16" s="89">
        <f t="shared" si="0"/>
        <v>0</v>
      </c>
      <c r="I16" s="89"/>
      <c r="J16" s="89"/>
      <c r="K16" s="90">
        <f t="shared" si="1"/>
        <v>0</v>
      </c>
      <c r="L16" s="88">
        <f t="shared" si="2"/>
        <v>0</v>
      </c>
      <c r="M16" s="89">
        <f t="shared" si="3"/>
        <v>0</v>
      </c>
      <c r="N16" s="89">
        <f t="shared" si="4"/>
        <v>0</v>
      </c>
      <c r="O16" s="89">
        <f t="shared" si="5"/>
        <v>0</v>
      </c>
      <c r="P16" s="91">
        <f t="shared" si="6"/>
        <v>0</v>
      </c>
      <c r="Q16" s="349"/>
    </row>
    <row r="17" spans="1:21" x14ac:dyDescent="0.2">
      <c r="A17" s="79" t="str">
        <f>IF(COUNTBLANK(B17)=1," ",COUNTA($B$13:B17))</f>
        <v xml:space="preserve"> </v>
      </c>
      <c r="B17" s="139"/>
      <c r="C17" s="114" t="s">
        <v>65</v>
      </c>
      <c r="D17" s="115" t="s">
        <v>126</v>
      </c>
      <c r="E17" s="116">
        <v>5.04</v>
      </c>
      <c r="F17" s="53"/>
      <c r="G17" s="50"/>
      <c r="H17" s="50">
        <f t="shared" si="0"/>
        <v>0</v>
      </c>
      <c r="I17" s="50"/>
      <c r="J17" s="50"/>
      <c r="K17" s="51">
        <f t="shared" si="1"/>
        <v>0</v>
      </c>
      <c r="L17" s="53">
        <f t="shared" si="2"/>
        <v>0</v>
      </c>
      <c r="M17" s="50">
        <f t="shared" si="3"/>
        <v>0</v>
      </c>
      <c r="N17" s="50">
        <f t="shared" si="4"/>
        <v>0</v>
      </c>
      <c r="O17" s="50">
        <f t="shared" si="5"/>
        <v>0</v>
      </c>
      <c r="P17" s="78">
        <f t="shared" si="6"/>
        <v>0</v>
      </c>
      <c r="Q17" s="349"/>
    </row>
    <row r="18" spans="1:21" ht="56.25" x14ac:dyDescent="0.2">
      <c r="A18" s="79">
        <f>IF(COUNTBLANK(B18)=1," ",COUNTA($B$13:B18))</f>
        <v>3</v>
      </c>
      <c r="B18" s="139" t="s">
        <v>58</v>
      </c>
      <c r="C18" s="114" t="s">
        <v>480</v>
      </c>
      <c r="D18" s="115" t="s">
        <v>63</v>
      </c>
      <c r="E18" s="116">
        <f>E15</f>
        <v>847.2</v>
      </c>
      <c r="F18" s="53"/>
      <c r="G18" s="50"/>
      <c r="H18" s="50">
        <f t="shared" si="0"/>
        <v>0</v>
      </c>
      <c r="I18" s="50"/>
      <c r="J18" s="50"/>
      <c r="K18" s="51">
        <f t="shared" si="1"/>
        <v>0</v>
      </c>
      <c r="L18" s="53">
        <f t="shared" si="2"/>
        <v>0</v>
      </c>
      <c r="M18" s="50">
        <f t="shared" si="3"/>
        <v>0</v>
      </c>
      <c r="N18" s="50">
        <f t="shared" si="4"/>
        <v>0</v>
      </c>
      <c r="O18" s="50">
        <f t="shared" si="5"/>
        <v>0</v>
      </c>
      <c r="P18" s="78">
        <f t="shared" si="6"/>
        <v>0</v>
      </c>
      <c r="Q18" s="349"/>
    </row>
    <row r="19" spans="1:21" x14ac:dyDescent="0.2">
      <c r="A19" s="79" t="str">
        <f>IF(COUNTBLANK(B19)=1," ",COUNTA($B$13:B19))</f>
        <v xml:space="preserve"> </v>
      </c>
      <c r="B19" s="139"/>
      <c r="C19" s="114" t="s">
        <v>175</v>
      </c>
      <c r="D19" s="115" t="s">
        <v>67</v>
      </c>
      <c r="E19" s="116">
        <f>E18*0.3*1.15</f>
        <v>292.28399999999999</v>
      </c>
      <c r="F19" s="53"/>
      <c r="G19" s="50"/>
      <c r="H19" s="50">
        <f t="shared" si="0"/>
        <v>0</v>
      </c>
      <c r="I19" s="50"/>
      <c r="J19" s="50"/>
      <c r="K19" s="51">
        <f t="shared" si="1"/>
        <v>0</v>
      </c>
      <c r="L19" s="53">
        <f t="shared" si="2"/>
        <v>0</v>
      </c>
      <c r="M19" s="50">
        <f t="shared" si="3"/>
        <v>0</v>
      </c>
      <c r="N19" s="50">
        <f t="shared" si="4"/>
        <v>0</v>
      </c>
      <c r="O19" s="50">
        <f t="shared" si="5"/>
        <v>0</v>
      </c>
      <c r="P19" s="78">
        <f t="shared" si="6"/>
        <v>0</v>
      </c>
      <c r="Q19" s="349"/>
    </row>
    <row r="20" spans="1:21" x14ac:dyDescent="0.2">
      <c r="A20" s="103">
        <f>IF(COUNTBLANK(B20)=1," ",COUNTA($B$13:B20))</f>
        <v>4</v>
      </c>
      <c r="B20" s="120" t="s">
        <v>58</v>
      </c>
      <c r="C20" s="121" t="s">
        <v>407</v>
      </c>
      <c r="D20" s="122" t="s">
        <v>457</v>
      </c>
      <c r="E20" s="123">
        <v>17</v>
      </c>
      <c r="F20" s="104"/>
      <c r="G20" s="50"/>
      <c r="H20" s="50"/>
      <c r="I20" s="50"/>
      <c r="J20" s="50"/>
      <c r="K20" s="51"/>
      <c r="L20" s="53"/>
      <c r="M20" s="50"/>
      <c r="N20" s="50"/>
      <c r="O20" s="50"/>
      <c r="P20" s="78"/>
      <c r="Q20" s="349"/>
    </row>
    <row r="21" spans="1:21" ht="22.5" x14ac:dyDescent="0.2">
      <c r="A21" s="103">
        <f>IF(COUNTBLANK(B21)=1," ",COUNTA($B$13:B21))</f>
        <v>5</v>
      </c>
      <c r="B21" s="120" t="s">
        <v>58</v>
      </c>
      <c r="C21" s="164" t="s">
        <v>176</v>
      </c>
      <c r="D21" s="165" t="s">
        <v>102</v>
      </c>
      <c r="E21" s="166">
        <v>1</v>
      </c>
      <c r="F21" s="104"/>
      <c r="G21" s="50"/>
      <c r="H21" s="50"/>
      <c r="I21" s="50"/>
      <c r="J21" s="50"/>
      <c r="K21" s="51"/>
      <c r="L21" s="53"/>
      <c r="M21" s="50"/>
      <c r="N21" s="50"/>
      <c r="O21" s="50"/>
      <c r="P21" s="78"/>
      <c r="Q21" s="349"/>
    </row>
    <row r="22" spans="1:21" x14ac:dyDescent="0.2">
      <c r="A22" s="103" t="str">
        <f>IF(COUNTBLANK(B22)=1," ",COUNTA($B$13:B22))</f>
        <v xml:space="preserve"> </v>
      </c>
      <c r="B22" s="120"/>
      <c r="C22" s="157" t="s">
        <v>177</v>
      </c>
      <c r="D22" s="156" t="s">
        <v>64</v>
      </c>
      <c r="E22" s="156">
        <v>27.5</v>
      </c>
      <c r="F22" s="104"/>
      <c r="G22" s="50"/>
      <c r="H22" s="50"/>
      <c r="I22" s="50"/>
      <c r="J22" s="50"/>
      <c r="K22" s="51"/>
      <c r="L22" s="53"/>
      <c r="M22" s="50"/>
      <c r="N22" s="50"/>
      <c r="O22" s="50"/>
      <c r="P22" s="78"/>
      <c r="Q22" s="349"/>
    </row>
    <row r="23" spans="1:21" x14ac:dyDescent="0.2">
      <c r="A23" s="103" t="str">
        <f>IF(COUNTBLANK(B23)=1," ",COUNTA($B$13:B23))</f>
        <v xml:space="preserve"> </v>
      </c>
      <c r="B23" s="120"/>
      <c r="C23" s="157" t="s">
        <v>178</v>
      </c>
      <c r="D23" s="156" t="s">
        <v>64</v>
      </c>
      <c r="E23" s="156">
        <v>0.63</v>
      </c>
      <c r="F23" s="104"/>
      <c r="G23" s="50"/>
      <c r="H23" s="50"/>
      <c r="I23" s="50"/>
      <c r="J23" s="50"/>
      <c r="K23" s="51"/>
      <c r="L23" s="53"/>
      <c r="M23" s="50"/>
      <c r="N23" s="50"/>
      <c r="O23" s="50"/>
      <c r="P23" s="78"/>
      <c r="Q23" s="349"/>
    </row>
    <row r="24" spans="1:21" x14ac:dyDescent="0.2">
      <c r="A24" s="103" t="str">
        <f>IF(COUNTBLANK(B24)=1," ",COUNTA($B$13:B24))</f>
        <v xml:space="preserve"> </v>
      </c>
      <c r="B24" s="120"/>
      <c r="C24" s="157" t="s">
        <v>96</v>
      </c>
      <c r="D24" s="156" t="s">
        <v>255</v>
      </c>
      <c r="E24" s="156">
        <v>0.03</v>
      </c>
      <c r="F24" s="104"/>
      <c r="G24" s="50"/>
      <c r="H24" s="50"/>
      <c r="I24" s="50"/>
      <c r="J24" s="50"/>
      <c r="K24" s="51"/>
      <c r="L24" s="53"/>
      <c r="M24" s="50"/>
      <c r="N24" s="50"/>
      <c r="O24" s="50"/>
      <c r="P24" s="78"/>
      <c r="Q24" s="349"/>
    </row>
    <row r="25" spans="1:21" x14ac:dyDescent="0.2">
      <c r="A25" s="103" t="str">
        <f>IF(COUNTBLANK(B25)=1," ",COUNTA($B$13:B25))</f>
        <v xml:space="preserve"> </v>
      </c>
      <c r="B25" s="120"/>
      <c r="C25" s="157" t="s">
        <v>97</v>
      </c>
      <c r="D25" s="156" t="s">
        <v>256</v>
      </c>
      <c r="E25" s="156">
        <v>0.01</v>
      </c>
      <c r="F25" s="104"/>
      <c r="G25" s="50"/>
      <c r="H25" s="50"/>
      <c r="I25" s="50"/>
      <c r="J25" s="50"/>
      <c r="K25" s="51"/>
      <c r="L25" s="53"/>
      <c r="M25" s="50"/>
      <c r="N25" s="50"/>
      <c r="O25" s="50"/>
      <c r="P25" s="78"/>
      <c r="Q25" s="349"/>
    </row>
    <row r="26" spans="1:21" x14ac:dyDescent="0.2">
      <c r="A26" s="103" t="str">
        <f>IF(COUNTBLANK(B26)=1," ",COUNTA($B$13:B26))</f>
        <v xml:space="preserve"> </v>
      </c>
      <c r="B26" s="120"/>
      <c r="C26" s="157" t="s">
        <v>179</v>
      </c>
      <c r="D26" s="156" t="s">
        <v>257</v>
      </c>
      <c r="E26" s="158">
        <v>1.5</v>
      </c>
      <c r="F26" s="104"/>
      <c r="G26" s="50"/>
      <c r="H26" s="50"/>
      <c r="I26" s="50"/>
      <c r="J26" s="50"/>
      <c r="K26" s="51"/>
      <c r="L26" s="53"/>
      <c r="M26" s="50"/>
      <c r="N26" s="50"/>
      <c r="O26" s="50"/>
      <c r="P26" s="78"/>
      <c r="Q26" s="349"/>
    </row>
    <row r="27" spans="1:21" x14ac:dyDescent="0.2">
      <c r="A27" s="103" t="str">
        <f>IF(COUNTBLANK(B27)=1," ",COUNTA($B$13:B27))</f>
        <v xml:space="preserve"> </v>
      </c>
      <c r="B27" s="120"/>
      <c r="C27" s="157" t="s">
        <v>120</v>
      </c>
      <c r="D27" s="156" t="s">
        <v>257</v>
      </c>
      <c r="E27" s="156">
        <v>1.6</v>
      </c>
      <c r="F27" s="104"/>
      <c r="G27" s="50"/>
      <c r="H27" s="50"/>
      <c r="I27" s="50"/>
      <c r="J27" s="50"/>
      <c r="K27" s="51"/>
      <c r="L27" s="53"/>
      <c r="M27" s="50"/>
      <c r="N27" s="50"/>
      <c r="O27" s="50"/>
      <c r="P27" s="78"/>
      <c r="Q27" s="349"/>
    </row>
    <row r="28" spans="1:21" ht="22.5" x14ac:dyDescent="0.2">
      <c r="A28" s="103">
        <f>IF(COUNTBLANK(B28)=1," ",COUNTA($B$13:B28))</f>
        <v>6</v>
      </c>
      <c r="B28" s="120" t="s">
        <v>58</v>
      </c>
      <c r="C28" s="114" t="s">
        <v>180</v>
      </c>
      <c r="D28" s="115" t="s">
        <v>141</v>
      </c>
      <c r="E28" s="116">
        <v>60</v>
      </c>
      <c r="F28" s="53"/>
      <c r="G28" s="50"/>
      <c r="H28" s="50">
        <f t="shared" si="0"/>
        <v>0</v>
      </c>
      <c r="I28" s="50"/>
      <c r="J28" s="50"/>
      <c r="K28" s="51">
        <f t="shared" si="1"/>
        <v>0</v>
      </c>
      <c r="L28" s="53">
        <f t="shared" si="2"/>
        <v>0</v>
      </c>
      <c r="M28" s="50">
        <f t="shared" si="3"/>
        <v>0</v>
      </c>
      <c r="N28" s="50">
        <f t="shared" si="4"/>
        <v>0</v>
      </c>
      <c r="O28" s="50">
        <f t="shared" si="5"/>
        <v>0</v>
      </c>
      <c r="P28" s="78">
        <f t="shared" si="6"/>
        <v>0</v>
      </c>
      <c r="Q28" s="349"/>
      <c r="R28" s="264"/>
      <c r="S28" s="264"/>
      <c r="T28" s="264"/>
      <c r="U28" s="264"/>
    </row>
    <row r="29" spans="1:21" ht="22.5" x14ac:dyDescent="0.2">
      <c r="A29" s="79">
        <f>IF(COUNTBLANK(B29)=1," ",COUNTA($B$13:B29))</f>
        <v>7</v>
      </c>
      <c r="B29" s="120" t="s">
        <v>58</v>
      </c>
      <c r="C29" s="35" t="s">
        <v>181</v>
      </c>
      <c r="D29" s="18" t="s">
        <v>67</v>
      </c>
      <c r="E29" s="52">
        <v>2</v>
      </c>
      <c r="F29" s="53"/>
      <c r="G29" s="50"/>
      <c r="H29" s="50">
        <f t="shared" si="0"/>
        <v>0</v>
      </c>
      <c r="I29" s="50"/>
      <c r="J29" s="50"/>
      <c r="K29" s="51">
        <f t="shared" si="1"/>
        <v>0</v>
      </c>
      <c r="L29" s="53">
        <f t="shared" si="2"/>
        <v>0</v>
      </c>
      <c r="M29" s="50">
        <f t="shared" si="3"/>
        <v>0</v>
      </c>
      <c r="N29" s="50">
        <f t="shared" si="4"/>
        <v>0</v>
      </c>
      <c r="O29" s="50">
        <f t="shared" si="5"/>
        <v>0</v>
      </c>
      <c r="P29" s="78">
        <f t="shared" si="6"/>
        <v>0</v>
      </c>
      <c r="Q29" s="349"/>
      <c r="R29" s="264"/>
      <c r="S29" s="264"/>
      <c r="T29" s="264"/>
      <c r="U29" s="264"/>
    </row>
    <row r="30" spans="1:21" x14ac:dyDescent="0.2">
      <c r="A30" s="79">
        <f>IF(COUNTBLANK(B30)=1," ",COUNTA($B$13:B30))</f>
        <v>8</v>
      </c>
      <c r="B30" s="120" t="s">
        <v>58</v>
      </c>
      <c r="C30" s="35" t="s">
        <v>182</v>
      </c>
      <c r="D30" s="18" t="s">
        <v>67</v>
      </c>
      <c r="E30" s="52">
        <v>1.8</v>
      </c>
      <c r="F30" s="53"/>
      <c r="G30" s="50"/>
      <c r="H30" s="50">
        <f t="shared" si="0"/>
        <v>0</v>
      </c>
      <c r="I30" s="50"/>
      <c r="J30" s="50"/>
      <c r="K30" s="51">
        <f t="shared" si="1"/>
        <v>0</v>
      </c>
      <c r="L30" s="53">
        <f t="shared" si="2"/>
        <v>0</v>
      </c>
      <c r="M30" s="50">
        <f t="shared" si="3"/>
        <v>0</v>
      </c>
      <c r="N30" s="50">
        <f t="shared" si="4"/>
        <v>0</v>
      </c>
      <c r="O30" s="50">
        <f t="shared" si="5"/>
        <v>0</v>
      </c>
      <c r="P30" s="78">
        <f t="shared" si="6"/>
        <v>0</v>
      </c>
      <c r="Q30" s="349"/>
    </row>
    <row r="31" spans="1:21" ht="22.5" x14ac:dyDescent="0.2">
      <c r="A31" s="79">
        <f>IF(COUNTBLANK(B31)=1," ",COUNTA($B$13:B31))</f>
        <v>9</v>
      </c>
      <c r="B31" s="120" t="s">
        <v>58</v>
      </c>
      <c r="C31" s="35" t="s">
        <v>183</v>
      </c>
      <c r="D31" s="18" t="s">
        <v>67</v>
      </c>
      <c r="E31" s="52">
        <v>4.3</v>
      </c>
      <c r="F31" s="53"/>
      <c r="G31" s="50"/>
      <c r="H31" s="50">
        <f t="shared" si="0"/>
        <v>0</v>
      </c>
      <c r="I31" s="50"/>
      <c r="J31" s="50"/>
      <c r="K31" s="51">
        <f t="shared" si="1"/>
        <v>0</v>
      </c>
      <c r="L31" s="53">
        <f t="shared" si="2"/>
        <v>0</v>
      </c>
      <c r="M31" s="50">
        <f t="shared" si="3"/>
        <v>0</v>
      </c>
      <c r="N31" s="50">
        <f t="shared" si="4"/>
        <v>0</v>
      </c>
      <c r="O31" s="50">
        <f t="shared" si="5"/>
        <v>0</v>
      </c>
      <c r="P31" s="78">
        <f t="shared" si="6"/>
        <v>0</v>
      </c>
      <c r="Q31" s="350"/>
      <c r="R31" s="477"/>
    </row>
    <row r="32" spans="1:21" x14ac:dyDescent="0.2">
      <c r="A32" s="79">
        <f>IF(COUNTBLANK(B32)=1," ",COUNTA($B$13:B32))</f>
        <v>10</v>
      </c>
      <c r="B32" s="120" t="s">
        <v>58</v>
      </c>
      <c r="C32" s="35" t="s">
        <v>184</v>
      </c>
      <c r="D32" s="18" t="s">
        <v>63</v>
      </c>
      <c r="E32" s="52">
        <v>15</v>
      </c>
      <c r="F32" s="53"/>
      <c r="G32" s="50"/>
      <c r="H32" s="50">
        <f t="shared" si="0"/>
        <v>0</v>
      </c>
      <c r="I32" s="50"/>
      <c r="J32" s="50"/>
      <c r="K32" s="51">
        <f t="shared" si="1"/>
        <v>0</v>
      </c>
      <c r="L32" s="53">
        <f t="shared" si="2"/>
        <v>0</v>
      </c>
      <c r="M32" s="50">
        <f t="shared" si="3"/>
        <v>0</v>
      </c>
      <c r="N32" s="50">
        <f t="shared" si="4"/>
        <v>0</v>
      </c>
      <c r="O32" s="50">
        <f t="shared" si="5"/>
        <v>0</v>
      </c>
      <c r="P32" s="78">
        <f t="shared" si="6"/>
        <v>0</v>
      </c>
      <c r="Q32" s="350"/>
      <c r="R32" s="477"/>
    </row>
    <row r="33" spans="1:18" ht="22.5" x14ac:dyDescent="0.2">
      <c r="A33" s="79">
        <f>IF(COUNTBLANK(B33)=1," ",COUNTA($B$13:B33))</f>
        <v>11</v>
      </c>
      <c r="B33" s="120" t="s">
        <v>58</v>
      </c>
      <c r="C33" s="35" t="s">
        <v>409</v>
      </c>
      <c r="D33" s="18" t="s">
        <v>141</v>
      </c>
      <c r="E33" s="52">
        <v>2</v>
      </c>
      <c r="F33" s="104"/>
      <c r="G33" s="50"/>
      <c r="H33" s="50"/>
      <c r="I33" s="50"/>
      <c r="J33" s="50"/>
      <c r="K33" s="78"/>
      <c r="L33" s="104">
        <f t="shared" si="2"/>
        <v>0</v>
      </c>
      <c r="M33" s="50"/>
      <c r="N33" s="50">
        <f t="shared" si="4"/>
        <v>0</v>
      </c>
      <c r="O33" s="50">
        <f t="shared" si="5"/>
        <v>0</v>
      </c>
      <c r="P33" s="78"/>
      <c r="Q33" s="350"/>
      <c r="R33" s="477"/>
    </row>
    <row r="34" spans="1:18" x14ac:dyDescent="0.2">
      <c r="A34" s="79">
        <f>IF(COUNTBLANK(B34)=1," ",COUNTA($B$13:B34))</f>
        <v>12</v>
      </c>
      <c r="B34" s="129" t="s">
        <v>58</v>
      </c>
      <c r="C34" s="489" t="s">
        <v>263</v>
      </c>
      <c r="D34" s="490" t="s">
        <v>63</v>
      </c>
      <c r="E34" s="468">
        <v>870</v>
      </c>
      <c r="F34" s="104"/>
      <c r="G34" s="50"/>
      <c r="H34" s="50"/>
      <c r="I34" s="50"/>
      <c r="J34" s="50"/>
      <c r="K34" s="78"/>
      <c r="L34" s="104"/>
      <c r="M34" s="50"/>
      <c r="N34" s="50"/>
      <c r="O34" s="50"/>
      <c r="P34" s="78"/>
      <c r="Q34" s="350"/>
      <c r="R34" s="477"/>
    </row>
    <row r="35" spans="1:18" x14ac:dyDescent="0.2">
      <c r="A35" s="79" t="str">
        <f>IF(COUNTBLANK(B35)=1," ",COUNTA($B$13:B35))</f>
        <v xml:space="preserve"> </v>
      </c>
      <c r="B35" s="129"/>
      <c r="C35" s="489" t="s">
        <v>365</v>
      </c>
      <c r="D35" s="490" t="s">
        <v>64</v>
      </c>
      <c r="E35" s="468">
        <f>E34*0.3</f>
        <v>261</v>
      </c>
      <c r="F35" s="104"/>
      <c r="G35" s="50"/>
      <c r="H35" s="50"/>
      <c r="I35" s="50"/>
      <c r="J35" s="50"/>
      <c r="K35" s="78"/>
      <c r="L35" s="104"/>
      <c r="M35" s="50"/>
      <c r="N35" s="50"/>
      <c r="O35" s="50"/>
      <c r="P35" s="78"/>
      <c r="Q35" s="350"/>
      <c r="R35" s="477"/>
    </row>
    <row r="36" spans="1:18" ht="45" x14ac:dyDescent="0.2">
      <c r="A36" s="79">
        <f>IF(COUNTBLANK(B36)=1," ",COUNTA($B$13:B36))</f>
        <v>13</v>
      </c>
      <c r="B36" s="492" t="s">
        <v>477</v>
      </c>
      <c r="C36" s="489" t="s">
        <v>476</v>
      </c>
      <c r="D36" s="490" t="s">
        <v>63</v>
      </c>
      <c r="E36" s="468">
        <f>5.2*2.06*6</f>
        <v>64.272000000000006</v>
      </c>
      <c r="F36" s="104"/>
      <c r="G36" s="50"/>
      <c r="H36" s="50"/>
      <c r="I36" s="50"/>
      <c r="J36" s="50"/>
      <c r="K36" s="78"/>
      <c r="L36" s="104"/>
      <c r="M36" s="50"/>
      <c r="N36" s="50"/>
      <c r="O36" s="50"/>
      <c r="P36" s="78"/>
      <c r="Q36" s="262"/>
      <c r="R36" s="477"/>
    </row>
    <row r="37" spans="1:18" x14ac:dyDescent="0.2">
      <c r="A37" s="79" t="str">
        <f>IF(COUNTBLANK(B37)=1," ",COUNTA($B$13:B37))</f>
        <v xml:space="preserve"> </v>
      </c>
      <c r="B37" s="493"/>
      <c r="C37" s="489" t="s">
        <v>80</v>
      </c>
      <c r="D37" s="490" t="s">
        <v>64</v>
      </c>
      <c r="E37" s="468">
        <f>E36*5</f>
        <v>321.36</v>
      </c>
      <c r="F37" s="104"/>
      <c r="G37" s="50"/>
      <c r="H37" s="50"/>
      <c r="I37" s="50"/>
      <c r="J37" s="50"/>
      <c r="K37" s="78"/>
      <c r="L37" s="104"/>
      <c r="M37" s="50"/>
      <c r="N37" s="50"/>
      <c r="O37" s="50"/>
      <c r="P37" s="78"/>
      <c r="Q37" s="262"/>
      <c r="R37" s="477"/>
    </row>
    <row r="38" spans="1:18" x14ac:dyDescent="0.2">
      <c r="A38" s="79"/>
      <c r="B38" s="494"/>
      <c r="C38" s="489" t="s">
        <v>169</v>
      </c>
      <c r="D38" s="490" t="s">
        <v>63</v>
      </c>
      <c r="E38" s="468">
        <f>E36*1.15</f>
        <v>73.912800000000004</v>
      </c>
      <c r="F38" s="104"/>
      <c r="G38" s="50"/>
      <c r="H38" s="50"/>
      <c r="I38" s="50"/>
      <c r="J38" s="50"/>
      <c r="K38" s="78"/>
      <c r="L38" s="104"/>
      <c r="M38" s="50"/>
      <c r="N38" s="50"/>
      <c r="O38" s="50"/>
      <c r="P38" s="78"/>
      <c r="Q38" s="262"/>
      <c r="R38" s="477"/>
    </row>
    <row r="39" spans="1:18" ht="33.75" x14ac:dyDescent="0.2">
      <c r="A39" s="79">
        <f>IF(COUNTBLANK(B39)=1," ",COUNTA($B$13:B39))</f>
        <v>14</v>
      </c>
      <c r="B39" s="495" t="s">
        <v>474</v>
      </c>
      <c r="C39" s="491" t="s">
        <v>408</v>
      </c>
      <c r="D39" s="475" t="s">
        <v>63</v>
      </c>
      <c r="E39" s="469">
        <f>14.2*6</f>
        <v>85.199999999999989</v>
      </c>
      <c r="F39" s="235"/>
      <c r="G39" s="235"/>
      <c r="H39" s="235"/>
      <c r="I39" s="235"/>
      <c r="J39" s="235"/>
      <c r="K39" s="236"/>
      <c r="L39" s="235"/>
      <c r="M39" s="235"/>
      <c r="N39" s="235"/>
      <c r="O39" s="235"/>
      <c r="P39" s="236"/>
      <c r="Q39" s="488"/>
      <c r="R39" s="263"/>
    </row>
    <row r="40" spans="1:18" x14ac:dyDescent="0.2">
      <c r="A40" s="79"/>
      <c r="B40" s="129"/>
      <c r="C40" s="340" t="s">
        <v>365</v>
      </c>
      <c r="D40" s="115" t="s">
        <v>64</v>
      </c>
      <c r="E40" s="116">
        <f>E39*0.25</f>
        <v>21.299999999999997</v>
      </c>
      <c r="F40" s="235"/>
      <c r="G40" s="235"/>
      <c r="H40" s="235"/>
      <c r="I40" s="235"/>
      <c r="J40" s="235"/>
      <c r="K40" s="236"/>
      <c r="L40" s="235"/>
      <c r="M40" s="235"/>
      <c r="N40" s="235"/>
      <c r="O40" s="235"/>
      <c r="P40" s="236"/>
      <c r="Q40" s="488"/>
      <c r="R40" s="263"/>
    </row>
    <row r="41" spans="1:18" x14ac:dyDescent="0.2">
      <c r="A41" s="79"/>
      <c r="B41" s="129"/>
      <c r="C41" s="340" t="s">
        <v>366</v>
      </c>
      <c r="D41" s="115" t="s">
        <v>64</v>
      </c>
      <c r="E41" s="116">
        <f>E39*5</f>
        <v>425.99999999999994</v>
      </c>
      <c r="F41" s="235"/>
      <c r="G41" s="235"/>
      <c r="H41" s="235"/>
      <c r="I41" s="235"/>
      <c r="J41" s="235"/>
      <c r="K41" s="236"/>
      <c r="L41" s="235"/>
      <c r="M41" s="235"/>
      <c r="N41" s="235"/>
      <c r="O41" s="235"/>
      <c r="P41" s="236"/>
      <c r="Q41" s="488"/>
      <c r="R41" s="263"/>
    </row>
    <row r="42" spans="1:18" ht="22.5" x14ac:dyDescent="0.2">
      <c r="A42" s="79"/>
      <c r="B42" s="129"/>
      <c r="C42" s="340" t="s">
        <v>475</v>
      </c>
      <c r="D42" s="115" t="s">
        <v>63</v>
      </c>
      <c r="E42" s="116">
        <f>E39*1.15</f>
        <v>97.979999999999976</v>
      </c>
      <c r="F42" s="235"/>
      <c r="G42" s="235"/>
      <c r="H42" s="235"/>
      <c r="I42" s="235"/>
      <c r="J42" s="235"/>
      <c r="K42" s="236"/>
      <c r="L42" s="235"/>
      <c r="M42" s="235"/>
      <c r="N42" s="235"/>
      <c r="O42" s="235"/>
      <c r="P42" s="236"/>
      <c r="Q42" s="488"/>
      <c r="R42" s="263"/>
    </row>
    <row r="43" spans="1:18" ht="45" x14ac:dyDescent="0.2">
      <c r="A43" s="79"/>
      <c r="B43" s="129"/>
      <c r="C43" s="340" t="s">
        <v>124</v>
      </c>
      <c r="D43" s="115" t="s">
        <v>85</v>
      </c>
      <c r="E43" s="116">
        <f>ROUNDUP(E39*7,0)</f>
        <v>597</v>
      </c>
      <c r="F43" s="235"/>
      <c r="G43" s="235"/>
      <c r="H43" s="235"/>
      <c r="I43" s="235"/>
      <c r="J43" s="235"/>
      <c r="K43" s="236"/>
      <c r="L43" s="235"/>
      <c r="M43" s="235"/>
      <c r="N43" s="235"/>
      <c r="O43" s="235"/>
      <c r="P43" s="236"/>
      <c r="Q43" s="488"/>
      <c r="R43" s="263"/>
    </row>
    <row r="44" spans="1:18" x14ac:dyDescent="0.2">
      <c r="A44" s="79"/>
      <c r="B44" s="129"/>
      <c r="C44" s="340" t="s">
        <v>366</v>
      </c>
      <c r="D44" s="115" t="s">
        <v>64</v>
      </c>
      <c r="E44" s="116">
        <f>E39*5</f>
        <v>425.99999999999994</v>
      </c>
      <c r="F44" s="235"/>
      <c r="G44" s="235"/>
      <c r="H44" s="235"/>
      <c r="I44" s="235"/>
      <c r="J44" s="235"/>
      <c r="K44" s="236"/>
      <c r="L44" s="235"/>
      <c r="M44" s="235"/>
      <c r="N44" s="235"/>
      <c r="O44" s="235"/>
      <c r="P44" s="236"/>
      <c r="Q44" s="488"/>
      <c r="R44" s="263"/>
    </row>
    <row r="45" spans="1:18" x14ac:dyDescent="0.2">
      <c r="A45" s="79"/>
      <c r="B45" s="129"/>
      <c r="C45" s="340" t="s">
        <v>125</v>
      </c>
      <c r="D45" s="115" t="s">
        <v>63</v>
      </c>
      <c r="E45" s="116">
        <f>E39*1.1</f>
        <v>93.72</v>
      </c>
      <c r="F45" s="235"/>
      <c r="G45" s="235"/>
      <c r="H45" s="235"/>
      <c r="I45" s="235"/>
      <c r="J45" s="235"/>
      <c r="K45" s="236"/>
      <c r="L45" s="235"/>
      <c r="M45" s="235"/>
      <c r="N45" s="235"/>
      <c r="O45" s="235"/>
      <c r="P45" s="236"/>
      <c r="Q45" s="488"/>
      <c r="R45" s="263"/>
    </row>
    <row r="46" spans="1:18" x14ac:dyDescent="0.2">
      <c r="A46" s="79"/>
      <c r="B46" s="129"/>
      <c r="C46" s="340" t="s">
        <v>365</v>
      </c>
      <c r="D46" s="115" t="s">
        <v>64</v>
      </c>
      <c r="E46" s="116">
        <f>E39*0.25</f>
        <v>21.299999999999997</v>
      </c>
      <c r="F46" s="235"/>
      <c r="G46" s="235"/>
      <c r="H46" s="235"/>
      <c r="I46" s="235"/>
      <c r="J46" s="235"/>
      <c r="K46" s="236"/>
      <c r="L46" s="235"/>
      <c r="M46" s="235"/>
      <c r="N46" s="235"/>
      <c r="O46" s="235"/>
      <c r="P46" s="236"/>
      <c r="Q46" s="488"/>
      <c r="R46" s="263"/>
    </row>
    <row r="47" spans="1:18" x14ac:dyDescent="0.2">
      <c r="A47" s="79"/>
      <c r="B47" s="129"/>
      <c r="C47" s="340" t="s">
        <v>366</v>
      </c>
      <c r="D47" s="115" t="s">
        <v>64</v>
      </c>
      <c r="E47" s="116">
        <f>E39*4</f>
        <v>340.79999999999995</v>
      </c>
      <c r="F47" s="235"/>
      <c r="G47" s="235"/>
      <c r="H47" s="235"/>
      <c r="I47" s="235"/>
      <c r="J47" s="235"/>
      <c r="K47" s="236"/>
      <c r="L47" s="235"/>
      <c r="M47" s="235"/>
      <c r="N47" s="235"/>
      <c r="O47" s="235"/>
      <c r="P47" s="236"/>
      <c r="Q47" s="488"/>
      <c r="R47" s="263"/>
    </row>
    <row r="48" spans="1:18" ht="12" thickBot="1" x14ac:dyDescent="0.25">
      <c r="A48" s="79"/>
      <c r="B48" s="129"/>
      <c r="C48" s="340" t="s">
        <v>461</v>
      </c>
      <c r="D48" s="115" t="s">
        <v>64</v>
      </c>
      <c r="E48" s="116">
        <f>E39*0.5</f>
        <v>42.599999999999994</v>
      </c>
      <c r="F48" s="235"/>
      <c r="G48" s="235"/>
      <c r="H48" s="235"/>
      <c r="I48" s="235"/>
      <c r="J48" s="235"/>
      <c r="K48" s="236"/>
      <c r="L48" s="235"/>
      <c r="M48" s="235"/>
      <c r="N48" s="235"/>
      <c r="O48" s="235"/>
      <c r="P48" s="236"/>
      <c r="Q48" s="488"/>
      <c r="R48" s="263"/>
    </row>
    <row r="49" spans="1:18" ht="10.7" customHeight="1" thickBot="1" x14ac:dyDescent="0.25">
      <c r="A49" s="428" t="s">
        <v>486</v>
      </c>
      <c r="B49" s="429"/>
      <c r="C49" s="429"/>
      <c r="D49" s="429"/>
      <c r="E49" s="429"/>
      <c r="F49" s="429"/>
      <c r="G49" s="429"/>
      <c r="H49" s="429"/>
      <c r="I49" s="429"/>
      <c r="J49" s="429"/>
      <c r="K49" s="430"/>
      <c r="L49" s="232">
        <f>SUM(L14:L33)</f>
        <v>0</v>
      </c>
      <c r="M49" s="233">
        <f>SUM(M14:M32)</f>
        <v>0</v>
      </c>
      <c r="N49" s="233">
        <f>SUM(N14:N33)</f>
        <v>0</v>
      </c>
      <c r="O49" s="233">
        <f>SUM(O14:O33)</f>
        <v>0</v>
      </c>
      <c r="P49" s="234">
        <f>SUM(P14:P32)</f>
        <v>0</v>
      </c>
      <c r="Q49" s="477"/>
      <c r="R49" s="477"/>
    </row>
    <row r="50" spans="1:18" x14ac:dyDescent="0.2">
      <c r="A50" s="12"/>
      <c r="B50" s="24"/>
      <c r="C50" s="12"/>
      <c r="D50" s="12"/>
      <c r="E50" s="12"/>
      <c r="F50" s="12"/>
      <c r="G50" s="12"/>
      <c r="H50" s="12"/>
      <c r="I50" s="12"/>
      <c r="J50" s="12"/>
      <c r="K50" s="12"/>
      <c r="L50" s="12"/>
      <c r="M50" s="12"/>
      <c r="N50" s="12"/>
      <c r="O50" s="12"/>
      <c r="P50" s="12"/>
      <c r="Q50" s="477"/>
      <c r="R50" s="477"/>
    </row>
    <row r="51" spans="1:18" x14ac:dyDescent="0.2">
      <c r="A51" s="12"/>
      <c r="B51" s="24"/>
      <c r="C51" s="12"/>
      <c r="D51" s="12"/>
      <c r="E51" s="12"/>
      <c r="F51" s="12"/>
      <c r="G51" s="12"/>
      <c r="H51" s="12"/>
      <c r="I51" s="12"/>
      <c r="J51" s="12"/>
      <c r="K51" s="12"/>
      <c r="L51" s="12"/>
      <c r="M51" s="12"/>
      <c r="N51" s="12"/>
      <c r="O51" s="12"/>
      <c r="P51" s="12"/>
    </row>
    <row r="52" spans="1:18" x14ac:dyDescent="0.2">
      <c r="A52" s="1" t="s">
        <v>14</v>
      </c>
      <c r="B52" s="24"/>
      <c r="C52" s="439">
        <f>'Kops a'!C38:H38</f>
        <v>0</v>
      </c>
      <c r="D52" s="439"/>
      <c r="E52" s="439"/>
      <c r="F52" s="439"/>
      <c r="G52" s="439"/>
      <c r="H52" s="439"/>
      <c r="I52" s="12"/>
      <c r="J52" s="12"/>
      <c r="K52" s="12"/>
      <c r="L52" s="12"/>
      <c r="M52" s="12"/>
      <c r="N52" s="12"/>
      <c r="O52" s="12"/>
      <c r="P52" s="12"/>
    </row>
    <row r="53" spans="1:18" x14ac:dyDescent="0.2">
      <c r="A53" s="12"/>
      <c r="B53" s="24"/>
      <c r="C53" s="363" t="s">
        <v>15</v>
      </c>
      <c r="D53" s="363"/>
      <c r="E53" s="363"/>
      <c r="F53" s="363"/>
      <c r="G53" s="363"/>
      <c r="H53" s="363"/>
      <c r="I53" s="12"/>
      <c r="J53" s="12"/>
      <c r="K53" s="12"/>
      <c r="L53" s="12"/>
      <c r="M53" s="12"/>
      <c r="N53" s="12"/>
      <c r="O53" s="12"/>
      <c r="P53" s="12"/>
    </row>
    <row r="54" spans="1:18" x14ac:dyDescent="0.2">
      <c r="A54" s="12"/>
      <c r="B54" s="24"/>
      <c r="C54" s="12"/>
      <c r="D54" s="12"/>
      <c r="E54" s="12"/>
      <c r="F54" s="12"/>
      <c r="G54" s="12"/>
      <c r="H54" s="12"/>
      <c r="I54" s="12"/>
      <c r="J54" s="12"/>
      <c r="K54" s="12"/>
      <c r="L54" s="12"/>
      <c r="M54" s="12"/>
      <c r="N54" s="12"/>
      <c r="O54" s="12"/>
      <c r="P54" s="12"/>
    </row>
    <row r="55" spans="1:18" x14ac:dyDescent="0.2">
      <c r="A55" s="68" t="str">
        <f>'Kops a'!A41</f>
        <v>Tāme sastādīta 2021. gada</v>
      </c>
      <c r="B55" s="133"/>
      <c r="C55" s="69"/>
      <c r="D55" s="69"/>
      <c r="E55" s="12"/>
      <c r="F55" s="12"/>
      <c r="G55" s="12"/>
      <c r="H55" s="12"/>
      <c r="I55" s="12"/>
      <c r="J55" s="12"/>
      <c r="K55" s="12"/>
      <c r="L55" s="12"/>
      <c r="M55" s="12"/>
      <c r="N55" s="12"/>
      <c r="O55" s="12"/>
      <c r="P55" s="12"/>
    </row>
    <row r="56" spans="1:18" x14ac:dyDescent="0.2">
      <c r="A56" s="12"/>
      <c r="B56" s="24"/>
      <c r="C56" s="12"/>
      <c r="D56" s="12"/>
      <c r="E56" s="12"/>
      <c r="F56" s="12"/>
      <c r="G56" s="12"/>
      <c r="H56" s="12"/>
      <c r="I56" s="12"/>
      <c r="J56" s="12"/>
      <c r="K56" s="12"/>
      <c r="L56" s="12"/>
      <c r="M56" s="12"/>
      <c r="N56" s="12"/>
      <c r="O56" s="12"/>
      <c r="P56" s="12"/>
    </row>
    <row r="57" spans="1:18" x14ac:dyDescent="0.2">
      <c r="A57" s="1" t="s">
        <v>37</v>
      </c>
      <c r="B57" s="24"/>
      <c r="C57" s="439">
        <f>'Kops a'!C43:H43</f>
        <v>0</v>
      </c>
      <c r="D57" s="439"/>
      <c r="E57" s="439"/>
      <c r="F57" s="439"/>
      <c r="G57" s="439"/>
      <c r="H57" s="439"/>
      <c r="I57" s="12"/>
      <c r="J57" s="12"/>
      <c r="K57" s="12"/>
      <c r="L57" s="12"/>
      <c r="M57" s="12"/>
      <c r="N57" s="12"/>
      <c r="O57" s="12"/>
      <c r="P57" s="12"/>
    </row>
    <row r="58" spans="1:18" x14ac:dyDescent="0.2">
      <c r="A58" s="12"/>
      <c r="B58" s="24"/>
      <c r="C58" s="363" t="s">
        <v>15</v>
      </c>
      <c r="D58" s="363"/>
      <c r="E58" s="363"/>
      <c r="F58" s="363"/>
      <c r="G58" s="363"/>
      <c r="H58" s="363"/>
      <c r="I58" s="12"/>
      <c r="J58" s="12"/>
      <c r="K58" s="12"/>
      <c r="L58" s="12"/>
      <c r="M58" s="12"/>
      <c r="N58" s="12"/>
      <c r="O58" s="12"/>
      <c r="P58" s="12"/>
    </row>
    <row r="59" spans="1:18" x14ac:dyDescent="0.2">
      <c r="A59" s="12"/>
      <c r="B59" s="24"/>
      <c r="C59" s="12"/>
      <c r="D59" s="12"/>
      <c r="E59" s="12"/>
      <c r="F59" s="12"/>
      <c r="G59" s="12"/>
      <c r="H59" s="12"/>
      <c r="I59" s="12"/>
      <c r="J59" s="12"/>
      <c r="K59" s="12"/>
      <c r="L59" s="12"/>
      <c r="M59" s="12"/>
      <c r="N59" s="12"/>
      <c r="O59" s="12"/>
      <c r="P59" s="12"/>
    </row>
    <row r="60" spans="1:18" x14ac:dyDescent="0.2">
      <c r="A60" s="68" t="s">
        <v>54</v>
      </c>
      <c r="B60" s="133"/>
      <c r="C60" s="72">
        <f>'Kops a'!C46</f>
        <v>0</v>
      </c>
      <c r="D60" s="36"/>
      <c r="E60" s="12"/>
      <c r="F60" s="12"/>
      <c r="G60" s="12"/>
      <c r="H60" s="12"/>
      <c r="I60" s="12"/>
      <c r="J60" s="12"/>
      <c r="K60" s="12"/>
      <c r="L60" s="12"/>
      <c r="M60" s="12"/>
      <c r="N60" s="12"/>
      <c r="O60" s="12"/>
      <c r="P60" s="12"/>
    </row>
    <row r="61" spans="1:18" x14ac:dyDescent="0.2">
      <c r="A61" s="12"/>
      <c r="B61" s="24"/>
      <c r="C61" s="12"/>
      <c r="D61" s="12"/>
      <c r="E61" s="12"/>
      <c r="F61" s="12"/>
      <c r="G61" s="12"/>
      <c r="H61" s="12"/>
      <c r="I61" s="12"/>
      <c r="J61" s="12"/>
      <c r="K61" s="12"/>
      <c r="L61" s="12"/>
      <c r="M61" s="12"/>
      <c r="N61" s="12"/>
      <c r="O61" s="12"/>
      <c r="P61" s="12"/>
    </row>
    <row r="62" spans="1:18" ht="12" x14ac:dyDescent="0.2">
      <c r="A62" s="106" t="s">
        <v>89</v>
      </c>
      <c r="B62" s="136"/>
      <c r="C62" s="108"/>
      <c r="D62" s="108"/>
      <c r="E62" s="109"/>
      <c r="F62" s="110"/>
      <c r="G62" s="109"/>
      <c r="H62" s="111"/>
      <c r="I62" s="111"/>
      <c r="J62" s="112"/>
      <c r="K62" s="113"/>
      <c r="L62" s="113"/>
      <c r="M62" s="113"/>
      <c r="N62" s="113"/>
      <c r="O62" s="113"/>
    </row>
    <row r="63" spans="1:18" ht="12" x14ac:dyDescent="0.2">
      <c r="A63" s="435" t="s">
        <v>90</v>
      </c>
      <c r="B63" s="435"/>
      <c r="C63" s="435"/>
      <c r="D63" s="435"/>
      <c r="E63" s="435"/>
      <c r="F63" s="435"/>
      <c r="G63" s="435"/>
      <c r="H63" s="435"/>
      <c r="I63" s="435"/>
      <c r="J63" s="435"/>
      <c r="K63" s="435"/>
      <c r="L63" s="435"/>
      <c r="M63" s="435"/>
      <c r="N63" s="435"/>
      <c r="O63" s="435"/>
    </row>
    <row r="64" spans="1:18" ht="12" x14ac:dyDescent="0.2">
      <c r="A64" s="435" t="s">
        <v>91</v>
      </c>
      <c r="B64" s="435"/>
      <c r="C64" s="435"/>
      <c r="D64" s="435"/>
      <c r="E64" s="435"/>
      <c r="F64" s="435"/>
      <c r="G64" s="435"/>
      <c r="H64" s="435"/>
      <c r="I64" s="435"/>
      <c r="J64" s="435"/>
      <c r="K64" s="435"/>
      <c r="L64" s="435"/>
      <c r="M64" s="435"/>
      <c r="N64" s="435"/>
      <c r="O64" s="435"/>
    </row>
  </sheetData>
  <mergeCells count="25">
    <mergeCell ref="Q39:Q48"/>
    <mergeCell ref="A63:O63"/>
    <mergeCell ref="A64:O64"/>
    <mergeCell ref="L12:P12"/>
    <mergeCell ref="A49:K49"/>
    <mergeCell ref="C52:H52"/>
    <mergeCell ref="C53:H53"/>
    <mergeCell ref="C57:H57"/>
    <mergeCell ref="C58:H58"/>
    <mergeCell ref="D7:L7"/>
    <mergeCell ref="C2:I2"/>
    <mergeCell ref="C3:I3"/>
    <mergeCell ref="C4:I4"/>
    <mergeCell ref="D5:L5"/>
    <mergeCell ref="D6:L6"/>
    <mergeCell ref="D8:L8"/>
    <mergeCell ref="A9:F9"/>
    <mergeCell ref="J9:M9"/>
    <mergeCell ref="N9:O9"/>
    <mergeCell ref="A12:A13"/>
    <mergeCell ref="B12:B13"/>
    <mergeCell ref="C12:C13"/>
    <mergeCell ref="D12:D13"/>
    <mergeCell ref="E12:E13"/>
    <mergeCell ref="F12:K12"/>
  </mergeCells>
  <conditionalFormatting sqref="F39:G48 A39:B48 B15:G33 A14:A33 A34:G38 I14:J48">
    <cfRule type="cellIs" dxfId="108" priority="31" operator="equal">
      <formula>0</formula>
    </cfRule>
  </conditionalFormatting>
  <conditionalFormatting sqref="N9:O9 H14:H48 K14:P48">
    <cfRule type="cellIs" dxfId="107" priority="30" operator="equal">
      <formula>0</formula>
    </cfRule>
  </conditionalFormatting>
  <conditionalFormatting sqref="A9:F9">
    <cfRule type="containsText" dxfId="106" priority="29"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05" priority="28" operator="equal">
      <formula>0</formula>
    </cfRule>
  </conditionalFormatting>
  <conditionalFormatting sqref="O10">
    <cfRule type="cellIs" dxfId="104" priority="27" operator="equal">
      <formula>"20__. gada __. _________"</formula>
    </cfRule>
  </conditionalFormatting>
  <conditionalFormatting sqref="L49:P49">
    <cfRule type="cellIs" dxfId="103" priority="25" operator="equal">
      <formula>0</formula>
    </cfRule>
  </conditionalFormatting>
  <conditionalFormatting sqref="C4:I4">
    <cfRule type="cellIs" dxfId="102" priority="24" operator="equal">
      <formula>0</formula>
    </cfRule>
  </conditionalFormatting>
  <conditionalFormatting sqref="D5:L8">
    <cfRule type="cellIs" dxfId="101" priority="22" operator="equal">
      <formula>0</formula>
    </cfRule>
  </conditionalFormatting>
  <conditionalFormatting sqref="B14 D14:G14">
    <cfRule type="cellIs" dxfId="100" priority="21" operator="equal">
      <formula>0</formula>
    </cfRule>
  </conditionalFormatting>
  <conditionalFormatting sqref="C14">
    <cfRule type="cellIs" dxfId="99" priority="20" operator="equal">
      <formula>0</formula>
    </cfRule>
  </conditionalFormatting>
  <conditionalFormatting sqref="P10">
    <cfRule type="cellIs" dxfId="98" priority="18" operator="equal">
      <formula>"20__. gada __. _________"</formula>
    </cfRule>
  </conditionalFormatting>
  <conditionalFormatting sqref="C57:H57">
    <cfRule type="cellIs" dxfId="97" priority="15" operator="equal">
      <formula>0</formula>
    </cfRule>
  </conditionalFormatting>
  <conditionalFormatting sqref="C52:H52">
    <cfRule type="cellIs" dxfId="96" priority="14" operator="equal">
      <formula>0</formula>
    </cfRule>
  </conditionalFormatting>
  <conditionalFormatting sqref="C57:H57 C60 C52:H52">
    <cfRule type="cellIs" dxfId="95" priority="13" operator="equal">
      <formula>0</formula>
    </cfRule>
  </conditionalFormatting>
  <conditionalFormatting sqref="D1">
    <cfRule type="cellIs" dxfId="94" priority="12" operator="equal">
      <formula>0</formula>
    </cfRule>
  </conditionalFormatting>
  <conditionalFormatting sqref="C42:E43 C39:E39">
    <cfRule type="cellIs" dxfId="93" priority="10" operator="equal">
      <formula>0</formula>
    </cfRule>
  </conditionalFormatting>
  <conditionalFormatting sqref="C40:E41">
    <cfRule type="cellIs" dxfId="92" priority="9" operator="equal">
      <formula>0</formula>
    </cfRule>
  </conditionalFormatting>
  <conditionalFormatting sqref="C45 E45">
    <cfRule type="cellIs" dxfId="91" priority="8" operator="equal">
      <formula>0</formula>
    </cfRule>
  </conditionalFormatting>
  <conditionalFormatting sqref="C44:E44">
    <cfRule type="cellIs" dxfId="90" priority="7" operator="equal">
      <formula>0</formula>
    </cfRule>
  </conditionalFormatting>
  <conditionalFormatting sqref="C46:E46">
    <cfRule type="cellIs" dxfId="89" priority="6" operator="equal">
      <formula>0</formula>
    </cfRule>
  </conditionalFormatting>
  <conditionalFormatting sqref="C47:E47">
    <cfRule type="cellIs" dxfId="88" priority="5" operator="equal">
      <formula>0</formula>
    </cfRule>
  </conditionalFormatting>
  <conditionalFormatting sqref="C48:E48">
    <cfRule type="cellIs" dxfId="87" priority="4" operator="equal">
      <formula>0</formula>
    </cfRule>
  </conditionalFormatting>
  <conditionalFormatting sqref="D45">
    <cfRule type="cellIs" dxfId="86" priority="3" operator="equal">
      <formula>0</formula>
    </cfRule>
  </conditionalFormatting>
  <conditionalFormatting sqref="A49:K49">
    <cfRule type="containsText" dxfId="85" priority="1" operator="containsText" text="Tiešās izmaksas kopā, t. sk. darba devēja sociālais nodoklis __.__% ">
      <formula>NOT(ISERROR(SEARCH("Tiešās izmaksas kopā, t. sk. darba devēja sociālais nodoklis __.__% ",A49)))</formula>
    </cfRule>
  </conditionalFormatting>
  <pageMargins left="0" right="0" top="0.78740157480314965" bottom="0.39370078740157483" header="0" footer="0.31496062992125984"/>
  <pageSetup scale="7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7" operator="containsText" id="{9C39EC9C-E124-4FAD-B3F9-26045F93501F}">
            <xm:f>NOT(ISERROR(SEARCH("Tāme sastādīta ____. gada ___. ______________",A55)))</xm:f>
            <xm:f>"Tāme sastādīta ____. gada ___. ______________"</xm:f>
            <x14:dxf>
              <font>
                <color auto="1"/>
              </font>
              <fill>
                <patternFill>
                  <bgColor rgb="FFC6EFCE"/>
                </patternFill>
              </fill>
            </x14:dxf>
          </x14:cfRule>
          <xm:sqref>A55</xm:sqref>
        </x14:conditionalFormatting>
        <x14:conditionalFormatting xmlns:xm="http://schemas.microsoft.com/office/excel/2006/main">
          <x14:cfRule type="containsText" priority="16" operator="containsText" id="{D16D0033-1367-4501-9E30-21E7DFB0FC93}">
            <xm:f>NOT(ISERROR(SEARCH("Sertifikāta Nr. _________________________________",A60)))</xm:f>
            <xm:f>"Sertifikāta Nr. _________________________________"</xm:f>
            <x14:dxf>
              <font>
                <color auto="1"/>
              </font>
              <fill>
                <patternFill>
                  <bgColor rgb="FFC6EFCE"/>
                </patternFill>
              </fill>
            </x14:dxf>
          </x14:cfRule>
          <xm:sqref>A60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13</vt:i4>
      </vt:variant>
    </vt:vector>
  </HeadingPairs>
  <TitlesOfParts>
    <vt:vector size="13" baseType="lpstr">
      <vt:lpstr>Kopt a</vt:lpstr>
      <vt:lpstr>Kops a</vt:lpstr>
      <vt:lpstr>1a</vt:lpstr>
      <vt:lpstr>2a</vt:lpstr>
      <vt:lpstr>apjomi</vt:lpstr>
      <vt:lpstr>3a</vt:lpstr>
      <vt:lpstr>4a</vt:lpstr>
      <vt:lpstr>5a</vt:lpstr>
      <vt:lpstr>6a</vt:lpstr>
      <vt:lpstr>7a</vt:lpstr>
      <vt:lpstr>8a</vt:lpstr>
      <vt:lpstr>9a</vt:lpstr>
      <vt:lpstr>10a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Armands Ūbelis</dc:creator>
  <cp:lastModifiedBy>Prezenta</cp:lastModifiedBy>
  <cp:lastPrinted>2019-09-04T07:53:06Z</cp:lastPrinted>
  <dcterms:created xsi:type="dcterms:W3CDTF">2019-03-11T11:42:22Z</dcterms:created>
  <dcterms:modified xsi:type="dcterms:W3CDTF">2021-05-28T07:39:46Z</dcterms:modified>
</cp:coreProperties>
</file>