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192.168.2.20\docs\Pagaidu dokumenti\Renovācija_iepirkums\Altum_iepirkumi\87_Ventas_14\"/>
    </mc:Choice>
  </mc:AlternateContent>
  <xr:revisionPtr revIDLastSave="0" documentId="13_ncr:1_{BE68CF62-8F75-4B27-A7AD-44310AFD34CC}" xr6:coauthVersionLast="46" xr6:coauthVersionMax="46" xr10:uidLastSave="{00000000-0000-0000-0000-000000000000}"/>
  <bookViews>
    <workbookView xWindow="345" yWindow="210" windowWidth="26400" windowHeight="14790" tabRatio="581" activeTab="7" xr2:uid="{00000000-000D-0000-FFFF-FFFF00000000}"/>
  </bookViews>
  <sheets>
    <sheet name="Kopt a" sheetId="1" r:id="rId1"/>
    <sheet name="Kops a" sheetId="2" r:id="rId2"/>
    <sheet name="1a" sheetId="3" r:id="rId3"/>
    <sheet name="2a" sheetId="4" r:id="rId4"/>
    <sheet name="3a" sheetId="6" r:id="rId5"/>
    <sheet name="4a" sheetId="8" r:id="rId6"/>
    <sheet name="5a" sheetId="34" r:id="rId7"/>
    <sheet name="6a" sheetId="36" r:id="rId8"/>
    <sheet name="apjomi" sheetId="33" state="hidden" r:id="rId9"/>
  </sheets>
  <definedNames>
    <definedName name="_xlnm._FilterDatabase" localSheetId="2" hidden="1">'1a'!$A$14:$AMG$66</definedName>
    <definedName name="_xlnm.Print_Area" localSheetId="8">apjomi!$B$1:$V$15</definedName>
    <definedName name="sas">'Kopt a'!$B$25</definedName>
    <definedName name="sert.nr">'Kopt a'!$B$28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26" i="2" l="1"/>
  <c r="E27" i="2"/>
  <c r="B14" i="1"/>
  <c r="C77" i="36"/>
  <c r="C69" i="36"/>
  <c r="C74" i="36"/>
  <c r="C43" i="34"/>
  <c r="C35" i="34"/>
  <c r="C40" i="34"/>
  <c r="C36" i="8"/>
  <c r="C28" i="8"/>
  <c r="C33" i="8"/>
  <c r="C57" i="6"/>
  <c r="C49" i="6"/>
  <c r="C54" i="6"/>
  <c r="C67" i="4"/>
  <c r="C59" i="4"/>
  <c r="C64" i="4"/>
  <c r="C70" i="3"/>
  <c r="C62" i="3"/>
  <c r="C67" i="3"/>
  <c r="B8" i="1"/>
  <c r="A22" i="33"/>
  <c r="A23" i="33"/>
  <c r="A24" i="33"/>
  <c r="A25" i="33"/>
  <c r="A26" i="33"/>
  <c r="A27" i="33"/>
  <c r="A28" i="33"/>
  <c r="A29" i="33"/>
  <c r="A30" i="33"/>
  <c r="A31" i="33"/>
  <c r="A32" i="33"/>
  <c r="A33" i="33"/>
  <c r="F22" i="33"/>
  <c r="F32" i="33"/>
  <c r="H32" i="33"/>
  <c r="H31" i="33"/>
  <c r="C30" i="33"/>
  <c r="D30" i="33"/>
  <c r="F29" i="33"/>
  <c r="F30" i="33"/>
  <c r="H30" i="33"/>
  <c r="C29" i="33"/>
  <c r="D29" i="33"/>
  <c r="H29" i="33"/>
  <c r="F28" i="33"/>
  <c r="H28" i="33"/>
  <c r="F27" i="33"/>
  <c r="H27" i="33"/>
  <c r="H26" i="33"/>
  <c r="H25" i="33"/>
  <c r="H21" i="33"/>
  <c r="H24" i="33"/>
  <c r="C23" i="33"/>
  <c r="D23" i="33"/>
  <c r="F23" i="33"/>
  <c r="H23" i="33"/>
  <c r="C22" i="33"/>
  <c r="D22" i="33"/>
  <c r="E20" i="33"/>
  <c r="H22" i="33"/>
  <c r="G22" i="33"/>
  <c r="E22" i="33"/>
  <c r="C20" i="33"/>
  <c r="D20" i="33"/>
  <c r="H20" i="33"/>
  <c r="H19" i="3"/>
  <c r="K19" i="3"/>
  <c r="L19" i="3"/>
  <c r="M19" i="3"/>
  <c r="N19" i="3"/>
  <c r="O19" i="3"/>
  <c r="P19" i="3"/>
  <c r="H20" i="3"/>
  <c r="K20" i="3"/>
  <c r="L20" i="3"/>
  <c r="M20" i="3"/>
  <c r="N20" i="3"/>
  <c r="O20" i="3"/>
  <c r="P20" i="3"/>
  <c r="H21" i="3"/>
  <c r="K21" i="3"/>
  <c r="L21" i="3"/>
  <c r="M21" i="3"/>
  <c r="N21" i="3"/>
  <c r="O21" i="3"/>
  <c r="P21" i="3"/>
  <c r="H22" i="3"/>
  <c r="K22" i="3"/>
  <c r="L22" i="3"/>
  <c r="M22" i="3"/>
  <c r="N22" i="3"/>
  <c r="O22" i="3"/>
  <c r="P22" i="3"/>
  <c r="H23" i="3"/>
  <c r="K23" i="3"/>
  <c r="L23" i="3"/>
  <c r="M23" i="3"/>
  <c r="N23" i="3"/>
  <c r="O23" i="3"/>
  <c r="P23" i="3"/>
  <c r="H24" i="3"/>
  <c r="K24" i="3"/>
  <c r="L24" i="3"/>
  <c r="M24" i="3"/>
  <c r="N24" i="3"/>
  <c r="O24" i="3"/>
  <c r="P24" i="3"/>
  <c r="H25" i="3"/>
  <c r="K25" i="3"/>
  <c r="E25" i="3"/>
  <c r="L25" i="3"/>
  <c r="M25" i="3"/>
  <c r="N25" i="3"/>
  <c r="O25" i="3"/>
  <c r="P25" i="3"/>
  <c r="H26" i="3"/>
  <c r="K26" i="3"/>
  <c r="E26" i="3"/>
  <c r="L26" i="3"/>
  <c r="M26" i="3"/>
  <c r="N26" i="3"/>
  <c r="O26" i="3"/>
  <c r="P26" i="3"/>
  <c r="H27" i="3"/>
  <c r="K27" i="3"/>
  <c r="E27" i="3"/>
  <c r="L27" i="3"/>
  <c r="M27" i="3"/>
  <c r="N27" i="3"/>
  <c r="O27" i="3"/>
  <c r="P27" i="3"/>
  <c r="H28" i="3"/>
  <c r="K28" i="3"/>
  <c r="E28" i="3"/>
  <c r="L28" i="3"/>
  <c r="M28" i="3"/>
  <c r="N28" i="3"/>
  <c r="O28" i="3"/>
  <c r="P28" i="3"/>
  <c r="H29" i="3"/>
  <c r="K29" i="3"/>
  <c r="L29" i="3"/>
  <c r="M29" i="3"/>
  <c r="N29" i="3"/>
  <c r="O29" i="3"/>
  <c r="P29" i="3"/>
  <c r="H30" i="3"/>
  <c r="K30" i="3"/>
  <c r="L30" i="3"/>
  <c r="M30" i="3"/>
  <c r="N30" i="3"/>
  <c r="O30" i="3"/>
  <c r="P30" i="3"/>
  <c r="H31" i="3"/>
  <c r="K31" i="3"/>
  <c r="E31" i="3"/>
  <c r="L31" i="3"/>
  <c r="M31" i="3"/>
  <c r="N31" i="3"/>
  <c r="O31" i="3"/>
  <c r="P31" i="3"/>
  <c r="H32" i="3"/>
  <c r="K32" i="3"/>
  <c r="E32" i="3"/>
  <c r="L32" i="3"/>
  <c r="M32" i="3"/>
  <c r="N32" i="3"/>
  <c r="O32" i="3"/>
  <c r="P32" i="3"/>
  <c r="H33" i="3"/>
  <c r="K33" i="3"/>
  <c r="E33" i="3"/>
  <c r="L33" i="3"/>
  <c r="M33" i="3"/>
  <c r="N33" i="3"/>
  <c r="O33" i="3"/>
  <c r="P33" i="3"/>
  <c r="H34" i="3"/>
  <c r="K34" i="3"/>
  <c r="L34" i="3"/>
  <c r="M34" i="3"/>
  <c r="N34" i="3"/>
  <c r="O34" i="3"/>
  <c r="P34" i="3"/>
  <c r="H35" i="3"/>
  <c r="K35" i="3"/>
  <c r="E4" i="33"/>
  <c r="L4" i="33"/>
  <c r="N4" i="33"/>
  <c r="E5" i="33"/>
  <c r="L5" i="33"/>
  <c r="N5" i="33"/>
  <c r="E6" i="33"/>
  <c r="L6" i="33"/>
  <c r="N6" i="33"/>
  <c r="E7" i="33"/>
  <c r="L7" i="33"/>
  <c r="N7" i="33"/>
  <c r="N13" i="33"/>
  <c r="E35" i="3"/>
  <c r="L35" i="3"/>
  <c r="M35" i="3"/>
  <c r="N35" i="3"/>
  <c r="O35" i="3"/>
  <c r="P35" i="3"/>
  <c r="H36" i="3"/>
  <c r="K36" i="3"/>
  <c r="E36" i="3"/>
  <c r="L36" i="3"/>
  <c r="M36" i="3"/>
  <c r="N36" i="3"/>
  <c r="O36" i="3"/>
  <c r="P36" i="3"/>
  <c r="H37" i="3"/>
  <c r="K37" i="3"/>
  <c r="E37" i="3"/>
  <c r="L37" i="3"/>
  <c r="M37" i="3"/>
  <c r="N37" i="3"/>
  <c r="O37" i="3"/>
  <c r="P37" i="3"/>
  <c r="H38" i="3"/>
  <c r="K38" i="3"/>
  <c r="E38" i="3"/>
  <c r="L38" i="3"/>
  <c r="M38" i="3"/>
  <c r="N38" i="3"/>
  <c r="O38" i="3"/>
  <c r="P38" i="3"/>
  <c r="H39" i="3"/>
  <c r="K39" i="3"/>
  <c r="E39" i="3"/>
  <c r="L39" i="3"/>
  <c r="M39" i="3"/>
  <c r="N39" i="3"/>
  <c r="O39" i="3"/>
  <c r="P39" i="3"/>
  <c r="H40" i="3"/>
  <c r="K40" i="3"/>
  <c r="E40" i="3"/>
  <c r="L40" i="3"/>
  <c r="M40" i="3"/>
  <c r="N40" i="3"/>
  <c r="O40" i="3"/>
  <c r="P40" i="3"/>
  <c r="H41" i="3"/>
  <c r="K41" i="3"/>
  <c r="E41" i="3"/>
  <c r="L41" i="3"/>
  <c r="M41" i="3"/>
  <c r="N41" i="3"/>
  <c r="O41" i="3"/>
  <c r="P41" i="3"/>
  <c r="H42" i="3"/>
  <c r="K42" i="3"/>
  <c r="E42" i="3"/>
  <c r="L42" i="3"/>
  <c r="M42" i="3"/>
  <c r="N42" i="3"/>
  <c r="O42" i="3"/>
  <c r="P42" i="3"/>
  <c r="H43" i="3"/>
  <c r="K43" i="3"/>
  <c r="E43" i="3"/>
  <c r="L43" i="3"/>
  <c r="M43" i="3"/>
  <c r="N43" i="3"/>
  <c r="O43" i="3"/>
  <c r="P43" i="3"/>
  <c r="H44" i="3"/>
  <c r="K44" i="3"/>
  <c r="E9" i="33"/>
  <c r="E13" i="33"/>
  <c r="E44" i="3"/>
  <c r="L44" i="3"/>
  <c r="M44" i="3"/>
  <c r="N44" i="3"/>
  <c r="O44" i="3"/>
  <c r="P44" i="3"/>
  <c r="H45" i="3"/>
  <c r="K45" i="3"/>
  <c r="E45" i="3"/>
  <c r="L45" i="3"/>
  <c r="M45" i="3"/>
  <c r="N45" i="3"/>
  <c r="O45" i="3"/>
  <c r="P45" i="3"/>
  <c r="H46" i="3"/>
  <c r="K46" i="3"/>
  <c r="E46" i="3"/>
  <c r="L46" i="3"/>
  <c r="M46" i="3"/>
  <c r="N46" i="3"/>
  <c r="O46" i="3"/>
  <c r="P46" i="3"/>
  <c r="H47" i="3"/>
  <c r="K47" i="3"/>
  <c r="R4" i="33"/>
  <c r="R5" i="33"/>
  <c r="R6" i="33"/>
  <c r="R7" i="33"/>
  <c r="R9" i="33"/>
  <c r="E11" i="33"/>
  <c r="R11" i="33"/>
  <c r="R13" i="33"/>
  <c r="E47" i="3"/>
  <c r="L47" i="3"/>
  <c r="M47" i="3"/>
  <c r="N47" i="3"/>
  <c r="O47" i="3"/>
  <c r="P47" i="3"/>
  <c r="H48" i="3"/>
  <c r="K48" i="3"/>
  <c r="S4" i="33"/>
  <c r="S5" i="33"/>
  <c r="S6" i="33"/>
  <c r="S7" i="33"/>
  <c r="S9" i="33"/>
  <c r="S11" i="33"/>
  <c r="S13" i="33"/>
  <c r="E48" i="3"/>
  <c r="L48" i="3"/>
  <c r="M48" i="3"/>
  <c r="N48" i="3"/>
  <c r="O48" i="3"/>
  <c r="P48" i="3"/>
  <c r="H49" i="3"/>
  <c r="K49" i="3"/>
  <c r="T4" i="33"/>
  <c r="T5" i="33"/>
  <c r="T6" i="33"/>
  <c r="T7" i="33"/>
  <c r="T9" i="33"/>
  <c r="T11" i="33"/>
  <c r="T13" i="33"/>
  <c r="E49" i="3"/>
  <c r="L49" i="3"/>
  <c r="M49" i="3"/>
  <c r="N49" i="3"/>
  <c r="O49" i="3"/>
  <c r="P49" i="3"/>
  <c r="H50" i="3"/>
  <c r="K50" i="3"/>
  <c r="U4" i="33"/>
  <c r="U5" i="33"/>
  <c r="U6" i="33"/>
  <c r="U7" i="33"/>
  <c r="U13" i="33"/>
  <c r="E50" i="3"/>
  <c r="L50" i="3"/>
  <c r="M50" i="3"/>
  <c r="N50" i="3"/>
  <c r="O50" i="3"/>
  <c r="P50" i="3"/>
  <c r="H51" i="3"/>
  <c r="K51" i="3"/>
  <c r="V13" i="33"/>
  <c r="E51" i="3"/>
  <c r="L51" i="3"/>
  <c r="M51" i="3"/>
  <c r="N51" i="3"/>
  <c r="O51" i="3"/>
  <c r="P51" i="3"/>
  <c r="H52" i="3"/>
  <c r="K52" i="3"/>
  <c r="E52" i="3"/>
  <c r="L52" i="3"/>
  <c r="M52" i="3"/>
  <c r="N52" i="3"/>
  <c r="O52" i="3"/>
  <c r="P52" i="3"/>
  <c r="H53" i="3"/>
  <c r="K53" i="3"/>
  <c r="E53" i="3"/>
  <c r="L53" i="3"/>
  <c r="M53" i="3"/>
  <c r="N53" i="3"/>
  <c r="O53" i="3"/>
  <c r="P53" i="3"/>
  <c r="H54" i="3"/>
  <c r="K54" i="3"/>
  <c r="E54" i="3"/>
  <c r="L54" i="3"/>
  <c r="M54" i="3"/>
  <c r="N54" i="3"/>
  <c r="O54" i="3"/>
  <c r="P54" i="3"/>
  <c r="H55" i="3"/>
  <c r="K55" i="3"/>
  <c r="L55" i="3"/>
  <c r="M55" i="3"/>
  <c r="N55" i="3"/>
  <c r="O55" i="3"/>
  <c r="P55" i="3"/>
  <c r="H56" i="3"/>
  <c r="K56" i="3"/>
  <c r="L56" i="3"/>
  <c r="M56" i="3"/>
  <c r="N56" i="3"/>
  <c r="O56" i="3"/>
  <c r="P56" i="3"/>
  <c r="H57" i="3"/>
  <c r="K57" i="3"/>
  <c r="E57" i="3"/>
  <c r="L57" i="3"/>
  <c r="M57" i="3"/>
  <c r="N57" i="3"/>
  <c r="O57" i="3"/>
  <c r="P57" i="3"/>
  <c r="H58" i="3"/>
  <c r="K58" i="3"/>
  <c r="E58" i="3"/>
  <c r="L58" i="3"/>
  <c r="M58" i="3"/>
  <c r="N58" i="3"/>
  <c r="O58" i="3"/>
  <c r="P58" i="3"/>
  <c r="H19" i="4"/>
  <c r="K19" i="4"/>
  <c r="E19" i="4"/>
  <c r="L19" i="4"/>
  <c r="M19" i="4"/>
  <c r="N19" i="4"/>
  <c r="O19" i="4"/>
  <c r="P19" i="4"/>
  <c r="H20" i="4"/>
  <c r="K20" i="4"/>
  <c r="E16" i="4"/>
  <c r="E20" i="4"/>
  <c r="L20" i="4"/>
  <c r="M20" i="4"/>
  <c r="N20" i="4"/>
  <c r="O20" i="4"/>
  <c r="P20" i="4"/>
  <c r="H21" i="4"/>
  <c r="K21" i="4"/>
  <c r="E21" i="4"/>
  <c r="L21" i="4"/>
  <c r="M21" i="4"/>
  <c r="N21" i="4"/>
  <c r="O21" i="4"/>
  <c r="P21" i="4"/>
  <c r="H22" i="4"/>
  <c r="K22" i="4"/>
  <c r="E22" i="4"/>
  <c r="L22" i="4"/>
  <c r="M22" i="4"/>
  <c r="N22" i="4"/>
  <c r="O22" i="4"/>
  <c r="P22" i="4"/>
  <c r="H23" i="4"/>
  <c r="K23" i="4"/>
  <c r="E23" i="4"/>
  <c r="L23" i="4"/>
  <c r="M23" i="4"/>
  <c r="N23" i="4"/>
  <c r="O23" i="4"/>
  <c r="P23" i="4"/>
  <c r="H24" i="4"/>
  <c r="K24" i="4"/>
  <c r="E24" i="4"/>
  <c r="L24" i="4"/>
  <c r="M24" i="4"/>
  <c r="N24" i="4"/>
  <c r="O24" i="4"/>
  <c r="P24" i="4"/>
  <c r="H25" i="4"/>
  <c r="K25" i="4"/>
  <c r="E25" i="4"/>
  <c r="L25" i="4"/>
  <c r="M25" i="4"/>
  <c r="N25" i="4"/>
  <c r="O25" i="4"/>
  <c r="P25" i="4"/>
  <c r="H26" i="4"/>
  <c r="K26" i="4"/>
  <c r="E15" i="4"/>
  <c r="E26" i="4"/>
  <c r="L26" i="4"/>
  <c r="M26" i="4"/>
  <c r="N26" i="4"/>
  <c r="O26" i="4"/>
  <c r="P26" i="4"/>
  <c r="H27" i="4"/>
  <c r="K27" i="4"/>
  <c r="E27" i="4"/>
  <c r="L27" i="4"/>
  <c r="M27" i="4"/>
  <c r="N27" i="4"/>
  <c r="O27" i="4"/>
  <c r="P27" i="4"/>
  <c r="H28" i="4"/>
  <c r="K28" i="4"/>
  <c r="E28" i="4"/>
  <c r="L28" i="4"/>
  <c r="M28" i="4"/>
  <c r="N28" i="4"/>
  <c r="O28" i="4"/>
  <c r="P28" i="4"/>
  <c r="H29" i="4"/>
  <c r="K29" i="4"/>
  <c r="E29" i="4"/>
  <c r="L29" i="4"/>
  <c r="M29" i="4"/>
  <c r="N29" i="4"/>
  <c r="O29" i="4"/>
  <c r="P29" i="4"/>
  <c r="H30" i="4"/>
  <c r="K30" i="4"/>
  <c r="E30" i="4"/>
  <c r="L30" i="4"/>
  <c r="M30" i="4"/>
  <c r="N30" i="4"/>
  <c r="O30" i="4"/>
  <c r="P30" i="4"/>
  <c r="H31" i="4"/>
  <c r="K31" i="4"/>
  <c r="E31" i="4"/>
  <c r="L31" i="4"/>
  <c r="M31" i="4"/>
  <c r="N31" i="4"/>
  <c r="O31" i="4"/>
  <c r="P31" i="4"/>
  <c r="H32" i="4"/>
  <c r="K32" i="4"/>
  <c r="E32" i="4"/>
  <c r="L32" i="4"/>
  <c r="M32" i="4"/>
  <c r="N32" i="4"/>
  <c r="O32" i="4"/>
  <c r="P32" i="4"/>
  <c r="H33" i="4"/>
  <c r="K33" i="4"/>
  <c r="L33" i="4"/>
  <c r="M33" i="4"/>
  <c r="N33" i="4"/>
  <c r="O33" i="4"/>
  <c r="P33" i="4"/>
  <c r="H34" i="4"/>
  <c r="K34" i="4"/>
  <c r="E34" i="4"/>
  <c r="L34" i="4"/>
  <c r="M34" i="4"/>
  <c r="N34" i="4"/>
  <c r="O34" i="4"/>
  <c r="P34" i="4"/>
  <c r="H35" i="4"/>
  <c r="K35" i="4"/>
  <c r="E35" i="4"/>
  <c r="L35" i="4"/>
  <c r="M35" i="4"/>
  <c r="N35" i="4"/>
  <c r="O35" i="4"/>
  <c r="P35" i="4"/>
  <c r="H36" i="4"/>
  <c r="K36" i="4"/>
  <c r="L36" i="4"/>
  <c r="M36" i="4"/>
  <c r="N36" i="4"/>
  <c r="O36" i="4"/>
  <c r="P36" i="4"/>
  <c r="H37" i="4"/>
  <c r="K37" i="4"/>
  <c r="L37" i="4"/>
  <c r="M37" i="4"/>
  <c r="N37" i="4"/>
  <c r="O37" i="4"/>
  <c r="P37" i="4"/>
  <c r="H38" i="4"/>
  <c r="K38" i="4"/>
  <c r="E38" i="4"/>
  <c r="L38" i="4"/>
  <c r="M38" i="4"/>
  <c r="N38" i="4"/>
  <c r="O38" i="4"/>
  <c r="P38" i="4"/>
  <c r="H39" i="4"/>
  <c r="K39" i="4"/>
  <c r="E39" i="4"/>
  <c r="L39" i="4"/>
  <c r="M39" i="4"/>
  <c r="N39" i="4"/>
  <c r="O39" i="4"/>
  <c r="P39" i="4"/>
  <c r="H40" i="4"/>
  <c r="K40" i="4"/>
  <c r="E40" i="4"/>
  <c r="L40" i="4"/>
  <c r="M40" i="4"/>
  <c r="N40" i="4"/>
  <c r="O40" i="4"/>
  <c r="P40" i="4"/>
  <c r="H41" i="4"/>
  <c r="K41" i="4"/>
  <c r="E41" i="4"/>
  <c r="L41" i="4"/>
  <c r="M41" i="4"/>
  <c r="N41" i="4"/>
  <c r="O41" i="4"/>
  <c r="P41" i="4"/>
  <c r="H42" i="4"/>
  <c r="K42" i="4"/>
  <c r="E42" i="4"/>
  <c r="L42" i="4"/>
  <c r="M42" i="4"/>
  <c r="N42" i="4"/>
  <c r="O42" i="4"/>
  <c r="P42" i="4"/>
  <c r="H43" i="4"/>
  <c r="K43" i="4"/>
  <c r="E43" i="4"/>
  <c r="L43" i="4"/>
  <c r="M43" i="4"/>
  <c r="N43" i="4"/>
  <c r="O43" i="4"/>
  <c r="P43" i="4"/>
  <c r="H44" i="4"/>
  <c r="K44" i="4"/>
  <c r="E44" i="4"/>
  <c r="L44" i="4"/>
  <c r="M44" i="4"/>
  <c r="N44" i="4"/>
  <c r="O44" i="4"/>
  <c r="P44" i="4"/>
  <c r="H45" i="4"/>
  <c r="K45" i="4"/>
  <c r="E45" i="4"/>
  <c r="L45" i="4"/>
  <c r="M45" i="4"/>
  <c r="N45" i="4"/>
  <c r="O45" i="4"/>
  <c r="P45" i="4"/>
  <c r="H46" i="4"/>
  <c r="K46" i="4"/>
  <c r="E46" i="4"/>
  <c r="L46" i="4"/>
  <c r="M46" i="4"/>
  <c r="N46" i="4"/>
  <c r="O46" i="4"/>
  <c r="P46" i="4"/>
  <c r="H47" i="4"/>
  <c r="K47" i="4"/>
  <c r="E47" i="4"/>
  <c r="L47" i="4"/>
  <c r="M47" i="4"/>
  <c r="N47" i="4"/>
  <c r="O47" i="4"/>
  <c r="P47" i="4"/>
  <c r="H48" i="4"/>
  <c r="K48" i="4"/>
  <c r="E48" i="4"/>
  <c r="L48" i="4"/>
  <c r="M48" i="4"/>
  <c r="N48" i="4"/>
  <c r="O48" i="4"/>
  <c r="P48" i="4"/>
  <c r="H49" i="4"/>
  <c r="K49" i="4"/>
  <c r="E49" i="4"/>
  <c r="L49" i="4"/>
  <c r="M49" i="4"/>
  <c r="N49" i="4"/>
  <c r="O49" i="4"/>
  <c r="P49" i="4"/>
  <c r="H50" i="4"/>
  <c r="K50" i="4"/>
  <c r="L50" i="4"/>
  <c r="M50" i="4"/>
  <c r="N50" i="4"/>
  <c r="O50" i="4"/>
  <c r="P50" i="4"/>
  <c r="H51" i="4"/>
  <c r="K51" i="4"/>
  <c r="E51" i="4"/>
  <c r="L51" i="4"/>
  <c r="M51" i="4"/>
  <c r="N51" i="4"/>
  <c r="O51" i="4"/>
  <c r="P51" i="4"/>
  <c r="H52" i="4"/>
  <c r="K52" i="4"/>
  <c r="E52" i="4"/>
  <c r="L52" i="4"/>
  <c r="M52" i="4"/>
  <c r="N52" i="4"/>
  <c r="O52" i="4"/>
  <c r="P52" i="4"/>
  <c r="H53" i="4"/>
  <c r="K53" i="4"/>
  <c r="E53" i="4"/>
  <c r="L53" i="4"/>
  <c r="M53" i="4"/>
  <c r="N53" i="4"/>
  <c r="O53" i="4"/>
  <c r="P53" i="4"/>
  <c r="H54" i="4"/>
  <c r="K54" i="4"/>
  <c r="E54" i="4"/>
  <c r="L54" i="4"/>
  <c r="M54" i="4"/>
  <c r="N54" i="4"/>
  <c r="O54" i="4"/>
  <c r="P54" i="4"/>
  <c r="H55" i="4"/>
  <c r="K55" i="4"/>
  <c r="E55" i="4"/>
  <c r="L55" i="4"/>
  <c r="M55" i="4"/>
  <c r="N55" i="4"/>
  <c r="O55" i="4"/>
  <c r="P55" i="4"/>
  <c r="H19" i="6"/>
  <c r="K19" i="6"/>
  <c r="E19" i="6"/>
  <c r="L19" i="6"/>
  <c r="M19" i="6"/>
  <c r="N19" i="6"/>
  <c r="O19" i="6"/>
  <c r="P19" i="6"/>
  <c r="H20" i="6"/>
  <c r="K20" i="6"/>
  <c r="E20" i="6"/>
  <c r="L20" i="6"/>
  <c r="M20" i="6"/>
  <c r="N20" i="6"/>
  <c r="O20" i="6"/>
  <c r="P20" i="6"/>
  <c r="H21" i="6"/>
  <c r="K21" i="6"/>
  <c r="E17" i="6"/>
  <c r="E18" i="6"/>
  <c r="E21" i="6"/>
  <c r="L21" i="6"/>
  <c r="M21" i="6"/>
  <c r="N21" i="6"/>
  <c r="O21" i="6"/>
  <c r="P21" i="6"/>
  <c r="H22" i="6"/>
  <c r="K22" i="6"/>
  <c r="E22" i="6"/>
  <c r="L22" i="6"/>
  <c r="M22" i="6"/>
  <c r="N22" i="6"/>
  <c r="O22" i="6"/>
  <c r="P22" i="6"/>
  <c r="H23" i="6"/>
  <c r="K23" i="6"/>
  <c r="E23" i="6"/>
  <c r="L23" i="6"/>
  <c r="M23" i="6"/>
  <c r="N23" i="6"/>
  <c r="O23" i="6"/>
  <c r="P23" i="6"/>
  <c r="H24" i="6"/>
  <c r="K24" i="6"/>
  <c r="E24" i="6"/>
  <c r="L24" i="6"/>
  <c r="M24" i="6"/>
  <c r="N24" i="6"/>
  <c r="O24" i="6"/>
  <c r="P24" i="6"/>
  <c r="H25" i="6"/>
  <c r="K25" i="6"/>
  <c r="E25" i="6"/>
  <c r="L25" i="6"/>
  <c r="M25" i="6"/>
  <c r="N25" i="6"/>
  <c r="O25" i="6"/>
  <c r="P25" i="6"/>
  <c r="H26" i="6"/>
  <c r="K26" i="6"/>
  <c r="E26" i="6"/>
  <c r="L26" i="6"/>
  <c r="M26" i="6"/>
  <c r="N26" i="6"/>
  <c r="O26" i="6"/>
  <c r="P26" i="6"/>
  <c r="H27" i="6"/>
  <c r="K27" i="6"/>
  <c r="E27" i="6"/>
  <c r="L27" i="6"/>
  <c r="M27" i="6"/>
  <c r="N27" i="6"/>
  <c r="O27" i="6"/>
  <c r="P27" i="6"/>
  <c r="H28" i="6"/>
  <c r="K28" i="6"/>
  <c r="E28" i="6"/>
  <c r="L28" i="6"/>
  <c r="M28" i="6"/>
  <c r="N28" i="6"/>
  <c r="O28" i="6"/>
  <c r="P28" i="6"/>
  <c r="H29" i="6"/>
  <c r="K29" i="6"/>
  <c r="E29" i="6"/>
  <c r="L29" i="6"/>
  <c r="M29" i="6"/>
  <c r="N29" i="6"/>
  <c r="O29" i="6"/>
  <c r="P29" i="6"/>
  <c r="H30" i="6"/>
  <c r="K30" i="6"/>
  <c r="E30" i="6"/>
  <c r="L30" i="6"/>
  <c r="M30" i="6"/>
  <c r="N30" i="6"/>
  <c r="O30" i="6"/>
  <c r="P30" i="6"/>
  <c r="H31" i="6"/>
  <c r="K31" i="6"/>
  <c r="E31" i="6"/>
  <c r="L31" i="6"/>
  <c r="M31" i="6"/>
  <c r="N31" i="6"/>
  <c r="O31" i="6"/>
  <c r="P31" i="6"/>
  <c r="H32" i="6"/>
  <c r="K32" i="6"/>
  <c r="E32" i="6"/>
  <c r="L32" i="6"/>
  <c r="M32" i="6"/>
  <c r="N32" i="6"/>
  <c r="O32" i="6"/>
  <c r="P32" i="6"/>
  <c r="H33" i="6"/>
  <c r="K33" i="6"/>
  <c r="E33" i="6"/>
  <c r="L33" i="6"/>
  <c r="M33" i="6"/>
  <c r="N33" i="6"/>
  <c r="O33" i="6"/>
  <c r="P33" i="6"/>
  <c r="H34" i="6"/>
  <c r="K34" i="6"/>
  <c r="E34" i="6"/>
  <c r="L34" i="6"/>
  <c r="M34" i="6"/>
  <c r="N34" i="6"/>
  <c r="O34" i="6"/>
  <c r="P34" i="6"/>
  <c r="H35" i="6"/>
  <c r="K35" i="6"/>
  <c r="L9" i="33"/>
  <c r="L13" i="33"/>
  <c r="E35" i="6"/>
  <c r="L35" i="6"/>
  <c r="M35" i="6"/>
  <c r="N35" i="6"/>
  <c r="O35" i="6"/>
  <c r="P35" i="6"/>
  <c r="H36" i="6"/>
  <c r="K36" i="6"/>
  <c r="M4" i="33"/>
  <c r="M5" i="33"/>
  <c r="M6" i="33"/>
  <c r="M7" i="33"/>
  <c r="M9" i="33"/>
  <c r="M13" i="33"/>
  <c r="E36" i="6"/>
  <c r="L36" i="6"/>
  <c r="M36" i="6"/>
  <c r="N36" i="6"/>
  <c r="O36" i="6"/>
  <c r="P36" i="6"/>
  <c r="H37" i="6"/>
  <c r="K37" i="6"/>
  <c r="P4" i="33"/>
  <c r="P5" i="33"/>
  <c r="P6" i="33"/>
  <c r="P7" i="33"/>
  <c r="P13" i="33"/>
  <c r="E37" i="6"/>
  <c r="L37" i="6"/>
  <c r="M37" i="6"/>
  <c r="N37" i="6"/>
  <c r="O37" i="6"/>
  <c r="P37" i="6"/>
  <c r="H38" i="6"/>
  <c r="K38" i="6"/>
  <c r="Q4" i="33"/>
  <c r="Q5" i="33"/>
  <c r="Q6" i="33"/>
  <c r="Q7" i="33"/>
  <c r="Q13" i="33"/>
  <c r="E38" i="6"/>
  <c r="L38" i="6"/>
  <c r="M38" i="6"/>
  <c r="N38" i="6"/>
  <c r="O38" i="6"/>
  <c r="P38" i="6"/>
  <c r="H39" i="6"/>
  <c r="K39" i="6"/>
  <c r="O4" i="33"/>
  <c r="O5" i="33"/>
  <c r="O6" i="33"/>
  <c r="O7" i="33"/>
  <c r="O9" i="33"/>
  <c r="O11" i="33"/>
  <c r="O13" i="33"/>
  <c r="E39" i="6"/>
  <c r="L39" i="6"/>
  <c r="M39" i="6"/>
  <c r="N39" i="6"/>
  <c r="O39" i="6"/>
  <c r="P39" i="6"/>
  <c r="H40" i="6"/>
  <c r="K40" i="6"/>
  <c r="E40" i="6"/>
  <c r="L40" i="6"/>
  <c r="M40" i="6"/>
  <c r="N40" i="6"/>
  <c r="O40" i="6"/>
  <c r="P40" i="6"/>
  <c r="H41" i="6"/>
  <c r="K41" i="6"/>
  <c r="E41" i="6"/>
  <c r="L41" i="6"/>
  <c r="M41" i="6"/>
  <c r="N41" i="6"/>
  <c r="O41" i="6"/>
  <c r="P41" i="6"/>
  <c r="H42" i="6"/>
  <c r="K42" i="6"/>
  <c r="E42" i="6"/>
  <c r="L42" i="6"/>
  <c r="M42" i="6"/>
  <c r="N42" i="6"/>
  <c r="O42" i="6"/>
  <c r="P42" i="6"/>
  <c r="H43" i="6"/>
  <c r="K43" i="6"/>
  <c r="E43" i="6"/>
  <c r="L43" i="6"/>
  <c r="M43" i="6"/>
  <c r="N43" i="6"/>
  <c r="O43" i="6"/>
  <c r="P43" i="6"/>
  <c r="H44" i="6"/>
  <c r="K44" i="6"/>
  <c r="E44" i="6"/>
  <c r="L44" i="6"/>
  <c r="M44" i="6"/>
  <c r="N44" i="6"/>
  <c r="O44" i="6"/>
  <c r="P44" i="6"/>
  <c r="H45" i="6"/>
  <c r="K45" i="6"/>
  <c r="E45" i="6"/>
  <c r="L45" i="6"/>
  <c r="M45" i="6"/>
  <c r="N45" i="6"/>
  <c r="O45" i="6"/>
  <c r="P45" i="6"/>
  <c r="H19" i="8"/>
  <c r="K19" i="8"/>
  <c r="L19" i="8"/>
  <c r="M19" i="8"/>
  <c r="N19" i="8"/>
  <c r="O19" i="8"/>
  <c r="P19" i="8"/>
  <c r="H20" i="8"/>
  <c r="K20" i="8"/>
  <c r="L20" i="8"/>
  <c r="M20" i="8"/>
  <c r="N20" i="8"/>
  <c r="O20" i="8"/>
  <c r="P20" i="8"/>
  <c r="H21" i="8"/>
  <c r="K21" i="8"/>
  <c r="E21" i="8"/>
  <c r="L21" i="8"/>
  <c r="M21" i="8"/>
  <c r="N21" i="8"/>
  <c r="O21" i="8"/>
  <c r="P21" i="8"/>
  <c r="H22" i="8"/>
  <c r="K22" i="8"/>
  <c r="E22" i="8"/>
  <c r="L22" i="8"/>
  <c r="M22" i="8"/>
  <c r="N22" i="8"/>
  <c r="O22" i="8"/>
  <c r="P22" i="8"/>
  <c r="H23" i="8"/>
  <c r="K23" i="8"/>
  <c r="E23" i="8"/>
  <c r="L23" i="8"/>
  <c r="M23" i="8"/>
  <c r="N23" i="8"/>
  <c r="O23" i="8"/>
  <c r="P23" i="8"/>
  <c r="H24" i="8"/>
  <c r="K24" i="8"/>
  <c r="E24" i="8"/>
  <c r="L24" i="8"/>
  <c r="M24" i="8"/>
  <c r="N24" i="8"/>
  <c r="O24" i="8"/>
  <c r="P24" i="8"/>
  <c r="H19" i="34"/>
  <c r="K19" i="34"/>
  <c r="E19" i="34"/>
  <c r="L19" i="34"/>
  <c r="M19" i="34"/>
  <c r="N19" i="34"/>
  <c r="O19" i="34"/>
  <c r="P19" i="34"/>
  <c r="H20" i="34"/>
  <c r="K20" i="34"/>
  <c r="E20" i="34"/>
  <c r="L20" i="34"/>
  <c r="M20" i="34"/>
  <c r="N20" i="34"/>
  <c r="O20" i="34"/>
  <c r="P20" i="34"/>
  <c r="H21" i="34"/>
  <c r="K21" i="34"/>
  <c r="E21" i="34"/>
  <c r="L21" i="34"/>
  <c r="M21" i="34"/>
  <c r="N21" i="34"/>
  <c r="O21" i="34"/>
  <c r="P21" i="34"/>
  <c r="H22" i="34"/>
  <c r="K22" i="34"/>
  <c r="E22" i="34"/>
  <c r="L22" i="34"/>
  <c r="M22" i="34"/>
  <c r="N22" i="34"/>
  <c r="O22" i="34"/>
  <c r="P22" i="34"/>
  <c r="H23" i="34"/>
  <c r="K23" i="34"/>
  <c r="E23" i="34"/>
  <c r="L23" i="34"/>
  <c r="M23" i="34"/>
  <c r="N23" i="34"/>
  <c r="O23" i="34"/>
  <c r="P23" i="34"/>
  <c r="H24" i="34"/>
  <c r="K24" i="34"/>
  <c r="E24" i="34"/>
  <c r="L24" i="34"/>
  <c r="M24" i="34"/>
  <c r="N24" i="34"/>
  <c r="O24" i="34"/>
  <c r="P24" i="34"/>
  <c r="H25" i="34"/>
  <c r="K25" i="34"/>
  <c r="L25" i="34"/>
  <c r="M25" i="34"/>
  <c r="N25" i="34"/>
  <c r="O25" i="34"/>
  <c r="P25" i="34"/>
  <c r="H26" i="34"/>
  <c r="K26" i="34"/>
  <c r="E26" i="34"/>
  <c r="L26" i="34"/>
  <c r="M26" i="34"/>
  <c r="N26" i="34"/>
  <c r="O26" i="34"/>
  <c r="P26" i="34"/>
  <c r="H27" i="34"/>
  <c r="K27" i="34"/>
  <c r="E27" i="34"/>
  <c r="L27" i="34"/>
  <c r="M27" i="34"/>
  <c r="N27" i="34"/>
  <c r="O27" i="34"/>
  <c r="P27" i="34"/>
  <c r="H28" i="34"/>
  <c r="K28" i="34"/>
  <c r="E28" i="34"/>
  <c r="L28" i="34"/>
  <c r="M28" i="34"/>
  <c r="N28" i="34"/>
  <c r="O28" i="34"/>
  <c r="P28" i="34"/>
  <c r="H29" i="34"/>
  <c r="K29" i="34"/>
  <c r="E29" i="34"/>
  <c r="L29" i="34"/>
  <c r="M29" i="34"/>
  <c r="N29" i="34"/>
  <c r="O29" i="34"/>
  <c r="P29" i="34"/>
  <c r="H30" i="34"/>
  <c r="K30" i="34"/>
  <c r="E30" i="34"/>
  <c r="L30" i="34"/>
  <c r="M30" i="34"/>
  <c r="N30" i="34"/>
  <c r="O30" i="34"/>
  <c r="P30" i="34"/>
  <c r="H31" i="34"/>
  <c r="K31" i="34"/>
  <c r="E31" i="34"/>
  <c r="L31" i="34"/>
  <c r="M31" i="34"/>
  <c r="N31" i="34"/>
  <c r="O31" i="34"/>
  <c r="P31" i="34"/>
  <c r="H19" i="36"/>
  <c r="K19" i="36"/>
  <c r="E19" i="36"/>
  <c r="L19" i="36"/>
  <c r="M19" i="36"/>
  <c r="N19" i="36"/>
  <c r="O19" i="36"/>
  <c r="P19" i="36"/>
  <c r="H20" i="36"/>
  <c r="K20" i="36"/>
  <c r="E20" i="36"/>
  <c r="L20" i="36"/>
  <c r="M20" i="36"/>
  <c r="N20" i="36"/>
  <c r="O20" i="36"/>
  <c r="P20" i="36"/>
  <c r="H21" i="36"/>
  <c r="K21" i="36"/>
  <c r="L21" i="36"/>
  <c r="M21" i="36"/>
  <c r="N21" i="36"/>
  <c r="O21" i="36"/>
  <c r="P21" i="36"/>
  <c r="H22" i="36"/>
  <c r="K22" i="36"/>
  <c r="E22" i="36"/>
  <c r="L22" i="36"/>
  <c r="M22" i="36"/>
  <c r="N22" i="36"/>
  <c r="O22" i="36"/>
  <c r="P22" i="36"/>
  <c r="H23" i="36"/>
  <c r="K23" i="36"/>
  <c r="E23" i="36"/>
  <c r="L23" i="36"/>
  <c r="M23" i="36"/>
  <c r="N23" i="36"/>
  <c r="O23" i="36"/>
  <c r="P23" i="36"/>
  <c r="H24" i="36"/>
  <c r="K24" i="36"/>
  <c r="E24" i="36"/>
  <c r="L24" i="36"/>
  <c r="M24" i="36"/>
  <c r="N24" i="36"/>
  <c r="O24" i="36"/>
  <c r="P24" i="36"/>
  <c r="H25" i="36"/>
  <c r="K25" i="36"/>
  <c r="E25" i="36"/>
  <c r="L25" i="36"/>
  <c r="M25" i="36"/>
  <c r="N25" i="36"/>
  <c r="O25" i="36"/>
  <c r="P25" i="36"/>
  <c r="H26" i="36"/>
  <c r="K26" i="36"/>
  <c r="L26" i="36"/>
  <c r="M26" i="36"/>
  <c r="N26" i="36"/>
  <c r="O26" i="36"/>
  <c r="P26" i="36"/>
  <c r="H27" i="36"/>
  <c r="K27" i="36"/>
  <c r="E27" i="36"/>
  <c r="L27" i="36"/>
  <c r="M27" i="36"/>
  <c r="N27" i="36"/>
  <c r="O27" i="36"/>
  <c r="P27" i="36"/>
  <c r="H28" i="36"/>
  <c r="K28" i="36"/>
  <c r="E28" i="36"/>
  <c r="L28" i="36"/>
  <c r="M28" i="36"/>
  <c r="N28" i="36"/>
  <c r="O28" i="36"/>
  <c r="P28" i="36"/>
  <c r="H29" i="36"/>
  <c r="K29" i="36"/>
  <c r="E29" i="36"/>
  <c r="L29" i="36"/>
  <c r="M29" i="36"/>
  <c r="N29" i="36"/>
  <c r="O29" i="36"/>
  <c r="P29" i="36"/>
  <c r="H30" i="36"/>
  <c r="K30" i="36"/>
  <c r="E30" i="36"/>
  <c r="L30" i="36"/>
  <c r="M30" i="36"/>
  <c r="N30" i="36"/>
  <c r="O30" i="36"/>
  <c r="P30" i="36"/>
  <c r="H31" i="36"/>
  <c r="K31" i="36"/>
  <c r="E31" i="36"/>
  <c r="L31" i="36"/>
  <c r="M31" i="36"/>
  <c r="N31" i="36"/>
  <c r="O31" i="36"/>
  <c r="P31" i="36"/>
  <c r="H32" i="36"/>
  <c r="K32" i="36"/>
  <c r="E32" i="36"/>
  <c r="L32" i="36"/>
  <c r="M32" i="36"/>
  <c r="N32" i="36"/>
  <c r="O32" i="36"/>
  <c r="P32" i="36"/>
  <c r="H33" i="36"/>
  <c r="K33" i="36"/>
  <c r="L33" i="36"/>
  <c r="M33" i="36"/>
  <c r="N33" i="36"/>
  <c r="O33" i="36"/>
  <c r="P33" i="36"/>
  <c r="H34" i="36"/>
  <c r="K34" i="36"/>
  <c r="L34" i="36"/>
  <c r="M34" i="36"/>
  <c r="N34" i="36"/>
  <c r="O34" i="36"/>
  <c r="P34" i="36"/>
  <c r="H35" i="36"/>
  <c r="K35" i="36"/>
  <c r="E35" i="36"/>
  <c r="L35" i="36"/>
  <c r="M35" i="36"/>
  <c r="N35" i="36"/>
  <c r="O35" i="36"/>
  <c r="P35" i="36"/>
  <c r="H36" i="36"/>
  <c r="K36" i="36"/>
  <c r="L36" i="36"/>
  <c r="M36" i="36"/>
  <c r="N36" i="36"/>
  <c r="O36" i="36"/>
  <c r="P36" i="36"/>
  <c r="H37" i="36"/>
  <c r="K37" i="36"/>
  <c r="L37" i="36"/>
  <c r="M37" i="36"/>
  <c r="N37" i="36"/>
  <c r="O37" i="36"/>
  <c r="P37" i="36"/>
  <c r="H38" i="36"/>
  <c r="K38" i="36"/>
  <c r="E38" i="36"/>
  <c r="L38" i="36"/>
  <c r="M38" i="36"/>
  <c r="N38" i="36"/>
  <c r="O38" i="36"/>
  <c r="P38" i="36"/>
  <c r="H39" i="36"/>
  <c r="K39" i="36"/>
  <c r="E39" i="36"/>
  <c r="L39" i="36"/>
  <c r="M39" i="36"/>
  <c r="N39" i="36"/>
  <c r="O39" i="36"/>
  <c r="P39" i="36"/>
  <c r="H40" i="36"/>
  <c r="K40" i="36"/>
  <c r="L40" i="36"/>
  <c r="M40" i="36"/>
  <c r="N40" i="36"/>
  <c r="O40" i="36"/>
  <c r="P40" i="36"/>
  <c r="H41" i="36"/>
  <c r="K41" i="36"/>
  <c r="E41" i="36"/>
  <c r="L41" i="36"/>
  <c r="M41" i="36"/>
  <c r="N41" i="36"/>
  <c r="O41" i="36"/>
  <c r="P41" i="36"/>
  <c r="H42" i="36"/>
  <c r="K42" i="36"/>
  <c r="E42" i="36"/>
  <c r="L42" i="36"/>
  <c r="M42" i="36"/>
  <c r="N42" i="36"/>
  <c r="O42" i="36"/>
  <c r="P42" i="36"/>
  <c r="H43" i="36"/>
  <c r="K43" i="36"/>
  <c r="L43" i="36"/>
  <c r="M43" i="36"/>
  <c r="N43" i="36"/>
  <c r="O43" i="36"/>
  <c r="P43" i="36"/>
  <c r="H44" i="36"/>
  <c r="K44" i="36"/>
  <c r="L44" i="36"/>
  <c r="M44" i="36"/>
  <c r="N44" i="36"/>
  <c r="O44" i="36"/>
  <c r="P44" i="36"/>
  <c r="H45" i="36"/>
  <c r="K45" i="36"/>
  <c r="L45" i="36"/>
  <c r="M45" i="36"/>
  <c r="N45" i="36"/>
  <c r="O45" i="36"/>
  <c r="P45" i="36"/>
  <c r="H46" i="36"/>
  <c r="K46" i="36"/>
  <c r="E46" i="36"/>
  <c r="L46" i="36"/>
  <c r="M46" i="36"/>
  <c r="N46" i="36"/>
  <c r="O46" i="36"/>
  <c r="P46" i="36"/>
  <c r="H47" i="36"/>
  <c r="K47" i="36"/>
  <c r="E47" i="36"/>
  <c r="L47" i="36"/>
  <c r="M47" i="36"/>
  <c r="N47" i="36"/>
  <c r="O47" i="36"/>
  <c r="P47" i="36"/>
  <c r="H48" i="36"/>
  <c r="K48" i="36"/>
  <c r="L48" i="36"/>
  <c r="M48" i="36"/>
  <c r="N48" i="36"/>
  <c r="O48" i="36"/>
  <c r="P48" i="36"/>
  <c r="H49" i="36"/>
  <c r="K49" i="36"/>
  <c r="E49" i="36"/>
  <c r="L49" i="36"/>
  <c r="M49" i="36"/>
  <c r="N49" i="36"/>
  <c r="O49" i="36"/>
  <c r="P49" i="36"/>
  <c r="H50" i="36"/>
  <c r="K50" i="36"/>
  <c r="L50" i="36"/>
  <c r="M50" i="36"/>
  <c r="N50" i="36"/>
  <c r="O50" i="36"/>
  <c r="P50" i="36"/>
  <c r="H51" i="36"/>
  <c r="K51" i="36"/>
  <c r="L51" i="36"/>
  <c r="M51" i="36"/>
  <c r="N51" i="36"/>
  <c r="O51" i="36"/>
  <c r="P51" i="36"/>
  <c r="H52" i="36"/>
  <c r="K52" i="36"/>
  <c r="E52" i="36"/>
  <c r="L52" i="36"/>
  <c r="M52" i="36"/>
  <c r="N52" i="36"/>
  <c r="O52" i="36"/>
  <c r="P52" i="36"/>
  <c r="H53" i="36"/>
  <c r="K53" i="36"/>
  <c r="E53" i="36"/>
  <c r="L53" i="36"/>
  <c r="M53" i="36"/>
  <c r="N53" i="36"/>
  <c r="O53" i="36"/>
  <c r="P53" i="36"/>
  <c r="H54" i="36"/>
  <c r="K54" i="36"/>
  <c r="E54" i="36"/>
  <c r="L54" i="36"/>
  <c r="M54" i="36"/>
  <c r="N54" i="36"/>
  <c r="O54" i="36"/>
  <c r="P54" i="36"/>
  <c r="H55" i="36"/>
  <c r="K55" i="36"/>
  <c r="E55" i="36"/>
  <c r="L55" i="36"/>
  <c r="M55" i="36"/>
  <c r="N55" i="36"/>
  <c r="O55" i="36"/>
  <c r="P55" i="36"/>
  <c r="H56" i="36"/>
  <c r="K56" i="36"/>
  <c r="E56" i="36"/>
  <c r="L56" i="36"/>
  <c r="M56" i="36"/>
  <c r="N56" i="36"/>
  <c r="O56" i="36"/>
  <c r="P56" i="36"/>
  <c r="H57" i="36"/>
  <c r="K57" i="36"/>
  <c r="E57" i="36"/>
  <c r="L57" i="36"/>
  <c r="M57" i="36"/>
  <c r="N57" i="36"/>
  <c r="O57" i="36"/>
  <c r="P57" i="36"/>
  <c r="H58" i="36"/>
  <c r="K58" i="36"/>
  <c r="E58" i="36"/>
  <c r="L58" i="36"/>
  <c r="M58" i="36"/>
  <c r="N58" i="36"/>
  <c r="O58" i="36"/>
  <c r="P58" i="36"/>
  <c r="H59" i="36"/>
  <c r="K59" i="36"/>
  <c r="E59" i="36"/>
  <c r="L59" i="36"/>
  <c r="M59" i="36"/>
  <c r="N59" i="36"/>
  <c r="O59" i="36"/>
  <c r="P59" i="36"/>
  <c r="H60" i="36"/>
  <c r="K60" i="36"/>
  <c r="L60" i="36"/>
  <c r="M60" i="36"/>
  <c r="N60" i="36"/>
  <c r="O60" i="36"/>
  <c r="P60" i="36"/>
  <c r="H61" i="36"/>
  <c r="K61" i="36"/>
  <c r="E61" i="36"/>
  <c r="L61" i="36"/>
  <c r="M61" i="36"/>
  <c r="N61" i="36"/>
  <c r="O61" i="36"/>
  <c r="P61" i="36"/>
  <c r="H62" i="36"/>
  <c r="K62" i="36"/>
  <c r="L62" i="36"/>
  <c r="M62" i="36"/>
  <c r="N62" i="36"/>
  <c r="O62" i="36"/>
  <c r="P62" i="36"/>
  <c r="H63" i="36"/>
  <c r="K63" i="36"/>
  <c r="E63" i="36"/>
  <c r="L63" i="36"/>
  <c r="M63" i="36"/>
  <c r="N63" i="36"/>
  <c r="O63" i="36"/>
  <c r="P63" i="36"/>
  <c r="H64" i="36"/>
  <c r="K64" i="36"/>
  <c r="L64" i="36"/>
  <c r="M64" i="36"/>
  <c r="N64" i="36"/>
  <c r="O64" i="36"/>
  <c r="P64" i="36"/>
  <c r="H65" i="36"/>
  <c r="K65" i="36"/>
  <c r="E65" i="36"/>
  <c r="L65" i="36"/>
  <c r="M65" i="36"/>
  <c r="N65" i="36"/>
  <c r="O65" i="36"/>
  <c r="P65" i="36"/>
  <c r="H18" i="36"/>
  <c r="M18" i="36"/>
  <c r="N18" i="36"/>
  <c r="O18" i="36"/>
  <c r="P18" i="36"/>
  <c r="L18" i="36"/>
  <c r="K18" i="36"/>
  <c r="H17" i="36"/>
  <c r="E15" i="36"/>
  <c r="E17" i="36"/>
  <c r="M17" i="36"/>
  <c r="N17" i="36"/>
  <c r="O17" i="36"/>
  <c r="P17" i="36"/>
  <c r="L17" i="36"/>
  <c r="K17" i="36"/>
  <c r="H16" i="36"/>
  <c r="E14" i="36"/>
  <c r="E16" i="36"/>
  <c r="M16" i="36"/>
  <c r="N16" i="36"/>
  <c r="O16" i="36"/>
  <c r="P16" i="36"/>
  <c r="L16" i="36"/>
  <c r="K16" i="36"/>
  <c r="H15" i="36"/>
  <c r="M15" i="36"/>
  <c r="N15" i="36"/>
  <c r="O15" i="36"/>
  <c r="P15" i="36"/>
  <c r="L15" i="36"/>
  <c r="K15" i="36"/>
  <c r="H14" i="36"/>
  <c r="M14" i="36"/>
  <c r="N14" i="36"/>
  <c r="O14" i="36"/>
  <c r="P14" i="36"/>
  <c r="L14" i="36"/>
  <c r="K14" i="36"/>
  <c r="H18" i="34"/>
  <c r="M18" i="34"/>
  <c r="N18" i="34"/>
  <c r="O18" i="34"/>
  <c r="P18" i="34"/>
  <c r="L18" i="34"/>
  <c r="K18" i="34"/>
  <c r="H17" i="34"/>
  <c r="M17" i="34"/>
  <c r="N17" i="34"/>
  <c r="O17" i="34"/>
  <c r="P17" i="34"/>
  <c r="L17" i="34"/>
  <c r="K17" i="34"/>
  <c r="H16" i="34"/>
  <c r="M16" i="34"/>
  <c r="N16" i="34"/>
  <c r="O16" i="34"/>
  <c r="P16" i="34"/>
  <c r="L16" i="34"/>
  <c r="K16" i="34"/>
  <c r="H15" i="34"/>
  <c r="M15" i="34"/>
  <c r="N15" i="34"/>
  <c r="O15" i="34"/>
  <c r="P15" i="34"/>
  <c r="L15" i="34"/>
  <c r="K15" i="34"/>
  <c r="H14" i="34"/>
  <c r="M14" i="34"/>
  <c r="N14" i="34"/>
  <c r="O14" i="34"/>
  <c r="P14" i="34"/>
  <c r="L14" i="34"/>
  <c r="K14" i="34"/>
  <c r="H18" i="8"/>
  <c r="E17" i="8"/>
  <c r="E18" i="8"/>
  <c r="M18" i="8"/>
  <c r="N18" i="8"/>
  <c r="O18" i="8"/>
  <c r="P18" i="8"/>
  <c r="L18" i="8"/>
  <c r="K18" i="8"/>
  <c r="H17" i="8"/>
  <c r="M17" i="8"/>
  <c r="N17" i="8"/>
  <c r="O17" i="8"/>
  <c r="P17" i="8"/>
  <c r="L17" i="8"/>
  <c r="K17" i="8"/>
  <c r="H16" i="8"/>
  <c r="E16" i="8"/>
  <c r="M16" i="8"/>
  <c r="N16" i="8"/>
  <c r="O16" i="8"/>
  <c r="P16" i="8"/>
  <c r="L16" i="8"/>
  <c r="K16" i="8"/>
  <c r="H15" i="8"/>
  <c r="E15" i="8"/>
  <c r="M15" i="8"/>
  <c r="N15" i="8"/>
  <c r="O15" i="8"/>
  <c r="P15" i="8"/>
  <c r="L15" i="8"/>
  <c r="K15" i="8"/>
  <c r="H14" i="8"/>
  <c r="M14" i="8"/>
  <c r="N14" i="8"/>
  <c r="O14" i="8"/>
  <c r="P14" i="8"/>
  <c r="L14" i="8"/>
  <c r="K14" i="8"/>
  <c r="H18" i="6"/>
  <c r="M18" i="6"/>
  <c r="N18" i="6"/>
  <c r="O18" i="6"/>
  <c r="P18" i="6"/>
  <c r="L18" i="6"/>
  <c r="K18" i="6"/>
  <c r="H17" i="6"/>
  <c r="M17" i="6"/>
  <c r="N17" i="6"/>
  <c r="O17" i="6"/>
  <c r="P17" i="6"/>
  <c r="L17" i="6"/>
  <c r="K17" i="6"/>
  <c r="H16" i="6"/>
  <c r="M16" i="6"/>
  <c r="N16" i="6"/>
  <c r="O16" i="6"/>
  <c r="P16" i="6"/>
  <c r="L16" i="6"/>
  <c r="K16" i="6"/>
  <c r="H15" i="6"/>
  <c r="E15" i="6"/>
  <c r="M15" i="6"/>
  <c r="N15" i="6"/>
  <c r="O15" i="6"/>
  <c r="P15" i="6"/>
  <c r="L15" i="6"/>
  <c r="K15" i="6"/>
  <c r="H14" i="6"/>
  <c r="E14" i="6"/>
  <c r="M14" i="6"/>
  <c r="N14" i="6"/>
  <c r="O14" i="6"/>
  <c r="P14" i="6"/>
  <c r="L14" i="6"/>
  <c r="K14" i="6"/>
  <c r="H18" i="4"/>
  <c r="M18" i="4"/>
  <c r="N18" i="4"/>
  <c r="O18" i="4"/>
  <c r="P18" i="4"/>
  <c r="L18" i="4"/>
  <c r="K18" i="4"/>
  <c r="H17" i="4"/>
  <c r="E17" i="4"/>
  <c r="M17" i="4"/>
  <c r="N17" i="4"/>
  <c r="O17" i="4"/>
  <c r="P17" i="4"/>
  <c r="L17" i="4"/>
  <c r="K17" i="4"/>
  <c r="H16" i="4"/>
  <c r="M16" i="4"/>
  <c r="N16" i="4"/>
  <c r="O16" i="4"/>
  <c r="P16" i="4"/>
  <c r="L16" i="4"/>
  <c r="K16" i="4"/>
  <c r="H15" i="4"/>
  <c r="M15" i="4"/>
  <c r="N15" i="4"/>
  <c r="O15" i="4"/>
  <c r="P15" i="4"/>
  <c r="L15" i="4"/>
  <c r="K15" i="4"/>
  <c r="H14" i="4"/>
  <c r="M14" i="4"/>
  <c r="N14" i="4"/>
  <c r="O14" i="4"/>
  <c r="P14" i="4"/>
  <c r="L14" i="4"/>
  <c r="K14" i="4"/>
  <c r="H18" i="3"/>
  <c r="E17" i="3"/>
  <c r="E18" i="3"/>
  <c r="M18" i="3"/>
  <c r="N18" i="3"/>
  <c r="O18" i="3"/>
  <c r="P18" i="3"/>
  <c r="L18" i="3"/>
  <c r="K18" i="3"/>
  <c r="H17" i="3"/>
  <c r="M17" i="3"/>
  <c r="N17" i="3"/>
  <c r="O17" i="3"/>
  <c r="P17" i="3"/>
  <c r="L17" i="3"/>
  <c r="K17" i="3"/>
  <c r="H16" i="3"/>
  <c r="E15" i="3"/>
  <c r="E16" i="3"/>
  <c r="M16" i="3"/>
  <c r="N16" i="3"/>
  <c r="O16" i="3"/>
  <c r="P16" i="3"/>
  <c r="L16" i="3"/>
  <c r="K16" i="3"/>
  <c r="H15" i="3"/>
  <c r="M15" i="3"/>
  <c r="N15" i="3"/>
  <c r="O15" i="3"/>
  <c r="P15" i="3"/>
  <c r="L15" i="3"/>
  <c r="K15" i="3"/>
  <c r="H14" i="3"/>
  <c r="M14" i="3"/>
  <c r="N14" i="3"/>
  <c r="O14" i="3"/>
  <c r="P14" i="3"/>
  <c r="L14" i="3"/>
  <c r="K14" i="3"/>
  <c r="A50" i="36"/>
  <c r="A54" i="3"/>
  <c r="A55" i="3"/>
  <c r="A56" i="3"/>
  <c r="A50" i="3"/>
  <c r="A51" i="3"/>
  <c r="A52" i="3"/>
  <c r="A53" i="3"/>
  <c r="A44" i="36"/>
  <c r="A29" i="3"/>
  <c r="A64" i="36"/>
  <c r="A59" i="36"/>
  <c r="A58" i="36"/>
  <c r="A57" i="36"/>
  <c r="A56" i="36"/>
  <c r="A55" i="36"/>
  <c r="A54" i="36"/>
  <c r="A53" i="36"/>
  <c r="A52" i="36"/>
  <c r="A51" i="36"/>
  <c r="A46" i="36"/>
  <c r="A45" i="36"/>
  <c r="A43" i="36"/>
  <c r="A40" i="36"/>
  <c r="A37" i="36"/>
  <c r="A36" i="36"/>
  <c r="A33" i="36"/>
  <c r="A29" i="36"/>
  <c r="A26" i="36"/>
  <c r="A22" i="36"/>
  <c r="A21" i="36"/>
  <c r="A18" i="36"/>
  <c r="A17" i="36"/>
  <c r="A16" i="36"/>
  <c r="A15" i="36"/>
  <c r="A14" i="36"/>
  <c r="A25" i="34"/>
  <c r="A18" i="34"/>
  <c r="A16" i="34"/>
  <c r="A15" i="34"/>
  <c r="C19" i="6"/>
  <c r="C20" i="6"/>
  <c r="A51" i="4"/>
  <c r="A50" i="4"/>
  <c r="A28" i="3"/>
  <c r="A30" i="3"/>
  <c r="A31" i="3"/>
  <c r="A32" i="3"/>
  <c r="A33" i="3"/>
  <c r="A34" i="3"/>
  <c r="A35" i="3"/>
  <c r="A36" i="3"/>
  <c r="A37" i="3"/>
  <c r="A38" i="3"/>
  <c r="A39" i="3"/>
  <c r="A40" i="3"/>
  <c r="A41" i="3"/>
  <c r="A42" i="3"/>
  <c r="A43" i="3"/>
  <c r="A44" i="3"/>
  <c r="A45" i="3"/>
  <c r="A46" i="3"/>
  <c r="A47" i="3"/>
  <c r="A48" i="3"/>
  <c r="A49" i="3"/>
  <c r="E12" i="33"/>
  <c r="A25" i="3"/>
  <c r="A26" i="3"/>
  <c r="A27" i="3"/>
  <c r="C28" i="6"/>
  <c r="A18" i="6"/>
  <c r="C18" i="6"/>
  <c r="A19" i="6"/>
  <c r="A20" i="6"/>
  <c r="C17" i="6"/>
  <c r="C20" i="2"/>
  <c r="A15" i="6"/>
  <c r="A16" i="6"/>
  <c r="A17" i="6"/>
  <c r="A21" i="6"/>
  <c r="A22" i="6"/>
  <c r="A23" i="6"/>
  <c r="A24" i="6"/>
  <c r="A25" i="6"/>
  <c r="A26" i="6"/>
  <c r="A27" i="6"/>
  <c r="A28" i="6"/>
  <c r="A29" i="6"/>
  <c r="A30" i="6"/>
  <c r="A31" i="6"/>
  <c r="A32" i="6"/>
  <c r="A33" i="6"/>
  <c r="A34" i="6"/>
  <c r="A35" i="6"/>
  <c r="A36" i="6"/>
  <c r="A37" i="6"/>
  <c r="A38" i="6"/>
  <c r="A39" i="6"/>
  <c r="A40" i="6"/>
  <c r="A41" i="6"/>
  <c r="A42" i="6"/>
  <c r="A43" i="6"/>
  <c r="A44" i="6"/>
  <c r="A45" i="6"/>
  <c r="A14" i="6"/>
  <c r="A24" i="8"/>
  <c r="A15" i="8"/>
  <c r="A16" i="8"/>
  <c r="A17" i="8"/>
  <c r="A18" i="8"/>
  <c r="A19" i="8"/>
  <c r="A20" i="8"/>
  <c r="A21" i="8"/>
  <c r="A22" i="8"/>
  <c r="A23" i="8"/>
  <c r="A14" i="8"/>
  <c r="D22" i="8"/>
  <c r="D23" i="8"/>
  <c r="A55" i="4"/>
  <c r="A54" i="4"/>
  <c r="A53" i="4"/>
  <c r="A52"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58" i="3"/>
  <c r="A57" i="3"/>
  <c r="A24" i="3"/>
  <c r="A23" i="3"/>
  <c r="A22" i="3"/>
  <c r="A21" i="3"/>
  <c r="A20" i="3"/>
  <c r="A19" i="3"/>
  <c r="A18" i="3"/>
  <c r="A17" i="3"/>
  <c r="A16" i="3"/>
  <c r="A15" i="3"/>
  <c r="A14" i="3"/>
  <c r="C18" i="2"/>
  <c r="L66" i="36"/>
  <c r="I20" i="2"/>
  <c r="N66" i="36"/>
  <c r="G20" i="2"/>
  <c r="O66" i="36"/>
  <c r="H20" i="2"/>
  <c r="L32" i="34"/>
  <c r="N32" i="34"/>
  <c r="C19" i="2"/>
  <c r="K5" i="33"/>
  <c r="K6" i="33"/>
  <c r="K7" i="33"/>
  <c r="K9" i="33"/>
  <c r="K11" i="33"/>
  <c r="J3" i="33"/>
  <c r="K10" i="33"/>
  <c r="G19" i="2"/>
  <c r="I19" i="2"/>
  <c r="K13" i="33"/>
  <c r="C38" i="2"/>
  <c r="C30" i="2"/>
  <c r="I3" i="33"/>
  <c r="H4" i="33"/>
  <c r="J4" i="33"/>
  <c r="H5" i="33"/>
  <c r="H6" i="33"/>
  <c r="J6" i="33"/>
  <c r="H7" i="33"/>
  <c r="H9" i="33"/>
  <c r="H11" i="33"/>
  <c r="J11" i="33"/>
  <c r="I9" i="33"/>
  <c r="J9" i="33"/>
  <c r="C35" i="2"/>
  <c r="I5" i="33"/>
  <c r="I7" i="33"/>
  <c r="I6" i="33"/>
  <c r="I11" i="33"/>
  <c r="J7" i="33"/>
  <c r="J5" i="33"/>
  <c r="A33" i="2"/>
  <c r="D9" i="2"/>
  <c r="D8" i="2"/>
  <c r="D7" i="2"/>
  <c r="D6" i="2"/>
  <c r="C17" i="2"/>
  <c r="C16" i="2"/>
  <c r="C15" i="2"/>
  <c r="D7" i="36"/>
  <c r="D8" i="36"/>
  <c r="D6" i="36"/>
  <c r="A72" i="36"/>
  <c r="P10" i="36"/>
  <c r="A38" i="34"/>
  <c r="A31" i="8"/>
  <c r="P10" i="8"/>
  <c r="D5" i="3"/>
  <c r="D5" i="36"/>
  <c r="D5" i="34"/>
  <c r="D7" i="4"/>
  <c r="D7" i="34"/>
  <c r="D8" i="6"/>
  <c r="D8" i="34"/>
  <c r="P10" i="34"/>
  <c r="D6" i="34"/>
  <c r="A62" i="4"/>
  <c r="P10" i="4"/>
  <c r="D5" i="4"/>
  <c r="D8" i="4"/>
  <c r="D6" i="8"/>
  <c r="D6" i="4"/>
  <c r="D8" i="3"/>
  <c r="D8" i="8"/>
  <c r="D7" i="6"/>
  <c r="D5" i="6"/>
  <c r="D7" i="8"/>
  <c r="D7" i="3"/>
  <c r="A65" i="3"/>
  <c r="P10" i="3"/>
  <c r="A52" i="6"/>
  <c r="P10" i="6"/>
  <c r="D5" i="8"/>
  <c r="J13" i="33"/>
  <c r="D6" i="3"/>
  <c r="D6" i="6"/>
  <c r="L25" i="8"/>
  <c r="N25" i="8"/>
  <c r="G18" i="2"/>
  <c r="I18" i="2"/>
  <c r="L56" i="4"/>
  <c r="I16" i="2"/>
  <c r="N56" i="4"/>
  <c r="G16" i="2"/>
  <c r="O56" i="4"/>
  <c r="H16" i="2"/>
  <c r="O25" i="8"/>
  <c r="H18" i="2"/>
  <c r="O32" i="34"/>
  <c r="H19" i="2"/>
  <c r="P32" i="34"/>
  <c r="M32" i="34"/>
  <c r="F19" i="2"/>
  <c r="N9" i="34"/>
  <c r="E19" i="2"/>
  <c r="P56" i="4"/>
  <c r="M56" i="4"/>
  <c r="F16" i="2"/>
  <c r="E16" i="2"/>
  <c r="N9" i="4"/>
  <c r="P25" i="8"/>
  <c r="E18" i="2"/>
  <c r="M25" i="8"/>
  <c r="F18" i="2"/>
  <c r="N9" i="8"/>
  <c r="A16" i="2"/>
  <c r="A17" i="2"/>
  <c r="B17" i="2"/>
  <c r="A18" i="2"/>
  <c r="B15" i="2"/>
  <c r="D1" i="3"/>
  <c r="D1" i="4"/>
  <c r="B16" i="2"/>
  <c r="B18" i="2"/>
  <c r="A19" i="2"/>
  <c r="D1" i="8"/>
  <c r="A20" i="2"/>
  <c r="B20" i="2"/>
  <c r="B19" i="2"/>
  <c r="D1" i="6"/>
  <c r="D1" i="34"/>
  <c r="I4" i="33"/>
  <c r="D1" i="36"/>
  <c r="K4" i="33"/>
  <c r="K8" i="33"/>
  <c r="O46" i="6"/>
  <c r="H17" i="2"/>
  <c r="L46" i="6"/>
  <c r="I17" i="2"/>
  <c r="N46" i="6"/>
  <c r="G17" i="2"/>
  <c r="P46" i="6"/>
  <c r="M46" i="6"/>
  <c r="F17" i="2"/>
  <c r="N9" i="6"/>
  <c r="E17" i="2"/>
  <c r="N59" i="3"/>
  <c r="G15" i="2"/>
  <c r="G21" i="2"/>
  <c r="M59" i="3"/>
  <c r="F15" i="2"/>
  <c r="L59" i="3"/>
  <c r="I15" i="2"/>
  <c r="O59" i="3"/>
  <c r="H15" i="2"/>
  <c r="H21" i="2"/>
  <c r="I21" i="2"/>
  <c r="D11" i="2"/>
  <c r="P59" i="3"/>
  <c r="N9" i="3"/>
  <c r="E15" i="2"/>
  <c r="P66" i="36"/>
  <c r="M66" i="36"/>
  <c r="F20" i="2"/>
  <c r="F21" i="2"/>
  <c r="N9" i="36"/>
  <c r="E20" i="2"/>
  <c r="E21" i="2"/>
  <c r="E24" i="2"/>
  <c r="E22" i="2"/>
  <c r="E23" i="2"/>
  <c r="E25" i="2"/>
  <c r="D10" i="2"/>
  <c r="C19" i="1"/>
  <c r="C20" i="1"/>
  <c r="C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6" authorId="0" shapeId="0" xr:uid="{00000000-0006-0000-0100-000001000000}">
      <text>
        <r>
          <rPr>
            <b/>
            <sz val="9"/>
            <color rgb="FF000000"/>
            <rFont val="Tahoma"/>
            <family val="2"/>
            <charset val="186"/>
          </rPr>
          <t xml:space="preserve">ALTUM Kompetentces centrs:
</t>
        </r>
        <r>
          <rPr>
            <sz val="9"/>
            <color rgb="FF000000"/>
            <rFont val="Tahoma"/>
            <family val="2"/>
            <charset val="186"/>
          </rPr>
          <t>Excel šūnu krāsas:
Zaļa- aizpildāmas šūnas
Dzeltena- šūnas automātiski aizpildās
Liekos excel sheet, darba grāmatas, izdēts.
Liekās excel rindas izdzēst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5" authorId="0" shapeId="0" xr:uid="{00000000-0006-0000-0200-000001000000}">
      <text>
        <r>
          <rPr>
            <b/>
            <sz val="9"/>
            <color rgb="FF000000"/>
            <rFont val="Tahoma"/>
            <family val="2"/>
            <charset val="186"/>
          </rPr>
          <t xml:space="preserve">ALTUM Kompetentces centrs:
</t>
        </r>
        <r>
          <rPr>
            <sz val="9"/>
            <color rgb="FF000000"/>
            <rFont val="Tahoma"/>
            <family val="2"/>
            <charset val="186"/>
          </rPr>
          <t>Excel šūnu krāsas:
Zaļa- aizpildāmas šūnas
Dzeltena- šūnas automātiski aizpildās
Liekos excel sheet, darba grāmatas, izdēts.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<sst xmlns="http://schemas.openxmlformats.org/spreadsheetml/2006/main" count="823" uniqueCount="308">
  <si>
    <t>APSTIPRINU</t>
  </si>
  <si>
    <t>(pasūtītāja paraksts un tā atsifrējums)</t>
  </si>
  <si>
    <t>Z.v.</t>
  </si>
  <si>
    <t>Būvniecības koptāme</t>
  </si>
  <si>
    <t>Attiecināmās izmaksas</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</si>
  <si>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</si>
  <si>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</si>
  <si>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</si>
  <si>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</si>
  <si>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</si>
  <si>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</si>
  <si>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</si>
  <si>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</si>
  <si>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</si>
  <si>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</si>
  <si>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</si>
  <si>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Sertifikāta Nr.</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</si>
  <si>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</si>
  <si>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</si>
  <si>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</si>
  <si>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</si>
  <si>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</si>
  <si>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</si>
  <si>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</si>
  <si>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</si>
  <si>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</si>
  <si>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</si>
  <si>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</si>
  <si>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</si>
  <si>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</si>
  <si>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</si>
  <si>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</si>
  <si>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</si>
  <si>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</si>
  <si>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</si>
  <si>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</si>
  <si>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</si>
  <si>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</si>
  <si>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</si>
  <si>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</si>
  <si>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</si>
  <si>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</si>
  <si>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</si>
  <si>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</si>
  <si>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</si>
  <si>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</si>
  <si>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</si>
  <si>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</si>
  <si>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</si>
  <si>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</si>
  <si>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</si>
  <si>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</si>
  <si>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</si>
  <si>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Sertifikāta Nr</t>
  </si>
  <si>
    <t>Daudzīvokļu dzīvojamā māja</t>
  </si>
  <si>
    <t>m²</t>
  </si>
  <si>
    <t>gb.</t>
  </si>
  <si>
    <t>difūzijas</t>
  </si>
  <si>
    <t>hidroizolācijas</t>
  </si>
  <si>
    <t xml:space="preserve">1.gb. </t>
  </si>
  <si>
    <t>h</t>
  </si>
  <si>
    <t xml:space="preserve">L </t>
  </si>
  <si>
    <t>kopā</t>
  </si>
  <si>
    <t>esošie PVC</t>
  </si>
  <si>
    <t>Cokola profils EB PVC VARIO 220</t>
  </si>
  <si>
    <t>Palodzes montāžas profils EW US01</t>
  </si>
  <si>
    <t>Stūra lāsenis ED CO2</t>
  </si>
  <si>
    <t>Loga pielaiduma profils EW</t>
  </si>
  <si>
    <t>Stūra profils  EC S</t>
  </si>
  <si>
    <t>ārējās</t>
  </si>
  <si>
    <t>iekšējās</t>
  </si>
  <si>
    <t xml:space="preserve">ārējās </t>
  </si>
  <si>
    <t>Logu platība m²</t>
  </si>
  <si>
    <t>Loga izmērs, m</t>
  </si>
  <si>
    <t>skaits</t>
  </si>
  <si>
    <t>tips</t>
  </si>
  <si>
    <t>Profili, m</t>
  </si>
  <si>
    <t>palodzes, m</t>
  </si>
  <si>
    <t>aiļu platums apdares m²</t>
  </si>
  <si>
    <t>Perimetrs lentei, m</t>
  </si>
  <si>
    <t>gb</t>
  </si>
  <si>
    <t>Gružu konteiners</t>
  </si>
  <si>
    <t>m³</t>
  </si>
  <si>
    <t>Būvgružu savākšana un aizvešana</t>
  </si>
  <si>
    <t>līg.c.</t>
  </si>
  <si>
    <t>Metāla karoga kāta turētāja montāža</t>
  </si>
  <si>
    <t>m</t>
  </si>
  <si>
    <t>Stūra profils ar armējumu visā augstumā visos ēkas stūros</t>
  </si>
  <si>
    <t>Siets stikla šķiedra</t>
  </si>
  <si>
    <t>kg</t>
  </si>
  <si>
    <t>Grunts Cerasit CT 17 vai ekvivalents</t>
  </si>
  <si>
    <t>gab</t>
  </si>
  <si>
    <t>l</t>
  </si>
  <si>
    <t>komp</t>
  </si>
  <si>
    <t>Paligmateriāli</t>
  </si>
  <si>
    <t>Grunts Ceresit CT 16 vai ekvivalents</t>
  </si>
  <si>
    <t>Atkritumu konteineru izvietošana.</t>
  </si>
  <si>
    <t>Tualetes izvešana</t>
  </si>
  <si>
    <t>Sastatnes</t>
  </si>
  <si>
    <t xml:space="preserve">Sastatņu montēšana </t>
  </si>
  <si>
    <t>Pēda</t>
  </si>
  <si>
    <t>Žogs 3,5×2m</t>
  </si>
  <si>
    <t>Metāla nožogojuma montāža, h=2,0 m</t>
  </si>
  <si>
    <t>Jaunu iekštelpu MDF palodžu montēšana, b=300mm.</t>
  </si>
  <si>
    <t>Līmlente</t>
  </si>
  <si>
    <t>krāsa</t>
  </si>
  <si>
    <t>perfix</t>
  </si>
  <si>
    <t>reģipsis</t>
  </si>
  <si>
    <t>šinas</t>
  </si>
  <si>
    <t>Jaunu krāsotu ārējo skārda palodžu montāža visiem logiem, biezumā: 0,4mm, plata=350mm* ņemot vērā pārkares lāseni 50mm</t>
  </si>
  <si>
    <t>Hidroizolācijas lentas montēšana logos</t>
  </si>
  <si>
    <t>hermētiķis SILIKON vai ekvivalents</t>
  </si>
  <si>
    <t>skrūves</t>
  </si>
  <si>
    <t>dibeļi</t>
  </si>
  <si>
    <t>montāžas skavas</t>
  </si>
  <si>
    <t>kmpl.</t>
  </si>
  <si>
    <t>palodzes profils</t>
  </si>
  <si>
    <t>Esošo skārda āra palodžu demontāža, b=0,25.</t>
  </si>
  <si>
    <t xml:space="preserve">Esošo koka logu, tsk. ārdurvju demontāža </t>
  </si>
  <si>
    <t>šķembas</t>
  </si>
  <si>
    <t xml:space="preserve"> Šķembas (fr.40-70mm) kārtas ieklāšana 100mm </t>
  </si>
  <si>
    <t xml:space="preserve"> Ģeotekstila plēves ieklāšana</t>
  </si>
  <si>
    <t>Jaunu bruģakmens lietusūdens novadīšanas apmaļu ierīkošana:</t>
  </si>
  <si>
    <t>Apmetuma apakšējās daļas izolācija (apmetuma norāvums)</t>
  </si>
  <si>
    <t>Armējošā līmjava CERESIT ZU vai ekvivalents</t>
  </si>
  <si>
    <t>Cokola apmešana ar apmetumu uz minerālšķiedru sieta (b=7mm) un krāsošana</t>
  </si>
  <si>
    <t>Atrakto vietu aizbēršana ar esošo minerālgrunti</t>
  </si>
  <si>
    <t>Līmjava CERESIT ZS vai ekvivalents</t>
  </si>
  <si>
    <t>hidroizolācija Denbit-D (19kg patēriņš aptuveni 1,0kg/m²) vai ekvivalents</t>
  </si>
  <si>
    <t>Jaunas šķidrās hidroizolācijas uzklāšana  visā siltinājuma augstumā</t>
  </si>
  <si>
    <t xml:space="preserve">āra hermētiķis </t>
  </si>
  <si>
    <t>Savienojuma vietu šuvju hermatizācija</t>
  </si>
  <si>
    <t>Grunts hidroizolācijai Denbit-R (11kg patēriņš aptuveni 0,5kg/m²) vai ekvivalents</t>
  </si>
  <si>
    <t>Cokola sienas sagatavošana siltināšanai - virsmu notīrīšana un gruntēšana,</t>
  </si>
  <si>
    <t>Betona apmales demontāža</t>
  </si>
  <si>
    <t>Fasādes atjaunošanas darbi</t>
  </si>
  <si>
    <t>Bēniņu siltināšana</t>
  </si>
  <si>
    <t xml:space="preserve">Tvaika izolācijas plēves ieklāšana uz esošā seguma </t>
  </si>
  <si>
    <t>Plēve 200 mk</t>
  </si>
  <si>
    <t>Siltumizolācija</t>
  </si>
  <si>
    <t>m2</t>
  </si>
  <si>
    <t xml:space="preserve">Krāsa </t>
  </si>
  <si>
    <t>vietas</t>
  </si>
  <si>
    <t>kmpl</t>
  </si>
  <si>
    <t>Jumta atjaunošana</t>
  </si>
  <si>
    <t>maināmie</t>
  </si>
  <si>
    <t>briestošā lenta</t>
  </si>
  <si>
    <t>Koka brusas ar prettrupes un pretuguns apstrādi 75×125(h)</t>
  </si>
  <si>
    <t>Dēļi ar prettrupes un pretuguns apstrādi130×25(h)</t>
  </si>
  <si>
    <t>Moduļu tualetes uzstādīšana</t>
  </si>
  <si>
    <t>Būvtāfeles uzstādīšana</t>
  </si>
  <si>
    <t>S1, S2, P1</t>
  </si>
  <si>
    <t>Dībeli virsmas klasifikācija ETA A,B,C,D,E, galvas Ø60, nagla tērauda Ø8/10, Punkta siltumatdeves koeficients 0,001 W/K, min iestrādes dziļums &gt;35mm, vai ekvivalents 195mm</t>
  </si>
  <si>
    <t xml:space="preserve">Piekarāķu uzstādišana un kābeļu pārmontēšana. Piekarāķa parametri (paredzētas  9 vietas):
Piekarāķis M20, L=620mm SOT101.2  cauri balstam -  esošai bēniņu sienai 380mm. Piekarāķi izmanto izolētiem gaisvadiem, servisa  kabeļiem, kā arī XLP - izolētiem kabeļiem. pagrieziena vai enkurbalstos. Piekarāķis ir aprīkots ar  noslēgplāksni un izgatavots no karsti cinkota  tērauda.Svars: 1.8 kg. Pārbaudes slodze: 30.6 Fx/kN.  Pārbaudes slodze: 6.7 Fy/kN </t>
  </si>
  <si>
    <t>S8, S9</t>
  </si>
  <si>
    <t>Cokola daļas siltināšana atbilstoši tehnoloģijai</t>
  </si>
  <si>
    <t>Dībeli virsmas klasifikācija ETA A,B,C,D,E, galvas Ø60, nagla tērauda Ø8/10, Punkta siltumatdeves koeficients 0,001 W/K, min iestrādes dziļums &gt;35mm, vai ekvivalents 135mm</t>
  </si>
  <si>
    <t>Silikona-akrila mozaīkas apmetumu CERESIT CT77 vai ekvivalents</t>
  </si>
  <si>
    <t xml:space="preserve"> Šķembas (fr.0-40mm) kārtas ieklāšana 50mm </t>
  </si>
  <si>
    <t xml:space="preserve"> Grants kārtas ieklāšana 50mm</t>
  </si>
  <si>
    <t>grants</t>
  </si>
  <si>
    <t xml:space="preserve"> Bruģakmens 700mm biez.likšana 26gb./m²</t>
  </si>
  <si>
    <t>Betona bruģis b=50</t>
  </si>
  <si>
    <t>Izsijas -50mm</t>
  </si>
  <si>
    <t xml:space="preserve"> Bortakmens 80x200x1000  malas likšana 1gb/t.m</t>
  </si>
  <si>
    <t>betons klase C16/20</t>
  </si>
  <si>
    <t xml:space="preserve">Melnzemes uzbēršana zālāju sējumiem </t>
  </si>
  <si>
    <t>Melnzeme</t>
  </si>
  <si>
    <t>Zālāju sējumu ierīkošana</t>
  </si>
  <si>
    <t>zālāju sēklas</t>
  </si>
  <si>
    <t>Cokola siltināšana</t>
  </si>
  <si>
    <r>
      <t xml:space="preserve">PVC loga  bloks ar  stikla paketi krāsa - balta
Stikla paketes 2k2+4LowE-Arg.Siltuma caurlaidības koef.: Dziļums: &gt;80 mm Siltuma caurlaidības koef.: 
 Uw = 1,1 W / m² K Logu vēja noturības klase- ne zemāka par C2 (pēc LVS EN 12210) Logu gaisa caurlaidības klase - ne zemāka par 3 (pēc LVS EN 12207) ūdensnecaurlaidības klase -  8A  (pēc LVS EN 12208) </t>
    </r>
    <r>
      <rPr>
        <b/>
        <sz val="8"/>
        <rFont val="Arial"/>
        <family val="2"/>
        <charset val="186"/>
      </rPr>
      <t>ar sekojošu logu tipu, kas ietver to montāžu</t>
    </r>
  </si>
  <si>
    <t>Logu montāžas palīgmateriāli uz  apjomu</t>
  </si>
  <si>
    <t>montāžas puta</t>
  </si>
  <si>
    <t>Durvju montāžas palīgmateriāli uz  apjomu</t>
  </si>
  <si>
    <t>Difūzujas lentas montēšana nomaināmajos logos</t>
  </si>
  <si>
    <t>Apmetuma atjaunošana pēc logu nomaiņas telpu iekšpusē, remonts ap logu ailu.</t>
  </si>
  <si>
    <t xml:space="preserve">Špaktels </t>
  </si>
  <si>
    <t>Logu nomaiņa</t>
  </si>
  <si>
    <t>Metāla kāpnes uz jumta lūku , h=2,5*m</t>
  </si>
  <si>
    <t>Koka laipu izvietošana (skatīt bēniņu plāna lapā specifikāciju) astrādātas ar pretrupes un pretuguns sastāvu</t>
  </si>
  <si>
    <t>Ruberoīda loksne</t>
  </si>
  <si>
    <t xml:space="preserve">  kokmateriāli</t>
  </si>
  <si>
    <t xml:space="preserve">  metāla stiprinājumi</t>
  </si>
  <si>
    <t>kpl</t>
  </si>
  <si>
    <t>Ventas iela 14, Liepāja</t>
  </si>
  <si>
    <t>WS-53-18</t>
  </si>
  <si>
    <t>Līmjava Ceresit CT 190  vai ekvivalents</t>
  </si>
  <si>
    <t xml:space="preserve">S1
Mūrētas ķieģeļu
ārsienas siltinājums </t>
  </si>
  <si>
    <t>Apmetuma sistēma virs siltinājuma (AS-1); grunts; siltinājums - akmensvate (PAROC Linio 10 vai  ekviv.)  λ=0,036W/m²K, b=150mm; līmjava; grunts; esošā siena - silikāta ķieģeļu siena 380/510mm</t>
  </si>
  <si>
    <t>Siliktā -silikona homogēnais apmetums Ceresit CT174 vai ekvivalents, 2mm graudu lielums</t>
  </si>
  <si>
    <t>Pusapaļš arkas veida jumtiņš. Kronšteini, 27*cm augsti standarta izpildījumā – akrila caurspīdīga loksne ar sudraba nokrāsu ar alumīnija kronšteiniem. Kmpl. ar stiprināajuma dībeļiem pie pamatsienas caur siltinājumu atbilstoši ražotājkonstrukcijas norādījumiem. 1500×1000×270mm</t>
  </si>
  <si>
    <t>L1 1,5×1,4m</t>
  </si>
  <si>
    <t>L2 2,15×1,4m</t>
  </si>
  <si>
    <t>L3 logs 0,85×1,45m</t>
  </si>
  <si>
    <t>L4 logs 1,1×2,9m</t>
  </si>
  <si>
    <t>Alumīnija konstrukcijas durvju bloks. Ar rokturi un enģēm, ar pašaizvēršanās mehānismu, ar speciālām blīvgumijām un piedurlīstēm, vienpunktu slēdzeni, kodatslēgu. Stikla paketes siltumcaurlaidības koef.:1.0w/m²*K.  Uw=1,6w/m²*K 
Krāsa - pēc krāsu pases,  D1 1,35×2,1m</t>
  </si>
  <si>
    <t>R1 0,65×0,6m</t>
  </si>
  <si>
    <t>R2 Ø98, 150×150</t>
  </si>
  <si>
    <t>Siltumizolācija sienām</t>
  </si>
  <si>
    <t>Līmjava Ceresit CT180 vai ekvivalents</t>
  </si>
  <si>
    <t>Līmjava Ceresit CT 190 vai ekvivalents</t>
  </si>
  <si>
    <t>Papildus armējums apkārrt  loga un durvju  ailām ar sietu , platums=0,3×0,5m, b=3mm</t>
  </si>
  <si>
    <t>Ventilācijas iekārtas montāža R-2, Ø98, 150×150mm</t>
  </si>
  <si>
    <t>atvērumu izveide betona sienā Ø120*</t>
  </si>
  <si>
    <t>Cinkota tērauda žalūzija žalūzija, ar pretkoroziju apstrādi. Metāla žalūzija ar manuālu aizvēršanas mehānismu.
Brīvais atvēruma laukums 80%. t.sk. montāžas materiāli 650×600mm</t>
  </si>
  <si>
    <t>Bruģakmens tekņu iestrāde apmalē, 0,7m</t>
  </si>
  <si>
    <t>Fasādes remontadrbi</t>
  </si>
  <si>
    <t>Plaisu remonts</t>
  </si>
  <si>
    <t>Plaisās injicēt šuvju mastiku</t>
  </si>
  <si>
    <t>Nesrūsējošā tērauda siets Ø3, 50x50 mm.</t>
  </si>
  <si>
    <t>Pārsedzes</t>
  </si>
  <si>
    <t>P-1</t>
  </si>
  <si>
    <t>Tērauda leņķa profils L100x50, b=6,84, L=2380mm</t>
  </si>
  <si>
    <t>Ligzdas izfrēzēšana sienā</t>
  </si>
  <si>
    <t>Pretkorozijas krāsošana</t>
  </si>
  <si>
    <r>
      <t>m</t>
    </r>
    <r>
      <rPr>
        <vertAlign val="superscript"/>
        <sz val="11"/>
        <rFont val="Calibri"/>
        <family val="2"/>
        <charset val="186"/>
      </rPr>
      <t>2</t>
    </r>
  </si>
  <si>
    <t>Remontjava</t>
  </si>
  <si>
    <r>
      <t>m</t>
    </r>
    <r>
      <rPr>
        <vertAlign val="superscript"/>
        <sz val="11"/>
        <rFont val="Calibri"/>
        <family val="2"/>
        <charset val="186"/>
      </rPr>
      <t>3</t>
    </r>
  </si>
  <si>
    <t>Apmetums uz metāla sieta</t>
  </si>
  <si>
    <t>P-2</t>
  </si>
  <si>
    <t>Tērauda leņķa profils L100x50, b=6,84, L=1800mm</t>
  </si>
  <si>
    <t>Pretkondensāta plēve, 2mm</t>
  </si>
  <si>
    <t>8.</t>
  </si>
  <si>
    <t>Demontējams esošais azbestcementa viļņveida jumta lokšņu seguma noņemšana un utilizācija, saglabājot esošo latojumu</t>
  </si>
  <si>
    <t>Proj. antiseptizētu koka dēļu latojums, 32×100, s=300mm; 44gab; Lvienam=25,5,0m. Koka konstrukciju prettrupes un pretuguns aizsardzības krāsojums (erlīts)</t>
  </si>
  <si>
    <t>Proj. jumta segums - PP20 jumta profilētais skārds, b=0,5mm, h=17,5mm</t>
  </si>
  <si>
    <t>Skārds 0,5mm</t>
  </si>
  <si>
    <t>Skrūves</t>
  </si>
  <si>
    <t>Amortizacijas lente</t>
  </si>
  <si>
    <t xml:space="preserve">Skārds </t>
  </si>
  <si>
    <r>
      <t>m</t>
    </r>
    <r>
      <rPr>
        <vertAlign val="superscript"/>
        <sz val="8"/>
        <rFont val="Arial"/>
        <family val="2"/>
        <charset val="186"/>
      </rPr>
      <t>2</t>
    </r>
  </si>
  <si>
    <t>Proj. kores nosegprofils komplektā ar stiprinājumiem, b=0,8m</t>
  </si>
  <si>
    <t>Proj.  karkasa apdares koka dēļi ar 10mm lielu gaisa spraugu ventilācijai pie jumta pārkares, 20×80mm. Koka konstrukciju prettrupes un pretuguns aizsardzības krāsojums (erlīts)</t>
  </si>
  <si>
    <t>Proj. dzegas apšuvuma dēļi 20×100, ar gaisa šķirbu 10mm. Koka konstrukciju prettrupes un pretuguns aizsardzības krāsojums</t>
  </si>
  <si>
    <t>Skārda detaļa ventilācijas izvadu pieslēgumam pie jumta</t>
  </si>
  <si>
    <t>Proj. sniega barjera komplektā ar jaumta margu</t>
  </si>
  <si>
    <t>Proj. jumta lūka 600×800mm starpspāru telpā</t>
  </si>
  <si>
    <t xml:space="preserve">Skursteņu galu remonts (vidēji  5 kārtas ķieģeļu mūra), 4skursteņi </t>
  </si>
  <si>
    <t>Java M100</t>
  </si>
  <si>
    <t>Ķieģeļi</t>
  </si>
  <si>
    <t>Skursteņu virsjumta daļas virsmas attīrīšana, apmešana un krāsošana ar Scalcem</t>
  </si>
  <si>
    <t>litri</t>
  </si>
  <si>
    <t>Jumta skārds skursteņu jumtiņiem (krāsu tonis,kā jumta segumam)</t>
  </si>
  <si>
    <t>Jumtiņa enkurdetaļas  -4×40×480, kopā 48 gab krāsot pret koroziju,</t>
  </si>
  <si>
    <t>Ķīļenkuri M10x95, 2 gab uz katru enkurdetaļu</t>
  </si>
  <si>
    <t>Jumtiņu atbalsta karkass no plakandzelzs -4x40  enkurdetaļu augšā pa perimetru, kop.l=31 m</t>
  </si>
  <si>
    <t>Enkurdetaļu un karkasa elementu pretkorozijas krāsojums</t>
  </si>
  <si>
    <r>
      <t xml:space="preserve">Esošu skārda tekņu demontāža, </t>
    </r>
    <r>
      <rPr>
        <sz val="8"/>
        <rFont val="Calibri"/>
        <family val="2"/>
        <charset val="186"/>
      </rPr>
      <t>Ø</t>
    </r>
    <r>
      <rPr>
        <sz val="8"/>
        <rFont val="Arial"/>
        <family val="2"/>
        <charset val="186"/>
      </rPr>
      <t>125</t>
    </r>
  </si>
  <si>
    <t>Esošu skārda noteku demontāža,  Ø125</t>
  </si>
  <si>
    <t>Esošā dzelzbetona ieejas jumtiņa demontāža</t>
  </si>
  <si>
    <t>Proj. garenlīstes 20(h)×50, s=800; Lvienam=5,6m*. Koka konstrukciju prettrupes un pretuguns aizsardzības krāsojums (erlīts)</t>
  </si>
  <si>
    <t>Proj. garenlīstes plēves piespiešanai 20(h)×50, s=800; Koka konstrukciju prettrupes un pretuguns aizsardzības krāsojums (erlīts)</t>
  </si>
  <si>
    <t>Proj. dzegas nosegprofils komplektā ar stiprinājumiem skārds b=0,4m, stiprinājumi ar s=300</t>
  </si>
  <si>
    <t>obj.</t>
  </si>
  <si>
    <t>Apmetumu fasādes izbūve</t>
  </si>
  <si>
    <t>Proj. teknes Ø150, komplektā ar stiprinājumiem un aizsargpārklājumu</t>
  </si>
  <si>
    <t>Proj. notekas Ø125,  komplektā ar stiprinājumiem un aizsargpārklājumu</t>
  </si>
  <si>
    <t xml:space="preserve">Grunts rakšanas darbi 1,0m dziļumā,800mm platumā </t>
  </si>
  <si>
    <t>Ventilācijas kanālu tīrīšana, labošana un pārbaudes aktu sastādīšana</t>
  </si>
  <si>
    <t>JUMTA ELEMENTU SPECIFIKĀCIJA</t>
  </si>
  <si>
    <t>N.p.k.</t>
  </si>
  <si>
    <t>Nosaukums</t>
  </si>
  <si>
    <t>izmēri, m</t>
  </si>
  <si>
    <t>Skaits, gb</t>
  </si>
  <si>
    <t>L vienam, m</t>
  </si>
  <si>
    <t>a</t>
  </si>
  <si>
    <t>b</t>
  </si>
  <si>
    <t>Proj. garenlīstes 20(h)×50, s=800mm</t>
  </si>
  <si>
    <t>Proj. garenlīstes plēves piespiešanai 20(h)×50, s=800mm</t>
  </si>
  <si>
    <t>Proj. antiseptizētu koka dēļu latojums, 32×100, s=300mm</t>
  </si>
  <si>
    <t>Proj. jumta segums - 
PP20 jumta profilētais skārds, b=0,5mm, h=17,5mm</t>
  </si>
  <si>
    <t>Proj. teknes Ø150</t>
  </si>
  <si>
    <t>Proj. notekas Ø125</t>
  </si>
  <si>
    <t>Proj. dzegas nosegprofils 0,4m</t>
  </si>
  <si>
    <t>Proj. kores nosegprofils, 0,8m</t>
  </si>
  <si>
    <t xml:space="preserve">Proj.  karkasa apdares koka dēļi ar 10mm lielu gaisa spraugu ventilācijai pie jumta pārkares, 20×80 </t>
  </si>
  <si>
    <t>Proj. dzegas apšuvuma dēļi 20×100, ar gaisa šķirbu 10mm</t>
  </si>
  <si>
    <t>Proj. sniega barjera komplektā ar jumta margu</t>
  </si>
  <si>
    <t>Proj. jumta lūka 600×800</t>
  </si>
  <si>
    <t xml:space="preserve">Tiešās izmaksas kopā, t. sk. darba devēja sociālais nodoklis 23,59% </t>
  </si>
  <si>
    <t>Ievērībai!</t>
  </si>
  <si>
    <t>Pretendents ir tiesīgs izmantot tikai Pasūtītāja pievienoto būvizmaksu noteikšanas tāmes veidni.</t>
  </si>
  <si>
    <t>Daudzdzīvokļu dzīvojamās ēkas Ventas ielā 14, Liepājā, energoefektivitātes paaugstināšanas pasākumi</t>
  </si>
  <si>
    <t>Tāme sastādīta 2021.gada</t>
  </si>
  <si>
    <t>Finanšu rezerve</t>
  </si>
  <si>
    <t>Kopā ar finanšu rezervi</t>
  </si>
  <si>
    <t>Tāme sastādīta  2021. gada tirgus cenās, pamatojoties uz AR un BK daļas rasējumiem</t>
  </si>
  <si>
    <t>Piezīme:</t>
  </si>
  <si>
    <t>• Siltināšanas un apmešanas darbi veicami saskaņā ar ETAG 004 „Eiropas tehniskā apstiprinājuma pamatnostādne ārējās siltumizolācijas sistēmām un
 apmetumam”.</t>
  </si>
  <si>
    <t xml:space="preserve">• Visiem būvmateriāliem jābūt marķētiem ar CE zīmi. </t>
  </si>
  <si>
    <t>Moduļu mājas uzstādīšana. Paredzēts 12 cilvēkiem.</t>
  </si>
  <si>
    <t>1. meh. klases apmetuma izveidošana: 1 kārtas armējošās javas un armējošā stikla šķiedras sieta uzklāšana (Ceresit CT 190 vai ekvivalents), zemapmetuma grunts uzklāšana (Ceresit CT 16 vai ekvivalents), dekoratīvā gatavā silikona apmetuma ar tonējumu uznešana (Ceresit CT174 vai ekvivalents).</t>
  </si>
  <si>
    <t>Durvju un logu aiļu apdare ar akmensvates plātnēm (Paroc Linio 15 vai ekvivalents, λ=0,037W/m²K, )  b=30mm,platums~ 0,10m*</t>
  </si>
  <si>
    <t>Logu un durvju aiļu ārējo stūru armēšana ar sietu papildus sietu 0,3×0,5m no ailes un ailē (Valmieras E-stikls vai ekvivalents) stiepes izturība &gt;200N/5cm, Struktūras stabilitāte &gt;22%, Atbilst REACH , sieta acojuma lielums 4×4mm.</t>
  </si>
  <si>
    <t>Stūra profils  EC S vai ekvivalents</t>
  </si>
  <si>
    <t>Loga pielaiduma profils EW vai ekvivalents</t>
  </si>
  <si>
    <t>Stūra lāsenis ED CO2 vai ekvivalents</t>
  </si>
  <si>
    <t>Palodzes montāžas profils EW US01 vai ekvivalents</t>
  </si>
  <si>
    <t>Cokola profils EB PVC VARIO 220 vai ekvivalents</t>
  </si>
  <si>
    <t>Ekstrudētā putupolistirola plāksne (TENAPORS  EPS150 vai ekvivalents); λ=0,031W/mK b=120mm</t>
  </si>
  <si>
    <t>AQUAFIN-1K vai ekvivalents izolācijas grunts kārtas uznešana</t>
  </si>
  <si>
    <t>AQUAFIN-2K/M vai ekvivalents hidroizolācija</t>
  </si>
  <si>
    <t>Siltumizolācijas ieklāšana (beramā akmensvate 
Paroc BLT3 vai ekvivalents) ,λ=0,041W/mK, b= 400mm, t.sk. sablīvēšanās koef</t>
  </si>
  <si>
    <t>Gāzbetona bloks Eco Term Plus 300 vai ekvivalents (200x300x600). 
(Piezāģēts pēc gabarītiem 200x300x300)</t>
  </si>
  <si>
    <t>Ķīmiskais dībelis HILTI vai ekvivalents ∅8, ķīmiskajā enkurmasā WURTH WIT-VM 250 vai ekvivalents 100mm dziļumā</t>
  </si>
  <si>
    <t xml:space="preserve">Grunts Cerasit CT 17 vai ekvivalents (jāšķaida 1:3) </t>
  </si>
  <si>
    <t xml:space="preserve">  grunts Korrostop vai ekvivalents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</si>
</sst>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
    <numFmt numFmtId="165" formatCode="0;;;"/>
    <numFmt numFmtId="166" formatCode="0.0%"/>
    <numFmt numFmtId="167" formatCode="_-* #,##0.00_-;\-* #,##0.00_-;_-* \-??_-;_-@_-"/>
    <numFmt numFmtId="168" formatCode="0.0"/>
    <numFmt numFmtId="169" formatCode="0;;"/>
    <numFmt numFmtId="170" formatCode="_-* #,##0.00_р_._-;\-* #,##0.00_р_._-;_-* &quot;-&quot;??_р_._-;_-@_-"/>
    <numFmt numFmtId="171" formatCode="0.000"/>
    <numFmt numFmtId="172" formatCode="0.00;;"/>
  </numFmts>
  <fonts count="34" x14ac:knownFonts="1">
    <font>
      <sz val="11"/>
      <color rgb="FF000000"/>
      <name val="Calibri"/>
      <family val="2"/>
      <charset val="186"/>
    </font>
    <font>
      <sz val="8"/>
      <color theme="1"/>
      <name val="Arial"/>
      <family val="2"/>
      <charset val="186"/>
    </font>
    <font>
      <sz val="8"/>
      <color theme="1"/>
      <name val="Arial"/>
      <family val="2"/>
      <charset val="186"/>
    </font>
    <font>
      <sz val="10"/>
      <name val="Arial"/>
      <family val="2"/>
      <charset val="204"/>
    </font>
    <font>
      <sz val="8"/>
      <name val="Arial"/>
      <family val="2"/>
      <charset val="186"/>
    </font>
    <font>
      <b/>
      <sz val="8"/>
      <name val="Arial"/>
      <family val="2"/>
      <charset val="186"/>
    </font>
    <font>
      <b/>
      <sz val="9"/>
      <color rgb="FF000000"/>
      <name val="Tahoma"/>
      <family val="2"/>
      <charset val="186"/>
    </font>
    <font>
      <sz val="9"/>
      <color rgb="FF000000"/>
      <name val="Tahoma"/>
      <family val="2"/>
      <charset val="186"/>
    </font>
    <font>
      <sz val="8"/>
      <color rgb="FFFF0000"/>
      <name val="Arial"/>
      <family val="2"/>
      <charset val="186"/>
    </font>
    <font>
      <b/>
      <sz val="8"/>
      <color rgb="FFFF0000"/>
      <name val="Arial"/>
      <family val="2"/>
      <charset val="186"/>
    </font>
    <font>
      <b/>
      <sz val="8"/>
      <color indexed="8"/>
      <name val="Arial"/>
      <family val="2"/>
      <charset val="186"/>
    </font>
    <font>
      <sz val="8"/>
      <color indexed="8"/>
      <name val="Arial"/>
      <family val="2"/>
      <charset val="186"/>
    </font>
    <font>
      <sz val="8"/>
      <color rgb="FF00B050"/>
      <name val="Arial"/>
      <family val="2"/>
      <charset val="186"/>
    </font>
    <font>
      <b/>
      <sz val="8"/>
      <color rgb="FF00B050"/>
      <name val="Arial"/>
      <family val="2"/>
      <charset val="186"/>
    </font>
    <font>
      <sz val="8"/>
      <color indexed="10"/>
      <name val="Arial"/>
      <family val="2"/>
      <charset val="186"/>
    </font>
    <font>
      <sz val="11"/>
      <color indexed="8"/>
      <name val="Calibri"/>
      <family val="2"/>
      <charset val="186"/>
    </font>
    <font>
      <sz val="12"/>
      <color theme="1"/>
      <name val="Calibri"/>
      <family val="2"/>
      <scheme val="minor"/>
    </font>
    <font>
      <sz val="8"/>
      <color rgb="FF000000"/>
      <name val="Arial"/>
      <family val="2"/>
      <charset val="186"/>
    </font>
    <font>
      <sz val="10"/>
      <name val="Helv"/>
    </font>
    <font>
      <sz val="11"/>
      <color indexed="8"/>
      <name val="Calibri"/>
      <family val="2"/>
      <charset val="204"/>
    </font>
    <font>
      <sz val="10"/>
      <name val="Arial"/>
      <family val="2"/>
      <charset val="186"/>
    </font>
    <font>
      <i/>
      <sz val="8"/>
      <name val="Arial"/>
      <family val="2"/>
      <charset val="186"/>
    </font>
    <font>
      <b/>
      <i/>
      <sz val="8"/>
      <name val="Arial"/>
      <family val="2"/>
      <charset val="186"/>
    </font>
    <font>
      <sz val="8"/>
      <name val="Calibri"/>
      <family val="2"/>
      <charset val="186"/>
    </font>
    <font>
      <sz val="6"/>
      <color theme="1"/>
      <name val="Arial"/>
      <family val="2"/>
      <charset val="186"/>
    </font>
    <font>
      <sz val="6"/>
      <color indexed="8"/>
      <name val="Arial"/>
      <family val="2"/>
      <charset val="186"/>
    </font>
    <font>
      <b/>
      <sz val="8"/>
      <color rgb="FF0070C0"/>
      <name val="Arial"/>
      <family val="2"/>
      <charset val="186"/>
    </font>
    <font>
      <sz val="8"/>
      <color rgb="FF0070C0"/>
      <name val="Arial"/>
      <family val="2"/>
      <charset val="186"/>
    </font>
    <font>
      <sz val="10"/>
      <name val="Arial"/>
      <family val="2"/>
      <charset val="1"/>
    </font>
    <font>
      <i/>
      <sz val="8"/>
      <color indexed="23"/>
      <name val="Arial"/>
      <family val="2"/>
      <charset val="186"/>
    </font>
    <font>
      <vertAlign val="superscript"/>
      <sz val="8"/>
      <name val="Arial"/>
      <family val="2"/>
      <charset val="186"/>
    </font>
    <font>
      <vertAlign val="superscript"/>
      <sz val="11"/>
      <name val="Calibri"/>
      <family val="2"/>
      <charset val="186"/>
    </font>
    <font>
      <b/>
      <sz val="8"/>
      <color theme="1"/>
      <name val="Arial"/>
      <family val="2"/>
      <charset val="186"/>
    </font>
    <font>
      <sz val="11"/>
      <name val="Calibri"/>
      <family val="2"/>
      <charset val="186"/>
    </font>
  </fonts>
  <fills count="2">
    <fill>
      <patternFill patternType="none"/>
    </fill>
    <fill>
      <patternFill patternType="gray125"/>
    </fill>
  </fills>
  <borders count="71">
    <border>
      <left/>
      <right/>
      <top/>
      <bottom/>
      <diagonal/>
    </border>
    <border>
      <left/>
      <right/>
      <top/>
      <bottom style="thin">
        <color auto="1"/>
      </bottom>
      <diagonal/>
    </border>
    <border>
      <left/>
      <right/>
      <top/>
      <bottom style="hair">
        <color auto="1"/>
      </bottom>
      <diagonal/>
    </border>
    <border>
      <left/>
      <right/>
      <top style="hair">
        <color auto="1"/>
      </top>
      <bottom style="hair">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right style="thin">
        <color auto="1"/>
      </right>
      <top style="medium">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style="medium">
        <color auto="1"/>
      </left>
      <right/>
      <top/>
      <bottom/>
      <diagonal/>
    </border>
    <border>
      <left style="thin">
        <color auto="1"/>
      </left>
      <right style="thin">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auto="1"/>
      </left>
      <right/>
      <top style="medium">
        <color auto="1"/>
      </top>
      <bottom/>
      <diagonal/>
    </border>
    <border>
      <left style="thin">
        <color auto="1"/>
      </left>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medium">
        <color auto="1"/>
      </left>
      <right style="thin">
        <color auto="1"/>
      </right>
      <top/>
      <bottom style="medium">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19">
    <xf numFmtId="0" fontId="0" fillId="0" borderId="0"/>
    <xf numFmtId="0" fontId="3" fillId="0" borderId="0"/>
    <xf numFmtId="0" fontId="15" fillId="0" borderId="0"/>
    <xf numFmtId="0" fontId="16" fillId="0" borderId="0"/>
    <xf numFmtId="0" fontId="18" fillId="0" borderId="0"/>
    <xf numFmtId="0" fontId="18" fillId="0" borderId="0"/>
    <xf numFmtId="0" fontId="3" fillId="0" borderId="0"/>
    <xf numFmtId="0" fontId="15" fillId="0" borderId="0"/>
    <xf numFmtId="0" fontId="19" fillId="0" borderId="0"/>
    <xf numFmtId="0" fontId="20" fillId="0" borderId="0"/>
    <xf numFmtId="0" fontId="19" fillId="0" borderId="0"/>
    <xf numFmtId="0" fontId="20" fillId="0" borderId="0"/>
    <xf numFmtId="0" fontId="20" fillId="0" borderId="0"/>
    <xf numFmtId="0" fontId="28" fillId="0" borderId="0"/>
    <xf numFmtId="0" fontId="28" fillId="0" borderId="0"/>
    <xf numFmtId="170" fontId="3" fillId="0" borderId="0" applyFont="0" applyFill="0" applyBorder="0" applyAlignment="0" applyProtection="0"/>
    <xf numFmtId="0" fontId="28" fillId="0" borderId="0"/>
    <xf numFmtId="167" fontId="20" fillId="0" borderId="0" applyFill="0" applyBorder="0" applyAlignment="0" applyProtection="0"/>
    <xf numFmtId="0" fontId="29" fillId="0" borderId="0" applyNumberFormat="0" applyFill="0" applyBorder="0" applyAlignment="0" applyProtection="0"/>
  </cellStyleXfs>
  <cellXfs count="339">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9"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4" fillId="0" borderId="0" xfId="0" applyFont="1" applyAlignment="1">
      <alignment horizontal="center" vertical="center"/>
    </xf>
    <xf numFmtId="0" fontId="11" fillId="0" borderId="0" xfId="2" applyFont="1" applyAlignment="1">
      <alignment horizontal="center" vertical="center"/>
    </xf>
    <xf numFmtId="0" fontId="14" fillId="0" borderId="0" xfId="3" applyFont="1" applyAlignment="1">
      <alignment horizontal="center" vertical="center"/>
    </xf>
    <xf numFmtId="0" fontId="11" fillId="0" borderId="0" xfId="0" applyFont="1" applyAlignment="1">
      <alignment horizontal="center" vertical="center" wrapText="1"/>
    </xf>
    <xf numFmtId="0" fontId="10" fillId="0" borderId="0" xfId="0" applyFont="1" applyAlignment="1">
      <alignment horizontal="center" vertical="center" wrapText="1"/>
    </xf>
    <xf numFmtId="0" fontId="8" fillId="0" borderId="0" xfId="3" applyFont="1" applyAlignment="1">
      <alignment horizontal="center" vertical="center"/>
    </xf>
    <xf numFmtId="0" fontId="24" fillId="0" borderId="0" xfId="0" applyFont="1" applyAlignment="1">
      <alignment vertical="center"/>
    </xf>
    <xf numFmtId="0" fontId="25" fillId="0" borderId="0" xfId="0" applyFont="1" applyAlignment="1">
      <alignment vertical="center"/>
    </xf>
    <xf numFmtId="0" fontId="25" fillId="0" borderId="0" xfId="0" applyFont="1" applyAlignment="1">
      <alignment horizontal="right" vertical="center"/>
    </xf>
    <xf numFmtId="0" fontId="25" fillId="0" borderId="0" xfId="3" applyFont="1" applyAlignment="1">
      <alignment horizontal="right" vertical="center"/>
    </xf>
    <xf numFmtId="0" fontId="24" fillId="0" borderId="0" xfId="0" applyFont="1" applyAlignment="1">
      <alignment vertical="center" wrapText="1"/>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4" fillId="0" borderId="40" xfId="2" applyFont="1" applyBorder="1" applyAlignment="1">
      <alignment horizontal="center" vertical="center"/>
    </xf>
    <xf numFmtId="0" fontId="13" fillId="0" borderId="41" xfId="0" applyFont="1" applyBorder="1" applyAlignment="1">
      <alignment horizontal="center" vertical="center"/>
    </xf>
    <xf numFmtId="1" fontId="26" fillId="0" borderId="0" xfId="0" applyNumberFormat="1" applyFont="1" applyAlignment="1">
      <alignment horizontal="center" vertical="center"/>
    </xf>
    <xf numFmtId="1" fontId="27" fillId="0" borderId="0" xfId="0" applyNumberFormat="1" applyFont="1" applyAlignment="1">
      <alignment horizontal="center" vertical="center"/>
    </xf>
    <xf numFmtId="0" fontId="13" fillId="0" borderId="0" xfId="0" applyFont="1" applyBorder="1" applyAlignment="1">
      <alignment horizontal="center" vertical="center"/>
    </xf>
    <xf numFmtId="0" fontId="26" fillId="0" borderId="0" xfId="0" applyFont="1" applyBorder="1" applyAlignment="1">
      <alignment horizontal="center" vertical="center"/>
    </xf>
    <xf numFmtId="0" fontId="25" fillId="0" borderId="0" xfId="0" applyFont="1" applyAlignment="1">
      <alignment horizontal="right" vertical="center"/>
    </xf>
    <xf numFmtId="0" fontId="25" fillId="0" borderId="0" xfId="3" applyFont="1" applyAlignment="1">
      <alignment horizontal="right" vertical="center" wrapText="1"/>
    </xf>
    <xf numFmtId="0" fontId="25" fillId="0" borderId="0" xfId="0" applyFont="1" applyAlignment="1">
      <alignment horizontal="right" vertical="center" wrapText="1"/>
    </xf>
    <xf numFmtId="0" fontId="4" fillId="0" borderId="46" xfId="0" applyFont="1" applyFill="1" applyBorder="1" applyAlignment="1">
      <alignment horizontal="left" vertical="center" wrapText="1"/>
    </xf>
    <xf numFmtId="0" fontId="4" fillId="0" borderId="46"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59" xfId="16" applyFont="1" applyFill="1" applyBorder="1" applyAlignment="1">
      <alignment vertical="center" wrapText="1"/>
    </xf>
    <xf numFmtId="0" fontId="1" fillId="0" borderId="0" xfId="0" applyFont="1" applyAlignment="1">
      <alignment vertical="center"/>
    </xf>
    <xf numFmtId="0" fontId="32" fillId="0" borderId="0" xfId="0" applyFont="1" applyAlignment="1">
      <alignment horizontal="center" vertical="center"/>
    </xf>
    <xf numFmtId="0" fontId="32" fillId="0" borderId="65" xfId="0" applyFont="1" applyBorder="1" applyAlignment="1">
      <alignment horizontal="center" vertical="center" wrapText="1"/>
    </xf>
    <xf numFmtId="0" fontId="32" fillId="0" borderId="66" xfId="0" applyFont="1" applyBorder="1" applyAlignment="1">
      <alignment horizontal="center" vertical="center" wrapText="1"/>
    </xf>
    <xf numFmtId="0" fontId="1" fillId="0" borderId="63" xfId="0" applyFont="1" applyBorder="1" applyAlignment="1">
      <alignment horizontal="center" vertical="center"/>
    </xf>
    <xf numFmtId="0" fontId="1" fillId="0" borderId="63" xfId="0" applyFont="1" applyBorder="1" applyAlignment="1">
      <alignment vertical="center" wrapText="1"/>
    </xf>
    <xf numFmtId="0" fontId="4" fillId="0" borderId="63" xfId="0" applyFont="1" applyBorder="1" applyAlignment="1">
      <alignment horizontal="center" vertical="center" wrapText="1"/>
    </xf>
    <xf numFmtId="0" fontId="4" fillId="0" borderId="63" xfId="0" applyFont="1" applyBorder="1" applyAlignment="1">
      <alignment horizontal="center" vertical="center"/>
    </xf>
    <xf numFmtId="171" fontId="12" fillId="0" borderId="63" xfId="0" applyNumberFormat="1" applyFont="1" applyBorder="1" applyAlignment="1">
      <alignment horizontal="center" vertical="center"/>
    </xf>
    <xf numFmtId="0" fontId="1" fillId="0" borderId="63" xfId="0" applyFont="1" applyBorder="1" applyAlignment="1">
      <alignment vertical="center"/>
    </xf>
    <xf numFmtId="168" fontId="12" fillId="0" borderId="63" xfId="0" applyNumberFormat="1" applyFont="1" applyBorder="1" applyAlignment="1">
      <alignment horizontal="center" vertical="center"/>
    </xf>
    <xf numFmtId="168" fontId="4" fillId="0" borderId="63" xfId="0" applyNumberFormat="1" applyFont="1" applyBorder="1" applyAlignment="1">
      <alignment horizontal="center" vertical="center"/>
    </xf>
    <xf numFmtId="2" fontId="12" fillId="0" borderId="63" xfId="0" applyNumberFormat="1" applyFont="1" applyBorder="1" applyAlignment="1">
      <alignment horizontal="center" vertical="center"/>
    </xf>
    <xf numFmtId="0" fontId="1" fillId="0" borderId="63" xfId="0" applyFont="1" applyBorder="1" applyAlignment="1">
      <alignment horizontal="center" vertical="center" wrapText="1"/>
    </xf>
    <xf numFmtId="0" fontId="12" fillId="0" borderId="63" xfId="0" applyFont="1" applyBorder="1" applyAlignment="1">
      <alignment horizontal="center" vertical="center"/>
    </xf>
    <xf numFmtId="0" fontId="4" fillId="0" borderId="0" xfId="0" applyFont="1" applyFill="1" applyAlignment="1">
      <alignment vertical="center"/>
    </xf>
    <xf numFmtId="0" fontId="4" fillId="0" borderId="0" xfId="0" applyFont="1" applyFill="1" applyAlignment="1">
      <alignment horizontal="right" vertical="center"/>
    </xf>
    <xf numFmtId="165" fontId="4" fillId="0" borderId="0" xfId="0" applyNumberFormat="1" applyFont="1" applyFill="1" applyAlignment="1">
      <alignment vertical="center"/>
    </xf>
    <xf numFmtId="0" fontId="4" fillId="0" borderId="0" xfId="0" applyFont="1" applyFill="1"/>
    <xf numFmtId="0" fontId="4" fillId="0" borderId="0" xfId="0" applyFont="1" applyFill="1" applyAlignment="1">
      <alignment horizontal="left"/>
    </xf>
    <xf numFmtId="0" fontId="4" fillId="0" borderId="0" xfId="0" applyFont="1" applyFill="1" applyAlignment="1">
      <alignment horizontal="left" vertical="center"/>
    </xf>
    <xf numFmtId="0" fontId="5" fillId="0" borderId="0" xfId="0" applyFont="1" applyFill="1" applyAlignment="1">
      <alignment vertical="center"/>
    </xf>
    <xf numFmtId="0" fontId="5" fillId="0" borderId="0" xfId="0" applyFont="1" applyFill="1" applyAlignment="1">
      <alignment horizontal="center" vertical="center"/>
    </xf>
    <xf numFmtId="0" fontId="4" fillId="0" borderId="0" xfId="0" applyFont="1" applyFill="1" applyAlignment="1">
      <alignment wrapText="1"/>
    </xf>
    <xf numFmtId="0" fontId="4" fillId="0" borderId="0" xfId="0" applyFont="1" applyFill="1" applyAlignment="1">
      <alignment horizontal="right"/>
    </xf>
    <xf numFmtId="0" fontId="4" fillId="0" borderId="0" xfId="0" applyFont="1" applyFill="1" applyAlignment="1">
      <alignment vertical="center" wrapText="1"/>
    </xf>
    <xf numFmtId="2" fontId="4" fillId="0" borderId="0" xfId="0" applyNumberFormat="1" applyFont="1" applyFill="1" applyAlignment="1">
      <alignment horizontal="center" vertical="center"/>
    </xf>
    <xf numFmtId="2" fontId="4" fillId="0" borderId="0" xfId="0" applyNumberFormat="1" applyFont="1" applyFill="1" applyAlignment="1">
      <alignment vertical="center"/>
    </xf>
    <xf numFmtId="14" fontId="4" fillId="0" borderId="0" xfId="0" applyNumberFormat="1" applyFont="1" applyFill="1" applyAlignment="1"/>
    <xf numFmtId="9" fontId="4" fillId="0" borderId="0" xfId="0" applyNumberFormat="1" applyFont="1" applyFill="1" applyAlignment="1">
      <alignment horizontal="right"/>
    </xf>
    <xf numFmtId="0" fontId="5" fillId="0" borderId="0" xfId="0" applyFont="1" applyFill="1" applyAlignment="1">
      <alignment horizontal="right" vertical="center"/>
    </xf>
    <xf numFmtId="14" fontId="4" fillId="0" borderId="0" xfId="0" applyNumberFormat="1" applyFont="1" applyFill="1" applyAlignment="1">
      <alignment horizontal="left"/>
    </xf>
    <xf numFmtId="0" fontId="4" fillId="0" borderId="8" xfId="0" applyFont="1" applyFill="1" applyBorder="1" applyAlignment="1">
      <alignment horizontal="center" vertical="center" textRotation="90" wrapText="1"/>
    </xf>
    <xf numFmtId="0" fontId="4" fillId="0" borderId="27" xfId="0" applyFont="1" applyFill="1" applyBorder="1" applyAlignment="1">
      <alignment horizontal="center" vertical="center" textRotation="90" wrapText="1"/>
    </xf>
    <xf numFmtId="0" fontId="5" fillId="0" borderId="28" xfId="0" applyFont="1" applyFill="1" applyBorder="1" applyAlignment="1">
      <alignment horizontal="center" vertical="center" textRotation="90" wrapText="1"/>
    </xf>
    <xf numFmtId="0" fontId="4" fillId="0" borderId="46" xfId="9" applyFont="1" applyFill="1" applyBorder="1" applyAlignment="1">
      <alignment horizontal="center" vertical="center" wrapText="1"/>
    </xf>
    <xf numFmtId="49" fontId="4" fillId="0" borderId="45" xfId="14" applyNumberFormat="1" applyFont="1" applyFill="1" applyBorder="1" applyAlignment="1">
      <alignment horizontal="center" vertical="center" wrapText="1"/>
    </xf>
    <xf numFmtId="0" fontId="4" fillId="0" borderId="45" xfId="9" applyFont="1" applyFill="1" applyBorder="1" applyAlignment="1">
      <alignment horizontal="left" vertical="center" wrapText="1"/>
    </xf>
    <xf numFmtId="0" fontId="4" fillId="0" borderId="45" xfId="9" applyFont="1" applyFill="1" applyBorder="1" applyAlignment="1">
      <alignment horizontal="center" vertical="center" wrapText="1"/>
    </xf>
    <xf numFmtId="168" fontId="5" fillId="0" borderId="45" xfId="9" applyNumberFormat="1" applyFont="1" applyFill="1" applyBorder="1" applyAlignment="1">
      <alignment horizontal="center" vertical="center" wrapText="1"/>
    </xf>
    <xf numFmtId="172" fontId="4" fillId="0" borderId="67" xfId="9" applyNumberFormat="1" applyFont="1" applyFill="1" applyBorder="1" applyAlignment="1">
      <alignment horizontal="center" vertical="center"/>
    </xf>
    <xf numFmtId="172" fontId="4" fillId="0" borderId="41" xfId="9" applyNumberFormat="1" applyFont="1" applyFill="1" applyBorder="1" applyAlignment="1">
      <alignment horizontal="center" vertical="center"/>
    </xf>
    <xf numFmtId="172" fontId="5" fillId="0" borderId="68" xfId="9" applyNumberFormat="1" applyFont="1" applyFill="1" applyBorder="1" applyAlignment="1">
      <alignment horizontal="center" vertical="center"/>
    </xf>
    <xf numFmtId="49" fontId="4" fillId="0" borderId="46" xfId="14" applyNumberFormat="1" applyFont="1" applyFill="1" applyBorder="1" applyAlignment="1">
      <alignment horizontal="center" vertical="center" wrapText="1"/>
    </xf>
    <xf numFmtId="0" fontId="4" fillId="0" borderId="46" xfId="9" applyFont="1" applyFill="1" applyBorder="1" applyAlignment="1">
      <alignment horizontal="left" vertical="center" wrapText="1"/>
    </xf>
    <xf numFmtId="168" fontId="4" fillId="0" borderId="46" xfId="14" applyNumberFormat="1" applyFont="1" applyFill="1" applyBorder="1" applyAlignment="1">
      <alignment horizontal="center" vertical="center" wrapText="1"/>
    </xf>
    <xf numFmtId="172" fontId="4" fillId="0" borderId="63" xfId="9" applyNumberFormat="1" applyFont="1" applyFill="1" applyBorder="1" applyAlignment="1">
      <alignment horizontal="center" vertical="center"/>
    </xf>
    <xf numFmtId="172" fontId="5" fillId="0" borderId="69" xfId="9" applyNumberFormat="1" applyFont="1" applyFill="1" applyBorder="1" applyAlignment="1">
      <alignment horizontal="center" vertical="center"/>
    </xf>
    <xf numFmtId="172" fontId="4" fillId="0" borderId="70" xfId="9" applyNumberFormat="1" applyFont="1" applyFill="1" applyBorder="1" applyAlignment="1">
      <alignment horizontal="center" vertical="center"/>
    </xf>
    <xf numFmtId="168" fontId="4" fillId="0" borderId="46" xfId="9" applyNumberFormat="1" applyFont="1" applyFill="1" applyBorder="1" applyAlignment="1">
      <alignment horizontal="center" vertical="center" wrapText="1"/>
    </xf>
    <xf numFmtId="0" fontId="4" fillId="0" borderId="43" xfId="9" applyFont="1" applyFill="1" applyBorder="1" applyAlignment="1">
      <alignment horizontal="center" vertical="center" wrapText="1"/>
    </xf>
    <xf numFmtId="0" fontId="4" fillId="0" borderId="0" xfId="16" applyFont="1" applyFill="1" applyAlignment="1">
      <alignment horizontal="left" vertical="center" wrapText="1"/>
    </xf>
    <xf numFmtId="0" fontId="4" fillId="0" borderId="43" xfId="16" applyFont="1" applyFill="1" applyBorder="1" applyAlignment="1">
      <alignment horizontal="center" vertical="center" wrapText="1"/>
    </xf>
    <xf numFmtId="168" fontId="4" fillId="0" borderId="46" xfId="16" applyNumberFormat="1" applyFont="1" applyFill="1" applyBorder="1" applyAlignment="1">
      <alignment horizontal="center" vertical="center" wrapText="1"/>
    </xf>
    <xf numFmtId="0" fontId="4" fillId="0" borderId="46" xfId="9" applyFont="1" applyFill="1" applyBorder="1" applyAlignment="1">
      <alignment horizontal="center" vertical="center"/>
    </xf>
    <xf numFmtId="168" fontId="5" fillId="0" borderId="46" xfId="9" applyNumberFormat="1" applyFont="1" applyFill="1" applyBorder="1" applyAlignment="1">
      <alignment horizontal="center" vertical="center"/>
    </xf>
    <xf numFmtId="168" fontId="4" fillId="0" borderId="46" xfId="9" applyNumberFormat="1" applyFont="1" applyFill="1" applyBorder="1" applyAlignment="1">
      <alignment horizontal="center" vertical="center"/>
    </xf>
    <xf numFmtId="49" fontId="4" fillId="0" borderId="58" xfId="14" applyNumberFormat="1" applyFont="1" applyFill="1" applyBorder="1" applyAlignment="1">
      <alignment horizontal="center" vertical="center" wrapText="1"/>
    </xf>
    <xf numFmtId="0" fontId="4" fillId="0" borderId="46" xfId="0" applyFont="1" applyFill="1" applyBorder="1" applyAlignment="1">
      <alignment horizontal="center" vertical="center" wrapText="1"/>
    </xf>
    <xf numFmtId="1" fontId="4" fillId="0" borderId="45" xfId="0" applyNumberFormat="1" applyFont="1" applyFill="1" applyBorder="1" applyAlignment="1">
      <alignment horizontal="center" vertical="center" wrapText="1"/>
    </xf>
    <xf numFmtId="49" fontId="4" fillId="0" borderId="47" xfId="5" applyNumberFormat="1" applyFont="1" applyFill="1" applyBorder="1" applyAlignment="1">
      <alignment horizontal="center" vertical="center" wrapText="1"/>
    </xf>
    <xf numFmtId="0" fontId="4" fillId="0" borderId="0" xfId="5" applyFont="1" applyFill="1" applyAlignment="1">
      <alignment horizontal="left" vertical="center" wrapText="1"/>
    </xf>
    <xf numFmtId="0" fontId="4" fillId="0" borderId="47" xfId="5" applyFont="1" applyFill="1" applyBorder="1" applyAlignment="1">
      <alignment horizontal="center" vertical="center" wrapText="1"/>
    </xf>
    <xf numFmtId="2" fontId="4" fillId="0" borderId="47" xfId="0" applyNumberFormat="1" applyFont="1" applyFill="1" applyBorder="1" applyAlignment="1">
      <alignment horizontal="center" vertical="center" wrapText="1"/>
    </xf>
    <xf numFmtId="49" fontId="4" fillId="0" borderId="60" xfId="0" applyNumberFormat="1" applyFont="1" applyFill="1" applyBorder="1" applyAlignment="1">
      <alignment horizontal="center" vertical="center" wrapText="1"/>
    </xf>
    <xf numFmtId="0" fontId="4" fillId="0" borderId="60" xfId="0" applyFont="1" applyFill="1" applyBorder="1" applyAlignment="1">
      <alignment horizontal="center" vertical="center" wrapText="1"/>
    </xf>
    <xf numFmtId="2" fontId="4" fillId="0" borderId="60" xfId="0" applyNumberFormat="1" applyFont="1" applyFill="1" applyBorder="1" applyAlignment="1">
      <alignment horizontal="center" vertical="center" wrapText="1"/>
    </xf>
    <xf numFmtId="0" fontId="4" fillId="0" borderId="60" xfId="0" applyFont="1" applyFill="1" applyBorder="1" applyAlignment="1">
      <alignment horizontal="left" vertical="center" wrapText="1"/>
    </xf>
    <xf numFmtId="0" fontId="4" fillId="0" borderId="55" xfId="0" applyFont="1" applyFill="1" applyBorder="1" applyAlignment="1">
      <alignment horizontal="center" vertical="center" wrapText="1"/>
    </xf>
    <xf numFmtId="2" fontId="4" fillId="0" borderId="61"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1" xfId="0" applyFont="1" applyFill="1" applyBorder="1" applyAlignment="1">
      <alignment horizontal="left" vertical="center" wrapText="1"/>
    </xf>
    <xf numFmtId="0" fontId="4" fillId="0" borderId="55" xfId="0" applyFont="1" applyFill="1" applyBorder="1" applyAlignment="1">
      <alignment horizontal="center" vertical="center"/>
    </xf>
    <xf numFmtId="168" fontId="4" fillId="0" borderId="61" xfId="0" applyNumberFormat="1" applyFont="1" applyFill="1" applyBorder="1" applyAlignment="1">
      <alignment horizontal="center" vertical="center"/>
    </xf>
    <xf numFmtId="49" fontId="4" fillId="0" borderId="61" xfId="0" applyNumberFormat="1" applyFont="1" applyFill="1" applyBorder="1" applyAlignment="1">
      <alignment horizontal="center" vertical="center" wrapText="1"/>
    </xf>
    <xf numFmtId="168" fontId="4" fillId="0" borderId="61" xfId="0" applyNumberFormat="1" applyFont="1" applyFill="1" applyBorder="1" applyAlignment="1">
      <alignment horizontal="center" vertical="center" wrapText="1"/>
    </xf>
    <xf numFmtId="168" fontId="4" fillId="0" borderId="60" xfId="0" applyNumberFormat="1" applyFont="1" applyFill="1" applyBorder="1" applyAlignment="1">
      <alignment horizontal="center" vertical="center" wrapText="1"/>
    </xf>
    <xf numFmtId="0" fontId="4" fillId="0" borderId="62" xfId="0" applyFont="1" applyFill="1" applyBorder="1" applyAlignment="1">
      <alignment horizontal="left" vertical="center" wrapText="1"/>
    </xf>
    <xf numFmtId="0" fontId="4" fillId="0" borderId="61" xfId="0" applyFont="1" applyFill="1" applyBorder="1" applyAlignment="1">
      <alignment horizontal="center" vertical="center"/>
    </xf>
    <xf numFmtId="49" fontId="4" fillId="0" borderId="42" xfId="14" applyNumberFormat="1" applyFont="1" applyFill="1" applyBorder="1" applyAlignment="1">
      <alignment horizontal="center" vertical="center" wrapText="1"/>
    </xf>
    <xf numFmtId="0" fontId="4" fillId="0" borderId="46" xfId="0" applyFont="1" applyFill="1" applyBorder="1" applyAlignment="1">
      <alignment vertical="center" wrapText="1"/>
    </xf>
    <xf numFmtId="2" fontId="5" fillId="0" borderId="46" xfId="0" applyNumberFormat="1" applyFont="1" applyFill="1" applyBorder="1" applyAlignment="1">
      <alignment horizontal="center" vertical="center" wrapText="1"/>
    </xf>
    <xf numFmtId="0" fontId="4" fillId="0" borderId="0" xfId="0" applyFont="1" applyFill="1" applyAlignment="1"/>
    <xf numFmtId="2" fontId="4" fillId="0" borderId="46" xfId="0" applyNumberFormat="1" applyFont="1" applyFill="1" applyBorder="1" applyAlignment="1">
      <alignment horizontal="center" vertical="center" wrapText="1"/>
    </xf>
    <xf numFmtId="1" fontId="4" fillId="0" borderId="61" xfId="0" applyNumberFormat="1" applyFont="1" applyFill="1" applyBorder="1" applyAlignment="1">
      <alignment horizontal="center" vertical="center" wrapText="1"/>
    </xf>
    <xf numFmtId="49" fontId="4" fillId="0" borderId="47" xfId="14" applyNumberFormat="1" applyFont="1" applyFill="1" applyBorder="1" applyAlignment="1">
      <alignment horizontal="center" vertical="center" wrapText="1"/>
    </xf>
    <xf numFmtId="0" fontId="4" fillId="0" borderId="46" xfId="14" applyFont="1" applyFill="1" applyBorder="1" applyAlignment="1">
      <alignment horizontal="left" vertical="center" wrapText="1"/>
    </xf>
    <xf numFmtId="0" fontId="4" fillId="0" borderId="46" xfId="14" applyFont="1" applyFill="1" applyBorder="1" applyAlignment="1">
      <alignment horizontal="center" vertical="center" wrapText="1"/>
    </xf>
    <xf numFmtId="1" fontId="4" fillId="0" borderId="46" xfId="9" applyNumberFormat="1" applyFont="1" applyFill="1" applyBorder="1" applyAlignment="1">
      <alignment horizontal="center" vertical="center" wrapText="1"/>
    </xf>
    <xf numFmtId="2" fontId="4" fillId="0" borderId="46" xfId="9" applyNumberFormat="1" applyFont="1" applyFill="1" applyBorder="1" applyAlignment="1">
      <alignment horizontal="center" vertical="center" wrapText="1"/>
    </xf>
    <xf numFmtId="164" fontId="5" fillId="0" borderId="10" xfId="1" applyNumberFormat="1" applyFont="1" applyFill="1" applyBorder="1" applyAlignment="1">
      <alignment horizontal="center" vertical="center"/>
    </xf>
    <xf numFmtId="164" fontId="5" fillId="0" borderId="33" xfId="1" applyNumberFormat="1" applyFont="1" applyFill="1" applyBorder="1" applyAlignment="1">
      <alignment horizontal="center" vertical="center"/>
    </xf>
    <xf numFmtId="164" fontId="5" fillId="0" borderId="12" xfId="1" applyNumberFormat="1" applyFont="1" applyFill="1" applyBorder="1" applyAlignment="1">
      <alignment horizontal="center" vertical="center"/>
    </xf>
    <xf numFmtId="9" fontId="4" fillId="0" borderId="32" xfId="0" applyNumberFormat="1" applyFont="1" applyFill="1" applyBorder="1" applyAlignment="1"/>
    <xf numFmtId="9" fontId="4" fillId="0" borderId="0" xfId="0" applyNumberFormat="1" applyFont="1" applyFill="1" applyAlignment="1"/>
    <xf numFmtId="0" fontId="4" fillId="0" borderId="0" xfId="0" applyFont="1" applyFill="1" applyAlignment="1">
      <alignment horizontal="center" vertical="center"/>
    </xf>
    <xf numFmtId="0" fontId="4" fillId="0" borderId="0" xfId="0" applyFont="1" applyFill="1" applyAlignment="1">
      <alignment horizontal="center" vertical="center" wrapText="1"/>
    </xf>
    <xf numFmtId="14" fontId="4" fillId="0" borderId="0" xfId="0" applyNumberFormat="1" applyFont="1" applyFill="1" applyAlignment="1">
      <alignment horizontal="right"/>
    </xf>
    <xf numFmtId="0" fontId="4" fillId="0" borderId="59" xfId="0" applyFont="1" applyFill="1" applyBorder="1" applyAlignment="1">
      <alignment horizontal="center" vertical="center" wrapText="1"/>
    </xf>
    <xf numFmtId="49" fontId="4" fillId="0" borderId="59" xfId="14" applyNumberFormat="1" applyFont="1" applyFill="1" applyBorder="1" applyAlignment="1">
      <alignment horizontal="center" vertical="center" wrapText="1"/>
    </xf>
    <xf numFmtId="0" fontId="4" fillId="0" borderId="59" xfId="14" applyFont="1" applyFill="1" applyBorder="1" applyAlignment="1">
      <alignment horizontal="center" vertical="center" wrapText="1"/>
    </xf>
    <xf numFmtId="168" fontId="4" fillId="0" borderId="59" xfId="14" applyNumberFormat="1" applyFont="1" applyFill="1" applyBorder="1" applyAlignment="1">
      <alignment horizontal="center" vertical="center" wrapText="1"/>
    </xf>
    <xf numFmtId="2" fontId="4" fillId="0" borderId="59" xfId="14" applyNumberFormat="1" applyFont="1" applyFill="1" applyBorder="1" applyAlignment="1">
      <alignment horizontal="center" vertical="center" wrapText="1"/>
    </xf>
    <xf numFmtId="2" fontId="4" fillId="0" borderId="59" xfId="14" applyNumberFormat="1" applyFont="1" applyFill="1" applyBorder="1" applyAlignment="1">
      <alignment vertical="center" wrapText="1"/>
    </xf>
    <xf numFmtId="0" fontId="4" fillId="0" borderId="59" xfId="14" applyFont="1" applyFill="1" applyBorder="1" applyAlignment="1">
      <alignment vertical="center" wrapText="1"/>
    </xf>
    <xf numFmtId="168" fontId="4" fillId="0" borderId="59" xfId="14" applyNumberFormat="1" applyFont="1" applyFill="1" applyBorder="1" applyAlignment="1">
      <alignment horizontal="center" vertical="center"/>
    </xf>
    <xf numFmtId="49" fontId="4" fillId="0" borderId="60" xfId="14" applyNumberFormat="1" applyFont="1" applyFill="1" applyBorder="1" applyAlignment="1">
      <alignment horizontal="center" vertical="center" wrapText="1"/>
    </xf>
    <xf numFmtId="0" fontId="4" fillId="0" borderId="59" xfId="14" applyFont="1" applyFill="1" applyBorder="1" applyAlignment="1">
      <alignment horizontal="center" vertical="center"/>
    </xf>
    <xf numFmtId="0" fontId="4" fillId="0" borderId="60" xfId="14" applyFont="1" applyFill="1" applyBorder="1" applyAlignment="1">
      <alignment vertical="center" wrapText="1"/>
    </xf>
    <xf numFmtId="0" fontId="4" fillId="0" borderId="60" xfId="14" applyFont="1" applyFill="1" applyBorder="1" applyAlignment="1">
      <alignment horizontal="center" vertical="center" wrapText="1"/>
    </xf>
    <xf numFmtId="0" fontId="4" fillId="0" borderId="60" xfId="16" applyFont="1" applyFill="1" applyBorder="1" applyAlignment="1">
      <alignment horizontal="center" vertical="center" wrapText="1"/>
    </xf>
    <xf numFmtId="164" fontId="5" fillId="0" borderId="44" xfId="1" applyNumberFormat="1" applyFont="1" applyFill="1" applyBorder="1" applyAlignment="1">
      <alignment horizontal="center" vertical="center"/>
    </xf>
    <xf numFmtId="164" fontId="5" fillId="0" borderId="52" xfId="1" applyNumberFormat="1" applyFont="1" applyFill="1" applyBorder="1" applyAlignment="1">
      <alignment horizontal="center" vertical="center"/>
    </xf>
    <xf numFmtId="164" fontId="5" fillId="0" borderId="53" xfId="1" applyNumberFormat="1" applyFont="1" applyFill="1" applyBorder="1" applyAlignment="1">
      <alignment horizontal="center" vertical="center"/>
    </xf>
    <xf numFmtId="0" fontId="21" fillId="0" borderId="59" xfId="14" applyFont="1" applyFill="1" applyBorder="1" applyAlignment="1">
      <alignment horizontal="center" vertical="center"/>
    </xf>
    <xf numFmtId="0" fontId="22" fillId="0" borderId="59" xfId="14" applyFont="1" applyFill="1" applyBorder="1" applyAlignment="1">
      <alignment horizontal="left" vertical="center" wrapText="1"/>
    </xf>
    <xf numFmtId="0" fontId="5" fillId="0" borderId="59" xfId="16" applyFont="1" applyFill="1" applyBorder="1" applyAlignment="1">
      <alignment vertical="center" wrapText="1"/>
    </xf>
    <xf numFmtId="0" fontId="4" fillId="0" borderId="46" xfId="14" applyFont="1" applyFill="1" applyBorder="1" applyAlignment="1">
      <alignment vertical="center" wrapText="1"/>
    </xf>
    <xf numFmtId="2" fontId="4" fillId="0" borderId="46" xfId="14" applyNumberFormat="1" applyFont="1" applyFill="1" applyBorder="1" applyAlignment="1">
      <alignment horizontal="center" vertical="center" wrapText="1"/>
    </xf>
    <xf numFmtId="0" fontId="4" fillId="0" borderId="46" xfId="14" applyFont="1" applyFill="1" applyBorder="1" applyAlignment="1">
      <alignment horizontal="center" vertical="center"/>
    </xf>
    <xf numFmtId="168" fontId="5" fillId="0" borderId="46" xfId="14" applyNumberFormat="1" applyFont="1" applyFill="1" applyBorder="1" applyAlignment="1">
      <alignment horizontal="center" vertical="center"/>
    </xf>
    <xf numFmtId="168" fontId="4" fillId="0" borderId="46" xfId="0" applyNumberFormat="1" applyFont="1" applyFill="1" applyBorder="1" applyAlignment="1">
      <alignment horizontal="center" vertical="center"/>
    </xf>
    <xf numFmtId="43" fontId="4" fillId="0" borderId="0" xfId="0" applyNumberFormat="1" applyFont="1" applyFill="1" applyAlignment="1">
      <alignment wrapText="1"/>
    </xf>
    <xf numFmtId="0" fontId="4" fillId="0" borderId="45" xfId="10" applyFont="1" applyFill="1" applyBorder="1" applyAlignment="1">
      <alignment vertical="center" wrapText="1"/>
    </xf>
    <xf numFmtId="0" fontId="4" fillId="0" borderId="57" xfId="10" applyFont="1" applyFill="1" applyBorder="1" applyAlignment="1">
      <alignment horizontal="center" vertical="center" wrapText="1"/>
    </xf>
    <xf numFmtId="1" fontId="4" fillId="0" borderId="45" xfId="10" applyNumberFormat="1" applyFont="1" applyFill="1" applyBorder="1" applyAlignment="1">
      <alignment horizontal="center" vertical="center" wrapText="1"/>
    </xf>
    <xf numFmtId="0" fontId="4" fillId="0" borderId="42" xfId="10" applyFont="1" applyFill="1" applyBorder="1" applyAlignment="1">
      <alignment vertical="center" wrapText="1"/>
    </xf>
    <xf numFmtId="0" fontId="4" fillId="0" borderId="35" xfId="10" applyFont="1" applyFill="1" applyBorder="1" applyAlignment="1">
      <alignment horizontal="center" vertical="center" wrapText="1"/>
    </xf>
    <xf numFmtId="1" fontId="4" fillId="0" borderId="42" xfId="10" applyNumberFormat="1" applyFont="1" applyFill="1" applyBorder="1" applyAlignment="1">
      <alignment horizontal="center" vertical="center" wrapText="1"/>
    </xf>
    <xf numFmtId="0" fontId="4" fillId="0" borderId="46" xfId="10" applyFont="1" applyFill="1" applyBorder="1" applyAlignment="1">
      <alignment vertical="center" wrapText="1"/>
    </xf>
    <xf numFmtId="0" fontId="4" fillId="0" borderId="43" xfId="16" applyFont="1" applyFill="1" applyBorder="1" applyAlignment="1">
      <alignment horizontal="right" vertical="center" wrapText="1"/>
    </xf>
    <xf numFmtId="0" fontId="4" fillId="0" borderId="46" xfId="16" applyFont="1" applyFill="1" applyBorder="1" applyAlignment="1">
      <alignment horizontal="center" vertical="center" wrapText="1"/>
    </xf>
    <xf numFmtId="2" fontId="4" fillId="0" borderId="46" xfId="10" applyNumberFormat="1" applyFont="1" applyFill="1" applyBorder="1" applyAlignment="1">
      <alignment horizontal="center" vertical="center"/>
    </xf>
    <xf numFmtId="2" fontId="4" fillId="0" borderId="57" xfId="10" applyNumberFormat="1" applyFont="1" applyFill="1" applyBorder="1" applyAlignment="1">
      <alignment horizontal="left" vertical="center" wrapText="1"/>
    </xf>
    <xf numFmtId="2" fontId="4" fillId="0" borderId="45" xfId="10" applyNumberFormat="1" applyFont="1" applyFill="1" applyBorder="1" applyAlignment="1">
      <alignment horizontal="center" vertical="center" wrapText="1"/>
    </xf>
    <xf numFmtId="0" fontId="4" fillId="0" borderId="45" xfId="14" applyFont="1" applyFill="1" applyBorder="1" applyAlignment="1">
      <alignment horizontal="center" vertical="center" wrapText="1"/>
    </xf>
    <xf numFmtId="2" fontId="4" fillId="0" borderId="46" xfId="10" applyNumberFormat="1" applyFont="1" applyFill="1" applyBorder="1" applyAlignment="1">
      <alignment horizontal="center" vertical="center" wrapText="1"/>
    </xf>
    <xf numFmtId="2" fontId="4" fillId="0" borderId="46" xfId="14" applyNumberFormat="1" applyFont="1" applyFill="1" applyBorder="1" applyAlignment="1">
      <alignment horizontal="left" vertical="center" wrapText="1"/>
    </xf>
    <xf numFmtId="0" fontId="4" fillId="0" borderId="42" xfId="14" applyFont="1" applyFill="1" applyBorder="1" applyAlignment="1">
      <alignment horizontal="left" vertical="center" wrapText="1"/>
    </xf>
    <xf numFmtId="0" fontId="4" fillId="0" borderId="42" xfId="14" applyFont="1" applyFill="1" applyBorder="1" applyAlignment="1">
      <alignment horizontal="center" vertical="center" wrapText="1"/>
    </xf>
    <xf numFmtId="2" fontId="4" fillId="0" borderId="42" xfId="10" applyNumberFormat="1" applyFont="1" applyFill="1" applyBorder="1" applyAlignment="1">
      <alignment horizontal="center" vertical="center" wrapText="1"/>
    </xf>
    <xf numFmtId="0" fontId="4" fillId="0" borderId="43" xfId="14" applyFont="1" applyFill="1" applyBorder="1" applyAlignment="1">
      <alignment horizontal="center" vertical="center" wrapText="1"/>
    </xf>
    <xf numFmtId="0" fontId="4" fillId="0" borderId="47" xfId="14" applyFont="1" applyFill="1" applyBorder="1" applyAlignment="1">
      <alignment horizontal="left" vertical="center" wrapText="1"/>
    </xf>
    <xf numFmtId="0" fontId="4" fillId="0" borderId="47" xfId="14" applyFont="1" applyFill="1" applyBorder="1" applyAlignment="1">
      <alignment horizontal="center" vertical="center" wrapText="1"/>
    </xf>
    <xf numFmtId="2" fontId="4" fillId="0" borderId="47" xfId="10" applyNumberFormat="1" applyFont="1" applyFill="1" applyBorder="1" applyAlignment="1">
      <alignment horizontal="center" vertical="center" wrapText="1"/>
    </xf>
    <xf numFmtId="2" fontId="4" fillId="0" borderId="47" xfId="14" applyNumberFormat="1" applyFont="1" applyFill="1" applyBorder="1" applyAlignment="1">
      <alignment horizontal="center" vertical="center" wrapText="1"/>
    </xf>
    <xf numFmtId="0" fontId="4" fillId="0" borderId="46" xfId="16" applyFont="1" applyFill="1" applyBorder="1" applyAlignment="1">
      <alignment vertical="center" wrapText="1"/>
    </xf>
    <xf numFmtId="0" fontId="4" fillId="0" borderId="45" xfId="16" applyFont="1" applyFill="1" applyBorder="1" applyAlignment="1">
      <alignment horizontal="center" vertical="center" wrapText="1"/>
    </xf>
    <xf numFmtId="2" fontId="4" fillId="0" borderId="45" xfId="10" applyNumberFormat="1" applyFont="1" applyFill="1" applyBorder="1" applyAlignment="1">
      <alignment horizontal="center" vertical="center"/>
    </xf>
    <xf numFmtId="49" fontId="4" fillId="0" borderId="43" xfId="14" applyNumberFormat="1" applyFont="1" applyFill="1" applyBorder="1" applyAlignment="1">
      <alignment horizontal="center" vertical="center" wrapText="1"/>
    </xf>
    <xf numFmtId="2" fontId="4" fillId="0" borderId="47" xfId="10" applyNumberFormat="1" applyFont="1" applyFill="1" applyBorder="1" applyAlignment="1">
      <alignment horizontal="left" vertical="center" wrapText="1"/>
    </xf>
    <xf numFmtId="0" fontId="4" fillId="0" borderId="47" xfId="10" applyFont="1" applyFill="1" applyBorder="1" applyAlignment="1">
      <alignment horizontal="center" vertical="center" wrapText="1"/>
    </xf>
    <xf numFmtId="0" fontId="4" fillId="0" borderId="43" xfId="10" applyFont="1" applyFill="1" applyBorder="1" applyAlignment="1">
      <alignment horizontal="center" vertical="center" wrapText="1"/>
    </xf>
    <xf numFmtId="2" fontId="4" fillId="0" borderId="47" xfId="14" applyNumberFormat="1" applyFont="1" applyFill="1" applyBorder="1" applyAlignment="1">
      <alignment horizontal="left" vertical="center" wrapText="1"/>
    </xf>
    <xf numFmtId="0" fontId="4" fillId="0" borderId="47" xfId="16" applyFont="1" applyFill="1" applyBorder="1" applyAlignment="1">
      <alignment vertical="center" wrapText="1"/>
    </xf>
    <xf numFmtId="0" fontId="4" fillId="0" borderId="47" xfId="16" applyFont="1" applyFill="1" applyBorder="1" applyAlignment="1">
      <alignment horizontal="center" vertical="center" wrapText="1"/>
    </xf>
    <xf numFmtId="168" fontId="4" fillId="0" borderId="47" xfId="16" applyNumberFormat="1" applyFont="1" applyFill="1" applyBorder="1" applyAlignment="1">
      <alignment horizontal="center" vertical="center" wrapText="1"/>
    </xf>
    <xf numFmtId="0" fontId="4" fillId="0" borderId="47" xfId="0" applyFont="1" applyFill="1" applyBorder="1" applyAlignment="1">
      <alignment vertical="center" wrapText="1"/>
    </xf>
    <xf numFmtId="0" fontId="4" fillId="0" borderId="47" xfId="0" applyFont="1" applyFill="1" applyBorder="1" applyAlignment="1">
      <alignment horizontal="center" vertical="center" wrapText="1"/>
    </xf>
    <xf numFmtId="168" fontId="4" fillId="0" borderId="47" xfId="0" applyNumberFormat="1" applyFont="1" applyFill="1" applyBorder="1" applyAlignment="1">
      <alignment horizontal="center" vertical="center" wrapText="1"/>
    </xf>
    <xf numFmtId="0" fontId="4" fillId="0" borderId="45" xfId="16" applyFont="1" applyFill="1" applyBorder="1" applyAlignment="1">
      <alignment vertical="center" wrapText="1"/>
    </xf>
    <xf numFmtId="168" fontId="4" fillId="0" borderId="45" xfId="16" applyNumberFormat="1" applyFont="1" applyFill="1" applyBorder="1" applyAlignment="1">
      <alignment horizontal="center" vertical="center" wrapText="1"/>
    </xf>
    <xf numFmtId="0" fontId="5" fillId="0" borderId="46" xfId="10" applyFont="1" applyFill="1" applyBorder="1" applyAlignment="1">
      <alignment horizontal="center" vertical="center" wrapText="1"/>
    </xf>
    <xf numFmtId="2" fontId="4" fillId="0" borderId="46" xfId="10" applyNumberFormat="1" applyFont="1" applyFill="1" applyBorder="1" applyAlignment="1">
      <alignment vertical="center" wrapText="1"/>
    </xf>
    <xf numFmtId="165" fontId="4" fillId="0" borderId="0" xfId="0" applyNumberFormat="1" applyFont="1" applyFill="1" applyAlignment="1">
      <alignment horizontal="center" vertical="center"/>
    </xf>
    <xf numFmtId="0" fontId="4" fillId="0" borderId="0" xfId="0" applyFont="1" applyFill="1" applyAlignment="1">
      <alignment horizontal="center"/>
    </xf>
    <xf numFmtId="0" fontId="4" fillId="0" borderId="8" xfId="0" applyFont="1" applyFill="1" applyBorder="1" applyAlignment="1">
      <alignment vertical="center" textRotation="90" wrapText="1"/>
    </xf>
    <xf numFmtId="0" fontId="4" fillId="0" borderId="27" xfId="0" applyFont="1" applyFill="1" applyBorder="1" applyAlignment="1">
      <alignment vertical="center" textRotation="90" wrapText="1"/>
    </xf>
    <xf numFmtId="0" fontId="4" fillId="0" borderId="28" xfId="0" applyFont="1" applyFill="1" applyBorder="1" applyAlignment="1">
      <alignment vertical="center" textRotation="90" wrapText="1"/>
    </xf>
    <xf numFmtId="0" fontId="4" fillId="0" borderId="46" xfId="0" applyFont="1" applyFill="1" applyBorder="1" applyAlignment="1">
      <alignment horizontal="left" vertical="center"/>
    </xf>
    <xf numFmtId="0" fontId="4" fillId="0" borderId="46" xfId="16" applyFont="1" applyFill="1" applyBorder="1" applyAlignment="1">
      <alignment horizontal="left" vertical="center" wrapText="1"/>
    </xf>
    <xf numFmtId="168" fontId="4" fillId="0" borderId="46" xfId="0" applyNumberFormat="1" applyFont="1" applyFill="1" applyBorder="1" applyAlignment="1">
      <alignment horizontal="center" vertical="center" wrapText="1"/>
    </xf>
    <xf numFmtId="0" fontId="5" fillId="0" borderId="46" xfId="9" applyFont="1" applyFill="1" applyBorder="1" applyAlignment="1">
      <alignment horizontal="left" vertical="center" wrapText="1"/>
    </xf>
    <xf numFmtId="0" fontId="5" fillId="0" borderId="43" xfId="0" applyFont="1" applyFill="1" applyBorder="1" applyAlignment="1">
      <alignment vertical="center" wrapText="1"/>
    </xf>
    <xf numFmtId="0" fontId="5" fillId="0" borderId="48" xfId="0" applyFont="1" applyFill="1" applyBorder="1" applyAlignment="1">
      <alignment vertical="center" wrapText="1"/>
    </xf>
    <xf numFmtId="0" fontId="5" fillId="0" borderId="49" xfId="0" applyFont="1" applyFill="1" applyBorder="1" applyAlignment="1">
      <alignment vertical="center" wrapText="1"/>
    </xf>
    <xf numFmtId="164" fontId="4" fillId="0" borderId="10" xfId="1" applyNumberFormat="1" applyFont="1" applyFill="1" applyBorder="1" applyAlignment="1">
      <alignment vertical="center"/>
    </xf>
    <xf numFmtId="164" fontId="4" fillId="0" borderId="33" xfId="1" applyNumberFormat="1" applyFont="1" applyFill="1" applyBorder="1" applyAlignment="1">
      <alignment vertical="center"/>
    </xf>
    <xf numFmtId="164" fontId="4" fillId="0" borderId="12" xfId="1" applyNumberFormat="1" applyFont="1" applyFill="1" applyBorder="1" applyAlignment="1">
      <alignment vertical="center"/>
    </xf>
    <xf numFmtId="0" fontId="5" fillId="0" borderId="0" xfId="0" applyFont="1" applyFill="1" applyAlignment="1">
      <alignment horizontal="center"/>
    </xf>
    <xf numFmtId="164" fontId="4" fillId="0" borderId="0" xfId="0" applyNumberFormat="1" applyFont="1" applyFill="1" applyAlignment="1">
      <alignment horizontal="center" wrapText="1"/>
    </xf>
    <xf numFmtId="0" fontId="4" fillId="0" borderId="0" xfId="0" applyFont="1" applyFill="1" applyAlignment="1">
      <alignment horizont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165" fontId="4" fillId="0" borderId="4" xfId="0" applyNumberFormat="1" applyFont="1" applyFill="1" applyBorder="1" applyAlignment="1">
      <alignment horizontal="center" vertical="center" wrapText="1"/>
    </xf>
    <xf numFmtId="169" fontId="4" fillId="0" borderId="15" xfId="0" applyNumberFormat="1" applyFont="1" applyFill="1" applyBorder="1" applyAlignment="1">
      <alignment horizontal="center" vertical="center" wrapText="1"/>
    </xf>
    <xf numFmtId="164" fontId="4" fillId="0" borderId="23" xfId="0" applyNumberFormat="1" applyFont="1" applyFill="1" applyBorder="1" applyAlignment="1">
      <alignment horizontal="center" vertical="center" wrapText="1"/>
    </xf>
    <xf numFmtId="164" fontId="4" fillId="0" borderId="4"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xf>
    <xf numFmtId="164" fontId="4" fillId="0" borderId="22" xfId="0" applyNumberFormat="1" applyFont="1" applyFill="1" applyBorder="1" applyAlignment="1">
      <alignment horizontal="center" vertical="center" wrapText="1"/>
    </xf>
    <xf numFmtId="165" fontId="4" fillId="0" borderId="6" xfId="0" applyNumberFormat="1" applyFont="1" applyFill="1" applyBorder="1" applyAlignment="1">
      <alignment horizontal="center" vertical="center" wrapText="1"/>
    </xf>
    <xf numFmtId="169" fontId="4" fillId="0" borderId="34" xfId="0" applyNumberFormat="1" applyFont="1" applyFill="1" applyBorder="1" applyAlignment="1">
      <alignment horizontal="center" vertical="center" wrapText="1"/>
    </xf>
    <xf numFmtId="164" fontId="4" fillId="0" borderId="26" xfId="0" applyNumberFormat="1" applyFont="1" applyFill="1" applyBorder="1" applyAlignment="1">
      <alignment horizontal="center"/>
    </xf>
    <xf numFmtId="164" fontId="4" fillId="0" borderId="6" xfId="0" applyNumberFormat="1" applyFont="1" applyFill="1" applyBorder="1" applyAlignment="1">
      <alignment horizontal="center" vertical="center"/>
    </xf>
    <xf numFmtId="164" fontId="4" fillId="0" borderId="24" xfId="0" applyNumberFormat="1" applyFont="1" applyFill="1" applyBorder="1" applyAlignment="1">
      <alignment horizontal="center" vertical="center"/>
    </xf>
    <xf numFmtId="164" fontId="4" fillId="0" borderId="25" xfId="0" applyNumberFormat="1" applyFont="1" applyFill="1" applyBorder="1" applyAlignment="1">
      <alignment horizontal="center" vertical="center" wrapText="1"/>
    </xf>
    <xf numFmtId="164" fontId="4" fillId="0" borderId="54" xfId="0" applyNumberFormat="1" applyFont="1" applyFill="1" applyBorder="1" applyAlignment="1">
      <alignment horizontal="center" vertical="center"/>
    </xf>
    <xf numFmtId="164" fontId="4" fillId="0" borderId="26" xfId="0" applyNumberFormat="1" applyFont="1" applyFill="1" applyBorder="1" applyAlignment="1">
      <alignment horizontal="center" vertical="center" wrapText="1"/>
    </xf>
    <xf numFmtId="164" fontId="5" fillId="0" borderId="11" xfId="0" applyNumberFormat="1" applyFont="1" applyFill="1" applyBorder="1" applyAlignment="1">
      <alignment horizontal="center"/>
    </xf>
    <xf numFmtId="166" fontId="5" fillId="0" borderId="5" xfId="0" applyNumberFormat="1" applyFont="1" applyFill="1" applyBorder="1" applyAlignment="1">
      <alignment horizontal="center"/>
    </xf>
    <xf numFmtId="164" fontId="4" fillId="0" borderId="5" xfId="0" applyNumberFormat="1" applyFont="1" applyFill="1" applyBorder="1" applyAlignment="1">
      <alignment horizontal="center"/>
    </xf>
    <xf numFmtId="164" fontId="4" fillId="0" borderId="0" xfId="0" applyNumberFormat="1" applyFont="1" applyFill="1"/>
    <xf numFmtId="166" fontId="4" fillId="0" borderId="7" xfId="0" applyNumberFormat="1" applyFont="1" applyFill="1" applyBorder="1" applyAlignment="1">
      <alignment horizontal="center"/>
    </xf>
    <xf numFmtId="164" fontId="4" fillId="0" borderId="30" xfId="0" applyNumberFormat="1" applyFont="1" applyFill="1" applyBorder="1" applyAlignment="1">
      <alignment horizontal="center"/>
    </xf>
    <xf numFmtId="166" fontId="5" fillId="0" borderId="7" xfId="0" applyNumberFormat="1" applyFont="1" applyFill="1" applyBorder="1" applyAlignment="1">
      <alignment horizontal="center"/>
    </xf>
    <xf numFmtId="0" fontId="5" fillId="0" borderId="9" xfId="0" applyFont="1" applyFill="1" applyBorder="1" applyAlignment="1">
      <alignment horizontal="center"/>
    </xf>
    <xf numFmtId="164" fontId="4" fillId="0" borderId="31" xfId="0" applyNumberFormat="1" applyFont="1" applyFill="1" applyBorder="1" applyAlignment="1">
      <alignment horizontal="center"/>
    </xf>
    <xf numFmtId="0" fontId="5" fillId="0" borderId="1" xfId="0" applyFont="1" applyFill="1" applyBorder="1" applyAlignment="1">
      <alignment horizontal="center"/>
    </xf>
    <xf numFmtId="0" fontId="5" fillId="0" borderId="2" xfId="0" applyFont="1" applyFill="1" applyBorder="1" applyAlignment="1">
      <alignment wrapText="1"/>
    </xf>
    <xf numFmtId="0" fontId="5" fillId="0" borderId="3" xfId="0" applyFont="1" applyFill="1" applyBorder="1" applyAlignment="1">
      <alignment wrapText="1"/>
    </xf>
    <xf numFmtId="0" fontId="4" fillId="0" borderId="3" xfId="0" applyFont="1" applyFill="1" applyBorder="1" applyAlignment="1">
      <alignment wrapText="1"/>
    </xf>
    <xf numFmtId="0" fontId="5" fillId="0" borderId="4" xfId="0" applyFont="1" applyFill="1" applyBorder="1" applyAlignment="1">
      <alignment horizontal="center"/>
    </xf>
    <xf numFmtId="0" fontId="5" fillId="0" borderId="36" xfId="0" applyFont="1" applyFill="1" applyBorder="1" applyAlignment="1">
      <alignment horizontal="center"/>
    </xf>
    <xf numFmtId="0" fontId="5" fillId="0" borderId="5" xfId="0" applyFont="1" applyFill="1" applyBorder="1" applyAlignment="1">
      <alignment horizontal="center"/>
    </xf>
    <xf numFmtId="1" fontId="4" fillId="0" borderId="38" xfId="0" applyNumberFormat="1" applyFont="1" applyFill="1" applyBorder="1" applyAlignment="1">
      <alignment horizontal="center" vertical="center" wrapText="1"/>
    </xf>
    <xf numFmtId="4" fontId="4" fillId="0" borderId="38" xfId="0" applyNumberFormat="1" applyFont="1" applyFill="1" applyBorder="1" applyAlignment="1">
      <alignment horizontal="center" vertical="center"/>
    </xf>
    <xf numFmtId="0" fontId="4" fillId="0" borderId="44" xfId="0" applyFont="1" applyFill="1" applyBorder="1"/>
    <xf numFmtId="0" fontId="5" fillId="0" borderId="37" xfId="0" applyFont="1" applyFill="1" applyBorder="1" applyAlignment="1">
      <alignment horizontal="right"/>
    </xf>
    <xf numFmtId="2" fontId="5" fillId="0" borderId="31" xfId="0" applyNumberFormat="1" applyFont="1" applyFill="1" applyBorder="1" applyAlignment="1">
      <alignment horizontal="center" vertical="center"/>
    </xf>
    <xf numFmtId="0" fontId="5" fillId="0" borderId="0" xfId="0" applyFont="1" applyFill="1" applyAlignment="1">
      <alignment horizontal="right"/>
    </xf>
    <xf numFmtId="2" fontId="5" fillId="0" borderId="0" xfId="0" applyNumberFormat="1" applyFont="1" applyFill="1" applyAlignment="1">
      <alignment horizontal="center" vertical="center"/>
    </xf>
    <xf numFmtId="2" fontId="4" fillId="0" borderId="12" xfId="0" applyNumberFormat="1" applyFont="1" applyFill="1" applyBorder="1" applyAlignment="1">
      <alignment horizontal="center" vertical="center"/>
    </xf>
    <xf numFmtId="0" fontId="33" fillId="0" borderId="0" xfId="0" applyFont="1" applyFill="1"/>
    <xf numFmtId="0" fontId="5" fillId="0" borderId="60" xfId="0" applyFont="1" applyFill="1" applyBorder="1" applyAlignment="1">
      <alignment horizontal="left" vertical="center" wrapText="1"/>
    </xf>
    <xf numFmtId="2" fontId="4" fillId="0" borderId="46" xfId="0" applyNumberFormat="1" applyFont="1" applyFill="1" applyBorder="1" applyAlignment="1">
      <alignment horizontal="center" vertical="center"/>
    </xf>
    <xf numFmtId="0" fontId="4" fillId="0" borderId="47" xfId="0" applyFont="1" applyFill="1" applyBorder="1" applyAlignment="1">
      <alignment horizontal="center" vertical="center"/>
    </xf>
    <xf numFmtId="0" fontId="33" fillId="0" borderId="0" xfId="0" applyFont="1" applyFill="1" applyAlignment="1"/>
    <xf numFmtId="172" fontId="4" fillId="0" borderId="0" xfId="0" applyNumberFormat="1" applyFont="1" applyFill="1" applyAlignment="1"/>
    <xf numFmtId="0" fontId="4" fillId="0" borderId="0" xfId="0" applyFont="1" applyFill="1" applyBorder="1" applyAlignment="1">
      <alignment horizontal="center"/>
    </xf>
    <xf numFmtId="0" fontId="4" fillId="0" borderId="0" xfId="0" applyFont="1" applyFill="1" applyBorder="1" applyAlignment="1">
      <alignment horizontal="right"/>
    </xf>
    <xf numFmtId="0" fontId="4" fillId="0" borderId="10" xfId="0" applyFont="1" applyFill="1" applyBorder="1" applyAlignment="1">
      <alignment horizontal="left"/>
    </xf>
    <xf numFmtId="0" fontId="4" fillId="0" borderId="1" xfId="0" applyFont="1" applyFill="1" applyBorder="1" applyAlignment="1">
      <alignment horizontal="center" wrapText="1"/>
    </xf>
    <xf numFmtId="0" fontId="4" fillId="0" borderId="13" xfId="0" applyFont="1" applyFill="1" applyBorder="1" applyAlignment="1">
      <alignment horizontal="center" wrapText="1"/>
    </xf>
    <xf numFmtId="0" fontId="5" fillId="0" borderId="7" xfId="0" applyFont="1" applyFill="1" applyBorder="1" applyAlignment="1">
      <alignment horizontal="right"/>
    </xf>
    <xf numFmtId="0" fontId="5" fillId="0" borderId="9" xfId="0" applyFont="1" applyFill="1" applyBorder="1" applyAlignment="1">
      <alignment horizontal="right"/>
    </xf>
    <xf numFmtId="172" fontId="4" fillId="0" borderId="1" xfId="0" applyNumberFormat="1" applyFont="1" applyFill="1" applyBorder="1" applyAlignment="1">
      <alignment horizontal="center" wrapText="1"/>
    </xf>
    <xf numFmtId="0" fontId="5" fillId="0" borderId="5" xfId="0" applyFont="1" applyFill="1" applyBorder="1" applyAlignment="1">
      <alignment horizontal="right"/>
    </xf>
    <xf numFmtId="0" fontId="4" fillId="0" borderId="7" xfId="0" applyFont="1" applyFill="1" applyBorder="1" applyAlignment="1">
      <alignment horizontal="right"/>
    </xf>
    <xf numFmtId="43" fontId="4" fillId="0" borderId="25" xfId="0" applyNumberFormat="1" applyFont="1" applyFill="1" applyBorder="1" applyAlignment="1">
      <alignment horizontal="left" vertical="top" wrapText="1"/>
    </xf>
    <xf numFmtId="43" fontId="4" fillId="0" borderId="55" xfId="0" applyNumberFormat="1" applyFont="1" applyFill="1" applyBorder="1" applyAlignment="1">
      <alignment horizontal="left" vertical="top" wrapText="1"/>
    </xf>
    <xf numFmtId="43" fontId="4" fillId="0" borderId="56" xfId="0" applyNumberFormat="1" applyFont="1" applyFill="1" applyBorder="1" applyAlignment="1">
      <alignment horizontal="left" vertical="top" wrapText="1"/>
    </xf>
    <xf numFmtId="0" fontId="4" fillId="0" borderId="18" xfId="0" applyFont="1" applyFill="1" applyBorder="1" applyAlignment="1">
      <alignment horizontal="center" vertical="center" wrapText="1"/>
    </xf>
    <xf numFmtId="0" fontId="4" fillId="0" borderId="16" xfId="0" applyFont="1" applyFill="1" applyBorder="1" applyAlignment="1">
      <alignment horizontal="center" vertical="center" wrapText="1"/>
    </xf>
    <xf numFmtId="43" fontId="4" fillId="0" borderId="22" xfId="0" applyNumberFormat="1" applyFont="1" applyFill="1" applyBorder="1" applyAlignment="1">
      <alignment horizontal="left" vertical="top" wrapText="1"/>
    </xf>
    <xf numFmtId="0" fontId="5" fillId="0" borderId="29" xfId="0" applyFont="1" applyFill="1" applyBorder="1" applyAlignment="1">
      <alignment horizontal="right"/>
    </xf>
    <xf numFmtId="164" fontId="4" fillId="0" borderId="2" xfId="0" applyNumberFormat="1" applyFont="1" applyFill="1" applyBorder="1" applyAlignment="1">
      <alignment horizontal="center"/>
    </xf>
    <xf numFmtId="0" fontId="4" fillId="0" borderId="14" xfId="0" applyFont="1" applyFill="1" applyBorder="1" applyAlignment="1">
      <alignment horizontal="center" vertical="center" textRotation="90"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5" fillId="0" borderId="0" xfId="0" applyFont="1" applyFill="1" applyBorder="1" applyAlignment="1">
      <alignment horizontal="right" wrapText="1"/>
    </xf>
    <xf numFmtId="43" fontId="5" fillId="0" borderId="3" xfId="0" applyNumberFormat="1" applyFont="1" applyFill="1" applyBorder="1" applyAlignment="1">
      <alignment horizontal="left"/>
    </xf>
    <xf numFmtId="0" fontId="5" fillId="0" borderId="0" xfId="0" applyFont="1" applyFill="1" applyBorder="1" applyAlignment="1">
      <alignment horizontal="right"/>
    </xf>
    <xf numFmtId="0" fontId="5" fillId="0" borderId="0" xfId="0" applyFont="1" applyFill="1" applyBorder="1" applyAlignment="1">
      <alignment horizontal="center"/>
    </xf>
    <xf numFmtId="0" fontId="4" fillId="0" borderId="13" xfId="0" applyFont="1" applyFill="1" applyBorder="1" applyAlignment="1">
      <alignment horizontal="center" vertical="top"/>
    </xf>
    <xf numFmtId="0" fontId="4" fillId="0" borderId="0" xfId="0" applyFont="1" applyFill="1" applyBorder="1" applyAlignment="1">
      <alignment horizontal="center" wrapText="1"/>
    </xf>
    <xf numFmtId="43" fontId="5" fillId="0" borderId="2" xfId="0" applyNumberFormat="1" applyFont="1" applyFill="1" applyBorder="1" applyAlignment="1">
      <alignment horizontal="left"/>
    </xf>
    <xf numFmtId="0" fontId="4" fillId="0" borderId="5" xfId="0" applyFont="1" applyFill="1" applyBorder="1" applyAlignment="1">
      <alignment horizontal="center" vertical="center"/>
    </xf>
    <xf numFmtId="0" fontId="5" fillId="0" borderId="31" xfId="1" applyFont="1" applyFill="1" applyBorder="1" applyAlignment="1">
      <alignment horizontal="right" wrapText="1"/>
    </xf>
    <xf numFmtId="0" fontId="5" fillId="0" borderId="29" xfId="1" applyFont="1" applyFill="1" applyBorder="1" applyAlignment="1">
      <alignment horizontal="right" wrapText="1"/>
    </xf>
    <xf numFmtId="0" fontId="4" fillId="0" borderId="10" xfId="0" applyFont="1" applyFill="1" applyBorder="1" applyAlignment="1">
      <alignment horizontal="center" vertical="center" textRotation="90" wrapText="1"/>
    </xf>
    <xf numFmtId="0" fontId="4" fillId="0" borderId="33" xfId="0" applyFont="1" applyFill="1" applyBorder="1" applyAlignment="1">
      <alignment horizontal="center" vertical="center" textRotation="90" wrapText="1"/>
    </xf>
    <xf numFmtId="0" fontId="4" fillId="0" borderId="33" xfId="0" applyFont="1" applyFill="1" applyBorder="1" applyAlignment="1">
      <alignment horizontal="center" vertical="center"/>
    </xf>
    <xf numFmtId="0" fontId="4" fillId="0" borderId="33" xfId="0" applyFont="1" applyFill="1" applyBorder="1" applyAlignment="1">
      <alignment horizontal="center" vertical="center" textRotation="90"/>
    </xf>
    <xf numFmtId="0" fontId="4" fillId="0" borderId="12" xfId="0" applyFont="1" applyFill="1" applyBorder="1" applyAlignment="1">
      <alignment horizontal="center" vertical="center" textRotation="90" wrapText="1"/>
    </xf>
    <xf numFmtId="43" fontId="4" fillId="0" borderId="2" xfId="0" applyNumberFormat="1" applyFont="1" applyFill="1" applyBorder="1" applyAlignment="1">
      <alignment horizontal="left" wrapText="1"/>
    </xf>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right" vertical="center"/>
    </xf>
    <xf numFmtId="164" fontId="4" fillId="0" borderId="0"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0" xfId="0" applyFont="1" applyFill="1" applyBorder="1" applyAlignment="1">
      <alignment vertical="center"/>
    </xf>
    <xf numFmtId="0" fontId="4" fillId="0" borderId="23" xfId="0" applyFont="1" applyFill="1" applyBorder="1" applyAlignment="1">
      <alignment vertical="center"/>
    </xf>
    <xf numFmtId="0" fontId="4" fillId="0" borderId="51" xfId="0" applyFont="1" applyFill="1" applyBorder="1" applyAlignment="1">
      <alignment vertical="center"/>
    </xf>
    <xf numFmtId="0" fontId="4" fillId="0" borderId="14" xfId="0" applyFont="1" applyFill="1" applyBorder="1" applyAlignment="1">
      <alignment vertical="center" textRotation="90" wrapText="1"/>
    </xf>
    <xf numFmtId="0" fontId="4" fillId="0" borderId="44" xfId="0" applyFont="1" applyFill="1" applyBorder="1" applyAlignment="1">
      <alignment vertical="center" textRotation="90" wrapText="1"/>
    </xf>
    <xf numFmtId="0" fontId="4" fillId="0" borderId="15" xfId="0" applyFont="1" applyFill="1" applyBorder="1" applyAlignment="1">
      <alignment vertical="center" textRotation="90" wrapText="1"/>
    </xf>
    <xf numFmtId="0" fontId="4" fillId="0" borderId="52" xfId="0" applyFont="1" applyFill="1" applyBorder="1" applyAlignment="1">
      <alignment vertical="center" textRotation="90" wrapText="1"/>
    </xf>
    <xf numFmtId="0" fontId="4" fillId="0" borderId="15" xfId="0" applyFont="1" applyFill="1" applyBorder="1" applyAlignment="1">
      <alignment vertical="center" textRotation="90"/>
    </xf>
    <xf numFmtId="0" fontId="4" fillId="0" borderId="52" xfId="0" applyFont="1" applyFill="1" applyBorder="1" applyAlignment="1">
      <alignment vertical="center" textRotation="90"/>
    </xf>
    <xf numFmtId="0" fontId="4" fillId="0" borderId="16" xfId="0" applyFont="1" applyFill="1" applyBorder="1" applyAlignment="1">
      <alignment vertical="center" textRotation="90" wrapText="1"/>
    </xf>
    <xf numFmtId="0" fontId="4" fillId="0" borderId="53" xfId="0" applyFont="1" applyFill="1" applyBorder="1" applyAlignment="1">
      <alignment vertical="center" textRotation="90" wrapText="1"/>
    </xf>
    <xf numFmtId="0" fontId="4" fillId="0" borderId="15" xfId="0" applyFont="1" applyFill="1" applyBorder="1" applyAlignment="1">
      <alignment vertical="center"/>
    </xf>
    <xf numFmtId="0" fontId="33" fillId="0" borderId="52" xfId="0" applyFont="1" applyFill="1" applyBorder="1"/>
    <xf numFmtId="43" fontId="4" fillId="0" borderId="3" xfId="0" applyNumberFormat="1" applyFont="1" applyFill="1" applyBorder="1" applyAlignment="1">
      <alignment horizontal="left" wrapText="1"/>
    </xf>
    <xf numFmtId="0" fontId="4" fillId="0" borderId="0" xfId="0" applyFont="1" applyFill="1" applyBorder="1" applyAlignment="1">
      <alignment vertical="center" wrapText="1"/>
    </xf>
    <xf numFmtId="2" fontId="4" fillId="0" borderId="0" xfId="0" applyNumberFormat="1" applyFont="1" applyFill="1" applyBorder="1" applyAlignment="1">
      <alignment vertical="center"/>
    </xf>
    <xf numFmtId="164" fontId="4" fillId="0" borderId="0" xfId="0" applyNumberFormat="1" applyFont="1" applyFill="1" applyBorder="1" applyAlignment="1">
      <alignment vertical="center"/>
    </xf>
    <xf numFmtId="0" fontId="4" fillId="0" borderId="1" xfId="0" applyFont="1" applyFill="1" applyBorder="1" applyAlignment="1">
      <alignment horizontal="center" vertical="center"/>
    </xf>
    <xf numFmtId="0" fontId="32" fillId="0" borderId="64"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0" xfId="0" applyFont="1" applyAlignment="1">
      <alignment horizontal="center" vertical="center"/>
    </xf>
    <xf numFmtId="0" fontId="32" fillId="0" borderId="65" xfId="0" applyFont="1" applyBorder="1" applyAlignment="1">
      <alignment horizontal="center" vertical="center" wrapText="1"/>
    </xf>
    <xf numFmtId="0" fontId="32" fillId="0" borderId="66" xfId="0" applyFont="1" applyBorder="1" applyAlignment="1">
      <alignment horizontal="center" vertical="center" wrapText="1"/>
    </xf>
    <xf numFmtId="0" fontId="17" fillId="0" borderId="24" xfId="0" applyFont="1" applyBorder="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vertical="center"/>
    </xf>
    <xf numFmtId="0" fontId="17" fillId="0" borderId="25" xfId="0" applyFont="1" applyBorder="1" applyAlignment="1">
      <alignment horizontal="center" vertical="center" wrapText="1"/>
    </xf>
    <xf numFmtId="0" fontId="25" fillId="0" borderId="0" xfId="0" applyFont="1" applyAlignment="1">
      <alignment horizontal="right" vertical="center"/>
    </xf>
    <xf numFmtId="0" fontId="5" fillId="0" borderId="0" xfId="0" applyFont="1"/>
    <xf numFmtId="0" fontId="4" fillId="0" borderId="65" xfId="0" applyFont="1" applyBorder="1" applyAlignment="1">
      <alignment wrapText="1"/>
    </xf>
    <xf numFmtId="43" fontId="5" fillId="0" borderId="3" xfId="0" applyNumberFormat="1" applyFont="1" applyFill="1" applyBorder="1" applyAlignment="1">
      <alignment horizontal="center" wrapText="1"/>
    </xf>
    <xf numFmtId="0" fontId="5" fillId="0" borderId="8" xfId="0" applyFont="1" applyBorder="1" applyAlignment="1">
      <alignment horizontal="right"/>
    </xf>
    <xf numFmtId="9" fontId="4" fillId="0" borderId="63" xfId="0" applyNumberFormat="1" applyFont="1" applyBorder="1" applyAlignment="1">
      <alignment horizontal="center"/>
    </xf>
    <xf numFmtId="0" fontId="4" fillId="0" borderId="63" xfId="0" applyFont="1" applyBorder="1" applyAlignment="1">
      <alignment horizontal="center"/>
    </xf>
    <xf numFmtId="0" fontId="4" fillId="0" borderId="63" xfId="0" applyFont="1" applyBorder="1" applyAlignment="1">
      <alignment wrapText="1"/>
    </xf>
    <xf numFmtId="2" fontId="5" fillId="0" borderId="63" xfId="0" applyNumberFormat="1" applyFont="1" applyBorder="1" applyAlignment="1">
      <alignment horizontal="center" wrapText="1"/>
    </xf>
  </cellXfs>
  <cellStyles count="19">
    <cellStyle name="Comma 2" xfId="15" xr:uid="{4A2D32BB-B0FD-47CF-9EAE-FDF5707E3C96}"/>
    <cellStyle name="Comma 2 2" xfId="17" xr:uid="{097348D2-91EE-442F-B4E8-EB0EE381251C}"/>
    <cellStyle name="Excel Built-in Explanatory Text" xfId="18" xr:uid="{6DA02F2E-7786-4938-BDEC-9CBE0954D5A9}"/>
    <cellStyle name="Normal 10" xfId="2" xr:uid="{00000000-0005-0000-0000-000003000000}"/>
    <cellStyle name="Normal 12" xfId="7" xr:uid="{00000000-0005-0000-0000-000004000000}"/>
    <cellStyle name="Normal 2 2" xfId="9" xr:uid="{00000000-0005-0000-0000-000005000000}"/>
    <cellStyle name="Normal 3" xfId="6" xr:uid="{00000000-0005-0000-0000-000006000000}"/>
    <cellStyle name="Normal 5" xfId="3" xr:uid="{00000000-0005-0000-0000-000007000000}"/>
    <cellStyle name="Normal_DA 2" xfId="16" xr:uid="{40ED7256-7C19-4269-98DF-0893486A8AB5}"/>
    <cellStyle name="Parasts" xfId="0" builtinId="0"/>
    <cellStyle name="Parasts 2" xfId="12" xr:uid="{00000000-0005-0000-0000-00000A000000}"/>
    <cellStyle name="Parasts 3" xfId="8" xr:uid="{00000000-0005-0000-0000-00000B000000}"/>
    <cellStyle name="Parasts 3 2" xfId="10" xr:uid="{00000000-0005-0000-0000-00000C000000}"/>
    <cellStyle name="Paskaidrojošs teksts" xfId="1" builtinId="53" customBuiltin="1"/>
    <cellStyle name="Style 1" xfId="5" xr:uid="{00000000-0005-0000-0000-00000D000000}"/>
    <cellStyle name="Style 1 2" xfId="14" xr:uid="{00000000-0005-0000-0000-00000E000000}"/>
    <cellStyle name="Style 1 4" xfId="11" xr:uid="{00000000-0005-0000-0000-00000F000000}"/>
    <cellStyle name="Стиль 1" xfId="4" xr:uid="{00000000-0005-0000-0000-000010000000}"/>
    <cellStyle name="Стиль 1 2" xfId="13" xr:uid="{00000000-0005-0000-0000-000011000000}"/>
  </cellStyles>
  <dxfs count="100">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457200</xdr:colOff>
      <xdr:row>20</xdr:row>
      <xdr:rowOff>57150</xdr:rowOff>
    </xdr:to>
    <xdr:sp macro="" textlink="">
      <xdr:nvSpPr>
        <xdr:cNvPr id="1026" name="shapetype_202" hidden="1">
          <a:extLst>
            <a:ext uri="{FF2B5EF4-FFF2-40B4-BE49-F238E27FC236}">
              <a16:creationId xmlns:a16="http://schemas.microsoft.com/office/drawing/2014/main" id="{AE5671CC-B9AA-4C80-AB4D-2B47CB06378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28575</xdr:colOff>
      <xdr:row>20</xdr:row>
      <xdr:rowOff>0</xdr:rowOff>
    </xdr:to>
    <xdr:sp macro="" textlink="">
      <xdr:nvSpPr>
        <xdr:cNvPr id="2050" name="shapetype_202" hidden="1">
          <a:extLst>
            <a:ext uri="{FF2B5EF4-FFF2-40B4-BE49-F238E27FC236}">
              <a16:creationId xmlns:a16="http://schemas.microsoft.com/office/drawing/2014/main" id="{4100BB6B-9E07-4A8B-8C9C-82DBFD77B134}"/>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18</xdr:row>
      <xdr:rowOff>9525</xdr:rowOff>
    </xdr:to>
    <xdr:sp macro="" textlink="">
      <xdr:nvSpPr>
        <xdr:cNvPr id="3074" name="shapetype_202" hidden="1">
          <a:extLst>
            <a:ext uri="{FF2B5EF4-FFF2-40B4-BE49-F238E27FC236}">
              <a16:creationId xmlns:a16="http://schemas.microsoft.com/office/drawing/2014/main" id="{D470A417-B983-4E79-B82D-8F6D227712E1}"/>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19</xdr:row>
      <xdr:rowOff>152400</xdr:rowOff>
    </xdr:to>
    <xdr:sp macro="" textlink="">
      <xdr:nvSpPr>
        <xdr:cNvPr id="4098" name="shapetype_202" hidden="1">
          <a:extLst>
            <a:ext uri="{FF2B5EF4-FFF2-40B4-BE49-F238E27FC236}">
              <a16:creationId xmlns:a16="http://schemas.microsoft.com/office/drawing/2014/main" id="{F8838C94-DCBF-440B-AB5B-C170A1E910C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20</xdr:row>
      <xdr:rowOff>0</xdr:rowOff>
    </xdr:to>
    <xdr:sp macro="" textlink="">
      <xdr:nvSpPr>
        <xdr:cNvPr id="6146" name="shapetype_202" hidden="1">
          <a:extLst>
            <a:ext uri="{FF2B5EF4-FFF2-40B4-BE49-F238E27FC236}">
              <a16:creationId xmlns:a16="http://schemas.microsoft.com/office/drawing/2014/main" id="{2B57F063-BAEE-4B43-8A2A-71291F53DD6F}"/>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17</xdr:row>
      <xdr:rowOff>152400</xdr:rowOff>
    </xdr:to>
    <xdr:sp macro="" textlink="">
      <xdr:nvSpPr>
        <xdr:cNvPr id="8194" name="shapetype_202" hidden="1">
          <a:extLst>
            <a:ext uri="{FF2B5EF4-FFF2-40B4-BE49-F238E27FC236}">
              <a16:creationId xmlns:a16="http://schemas.microsoft.com/office/drawing/2014/main" id="{508D2F36-BB7A-4ED5-A648-0906DB3B9F2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2:AMK33"/>
  <sheetViews>
    <sheetView view="pageBreakPreview" zoomScaleNormal="100" zoomScaleSheetLayoutView="100" workbookViewId="0">
      <selection activeCell="B15" sqref="B15"/>
    </sheetView>
  </sheetViews>
  <sheetFormatPr defaultColWidth="9.28515625" defaultRowHeight="15" x14ac:dyDescent="0.25"/>
  <cols>
    <col min="1" max="1" width="16.85546875" style="51" customWidth="1"/>
    <col min="2" max="2" width="43.42578125" style="51" customWidth="1"/>
    <col min="3" max="3" width="22.42578125" style="51" customWidth="1"/>
    <col min="4" max="210" width="9.140625" style="51" customWidth="1"/>
    <col min="211" max="211" width="1.42578125" style="51" customWidth="1"/>
    <col min="212" max="212" width="2.140625" style="51" customWidth="1"/>
    <col min="213" max="213" width="16.85546875" style="51" customWidth="1"/>
    <col min="214" max="214" width="43.42578125" style="51" customWidth="1"/>
    <col min="215" max="215" width="22.42578125" style="51" customWidth="1"/>
    <col min="216" max="216" width="9.140625" style="51" customWidth="1"/>
    <col min="217" max="217" width="13.85546875" style="51" customWidth="1"/>
    <col min="218" max="466" width="9.140625" style="51" customWidth="1"/>
    <col min="467" max="467" width="1.42578125" style="51" customWidth="1"/>
    <col min="468" max="468" width="2.140625" style="51" customWidth="1"/>
    <col min="469" max="469" width="16.85546875" style="51" customWidth="1"/>
    <col min="470" max="470" width="43.42578125" style="51" customWidth="1"/>
    <col min="471" max="471" width="22.42578125" style="51" customWidth="1"/>
    <col min="472" max="472" width="9.140625" style="51" customWidth="1"/>
    <col min="473" max="473" width="13.85546875" style="51" customWidth="1"/>
    <col min="474" max="722" width="9.140625" style="51" customWidth="1"/>
    <col min="723" max="723" width="1.42578125" style="51" customWidth="1"/>
    <col min="724" max="724" width="2.140625" style="51" customWidth="1"/>
    <col min="725" max="725" width="16.85546875" style="51" customWidth="1"/>
    <col min="726" max="726" width="43.42578125" style="51" customWidth="1"/>
    <col min="727" max="727" width="22.42578125" style="51" customWidth="1"/>
    <col min="728" max="728" width="9.140625" style="51" customWidth="1"/>
    <col min="729" max="729" width="13.85546875" style="51" customWidth="1"/>
    <col min="730" max="978" width="9.140625" style="51" customWidth="1"/>
    <col min="979" max="979" width="1.42578125" style="51" customWidth="1"/>
    <col min="980" max="980" width="2.140625" style="51" customWidth="1"/>
    <col min="981" max="981" width="16.85546875" style="51" customWidth="1"/>
    <col min="982" max="982" width="43.42578125" style="51" customWidth="1"/>
    <col min="983" max="983" width="22.42578125" style="51" customWidth="1"/>
    <col min="984" max="984" width="9.140625" style="51" customWidth="1"/>
    <col min="985" max="985" width="13.85546875" style="51" customWidth="1"/>
    <col min="986" max="1025" width="9.140625" style="51" customWidth="1"/>
    <col min="1026" max="16384" width="9.28515625" style="255"/>
  </cols>
  <sheetData>
    <row r="2" spans="1:3" x14ac:dyDescent="0.25">
      <c r="C2" s="212" t="s">
        <v>0</v>
      </c>
    </row>
    <row r="3" spans="1:3" x14ac:dyDescent="0.25">
      <c r="A3" s="212"/>
      <c r="B3" s="240"/>
      <c r="C3" s="240"/>
    </row>
    <row r="4" spans="1:3" x14ac:dyDescent="0.25">
      <c r="B4" s="261" t="s">
        <v>1</v>
      </c>
      <c r="C4" s="261"/>
    </row>
    <row r="5" spans="1:3" x14ac:dyDescent="0.25">
      <c r="A5" s="212"/>
      <c r="B5" s="212"/>
      <c r="C5" s="212"/>
    </row>
    <row r="6" spans="1:3" x14ac:dyDescent="0.25">
      <c r="C6" s="57" t="s">
        <v>2</v>
      </c>
    </row>
    <row r="8" spans="1:3" x14ac:dyDescent="0.25">
      <c r="B8" s="262" t="str">
        <f>A30</f>
        <v>Tāme sastādīta 2021.gada</v>
      </c>
      <c r="C8" s="262"/>
    </row>
    <row r="11" spans="1:3" x14ac:dyDescent="0.25">
      <c r="B11" s="212" t="s">
        <v>3</v>
      </c>
    </row>
    <row r="12" spans="1:3" x14ac:dyDescent="0.25">
      <c r="B12" s="198" t="s">
        <v>4</v>
      </c>
    </row>
    <row r="13" spans="1:3" x14ac:dyDescent="0.25">
      <c r="A13" s="57" t="s">
        <v>5</v>
      </c>
      <c r="B13" s="241" t="s">
        <v>54</v>
      </c>
      <c r="C13" s="241"/>
    </row>
    <row r="14" spans="1:3" x14ac:dyDescent="0.25">
      <c r="A14" s="57" t="s">
        <v>6</v>
      </c>
      <c r="B14" s="241" t="str">
        <f>B19</f>
        <v>Daudzdzīvokļu dzīvojamās ēkas Ventas ielā 14, Liepājā, energoefektivitātes paaugstināšanas pasākumi</v>
      </c>
      <c r="C14" s="241"/>
    </row>
    <row r="15" spans="1:3" x14ac:dyDescent="0.25">
      <c r="A15" s="57" t="s">
        <v>7</v>
      </c>
      <c r="B15" s="242" t="s">
        <v>185</v>
      </c>
      <c r="C15" s="242"/>
    </row>
    <row r="16" spans="1:3" x14ac:dyDescent="0.25">
      <c r="A16" s="57" t="s">
        <v>8</v>
      </c>
      <c r="B16" s="243" t="s">
        <v>186</v>
      </c>
      <c r="C16" s="243"/>
    </row>
    <row r="18" spans="1:3" x14ac:dyDescent="0.25">
      <c r="A18" s="244" t="s">
        <v>9</v>
      </c>
      <c r="B18" s="245" t="s">
        <v>10</v>
      </c>
      <c r="C18" s="246" t="s">
        <v>11</v>
      </c>
    </row>
    <row r="19" spans="1:3" ht="23.25" x14ac:dyDescent="0.25">
      <c r="A19" s="247">
        <v>1</v>
      </c>
      <c r="B19" s="332" t="s">
        <v>283</v>
      </c>
      <c r="C19" s="248">
        <f>'Kops a'!E25</f>
        <v>0</v>
      </c>
    </row>
    <row r="20" spans="1:3" ht="15.75" thickBot="1" x14ac:dyDescent="0.3">
      <c r="A20" s="249"/>
      <c r="B20" s="250" t="s">
        <v>12</v>
      </c>
      <c r="C20" s="251">
        <f>SUM(C19:C19)</f>
        <v>0</v>
      </c>
    </row>
    <row r="21" spans="1:3" ht="15.75" thickBot="1" x14ac:dyDescent="0.3">
      <c r="B21" s="252"/>
      <c r="C21" s="253"/>
    </row>
    <row r="22" spans="1:3" x14ac:dyDescent="0.25">
      <c r="A22" s="263" t="s">
        <v>13</v>
      </c>
      <c r="B22" s="263"/>
      <c r="C22" s="254">
        <f>ROUND(C20*21%,2)</f>
        <v>0</v>
      </c>
    </row>
    <row r="25" spans="1:3" x14ac:dyDescent="0.25">
      <c r="A25" s="51" t="s">
        <v>14</v>
      </c>
      <c r="B25" s="264"/>
      <c r="C25" s="264"/>
    </row>
    <row r="26" spans="1:3" x14ac:dyDescent="0.25">
      <c r="B26" s="265" t="s">
        <v>15</v>
      </c>
      <c r="C26" s="265"/>
    </row>
    <row r="28" spans="1:3" x14ac:dyDescent="0.25">
      <c r="A28" s="51" t="s">
        <v>16</v>
      </c>
      <c r="B28" s="56"/>
      <c r="C28" s="56"/>
    </row>
    <row r="29" spans="1:3" x14ac:dyDescent="0.25">
      <c r="A29" s="56"/>
      <c r="B29" s="56"/>
      <c r="C29" s="56"/>
    </row>
    <row r="30" spans="1:3" x14ac:dyDescent="0.25">
      <c r="A30" s="51" t="s">
        <v>284</v>
      </c>
    </row>
    <row r="32" spans="1:3" x14ac:dyDescent="0.25">
      <c r="A32" s="331" t="s">
        <v>281</v>
      </c>
    </row>
    <row r="33" spans="1:1" x14ac:dyDescent="0.25">
      <c r="A33" s="331" t="s">
        <v>282</v>
      </c>
    </row>
  </sheetData>
  <mergeCells count="5">
    <mergeCell ref="B4:C4"/>
    <mergeCell ref="B8:C8"/>
    <mergeCell ref="A22:B22"/>
    <mergeCell ref="B25:C25"/>
    <mergeCell ref="B26:C26"/>
  </mergeCells>
  <conditionalFormatting sqref="C19:C20 C22">
    <cfRule type="cellIs" dxfId="99" priority="6" operator="equal">
      <formula>0</formula>
    </cfRule>
  </conditionalFormatting>
  <conditionalFormatting sqref="B13:B16">
    <cfRule type="cellIs" dxfId="98" priority="4" operator="equal">
      <formula>0</formula>
    </cfRule>
  </conditionalFormatting>
  <conditionalFormatting sqref="A19">
    <cfRule type="cellIs" dxfId="96" priority="11" operator="equal">
      <formula>0</formula>
    </cfRule>
  </conditionalFormatting>
  <conditionalFormatting sqref="A30">
    <cfRule type="containsText" dxfId="95" priority="12" operator="containsText" text="Tāme sastādīta 20__. gada __. _________"/>
  </conditionalFormatting>
  <conditionalFormatting sqref="B25:C25">
    <cfRule type="cellIs" dxfId="94" priority="3" operator="equal">
      <formula>0</formula>
    </cfRule>
  </conditionalFormatting>
  <conditionalFormatting sqref="B28">
    <cfRule type="cellIs" dxfId="93" priority="2" operator="equal">
      <formula>0</formula>
    </cfRule>
  </conditionalFormatting>
  <conditionalFormatting sqref="B19">
    <cfRule type="cellIs" dxfId="0" priority="1" operator="equal">
      <formula>0</formula>
    </cfRule>
  </conditionalFormatting>
  <pageMargins left="0.19685039370078741" right="0.19685039370078741" top="0.75196850393700787" bottom="0.39370078740157483" header="0.51181102362204722" footer="0.51181102362204722"/>
  <pageSetup paperSize="9" scale="98" firstPageNumber="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MK38"/>
  <sheetViews>
    <sheetView view="pageBreakPreview" zoomScaleNormal="100" zoomScaleSheetLayoutView="100" workbookViewId="0">
      <selection activeCell="E26" sqref="E26"/>
    </sheetView>
  </sheetViews>
  <sheetFormatPr defaultColWidth="9.28515625" defaultRowHeight="15" x14ac:dyDescent="0.25"/>
  <cols>
    <col min="1" max="1" width="4" style="51" customWidth="1"/>
    <col min="2" max="2" width="5.28515625" style="51" customWidth="1"/>
    <col min="3" max="3" width="28.42578125" style="51" customWidth="1"/>
    <col min="4" max="4" width="6.85546875" style="51" customWidth="1"/>
    <col min="5" max="5" width="11.85546875" style="51" customWidth="1"/>
    <col min="6" max="6" width="9.85546875" style="51" customWidth="1"/>
    <col min="7" max="7" width="10" style="51" customWidth="1"/>
    <col min="8" max="8" width="8.7109375" style="51" customWidth="1"/>
    <col min="9" max="188" width="9.140625" style="51" customWidth="1"/>
    <col min="189" max="189" width="3.7109375" style="51" customWidth="1"/>
    <col min="190" max="190" width="4.5703125" style="51" customWidth="1"/>
    <col min="191" max="191" width="5.85546875" style="51" customWidth="1"/>
    <col min="192" max="192" width="36" style="51" customWidth="1"/>
    <col min="193" max="193" width="9.7109375" style="51" customWidth="1"/>
    <col min="194" max="194" width="11.85546875" style="51" customWidth="1"/>
    <col min="195" max="195" width="9" style="51" customWidth="1"/>
    <col min="196" max="196" width="9.7109375" style="51" customWidth="1"/>
    <col min="197" max="197" width="9.28515625" style="51" customWidth="1"/>
    <col min="198" max="198" width="8.7109375" style="51" customWidth="1"/>
    <col min="199" max="199" width="6.85546875" style="51" customWidth="1"/>
    <col min="200" max="444" width="9.140625" style="51" customWidth="1"/>
    <col min="445" max="445" width="3.7109375" style="51" customWidth="1"/>
    <col min="446" max="446" width="4.5703125" style="51" customWidth="1"/>
    <col min="447" max="447" width="5.85546875" style="51" customWidth="1"/>
    <col min="448" max="448" width="36" style="51" customWidth="1"/>
    <col min="449" max="449" width="9.7109375" style="51" customWidth="1"/>
    <col min="450" max="450" width="11.85546875" style="51" customWidth="1"/>
    <col min="451" max="451" width="9" style="51" customWidth="1"/>
    <col min="452" max="452" width="9.7109375" style="51" customWidth="1"/>
    <col min="453" max="453" width="9.28515625" style="51" customWidth="1"/>
    <col min="454" max="454" width="8.7109375" style="51" customWidth="1"/>
    <col min="455" max="455" width="6.85546875" style="51" customWidth="1"/>
    <col min="456" max="700" width="9.140625" style="51" customWidth="1"/>
    <col min="701" max="701" width="3.7109375" style="51" customWidth="1"/>
    <col min="702" max="702" width="4.5703125" style="51" customWidth="1"/>
    <col min="703" max="703" width="5.85546875" style="51" customWidth="1"/>
    <col min="704" max="704" width="36" style="51" customWidth="1"/>
    <col min="705" max="705" width="9.7109375" style="51" customWidth="1"/>
    <col min="706" max="706" width="11.85546875" style="51" customWidth="1"/>
    <col min="707" max="707" width="9" style="51" customWidth="1"/>
    <col min="708" max="708" width="9.7109375" style="51" customWidth="1"/>
    <col min="709" max="709" width="9.28515625" style="51" customWidth="1"/>
    <col min="710" max="710" width="8.7109375" style="51" customWidth="1"/>
    <col min="711" max="711" width="6.85546875" style="51" customWidth="1"/>
    <col min="712" max="956" width="9.140625" style="51" customWidth="1"/>
    <col min="957" max="957" width="3.7109375" style="51" customWidth="1"/>
    <col min="958" max="958" width="4.5703125" style="51" customWidth="1"/>
    <col min="959" max="959" width="5.85546875" style="51" customWidth="1"/>
    <col min="960" max="960" width="36" style="51" customWidth="1"/>
    <col min="961" max="961" width="9.7109375" style="51" customWidth="1"/>
    <col min="962" max="962" width="11.85546875" style="51" customWidth="1"/>
    <col min="963" max="963" width="9" style="51" customWidth="1"/>
    <col min="964" max="964" width="9.7109375" style="51" customWidth="1"/>
    <col min="965" max="965" width="9.28515625" style="51" customWidth="1"/>
    <col min="966" max="966" width="8.7109375" style="51" customWidth="1"/>
    <col min="967" max="967" width="6.85546875" style="51" customWidth="1"/>
    <col min="968" max="1025" width="9.140625" style="51" customWidth="1"/>
    <col min="1026" max="16384" width="9.28515625" style="255"/>
  </cols>
  <sheetData>
    <row r="1" spans="1:9" x14ac:dyDescent="0.25">
      <c r="C1" s="57"/>
      <c r="G1" s="262"/>
      <c r="H1" s="262"/>
      <c r="I1" s="262"/>
    </row>
    <row r="2" spans="1:9" x14ac:dyDescent="0.25">
      <c r="A2" s="285" t="s">
        <v>17</v>
      </c>
      <c r="B2" s="285"/>
      <c r="C2" s="285"/>
      <c r="D2" s="285"/>
      <c r="E2" s="285"/>
      <c r="F2" s="285"/>
      <c r="G2" s="285"/>
      <c r="H2" s="285"/>
      <c r="I2" s="285"/>
    </row>
    <row r="3" spans="1:9" x14ac:dyDescent="0.25">
      <c r="A3" s="212"/>
      <c r="B3" s="212"/>
      <c r="C3" s="212"/>
      <c r="D3" s="212"/>
      <c r="E3" s="212"/>
      <c r="F3" s="212"/>
      <c r="G3" s="212"/>
      <c r="H3" s="212"/>
      <c r="I3" s="212"/>
    </row>
    <row r="4" spans="1:9" x14ac:dyDescent="0.25">
      <c r="A4" s="212"/>
      <c r="B4" s="212"/>
      <c r="C4" s="286" t="s">
        <v>18</v>
      </c>
      <c r="D4" s="286"/>
      <c r="E4" s="286"/>
      <c r="F4" s="286"/>
      <c r="G4" s="286"/>
      <c r="H4" s="286"/>
      <c r="I4" s="286"/>
    </row>
    <row r="5" spans="1:9" x14ac:dyDescent="0.25">
      <c r="A5" s="56"/>
      <c r="B5" s="56"/>
      <c r="C5" s="287" t="s">
        <v>4</v>
      </c>
      <c r="D5" s="287"/>
      <c r="E5" s="287"/>
      <c r="F5" s="287"/>
      <c r="G5" s="287"/>
      <c r="H5" s="287"/>
      <c r="I5" s="287"/>
    </row>
    <row r="6" spans="1:9" x14ac:dyDescent="0.25">
      <c r="A6" s="282" t="s">
        <v>19</v>
      </c>
      <c r="B6" s="282"/>
      <c r="C6" s="282"/>
      <c r="D6" s="288" t="str">
        <f>'Kopt a'!B13</f>
        <v>Daudzīvokļu dzīvojamā māja</v>
      </c>
      <c r="E6" s="288"/>
      <c r="F6" s="288"/>
      <c r="G6" s="288"/>
      <c r="H6" s="288"/>
      <c r="I6" s="288"/>
    </row>
    <row r="7" spans="1:9" ht="27.75" customHeight="1" x14ac:dyDescent="0.25">
      <c r="A7" s="282" t="s">
        <v>6</v>
      </c>
      <c r="B7" s="282"/>
      <c r="C7" s="282"/>
      <c r="D7" s="333" t="str">
        <f>'Kopt a'!B14</f>
        <v>Daudzdzīvokļu dzīvojamās ēkas Ventas ielā 14, Liepājā, energoefektivitātes paaugstināšanas pasākumi</v>
      </c>
      <c r="E7" s="333"/>
      <c r="F7" s="333"/>
      <c r="G7" s="333"/>
      <c r="H7" s="333"/>
      <c r="I7" s="333"/>
    </row>
    <row r="8" spans="1:9" x14ac:dyDescent="0.25">
      <c r="A8" s="284" t="s">
        <v>20</v>
      </c>
      <c r="B8" s="284"/>
      <c r="C8" s="284"/>
      <c r="D8" s="283" t="str">
        <f>'Kopt a'!B15</f>
        <v>Ventas iela 14, Liepāja</v>
      </c>
      <c r="E8" s="283"/>
      <c r="F8" s="283"/>
      <c r="G8" s="283"/>
      <c r="H8" s="283"/>
      <c r="I8" s="283"/>
    </row>
    <row r="9" spans="1:9" x14ac:dyDescent="0.25">
      <c r="A9" s="284" t="s">
        <v>21</v>
      </c>
      <c r="B9" s="284"/>
      <c r="C9" s="284"/>
      <c r="D9" s="283" t="str">
        <f>'Kopt a'!B16</f>
        <v>WS-53-18</v>
      </c>
      <c r="E9" s="283"/>
      <c r="F9" s="283"/>
      <c r="G9" s="283"/>
      <c r="H9" s="283"/>
      <c r="I9" s="283"/>
    </row>
    <row r="10" spans="1:9" x14ac:dyDescent="0.25">
      <c r="C10" s="57" t="s">
        <v>22</v>
      </c>
      <c r="D10" s="278">
        <f>E25</f>
        <v>0</v>
      </c>
      <c r="E10" s="278"/>
      <c r="F10" s="213"/>
      <c r="G10" s="213"/>
      <c r="H10" s="213"/>
      <c r="I10" s="213"/>
    </row>
    <row r="11" spans="1:9" x14ac:dyDescent="0.25">
      <c r="C11" s="57" t="s">
        <v>23</v>
      </c>
      <c r="D11" s="278">
        <f>I21</f>
        <v>0</v>
      </c>
      <c r="E11" s="278"/>
      <c r="F11" s="213"/>
      <c r="G11" s="213"/>
      <c r="H11" s="213"/>
      <c r="I11" s="213"/>
    </row>
    <row r="12" spans="1:9" x14ac:dyDescent="0.25">
      <c r="F12" s="214"/>
      <c r="G12" s="214"/>
      <c r="H12" s="214"/>
      <c r="I12" s="214"/>
    </row>
    <row r="13" spans="1:9" x14ac:dyDescent="0.25">
      <c r="A13" s="279" t="s">
        <v>24</v>
      </c>
      <c r="B13" s="280" t="s">
        <v>25</v>
      </c>
      <c r="C13" s="275" t="s">
        <v>26</v>
      </c>
      <c r="D13" s="275"/>
      <c r="E13" s="281" t="s">
        <v>27</v>
      </c>
      <c r="F13" s="274" t="s">
        <v>28</v>
      </c>
      <c r="G13" s="274"/>
      <c r="H13" s="274"/>
      <c r="I13" s="275" t="s">
        <v>29</v>
      </c>
    </row>
    <row r="14" spans="1:9" ht="22.5" x14ac:dyDescent="0.25">
      <c r="A14" s="279"/>
      <c r="B14" s="280"/>
      <c r="C14" s="275"/>
      <c r="D14" s="275"/>
      <c r="E14" s="281"/>
      <c r="F14" s="215" t="s">
        <v>30</v>
      </c>
      <c r="G14" s="216" t="s">
        <v>31</v>
      </c>
      <c r="H14" s="216" t="s">
        <v>32</v>
      </c>
      <c r="I14" s="275"/>
    </row>
    <row r="15" spans="1:9" x14ac:dyDescent="0.25">
      <c r="A15" s="217">
        <v>1</v>
      </c>
      <c r="B15" s="218">
        <f>A15</f>
        <v>1</v>
      </c>
      <c r="C15" s="276" t="str">
        <f>'1a'!C2:I2</f>
        <v>Fasādes atjaunošanas darbi</v>
      </c>
      <c r="D15" s="276"/>
      <c r="E15" s="219">
        <f>'1a'!P59</f>
        <v>0</v>
      </c>
      <c r="F15" s="220">
        <f>'1a'!M59</f>
        <v>0</v>
      </c>
      <c r="G15" s="221">
        <f>'1a'!N59</f>
        <v>0</v>
      </c>
      <c r="H15" s="221">
        <f>'1a'!O59</f>
        <v>0</v>
      </c>
      <c r="I15" s="222">
        <f>'1a'!L59</f>
        <v>0</v>
      </c>
    </row>
    <row r="16" spans="1:9" x14ac:dyDescent="0.25">
      <c r="A16" s="223">
        <f>A15+1</f>
        <v>2</v>
      </c>
      <c r="B16" s="224">
        <f t="shared" ref="B16" si="0">A16</f>
        <v>2</v>
      </c>
      <c r="C16" s="271" t="str">
        <f>'2a'!C2:I2</f>
        <v>Cokola siltināšana</v>
      </c>
      <c r="D16" s="271"/>
      <c r="E16" s="225">
        <f>'2a'!P56</f>
        <v>0</v>
      </c>
      <c r="F16" s="226">
        <f>'2a'!M56</f>
        <v>0</v>
      </c>
      <c r="G16" s="227">
        <f>'2a'!N56</f>
        <v>0</v>
      </c>
      <c r="H16" s="227">
        <f>'2a'!O56</f>
        <v>0</v>
      </c>
      <c r="I16" s="228">
        <f>'2a'!L56</f>
        <v>0</v>
      </c>
    </row>
    <row r="17" spans="1:9" x14ac:dyDescent="0.25">
      <c r="A17" s="223">
        <f t="shared" ref="A17:A20" si="1">A16+1</f>
        <v>3</v>
      </c>
      <c r="B17" s="224">
        <f t="shared" ref="B17:B20" si="2">A17</f>
        <v>3</v>
      </c>
      <c r="C17" s="271" t="str">
        <f>'3a'!C2:I2</f>
        <v>Logu nomaiņa</v>
      </c>
      <c r="D17" s="271"/>
      <c r="E17" s="225">
        <f>'3a'!P46</f>
        <v>0</v>
      </c>
      <c r="F17" s="226">
        <f>'3a'!M46</f>
        <v>0</v>
      </c>
      <c r="G17" s="227">
        <f>'3a'!N46</f>
        <v>0</v>
      </c>
      <c r="H17" s="227">
        <f>'3a'!O46</f>
        <v>0</v>
      </c>
      <c r="I17" s="228">
        <f>'3a'!L46</f>
        <v>0</v>
      </c>
    </row>
    <row r="18" spans="1:9" x14ac:dyDescent="0.25">
      <c r="A18" s="223">
        <f t="shared" ref="A18" si="3">A17+1</f>
        <v>4</v>
      </c>
      <c r="B18" s="224">
        <f t="shared" ref="B18" si="4">A18</f>
        <v>4</v>
      </c>
      <c r="C18" s="272" t="str">
        <f>'4a'!C2</f>
        <v>Bēniņu siltināšana</v>
      </c>
      <c r="D18" s="273"/>
      <c r="E18" s="225">
        <f>'4a'!P25</f>
        <v>0</v>
      </c>
      <c r="F18" s="229">
        <f>'4a'!M25</f>
        <v>0</v>
      </c>
      <c r="G18" s="229">
        <f>'4a'!N25</f>
        <v>0</v>
      </c>
      <c r="H18" s="229">
        <f>'4a'!O25</f>
        <v>0</v>
      </c>
      <c r="I18" s="230">
        <f>'4a'!L25</f>
        <v>0</v>
      </c>
    </row>
    <row r="19" spans="1:9" x14ac:dyDescent="0.25">
      <c r="A19" s="223">
        <f t="shared" si="1"/>
        <v>5</v>
      </c>
      <c r="B19" s="224">
        <f t="shared" si="2"/>
        <v>5</v>
      </c>
      <c r="C19" s="271" t="str">
        <f>'5a'!C2</f>
        <v>Fasādes remontadrbi</v>
      </c>
      <c r="D19" s="271"/>
      <c r="E19" s="225">
        <f>'5a'!P32</f>
        <v>0</v>
      </c>
      <c r="F19" s="226">
        <f>'5a'!M32</f>
        <v>0</v>
      </c>
      <c r="G19" s="226">
        <f>'5a'!N32</f>
        <v>0</v>
      </c>
      <c r="H19" s="226">
        <f>'5a'!O32</f>
        <v>0</v>
      </c>
      <c r="I19" s="226">
        <f>'5a'!L32</f>
        <v>0</v>
      </c>
    </row>
    <row r="20" spans="1:9" ht="15.75" thickBot="1" x14ac:dyDescent="0.3">
      <c r="A20" s="223">
        <f t="shared" si="1"/>
        <v>6</v>
      </c>
      <c r="B20" s="224">
        <f t="shared" si="2"/>
        <v>6</v>
      </c>
      <c r="C20" s="271" t="str">
        <f>'6a'!C2:I2</f>
        <v>Jumta atjaunošana</v>
      </c>
      <c r="D20" s="271"/>
      <c r="E20" s="225">
        <f>'6a'!P66</f>
        <v>0</v>
      </c>
      <c r="F20" s="226">
        <f>'6a'!M66</f>
        <v>0</v>
      </c>
      <c r="G20" s="226">
        <f>'6a'!N66</f>
        <v>0</v>
      </c>
      <c r="H20" s="226">
        <f>'6a'!O66</f>
        <v>0</v>
      </c>
      <c r="I20" s="226">
        <f>'6a'!L66</f>
        <v>0</v>
      </c>
    </row>
    <row r="21" spans="1:9" ht="15.75" thickBot="1" x14ac:dyDescent="0.3">
      <c r="A21" s="277" t="s">
        <v>33</v>
      </c>
      <c r="B21" s="277"/>
      <c r="C21" s="277"/>
      <c r="D21" s="277"/>
      <c r="E21" s="231">
        <f>SUM(E15:E20)</f>
        <v>0</v>
      </c>
      <c r="F21" s="231">
        <f>SUM(F15:F20)</f>
        <v>0</v>
      </c>
      <c r="G21" s="231">
        <f>SUM(G15:G20)</f>
        <v>0</v>
      </c>
      <c r="H21" s="231">
        <f>SUM(H15:H20)</f>
        <v>0</v>
      </c>
      <c r="I21" s="231">
        <f>SUM(I15:I20)</f>
        <v>0</v>
      </c>
    </row>
    <row r="22" spans="1:9" x14ac:dyDescent="0.25">
      <c r="A22" s="269" t="s">
        <v>34</v>
      </c>
      <c r="B22" s="269"/>
      <c r="C22" s="269"/>
      <c r="D22" s="232"/>
      <c r="E22" s="233">
        <f>ROUND(E21*$D22,2)</f>
        <v>0</v>
      </c>
      <c r="F22" s="234"/>
      <c r="G22" s="234"/>
      <c r="H22" s="234"/>
      <c r="I22" s="234"/>
    </row>
    <row r="23" spans="1:9" x14ac:dyDescent="0.25">
      <c r="A23" s="270" t="s">
        <v>35</v>
      </c>
      <c r="B23" s="270"/>
      <c r="C23" s="270"/>
      <c r="D23" s="235"/>
      <c r="E23" s="236">
        <f>ROUND(E22*$D23,2)</f>
        <v>0</v>
      </c>
      <c r="F23" s="234"/>
      <c r="G23" s="234"/>
      <c r="H23" s="234"/>
      <c r="I23" s="234"/>
    </row>
    <row r="24" spans="1:9" x14ac:dyDescent="0.25">
      <c r="A24" s="266" t="s">
        <v>36</v>
      </c>
      <c r="B24" s="266"/>
      <c r="C24" s="266"/>
      <c r="D24" s="237"/>
      <c r="E24" s="236">
        <f>ROUND(E21*$D24,2)</f>
        <v>0</v>
      </c>
      <c r="F24" s="234"/>
      <c r="H24" s="234"/>
      <c r="I24" s="234"/>
    </row>
    <row r="25" spans="1:9" ht="15.75" thickBot="1" x14ac:dyDescent="0.3">
      <c r="A25" s="267" t="s">
        <v>37</v>
      </c>
      <c r="B25" s="267"/>
      <c r="C25" s="267"/>
      <c r="D25" s="238"/>
      <c r="E25" s="239">
        <f>SUM(E21:E24)-E23</f>
        <v>0</v>
      </c>
      <c r="F25" s="234"/>
      <c r="G25" s="234"/>
      <c r="H25" s="234"/>
      <c r="I25" s="234"/>
    </row>
    <row r="26" spans="1:9" ht="15.75" thickBot="1" x14ac:dyDescent="0.3">
      <c r="C26" s="334" t="s">
        <v>285</v>
      </c>
      <c r="D26" s="335">
        <v>0.02</v>
      </c>
      <c r="E26" s="336">
        <f>ROUND(E25*D26,2)</f>
        <v>0</v>
      </c>
    </row>
    <row r="27" spans="1:9" ht="15.75" thickBot="1" x14ac:dyDescent="0.3">
      <c r="C27" s="334" t="s">
        <v>286</v>
      </c>
      <c r="D27" s="337"/>
      <c r="E27" s="338">
        <f>E26+E25</f>
        <v>0</v>
      </c>
      <c r="F27" s="48"/>
      <c r="G27" s="48"/>
      <c r="H27" s="48"/>
      <c r="I27" s="48"/>
    </row>
    <row r="30" spans="1:9" x14ac:dyDescent="0.25">
      <c r="A30" s="51" t="s">
        <v>14</v>
      </c>
      <c r="B30" s="56"/>
      <c r="C30" s="268">
        <f>sas</f>
        <v>0</v>
      </c>
      <c r="D30" s="268"/>
      <c r="E30" s="268"/>
      <c r="F30" s="268"/>
      <c r="G30" s="268"/>
      <c r="H30" s="268"/>
    </row>
    <row r="31" spans="1:9" x14ac:dyDescent="0.25">
      <c r="A31" s="56"/>
      <c r="B31" s="56"/>
      <c r="C31" s="265" t="s">
        <v>15</v>
      </c>
      <c r="D31" s="265"/>
      <c r="E31" s="265"/>
      <c r="F31" s="265"/>
      <c r="G31" s="265"/>
      <c r="H31" s="265"/>
    </row>
    <row r="32" spans="1:9" x14ac:dyDescent="0.25">
      <c r="A32" s="56"/>
      <c r="B32" s="56"/>
      <c r="C32" s="56"/>
      <c r="D32" s="56"/>
      <c r="E32" s="56"/>
      <c r="F32" s="56"/>
      <c r="G32" s="56"/>
      <c r="H32" s="56"/>
    </row>
    <row r="33" spans="1:8" x14ac:dyDescent="0.25">
      <c r="A33" s="126" t="str">
        <f>'Kopt a'!A30</f>
        <v>Tāme sastādīta 2021.gada</v>
      </c>
      <c r="B33" s="127"/>
      <c r="C33" s="127"/>
      <c r="D33" s="127"/>
      <c r="F33" s="56"/>
      <c r="G33" s="56"/>
      <c r="H33" s="56"/>
    </row>
    <row r="34" spans="1:8" x14ac:dyDescent="0.25">
      <c r="A34" s="56"/>
      <c r="B34" s="56"/>
      <c r="C34" s="56"/>
      <c r="D34" s="56"/>
      <c r="E34" s="56"/>
      <c r="F34" s="56"/>
      <c r="G34" s="56"/>
      <c r="H34" s="56"/>
    </row>
    <row r="35" spans="1:8" x14ac:dyDescent="0.25">
      <c r="A35" s="51" t="s">
        <v>38</v>
      </c>
      <c r="B35" s="56"/>
      <c r="C35" s="268">
        <f>C30</f>
        <v>0</v>
      </c>
      <c r="D35" s="268"/>
      <c r="E35" s="268"/>
      <c r="F35" s="268"/>
      <c r="G35" s="268"/>
      <c r="H35" s="268"/>
    </row>
    <row r="36" spans="1:8" x14ac:dyDescent="0.25">
      <c r="A36" s="56"/>
      <c r="B36" s="56"/>
      <c r="C36" s="265" t="s">
        <v>15</v>
      </c>
      <c r="D36" s="265"/>
      <c r="E36" s="265"/>
      <c r="F36" s="265"/>
      <c r="G36" s="265"/>
      <c r="H36" s="265"/>
    </row>
    <row r="37" spans="1:8" x14ac:dyDescent="0.25">
      <c r="A37" s="56"/>
      <c r="B37" s="56"/>
      <c r="C37" s="56"/>
      <c r="D37" s="56"/>
      <c r="E37" s="56"/>
      <c r="F37" s="56"/>
      <c r="G37" s="56"/>
      <c r="H37" s="56"/>
    </row>
    <row r="38" spans="1:8" x14ac:dyDescent="0.25">
      <c r="A38" s="126" t="s">
        <v>16</v>
      </c>
      <c r="B38" s="127"/>
      <c r="C38" s="260">
        <f>sert.nr</f>
        <v>0</v>
      </c>
      <c r="D38" s="127"/>
      <c r="F38" s="56"/>
      <c r="G38" s="56"/>
      <c r="H38" s="56"/>
    </row>
  </sheetData>
  <mergeCells count="35">
    <mergeCell ref="G1:I1"/>
    <mergeCell ref="A2:I2"/>
    <mergeCell ref="C4:I4"/>
    <mergeCell ref="C5:I5"/>
    <mergeCell ref="A6:C6"/>
    <mergeCell ref="D6:I6"/>
    <mergeCell ref="A7:C7"/>
    <mergeCell ref="D7:I7"/>
    <mergeCell ref="A8:C8"/>
    <mergeCell ref="D8:I8"/>
    <mergeCell ref="A9:C9"/>
    <mergeCell ref="D9:I9"/>
    <mergeCell ref="D10:E10"/>
    <mergeCell ref="D11:E11"/>
    <mergeCell ref="A13:A14"/>
    <mergeCell ref="B13:B14"/>
    <mergeCell ref="C13:D14"/>
    <mergeCell ref="E13:E14"/>
    <mergeCell ref="F13:H13"/>
    <mergeCell ref="I13:I14"/>
    <mergeCell ref="C15:D15"/>
    <mergeCell ref="C16:D16"/>
    <mergeCell ref="A21:D21"/>
    <mergeCell ref="A22:C22"/>
    <mergeCell ref="A23:C23"/>
    <mergeCell ref="C17:D17"/>
    <mergeCell ref="C19:D19"/>
    <mergeCell ref="C18:D18"/>
    <mergeCell ref="C20:D20"/>
    <mergeCell ref="C36:H36"/>
    <mergeCell ref="A24:C24"/>
    <mergeCell ref="A25:C25"/>
    <mergeCell ref="C30:H30"/>
    <mergeCell ref="C31:H31"/>
    <mergeCell ref="C35:H35"/>
  </mergeCells>
  <conditionalFormatting sqref="E21:I21 F15:I21">
    <cfRule type="cellIs" dxfId="92" priority="2" operator="equal">
      <formula>0</formula>
    </cfRule>
  </conditionalFormatting>
  <conditionalFormatting sqref="D10:E11 C19:D20 C15:D17 E15:E20 I15:I20 A15:B20">
    <cfRule type="cellIs" dxfId="91" priority="3" operator="equal">
      <formula>0</formula>
    </cfRule>
  </conditionalFormatting>
  <conditionalFormatting sqref="E15 E22:E25 C18">
    <cfRule type="cellIs" dxfId="90" priority="4" operator="equal">
      <formula>0</formula>
    </cfRule>
  </conditionalFormatting>
  <conditionalFormatting sqref="D22:D24">
    <cfRule type="cellIs" dxfId="89" priority="5" operator="equal">
      <formula>0</formula>
    </cfRule>
  </conditionalFormatting>
  <conditionalFormatting sqref="C35:H35">
    <cfRule type="cellIs" dxfId="88" priority="6" operator="equal">
      <formula>0</formula>
    </cfRule>
  </conditionalFormatting>
  <conditionalFormatting sqref="C30:H30">
    <cfRule type="cellIs" dxfId="87" priority="7" operator="equal">
      <formula>0</formula>
    </cfRule>
  </conditionalFormatting>
  <conditionalFormatting sqref="D6:I6 D8:I9 D7">
    <cfRule type="cellIs" dxfId="86" priority="10" operator="equal">
      <formula>0</formula>
    </cfRule>
  </conditionalFormatting>
  <conditionalFormatting sqref="C38">
    <cfRule type="cellIs" dxfId="85" priority="11" operator="equal">
      <formula>0</formula>
    </cfRule>
  </conditionalFormatting>
  <pageMargins left="0.19685039370078741" right="0.19685039370078741" top="0.75196850393700787" bottom="0.39370078740157483" header="0.51181102362204722" footer="0.51181102362204722"/>
  <pageSetup paperSize="9" scale="73" firstPageNumber="0" orientation="landscape" r:id="rId1"/>
  <ignoredErrors>
    <ignoredError sqref="F19:I19" 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MG73"/>
  <sheetViews>
    <sheetView view="pageBreakPreview" topLeftCell="A52" zoomScale="115" zoomScaleNormal="100" zoomScaleSheetLayoutView="115" workbookViewId="0">
      <selection activeCell="C53" sqref="C53"/>
    </sheetView>
  </sheetViews>
  <sheetFormatPr defaultColWidth="9.28515625" defaultRowHeight="15" x14ac:dyDescent="0.25"/>
  <cols>
    <col min="1" max="1" width="4.5703125" style="51" customWidth="1"/>
    <col min="2" max="2" width="8" style="51" customWidth="1"/>
    <col min="3" max="3" width="41.85546875" style="51" customWidth="1"/>
    <col min="4" max="4" width="5.85546875" style="51" customWidth="1"/>
    <col min="5" max="5" width="8.7109375" style="51" customWidth="1"/>
    <col min="6" max="6" width="5.42578125" style="51" customWidth="1"/>
    <col min="7" max="7" width="4.85546875" style="51" customWidth="1"/>
    <col min="8" max="9" width="6.7109375" style="51" customWidth="1"/>
    <col min="10" max="10" width="8.28515625" style="51" customWidth="1"/>
    <col min="11" max="11" width="7" style="51" customWidth="1"/>
    <col min="12" max="12" width="7.7109375" style="51" customWidth="1"/>
    <col min="13" max="13" width="11.140625" style="51" customWidth="1"/>
    <col min="14" max="15" width="7.7109375" style="51" customWidth="1"/>
    <col min="16" max="16" width="9" style="51" customWidth="1"/>
    <col min="17" max="1021" width="9.140625" style="51" customWidth="1"/>
    <col min="1022" max="16384" width="9.28515625" style="255"/>
  </cols>
  <sheetData>
    <row r="1" spans="1:16" x14ac:dyDescent="0.25">
      <c r="A1" s="48"/>
      <c r="B1" s="48"/>
      <c r="C1" s="49" t="s">
        <v>39</v>
      </c>
      <c r="D1" s="50">
        <f>'Kops a'!A15</f>
        <v>1</v>
      </c>
      <c r="E1" s="48"/>
      <c r="F1" s="48"/>
      <c r="G1" s="48"/>
      <c r="H1" s="48"/>
      <c r="I1" s="48"/>
      <c r="J1" s="48"/>
      <c r="N1" s="52"/>
      <c r="O1" s="49"/>
      <c r="P1" s="53"/>
    </row>
    <row r="2" spans="1:16" x14ac:dyDescent="0.25">
      <c r="A2" s="54"/>
      <c r="B2" s="54"/>
      <c r="C2" s="301" t="s">
        <v>135</v>
      </c>
      <c r="D2" s="301"/>
      <c r="E2" s="301"/>
      <c r="F2" s="301"/>
      <c r="G2" s="301"/>
      <c r="H2" s="301"/>
      <c r="I2" s="301"/>
      <c r="J2" s="54"/>
    </row>
    <row r="3" spans="1:16" x14ac:dyDescent="0.25">
      <c r="A3" s="55"/>
      <c r="B3" s="55"/>
      <c r="C3" s="286" t="s">
        <v>18</v>
      </c>
      <c r="D3" s="286"/>
      <c r="E3" s="286"/>
      <c r="F3" s="286"/>
      <c r="G3" s="286"/>
      <c r="H3" s="286"/>
      <c r="I3" s="286"/>
      <c r="J3" s="55"/>
    </row>
    <row r="4" spans="1:16" x14ac:dyDescent="0.25">
      <c r="A4" s="55"/>
      <c r="B4" s="55"/>
      <c r="C4" s="302" t="s">
        <v>4</v>
      </c>
      <c r="D4" s="302"/>
      <c r="E4" s="302"/>
      <c r="F4" s="302"/>
      <c r="G4" s="302"/>
      <c r="H4" s="302"/>
      <c r="I4" s="302"/>
      <c r="J4" s="55"/>
    </row>
    <row r="5" spans="1:16" x14ac:dyDescent="0.25">
      <c r="A5" s="48"/>
      <c r="B5" s="48"/>
      <c r="C5" s="49" t="s">
        <v>5</v>
      </c>
      <c r="D5" s="297" t="str">
        <f>'Kops a'!D6</f>
        <v>Daudzīvokļu dzīvojamā māja</v>
      </c>
      <c r="E5" s="297"/>
      <c r="F5" s="297"/>
      <c r="G5" s="297"/>
      <c r="H5" s="297"/>
      <c r="I5" s="297"/>
      <c r="J5" s="297"/>
      <c r="K5" s="297"/>
      <c r="L5" s="297"/>
      <c r="M5" s="56"/>
      <c r="N5" s="56"/>
      <c r="O5" s="56"/>
      <c r="P5" s="56"/>
    </row>
    <row r="6" spans="1:16" ht="21.75" customHeight="1" x14ac:dyDescent="0.25">
      <c r="A6" s="48"/>
      <c r="B6" s="48"/>
      <c r="C6" s="49" t="s">
        <v>6</v>
      </c>
      <c r="D6" s="297" t="str">
        <f>'Kops a'!D7</f>
        <v>Daudzdzīvokļu dzīvojamās ēkas Ventas ielā 14, Liepājā, energoefektivitātes paaugstināšanas pasākumi</v>
      </c>
      <c r="E6" s="297"/>
      <c r="F6" s="297"/>
      <c r="G6" s="297"/>
      <c r="H6" s="297"/>
      <c r="I6" s="297"/>
      <c r="J6" s="297"/>
      <c r="K6" s="297"/>
      <c r="L6" s="297"/>
      <c r="M6" s="56"/>
      <c r="N6" s="56"/>
      <c r="O6" s="56"/>
      <c r="P6" s="56"/>
    </row>
    <row r="7" spans="1:16" x14ac:dyDescent="0.25">
      <c r="A7" s="48"/>
      <c r="B7" s="48"/>
      <c r="C7" s="49" t="s">
        <v>7</v>
      </c>
      <c r="D7" s="297" t="str">
        <f>'Kops a'!D8</f>
        <v>Ventas iela 14, Liepāja</v>
      </c>
      <c r="E7" s="297"/>
      <c r="F7" s="297"/>
      <c r="G7" s="297"/>
      <c r="H7" s="297"/>
      <c r="I7" s="297"/>
      <c r="J7" s="297"/>
      <c r="K7" s="297"/>
      <c r="L7" s="297"/>
      <c r="M7" s="56"/>
      <c r="N7" s="56"/>
      <c r="O7" s="56"/>
      <c r="P7" s="56"/>
    </row>
    <row r="8" spans="1:16" x14ac:dyDescent="0.25">
      <c r="A8" s="48"/>
      <c r="B8" s="48"/>
      <c r="C8" s="57" t="s">
        <v>21</v>
      </c>
      <c r="D8" s="297" t="str">
        <f>'Kops a'!D9</f>
        <v>WS-53-18</v>
      </c>
      <c r="E8" s="297"/>
      <c r="F8" s="297"/>
      <c r="G8" s="297"/>
      <c r="H8" s="297"/>
      <c r="I8" s="297"/>
      <c r="J8" s="297"/>
      <c r="K8" s="297"/>
      <c r="L8" s="297"/>
      <c r="M8" s="56"/>
      <c r="N8" s="56"/>
      <c r="O8" s="56"/>
      <c r="P8" s="56"/>
    </row>
    <row r="9" spans="1:16" x14ac:dyDescent="0.25">
      <c r="A9" s="298" t="s">
        <v>287</v>
      </c>
      <c r="B9" s="298"/>
      <c r="C9" s="298"/>
      <c r="D9" s="298"/>
      <c r="E9" s="298"/>
      <c r="F9" s="298"/>
      <c r="G9" s="58"/>
      <c r="H9" s="58"/>
      <c r="I9" s="58"/>
      <c r="J9" s="299" t="s">
        <v>40</v>
      </c>
      <c r="K9" s="299"/>
      <c r="L9" s="299"/>
      <c r="M9" s="299"/>
      <c r="N9" s="300">
        <f>P59</f>
        <v>0</v>
      </c>
      <c r="O9" s="300"/>
      <c r="P9" s="58"/>
    </row>
    <row r="10" spans="1:16" x14ac:dyDescent="0.25">
      <c r="A10" s="59"/>
      <c r="B10" s="60"/>
      <c r="C10" s="57"/>
      <c r="D10" s="48"/>
      <c r="E10" s="48"/>
      <c r="F10" s="48"/>
      <c r="G10" s="48"/>
      <c r="H10" s="48"/>
      <c r="I10" s="48"/>
      <c r="J10" s="48"/>
      <c r="K10" s="48"/>
      <c r="L10" s="54"/>
      <c r="M10" s="54"/>
      <c r="O10" s="61"/>
      <c r="P10" s="62" t="str">
        <f>A65</f>
        <v>Tāme sastādīta 2021.gada</v>
      </c>
    </row>
    <row r="11" spans="1:16" ht="15.75" thickBot="1" x14ac:dyDescent="0.3">
      <c r="A11" s="59"/>
      <c r="B11" s="60"/>
      <c r="C11" s="57"/>
      <c r="D11" s="48"/>
      <c r="E11" s="48"/>
      <c r="F11" s="48"/>
      <c r="G11" s="48"/>
      <c r="H11" s="48"/>
      <c r="I11" s="48"/>
      <c r="J11" s="48"/>
      <c r="K11" s="48"/>
      <c r="L11" s="63"/>
      <c r="M11" s="63"/>
      <c r="N11" s="64"/>
      <c r="O11" s="52"/>
      <c r="P11" s="48"/>
    </row>
    <row r="12" spans="1:16" ht="15.75" thickBot="1" x14ac:dyDescent="0.3">
      <c r="A12" s="292" t="s">
        <v>24</v>
      </c>
      <c r="B12" s="293" t="s">
        <v>41</v>
      </c>
      <c r="C12" s="294" t="s">
        <v>42</v>
      </c>
      <c r="D12" s="295" t="s">
        <v>43</v>
      </c>
      <c r="E12" s="296" t="s">
        <v>44</v>
      </c>
      <c r="F12" s="289" t="s">
        <v>45</v>
      </c>
      <c r="G12" s="289"/>
      <c r="H12" s="289"/>
      <c r="I12" s="289"/>
      <c r="J12" s="289"/>
      <c r="K12" s="289"/>
      <c r="L12" s="289" t="s">
        <v>46</v>
      </c>
      <c r="M12" s="289"/>
      <c r="N12" s="289"/>
      <c r="O12" s="289"/>
      <c r="P12" s="289"/>
    </row>
    <row r="13" spans="1:16" ht="119.25" thickBot="1" x14ac:dyDescent="0.3">
      <c r="A13" s="292"/>
      <c r="B13" s="293"/>
      <c r="C13" s="294"/>
      <c r="D13" s="295"/>
      <c r="E13" s="296"/>
      <c r="F13" s="65" t="s">
        <v>47</v>
      </c>
      <c r="G13" s="66" t="s">
        <v>48</v>
      </c>
      <c r="H13" s="66" t="s">
        <v>49</v>
      </c>
      <c r="I13" s="66" t="s">
        <v>50</v>
      </c>
      <c r="J13" s="66" t="s">
        <v>51</v>
      </c>
      <c r="K13" s="67" t="s">
        <v>52</v>
      </c>
      <c r="L13" s="65" t="s">
        <v>47</v>
      </c>
      <c r="M13" s="66" t="s">
        <v>49</v>
      </c>
      <c r="N13" s="66" t="s">
        <v>50</v>
      </c>
      <c r="O13" s="66" t="s">
        <v>51</v>
      </c>
      <c r="P13" s="67" t="s">
        <v>52</v>
      </c>
    </row>
    <row r="14" spans="1:16" x14ac:dyDescent="0.25">
      <c r="A14" s="68">
        <f>IF(COUNTBLANK(B14)=1," ",COUNTA(B$13:B14))</f>
        <v>1</v>
      </c>
      <c r="B14" s="69" t="s">
        <v>84</v>
      </c>
      <c r="C14" s="70" t="s">
        <v>102</v>
      </c>
      <c r="D14" s="71" t="s">
        <v>86</v>
      </c>
      <c r="E14" s="72">
        <v>70</v>
      </c>
      <c r="F14" s="73"/>
      <c r="G14" s="74"/>
      <c r="H14" s="74">
        <f>ROUND(F14*G14,2)</f>
        <v>0</v>
      </c>
      <c r="I14" s="74"/>
      <c r="J14" s="74"/>
      <c r="K14" s="75">
        <f>SUM(H14:J14)</f>
        <v>0</v>
      </c>
      <c r="L14" s="73">
        <f>ROUND(E14*F14,2)</f>
        <v>0</v>
      </c>
      <c r="M14" s="74">
        <f>ROUND(H14*E14,2)</f>
        <v>0</v>
      </c>
      <c r="N14" s="74">
        <f>ROUND(I14*E14,2)</f>
        <v>0</v>
      </c>
      <c r="O14" s="74">
        <f>ROUND(J14*E14,2)</f>
        <v>0</v>
      </c>
      <c r="P14" s="75">
        <f>SUM(M14:O14)</f>
        <v>0</v>
      </c>
    </row>
    <row r="15" spans="1:16" x14ac:dyDescent="0.25">
      <c r="A15" s="68" t="str">
        <f>IF(COUNTBLANK(B15)=1," ",COUNTA(B$13:B15))</f>
        <v xml:space="preserve"> </v>
      </c>
      <c r="B15" s="76"/>
      <c r="C15" s="77" t="s">
        <v>101</v>
      </c>
      <c r="D15" s="68" t="s">
        <v>56</v>
      </c>
      <c r="E15" s="78">
        <f>E14/3.5</f>
        <v>20</v>
      </c>
      <c r="F15" s="73"/>
      <c r="G15" s="74"/>
      <c r="H15" s="79">
        <f t="shared" ref="H15:H19" si="0">ROUND(F15*G15,2)</f>
        <v>0</v>
      </c>
      <c r="I15" s="74"/>
      <c r="J15" s="74"/>
      <c r="K15" s="80">
        <f t="shared" ref="K15:K19" si="1">SUM(H15:J15)</f>
        <v>0</v>
      </c>
      <c r="L15" s="81">
        <f t="shared" ref="L15:L19" si="2">ROUND(E15*F15,2)</f>
        <v>0</v>
      </c>
      <c r="M15" s="79">
        <f t="shared" ref="M15:M19" si="3">ROUND(H15*E15,2)</f>
        <v>0</v>
      </c>
      <c r="N15" s="79">
        <f t="shared" ref="N15:N19" si="4">ROUND(I15*E15,2)</f>
        <v>0</v>
      </c>
      <c r="O15" s="79">
        <f t="shared" ref="O15:O19" si="5">ROUND(J15*E15,2)</f>
        <v>0</v>
      </c>
      <c r="P15" s="80">
        <f t="shared" ref="P15:P19" si="6">SUM(M15:O15)</f>
        <v>0</v>
      </c>
    </row>
    <row r="16" spans="1:16" x14ac:dyDescent="0.25">
      <c r="A16" s="68" t="str">
        <f>IF(COUNTBLANK(B16)=1," ",COUNTA(B$13:B16))</f>
        <v xml:space="preserve"> </v>
      </c>
      <c r="B16" s="76"/>
      <c r="C16" s="77" t="s">
        <v>100</v>
      </c>
      <c r="D16" s="68" t="s">
        <v>56</v>
      </c>
      <c r="E16" s="78">
        <f>E15+1</f>
        <v>21</v>
      </c>
      <c r="F16" s="73"/>
      <c r="G16" s="74"/>
      <c r="H16" s="74">
        <f t="shared" si="0"/>
        <v>0</v>
      </c>
      <c r="I16" s="74"/>
      <c r="J16" s="74"/>
      <c r="K16" s="75">
        <f t="shared" si="1"/>
        <v>0</v>
      </c>
      <c r="L16" s="73">
        <f t="shared" si="2"/>
        <v>0</v>
      </c>
      <c r="M16" s="74">
        <f t="shared" si="3"/>
        <v>0</v>
      </c>
      <c r="N16" s="74">
        <f t="shared" si="4"/>
        <v>0</v>
      </c>
      <c r="O16" s="74">
        <f t="shared" si="5"/>
        <v>0</v>
      </c>
      <c r="P16" s="75">
        <f t="shared" si="6"/>
        <v>0</v>
      </c>
    </row>
    <row r="17" spans="1:16" x14ac:dyDescent="0.25">
      <c r="A17" s="68">
        <f>IF(COUNTBLANK(B17)=1," ",COUNTA(B$13:B17))</f>
        <v>2</v>
      </c>
      <c r="B17" s="76" t="s">
        <v>84</v>
      </c>
      <c r="C17" s="77" t="s">
        <v>99</v>
      </c>
      <c r="D17" s="68" t="s">
        <v>55</v>
      </c>
      <c r="E17" s="128">
        <f>69*8.5</f>
        <v>586.5</v>
      </c>
      <c r="F17" s="73"/>
      <c r="G17" s="74"/>
      <c r="H17" s="79">
        <f t="shared" si="0"/>
        <v>0</v>
      </c>
      <c r="I17" s="74"/>
      <c r="J17" s="74"/>
      <c r="K17" s="80">
        <f t="shared" si="1"/>
        <v>0</v>
      </c>
      <c r="L17" s="81">
        <f t="shared" si="2"/>
        <v>0</v>
      </c>
      <c r="M17" s="79">
        <f t="shared" si="3"/>
        <v>0</v>
      </c>
      <c r="N17" s="79">
        <f t="shared" si="4"/>
        <v>0</v>
      </c>
      <c r="O17" s="79">
        <f t="shared" si="5"/>
        <v>0</v>
      </c>
      <c r="P17" s="80">
        <f t="shared" si="6"/>
        <v>0</v>
      </c>
    </row>
    <row r="18" spans="1:16" x14ac:dyDescent="0.25">
      <c r="A18" s="68" t="str">
        <f>IF(COUNTBLANK(B18)=1," ",COUNTA(B$13:B18))</f>
        <v xml:space="preserve"> </v>
      </c>
      <c r="B18" s="76"/>
      <c r="C18" s="77" t="s">
        <v>98</v>
      </c>
      <c r="D18" s="68" t="s">
        <v>55</v>
      </c>
      <c r="E18" s="82">
        <f>E17</f>
        <v>586.5</v>
      </c>
      <c r="F18" s="73"/>
      <c r="G18" s="74"/>
      <c r="H18" s="74">
        <f t="shared" si="0"/>
        <v>0</v>
      </c>
      <c r="I18" s="74"/>
      <c r="J18" s="74"/>
      <c r="K18" s="75">
        <f t="shared" si="1"/>
        <v>0</v>
      </c>
      <c r="L18" s="73">
        <f t="shared" si="2"/>
        <v>0</v>
      </c>
      <c r="M18" s="74">
        <f t="shared" si="3"/>
        <v>0</v>
      </c>
      <c r="N18" s="74">
        <f t="shared" si="4"/>
        <v>0</v>
      </c>
      <c r="O18" s="74">
        <f t="shared" si="5"/>
        <v>0</v>
      </c>
      <c r="P18" s="75">
        <f t="shared" si="6"/>
        <v>0</v>
      </c>
    </row>
    <row r="19" spans="1:16" x14ac:dyDescent="0.25">
      <c r="A19" s="68">
        <f>IF(COUNTBLANK(B19)=1," ",COUNTA(B$13:B19))</f>
        <v>3</v>
      </c>
      <c r="B19" s="76" t="s">
        <v>84</v>
      </c>
      <c r="C19" s="77" t="s">
        <v>149</v>
      </c>
      <c r="D19" s="68" t="s">
        <v>56</v>
      </c>
      <c r="E19" s="82">
        <v>1</v>
      </c>
      <c r="F19" s="73"/>
      <c r="G19" s="74"/>
      <c r="H19" s="74">
        <f t="shared" si="0"/>
        <v>0</v>
      </c>
      <c r="I19" s="74"/>
      <c r="J19" s="74"/>
      <c r="K19" s="75">
        <f t="shared" si="1"/>
        <v>0</v>
      </c>
      <c r="L19" s="73">
        <f t="shared" si="2"/>
        <v>0</v>
      </c>
      <c r="M19" s="74">
        <f t="shared" si="3"/>
        <v>0</v>
      </c>
      <c r="N19" s="74">
        <f t="shared" si="4"/>
        <v>0</v>
      </c>
      <c r="O19" s="74">
        <f t="shared" si="5"/>
        <v>0</v>
      </c>
      <c r="P19" s="75">
        <f t="shared" si="6"/>
        <v>0</v>
      </c>
    </row>
    <row r="20" spans="1:16" x14ac:dyDescent="0.25">
      <c r="A20" s="68" t="str">
        <f>IF(COUNTBLANK(B20)=1," ",COUNTA(B$13:B20))</f>
        <v xml:space="preserve"> </v>
      </c>
      <c r="B20" s="76"/>
      <c r="C20" s="77" t="s">
        <v>97</v>
      </c>
      <c r="D20" s="68" t="s">
        <v>254</v>
      </c>
      <c r="E20" s="82">
        <v>1</v>
      </c>
      <c r="F20" s="73"/>
      <c r="G20" s="74"/>
      <c r="H20" s="79">
        <f t="shared" ref="H20:H58" si="7">ROUND(F20*G20,2)</f>
        <v>0</v>
      </c>
      <c r="I20" s="74"/>
      <c r="J20" s="74"/>
      <c r="K20" s="80">
        <f t="shared" ref="K20:K58" si="8">SUM(H20:J20)</f>
        <v>0</v>
      </c>
      <c r="L20" s="81">
        <f t="shared" ref="L20:L58" si="9">ROUND(E20*F20,2)</f>
        <v>0</v>
      </c>
      <c r="M20" s="79">
        <f t="shared" ref="M20:M58" si="10">ROUND(H20*E20,2)</f>
        <v>0</v>
      </c>
      <c r="N20" s="79">
        <f t="shared" ref="N20:N58" si="11">ROUND(I20*E20,2)</f>
        <v>0</v>
      </c>
      <c r="O20" s="79">
        <f t="shared" ref="O20:O58" si="12">ROUND(J20*E20,2)</f>
        <v>0</v>
      </c>
      <c r="P20" s="80">
        <f t="shared" ref="P20:P58" si="13">SUM(M20:O20)</f>
        <v>0</v>
      </c>
    </row>
    <row r="21" spans="1:16" x14ac:dyDescent="0.25">
      <c r="A21" s="68">
        <f>IF(COUNTBLANK(B21)=1," ",COUNTA(B$13:B21))</f>
        <v>4</v>
      </c>
      <c r="B21" s="76" t="s">
        <v>84</v>
      </c>
      <c r="C21" s="77" t="s">
        <v>291</v>
      </c>
      <c r="D21" s="68" t="s">
        <v>56</v>
      </c>
      <c r="E21" s="82">
        <v>1</v>
      </c>
      <c r="F21" s="73"/>
      <c r="G21" s="74"/>
      <c r="H21" s="74">
        <f t="shared" si="7"/>
        <v>0</v>
      </c>
      <c r="I21" s="74"/>
      <c r="J21" s="74"/>
      <c r="K21" s="75">
        <f t="shared" si="8"/>
        <v>0</v>
      </c>
      <c r="L21" s="73">
        <f t="shared" si="9"/>
        <v>0</v>
      </c>
      <c r="M21" s="74">
        <f t="shared" si="10"/>
        <v>0</v>
      </c>
      <c r="N21" s="74">
        <f t="shared" si="11"/>
        <v>0</v>
      </c>
      <c r="O21" s="74">
        <f t="shared" si="12"/>
        <v>0</v>
      </c>
      <c r="P21" s="75">
        <f t="shared" si="13"/>
        <v>0</v>
      </c>
    </row>
    <row r="22" spans="1:16" x14ac:dyDescent="0.25">
      <c r="A22" s="68">
        <f>IF(COUNTBLANK(B22)=1," ",COUNTA(B$13:B22))</f>
        <v>5</v>
      </c>
      <c r="B22" s="76" t="s">
        <v>84</v>
      </c>
      <c r="C22" s="77" t="s">
        <v>96</v>
      </c>
      <c r="D22" s="83" t="s">
        <v>56</v>
      </c>
      <c r="E22" s="82">
        <v>1</v>
      </c>
      <c r="F22" s="73"/>
      <c r="G22" s="74"/>
      <c r="H22" s="79">
        <f t="shared" si="7"/>
        <v>0</v>
      </c>
      <c r="I22" s="74"/>
      <c r="J22" s="74"/>
      <c r="K22" s="80">
        <f t="shared" si="8"/>
        <v>0</v>
      </c>
      <c r="L22" s="81">
        <f t="shared" si="9"/>
        <v>0</v>
      </c>
      <c r="M22" s="79">
        <f t="shared" si="10"/>
        <v>0</v>
      </c>
      <c r="N22" s="79">
        <f t="shared" si="11"/>
        <v>0</v>
      </c>
      <c r="O22" s="79">
        <f t="shared" si="12"/>
        <v>0</v>
      </c>
      <c r="P22" s="80">
        <f t="shared" si="13"/>
        <v>0</v>
      </c>
    </row>
    <row r="23" spans="1:16" x14ac:dyDescent="0.25">
      <c r="A23" s="68">
        <f>IF(COUNTBLANK(B23)=1," ",COUNTA(B$13:B23))</f>
        <v>6</v>
      </c>
      <c r="B23" s="76" t="s">
        <v>84</v>
      </c>
      <c r="C23" s="84" t="s">
        <v>150</v>
      </c>
      <c r="D23" s="85" t="s">
        <v>56</v>
      </c>
      <c r="E23" s="86">
        <v>1</v>
      </c>
      <c r="F23" s="73"/>
      <c r="G23" s="74"/>
      <c r="H23" s="74">
        <f t="shared" si="7"/>
        <v>0</v>
      </c>
      <c r="I23" s="74"/>
      <c r="J23" s="74"/>
      <c r="K23" s="75">
        <f t="shared" si="8"/>
        <v>0</v>
      </c>
      <c r="L23" s="73">
        <f t="shared" si="9"/>
        <v>0</v>
      </c>
      <c r="M23" s="74">
        <f t="shared" si="10"/>
        <v>0</v>
      </c>
      <c r="N23" s="74">
        <f t="shared" si="11"/>
        <v>0</v>
      </c>
      <c r="O23" s="74">
        <f t="shared" si="12"/>
        <v>0</v>
      </c>
      <c r="P23" s="75">
        <f t="shared" si="13"/>
        <v>0</v>
      </c>
    </row>
    <row r="24" spans="1:16" ht="22.5" x14ac:dyDescent="0.25">
      <c r="A24" s="68">
        <f>IF(COUNTBLANK(B24)=1," ",COUNTA(B$13:B24))</f>
        <v>7</v>
      </c>
      <c r="B24" s="76" t="s">
        <v>151</v>
      </c>
      <c r="C24" s="205" t="s">
        <v>255</v>
      </c>
      <c r="D24" s="87" t="s">
        <v>55</v>
      </c>
      <c r="E24" s="88">
        <v>366</v>
      </c>
      <c r="F24" s="73"/>
      <c r="G24" s="74"/>
      <c r="H24" s="74">
        <f t="shared" si="7"/>
        <v>0</v>
      </c>
      <c r="I24" s="74"/>
      <c r="J24" s="74"/>
      <c r="K24" s="75">
        <f t="shared" si="8"/>
        <v>0</v>
      </c>
      <c r="L24" s="73">
        <f t="shared" si="9"/>
        <v>0</v>
      </c>
      <c r="M24" s="74">
        <f t="shared" si="10"/>
        <v>0</v>
      </c>
      <c r="N24" s="74">
        <f t="shared" si="11"/>
        <v>0</v>
      </c>
      <c r="O24" s="74">
        <f t="shared" si="12"/>
        <v>0</v>
      </c>
      <c r="P24" s="75">
        <f t="shared" si="13"/>
        <v>0</v>
      </c>
    </row>
    <row r="25" spans="1:16" x14ac:dyDescent="0.25">
      <c r="A25" s="68" t="str">
        <f>IF(COUNTBLANK(B25)=1," ",COUNTA(B$13:B25))</f>
        <v xml:space="preserve"> </v>
      </c>
      <c r="B25" s="76"/>
      <c r="C25" s="77" t="s">
        <v>90</v>
      </c>
      <c r="D25" s="87" t="s">
        <v>89</v>
      </c>
      <c r="E25" s="89">
        <f>E24*0.3</f>
        <v>109.8</v>
      </c>
      <c r="F25" s="73"/>
      <c r="G25" s="74"/>
      <c r="H25" s="79">
        <f t="shared" si="7"/>
        <v>0</v>
      </c>
      <c r="I25" s="74"/>
      <c r="J25" s="74"/>
      <c r="K25" s="80">
        <f t="shared" si="8"/>
        <v>0</v>
      </c>
      <c r="L25" s="81">
        <f t="shared" si="9"/>
        <v>0</v>
      </c>
      <c r="M25" s="79">
        <f t="shared" si="10"/>
        <v>0</v>
      </c>
      <c r="N25" s="79">
        <f t="shared" si="11"/>
        <v>0</v>
      </c>
      <c r="O25" s="79">
        <f t="shared" si="12"/>
        <v>0</v>
      </c>
      <c r="P25" s="80">
        <f t="shared" si="13"/>
        <v>0</v>
      </c>
    </row>
    <row r="26" spans="1:16" x14ac:dyDescent="0.25">
      <c r="A26" s="68" t="str">
        <f>IF(COUNTBLANK(B26)=1," ",COUNTA(B$13:B26))</f>
        <v xml:space="preserve"> </v>
      </c>
      <c r="B26" s="90"/>
      <c r="C26" s="77" t="s">
        <v>187</v>
      </c>
      <c r="D26" s="87" t="s">
        <v>89</v>
      </c>
      <c r="E26" s="89">
        <f>E24*9</f>
        <v>3294</v>
      </c>
      <c r="F26" s="73"/>
      <c r="G26" s="74"/>
      <c r="H26" s="74">
        <f t="shared" si="7"/>
        <v>0</v>
      </c>
      <c r="I26" s="74"/>
      <c r="J26" s="74"/>
      <c r="K26" s="75">
        <f t="shared" si="8"/>
        <v>0</v>
      </c>
      <c r="L26" s="73">
        <f t="shared" si="9"/>
        <v>0</v>
      </c>
      <c r="M26" s="74">
        <f t="shared" si="10"/>
        <v>0</v>
      </c>
      <c r="N26" s="74">
        <f t="shared" si="11"/>
        <v>0</v>
      </c>
      <c r="O26" s="74">
        <f t="shared" si="12"/>
        <v>0</v>
      </c>
      <c r="P26" s="75">
        <f t="shared" si="13"/>
        <v>0</v>
      </c>
    </row>
    <row r="27" spans="1:16" ht="56.25" x14ac:dyDescent="0.25">
      <c r="A27" s="68">
        <f>IF(COUNTBLANK(B27)=1," ",COUNTA(B$13:B27))</f>
        <v>8</v>
      </c>
      <c r="B27" s="76" t="s">
        <v>188</v>
      </c>
      <c r="C27" s="77" t="s">
        <v>189</v>
      </c>
      <c r="D27" s="87" t="s">
        <v>55</v>
      </c>
      <c r="E27" s="89">
        <f>E24*1.1</f>
        <v>402.6</v>
      </c>
      <c r="F27" s="73"/>
      <c r="G27" s="74"/>
      <c r="H27" s="79">
        <f t="shared" si="7"/>
        <v>0</v>
      </c>
      <c r="I27" s="74"/>
      <c r="J27" s="74"/>
      <c r="K27" s="80">
        <f t="shared" si="8"/>
        <v>0</v>
      </c>
      <c r="L27" s="81">
        <f t="shared" si="9"/>
        <v>0</v>
      </c>
      <c r="M27" s="79">
        <f t="shared" si="10"/>
        <v>0</v>
      </c>
      <c r="N27" s="79">
        <f t="shared" si="11"/>
        <v>0</v>
      </c>
      <c r="O27" s="79">
        <f t="shared" si="12"/>
        <v>0</v>
      </c>
      <c r="P27" s="80">
        <f t="shared" si="13"/>
        <v>0</v>
      </c>
    </row>
    <row r="28" spans="1:16" ht="45" x14ac:dyDescent="0.25">
      <c r="A28" s="68" t="str">
        <f>IF(COUNTBLANK(B28)=1," ",COUNTA(B$13:B28))</f>
        <v xml:space="preserve"> </v>
      </c>
      <c r="B28" s="91"/>
      <c r="C28" s="29" t="s">
        <v>152</v>
      </c>
      <c r="D28" s="91" t="s">
        <v>56</v>
      </c>
      <c r="E28" s="92">
        <f>E24*7</f>
        <v>2562</v>
      </c>
      <c r="F28" s="73"/>
      <c r="G28" s="74"/>
      <c r="H28" s="74">
        <f t="shared" si="7"/>
        <v>0</v>
      </c>
      <c r="I28" s="74"/>
      <c r="J28" s="74"/>
      <c r="K28" s="75">
        <f t="shared" si="8"/>
        <v>0</v>
      </c>
      <c r="L28" s="73">
        <f t="shared" si="9"/>
        <v>0</v>
      </c>
      <c r="M28" s="74">
        <f t="shared" si="10"/>
        <v>0</v>
      </c>
      <c r="N28" s="74">
        <f t="shared" si="11"/>
        <v>0</v>
      </c>
      <c r="O28" s="74">
        <f t="shared" si="12"/>
        <v>0</v>
      </c>
      <c r="P28" s="75">
        <f t="shared" si="13"/>
        <v>0</v>
      </c>
    </row>
    <row r="29" spans="1:16" x14ac:dyDescent="0.25">
      <c r="A29" s="68">
        <f>IF(COUNTBLANK(B29)=1," ",COUNTA(B$13:B29))</f>
        <v>9</v>
      </c>
      <c r="B29" s="93" t="s">
        <v>84</v>
      </c>
      <c r="C29" s="94" t="s">
        <v>250</v>
      </c>
      <c r="D29" s="95" t="s">
        <v>143</v>
      </c>
      <c r="E29" s="96">
        <v>1</v>
      </c>
      <c r="F29" s="73"/>
      <c r="G29" s="74"/>
      <c r="H29" s="74">
        <f t="shared" si="7"/>
        <v>0</v>
      </c>
      <c r="I29" s="74"/>
      <c r="J29" s="74"/>
      <c r="K29" s="75">
        <f t="shared" si="8"/>
        <v>0</v>
      </c>
      <c r="L29" s="73">
        <f t="shared" si="9"/>
        <v>0</v>
      </c>
      <c r="M29" s="74">
        <f t="shared" si="10"/>
        <v>0</v>
      </c>
      <c r="N29" s="74">
        <f t="shared" si="11"/>
        <v>0</v>
      </c>
      <c r="O29" s="74">
        <f t="shared" si="12"/>
        <v>0</v>
      </c>
      <c r="P29" s="75">
        <f t="shared" si="13"/>
        <v>0</v>
      </c>
    </row>
    <row r="30" spans="1:16" ht="67.5" x14ac:dyDescent="0.25">
      <c r="A30" s="68">
        <f>IF(COUNTBLANK(B30)=1," ",COUNTA(B$13:B30))</f>
        <v>10</v>
      </c>
      <c r="B30" s="93" t="s">
        <v>84</v>
      </c>
      <c r="C30" s="94" t="s">
        <v>191</v>
      </c>
      <c r="D30" s="95" t="s">
        <v>143</v>
      </c>
      <c r="E30" s="96">
        <v>1</v>
      </c>
      <c r="F30" s="73"/>
      <c r="G30" s="74"/>
      <c r="H30" s="79">
        <f t="shared" si="7"/>
        <v>0</v>
      </c>
      <c r="I30" s="74"/>
      <c r="J30" s="74"/>
      <c r="K30" s="80">
        <f t="shared" si="8"/>
        <v>0</v>
      </c>
      <c r="L30" s="81">
        <f t="shared" si="9"/>
        <v>0</v>
      </c>
      <c r="M30" s="79">
        <f t="shared" si="10"/>
        <v>0</v>
      </c>
      <c r="N30" s="79">
        <f t="shared" si="11"/>
        <v>0</v>
      </c>
      <c r="O30" s="79">
        <f t="shared" si="12"/>
        <v>0</v>
      </c>
      <c r="P30" s="80">
        <f t="shared" si="13"/>
        <v>0</v>
      </c>
    </row>
    <row r="31" spans="1:16" ht="67.5" x14ac:dyDescent="0.25">
      <c r="A31" s="68">
        <f>IF(COUNTBLANK(B31)=1," ",COUNTA(B$13:B31))</f>
        <v>11</v>
      </c>
      <c r="B31" s="97" t="s">
        <v>84</v>
      </c>
      <c r="C31" s="100" t="s">
        <v>292</v>
      </c>
      <c r="D31" s="98" t="s">
        <v>55</v>
      </c>
      <c r="E31" s="99">
        <f>E24</f>
        <v>366</v>
      </c>
      <c r="F31" s="73"/>
      <c r="G31" s="74"/>
      <c r="H31" s="74">
        <f t="shared" si="7"/>
        <v>0</v>
      </c>
      <c r="I31" s="74"/>
      <c r="J31" s="74"/>
      <c r="K31" s="75">
        <f t="shared" si="8"/>
        <v>0</v>
      </c>
      <c r="L31" s="73">
        <f t="shared" si="9"/>
        <v>0</v>
      </c>
      <c r="M31" s="74">
        <f t="shared" si="10"/>
        <v>0</v>
      </c>
      <c r="N31" s="74">
        <f t="shared" si="11"/>
        <v>0</v>
      </c>
      <c r="O31" s="74">
        <f t="shared" si="12"/>
        <v>0</v>
      </c>
      <c r="P31" s="75">
        <f t="shared" si="13"/>
        <v>0</v>
      </c>
    </row>
    <row r="32" spans="1:16" x14ac:dyDescent="0.25">
      <c r="A32" s="68" t="str">
        <f>IF(COUNTBLANK(B32)=1," ",COUNTA(B$13:B32))</f>
        <v xml:space="preserve"> </v>
      </c>
      <c r="B32" s="98"/>
      <c r="C32" s="100" t="s">
        <v>95</v>
      </c>
      <c r="D32" s="101" t="s">
        <v>89</v>
      </c>
      <c r="E32" s="102">
        <f>E31*0.3</f>
        <v>109.8</v>
      </c>
      <c r="F32" s="73"/>
      <c r="G32" s="74"/>
      <c r="H32" s="79">
        <f t="shared" si="7"/>
        <v>0</v>
      </c>
      <c r="I32" s="74"/>
      <c r="J32" s="74"/>
      <c r="K32" s="80">
        <f t="shared" si="8"/>
        <v>0</v>
      </c>
      <c r="L32" s="81">
        <f t="shared" si="9"/>
        <v>0</v>
      </c>
      <c r="M32" s="79">
        <f t="shared" si="10"/>
        <v>0</v>
      </c>
      <c r="N32" s="79">
        <f t="shared" si="11"/>
        <v>0</v>
      </c>
      <c r="O32" s="79">
        <f t="shared" si="12"/>
        <v>0</v>
      </c>
      <c r="P32" s="80">
        <f t="shared" si="13"/>
        <v>0</v>
      </c>
    </row>
    <row r="33" spans="1:16" ht="22.5" x14ac:dyDescent="0.25">
      <c r="A33" s="68" t="str">
        <f>IF(COUNTBLANK(B33)=1," ",COUNTA(B$13:B33))</f>
        <v xml:space="preserve"> </v>
      </c>
      <c r="B33" s="103"/>
      <c r="C33" s="104" t="s">
        <v>190</v>
      </c>
      <c r="D33" s="101" t="s">
        <v>89</v>
      </c>
      <c r="E33" s="102">
        <f>E31*3.7</f>
        <v>1354.2</v>
      </c>
      <c r="F33" s="73"/>
      <c r="G33" s="74"/>
      <c r="H33" s="74">
        <f t="shared" si="7"/>
        <v>0</v>
      </c>
      <c r="I33" s="74"/>
      <c r="J33" s="74"/>
      <c r="K33" s="75">
        <f t="shared" si="8"/>
        <v>0</v>
      </c>
      <c r="L33" s="73">
        <f t="shared" si="9"/>
        <v>0</v>
      </c>
      <c r="M33" s="74">
        <f t="shared" si="10"/>
        <v>0</v>
      </c>
      <c r="N33" s="74">
        <f t="shared" si="11"/>
        <v>0</v>
      </c>
      <c r="O33" s="74">
        <f t="shared" si="12"/>
        <v>0</v>
      </c>
      <c r="P33" s="75">
        <f t="shared" si="13"/>
        <v>0</v>
      </c>
    </row>
    <row r="34" spans="1:16" x14ac:dyDescent="0.25">
      <c r="A34" s="68" t="str">
        <f>IF(COUNTBLANK(B34)=1," ",COUNTA(B$13:B34))</f>
        <v xml:space="preserve"> </v>
      </c>
      <c r="B34" s="103"/>
      <c r="C34" s="104" t="s">
        <v>94</v>
      </c>
      <c r="D34" s="101" t="s">
        <v>93</v>
      </c>
      <c r="E34" s="102">
        <v>1</v>
      </c>
      <c r="F34" s="73"/>
      <c r="G34" s="74"/>
      <c r="H34" s="74">
        <f t="shared" si="7"/>
        <v>0</v>
      </c>
      <c r="I34" s="74"/>
      <c r="J34" s="74"/>
      <c r="K34" s="75">
        <f t="shared" si="8"/>
        <v>0</v>
      </c>
      <c r="L34" s="73">
        <f t="shared" si="9"/>
        <v>0</v>
      </c>
      <c r="M34" s="74">
        <f t="shared" si="10"/>
        <v>0</v>
      </c>
      <c r="N34" s="74">
        <f t="shared" si="11"/>
        <v>0</v>
      </c>
      <c r="O34" s="74">
        <f t="shared" si="12"/>
        <v>0</v>
      </c>
      <c r="P34" s="75">
        <f t="shared" si="13"/>
        <v>0</v>
      </c>
    </row>
    <row r="35" spans="1:16" ht="33.75" x14ac:dyDescent="0.25">
      <c r="A35" s="68">
        <f>IF(COUNTBLANK(B35)=1," ",COUNTA(B$13:B35))</f>
        <v>12</v>
      </c>
      <c r="B35" s="97" t="s">
        <v>84</v>
      </c>
      <c r="C35" s="256" t="s">
        <v>293</v>
      </c>
      <c r="D35" s="105" t="s">
        <v>55</v>
      </c>
      <c r="E35" s="106">
        <f>apjomi!N13</f>
        <v>40.4</v>
      </c>
      <c r="F35" s="73"/>
      <c r="G35" s="74"/>
      <c r="H35" s="79">
        <f t="shared" si="7"/>
        <v>0</v>
      </c>
      <c r="I35" s="74"/>
      <c r="J35" s="74"/>
      <c r="K35" s="80">
        <f t="shared" si="8"/>
        <v>0</v>
      </c>
      <c r="L35" s="81">
        <f t="shared" si="9"/>
        <v>0</v>
      </c>
      <c r="M35" s="79">
        <f t="shared" si="10"/>
        <v>0</v>
      </c>
      <c r="N35" s="79">
        <f t="shared" si="11"/>
        <v>0</v>
      </c>
      <c r="O35" s="79">
        <f t="shared" si="12"/>
        <v>0</v>
      </c>
      <c r="P35" s="80">
        <f t="shared" si="13"/>
        <v>0</v>
      </c>
    </row>
    <row r="36" spans="1:16" x14ac:dyDescent="0.25">
      <c r="A36" s="68" t="str">
        <f>IF(COUNTBLANK(B36)=1," ",COUNTA(B$13:B36))</f>
        <v xml:space="preserve"> </v>
      </c>
      <c r="B36" s="103"/>
      <c r="C36" s="104" t="s">
        <v>90</v>
      </c>
      <c r="D36" s="103" t="s">
        <v>89</v>
      </c>
      <c r="E36" s="102">
        <f>E35*0.3</f>
        <v>12.12</v>
      </c>
      <c r="F36" s="73"/>
      <c r="G36" s="74"/>
      <c r="H36" s="74">
        <f t="shared" si="7"/>
        <v>0</v>
      </c>
      <c r="I36" s="74"/>
      <c r="J36" s="74"/>
      <c r="K36" s="75">
        <f t="shared" si="8"/>
        <v>0</v>
      </c>
      <c r="L36" s="73">
        <f t="shared" si="9"/>
        <v>0</v>
      </c>
      <c r="M36" s="74">
        <f t="shared" si="10"/>
        <v>0</v>
      </c>
      <c r="N36" s="74">
        <f t="shared" si="11"/>
        <v>0</v>
      </c>
      <c r="O36" s="74">
        <f t="shared" si="12"/>
        <v>0</v>
      </c>
      <c r="P36" s="75">
        <f t="shared" si="13"/>
        <v>0</v>
      </c>
    </row>
    <row r="37" spans="1:16" x14ac:dyDescent="0.25">
      <c r="A37" s="68" t="str">
        <f>IF(COUNTBLANK(B37)=1," ",COUNTA(B$13:B37))</f>
        <v xml:space="preserve"> </v>
      </c>
      <c r="B37" s="103"/>
      <c r="C37" s="104" t="s">
        <v>199</v>
      </c>
      <c r="D37" s="105" t="s">
        <v>55</v>
      </c>
      <c r="E37" s="102">
        <f>E35*1.2</f>
        <v>48.48</v>
      </c>
      <c r="F37" s="73"/>
      <c r="G37" s="74"/>
      <c r="H37" s="79">
        <f t="shared" si="7"/>
        <v>0</v>
      </c>
      <c r="I37" s="74"/>
      <c r="J37" s="74"/>
      <c r="K37" s="80">
        <f t="shared" si="8"/>
        <v>0</v>
      </c>
      <c r="L37" s="81">
        <f t="shared" si="9"/>
        <v>0</v>
      </c>
      <c r="M37" s="79">
        <f t="shared" si="10"/>
        <v>0</v>
      </c>
      <c r="N37" s="79">
        <f t="shared" si="11"/>
        <v>0</v>
      </c>
      <c r="O37" s="79">
        <f t="shared" si="12"/>
        <v>0</v>
      </c>
      <c r="P37" s="80">
        <f t="shared" si="13"/>
        <v>0</v>
      </c>
    </row>
    <row r="38" spans="1:16" x14ac:dyDescent="0.25">
      <c r="A38" s="68" t="str">
        <f>IF(COUNTBLANK(B38)=1," ",COUNTA(B$13:B38))</f>
        <v xml:space="preserve"> </v>
      </c>
      <c r="B38" s="103"/>
      <c r="C38" s="104" t="s">
        <v>200</v>
      </c>
      <c r="D38" s="103" t="s">
        <v>89</v>
      </c>
      <c r="E38" s="102">
        <f>E35*5</f>
        <v>202</v>
      </c>
      <c r="F38" s="73"/>
      <c r="G38" s="74"/>
      <c r="H38" s="74">
        <f t="shared" si="7"/>
        <v>0</v>
      </c>
      <c r="I38" s="74"/>
      <c r="J38" s="74"/>
      <c r="K38" s="75">
        <f t="shared" si="8"/>
        <v>0</v>
      </c>
      <c r="L38" s="73">
        <f t="shared" si="9"/>
        <v>0</v>
      </c>
      <c r="M38" s="74">
        <f t="shared" si="10"/>
        <v>0</v>
      </c>
      <c r="N38" s="74">
        <f t="shared" si="11"/>
        <v>0</v>
      </c>
      <c r="O38" s="74">
        <f t="shared" si="12"/>
        <v>0</v>
      </c>
      <c r="P38" s="75">
        <f t="shared" si="13"/>
        <v>0</v>
      </c>
    </row>
    <row r="39" spans="1:16" x14ac:dyDescent="0.25">
      <c r="A39" s="68" t="str">
        <f>IF(COUNTBLANK(B39)=1," ",COUNTA(B$13:B39))</f>
        <v xml:space="preserve"> </v>
      </c>
      <c r="B39" s="103"/>
      <c r="C39" s="104" t="s">
        <v>201</v>
      </c>
      <c r="D39" s="103" t="s">
        <v>89</v>
      </c>
      <c r="E39" s="102">
        <f>E35*4</f>
        <v>161.6</v>
      </c>
      <c r="F39" s="73"/>
      <c r="G39" s="74"/>
      <c r="H39" s="74">
        <f t="shared" si="7"/>
        <v>0</v>
      </c>
      <c r="I39" s="74"/>
      <c r="J39" s="74"/>
      <c r="K39" s="75">
        <f t="shared" si="8"/>
        <v>0</v>
      </c>
      <c r="L39" s="73">
        <f t="shared" si="9"/>
        <v>0</v>
      </c>
      <c r="M39" s="74">
        <f t="shared" si="10"/>
        <v>0</v>
      </c>
      <c r="N39" s="74">
        <f t="shared" si="11"/>
        <v>0</v>
      </c>
      <c r="O39" s="74">
        <f t="shared" si="12"/>
        <v>0</v>
      </c>
      <c r="P39" s="75">
        <f t="shared" si="13"/>
        <v>0</v>
      </c>
    </row>
    <row r="40" spans="1:16" x14ac:dyDescent="0.25">
      <c r="A40" s="68" t="str">
        <f>IF(COUNTBLANK(B40)=1," ",COUNTA(B$13:B40))</f>
        <v xml:space="preserve"> </v>
      </c>
      <c r="B40" s="103"/>
      <c r="C40" s="104" t="s">
        <v>88</v>
      </c>
      <c r="D40" s="105" t="s">
        <v>55</v>
      </c>
      <c r="E40" s="102">
        <f>E35*1.2</f>
        <v>48.48</v>
      </c>
      <c r="F40" s="73"/>
      <c r="G40" s="74"/>
      <c r="H40" s="79">
        <f t="shared" si="7"/>
        <v>0</v>
      </c>
      <c r="I40" s="74"/>
      <c r="J40" s="74"/>
      <c r="K40" s="80">
        <f t="shared" si="8"/>
        <v>0</v>
      </c>
      <c r="L40" s="81">
        <f t="shared" si="9"/>
        <v>0</v>
      </c>
      <c r="M40" s="79">
        <f t="shared" si="10"/>
        <v>0</v>
      </c>
      <c r="N40" s="79">
        <f t="shared" si="11"/>
        <v>0</v>
      </c>
      <c r="O40" s="79">
        <f t="shared" si="12"/>
        <v>0</v>
      </c>
      <c r="P40" s="80">
        <f t="shared" si="13"/>
        <v>0</v>
      </c>
    </row>
    <row r="41" spans="1:16" ht="22.5" x14ac:dyDescent="0.25">
      <c r="A41" s="68">
        <f>IF(COUNTBLANK(B41)=1," ",COUNTA(B$13:B41))</f>
        <v>13</v>
      </c>
      <c r="B41" s="107" t="s">
        <v>84</v>
      </c>
      <c r="C41" s="104" t="s">
        <v>202</v>
      </c>
      <c r="D41" s="105" t="s">
        <v>55</v>
      </c>
      <c r="E41" s="106">
        <f>E35</f>
        <v>40.4</v>
      </c>
      <c r="F41" s="73"/>
      <c r="G41" s="74"/>
      <c r="H41" s="74">
        <f t="shared" si="7"/>
        <v>0</v>
      </c>
      <c r="I41" s="74"/>
      <c r="J41" s="74"/>
      <c r="K41" s="75">
        <f t="shared" si="8"/>
        <v>0</v>
      </c>
      <c r="L41" s="73">
        <f t="shared" si="9"/>
        <v>0</v>
      </c>
      <c r="M41" s="74">
        <f t="shared" si="10"/>
        <v>0</v>
      </c>
      <c r="N41" s="74">
        <f t="shared" si="11"/>
        <v>0</v>
      </c>
      <c r="O41" s="74">
        <f t="shared" si="12"/>
        <v>0</v>
      </c>
      <c r="P41" s="75">
        <f t="shared" si="13"/>
        <v>0</v>
      </c>
    </row>
    <row r="42" spans="1:16" x14ac:dyDescent="0.25">
      <c r="A42" s="68" t="str">
        <f>IF(COUNTBLANK(B42)=1," ",COUNTA(B$13:B42))</f>
        <v xml:space="preserve"> </v>
      </c>
      <c r="B42" s="103"/>
      <c r="C42" s="104" t="s">
        <v>201</v>
      </c>
      <c r="D42" s="103" t="s">
        <v>89</v>
      </c>
      <c r="E42" s="102">
        <f>E41*4</f>
        <v>161.6</v>
      </c>
      <c r="F42" s="73"/>
      <c r="G42" s="74"/>
      <c r="H42" s="79">
        <f t="shared" si="7"/>
        <v>0</v>
      </c>
      <c r="I42" s="74"/>
      <c r="J42" s="74"/>
      <c r="K42" s="80">
        <f t="shared" si="8"/>
        <v>0</v>
      </c>
      <c r="L42" s="81">
        <f t="shared" si="9"/>
        <v>0</v>
      </c>
      <c r="M42" s="79">
        <f t="shared" si="10"/>
        <v>0</v>
      </c>
      <c r="N42" s="79">
        <f t="shared" si="11"/>
        <v>0</v>
      </c>
      <c r="O42" s="79">
        <f t="shared" si="12"/>
        <v>0</v>
      </c>
      <c r="P42" s="80">
        <f t="shared" si="13"/>
        <v>0</v>
      </c>
    </row>
    <row r="43" spans="1:16" x14ac:dyDescent="0.25">
      <c r="A43" s="68" t="str">
        <f>IF(COUNTBLANK(B43)=1," ",COUNTA(B$13:B43))</f>
        <v xml:space="preserve"> </v>
      </c>
      <c r="B43" s="103"/>
      <c r="C43" s="104" t="s">
        <v>88</v>
      </c>
      <c r="D43" s="105" t="s">
        <v>55</v>
      </c>
      <c r="E43" s="102">
        <f>E41*1.1</f>
        <v>44.440000000000005</v>
      </c>
      <c r="F43" s="73"/>
      <c r="G43" s="74"/>
      <c r="H43" s="74">
        <f t="shared" si="7"/>
        <v>0</v>
      </c>
      <c r="I43" s="74"/>
      <c r="J43" s="74"/>
      <c r="K43" s="75">
        <f t="shared" si="8"/>
        <v>0</v>
      </c>
      <c r="L43" s="73">
        <f t="shared" si="9"/>
        <v>0</v>
      </c>
      <c r="M43" s="74">
        <f t="shared" si="10"/>
        <v>0</v>
      </c>
      <c r="N43" s="74">
        <f t="shared" si="11"/>
        <v>0</v>
      </c>
      <c r="O43" s="74">
        <f t="shared" si="12"/>
        <v>0</v>
      </c>
      <c r="P43" s="75">
        <f t="shared" si="13"/>
        <v>0</v>
      </c>
    </row>
    <row r="44" spans="1:16" ht="56.25" x14ac:dyDescent="0.25">
      <c r="A44" s="68">
        <f>IF(COUNTBLANK(B44)=1," ",COUNTA(B$13:B44))</f>
        <v>14</v>
      </c>
      <c r="B44" s="107" t="s">
        <v>84</v>
      </c>
      <c r="C44" s="104" t="s">
        <v>294</v>
      </c>
      <c r="D44" s="105" t="s">
        <v>55</v>
      </c>
      <c r="E44" s="108">
        <f>0.3*0.5*apjomi!E13*4-2</f>
        <v>13.6</v>
      </c>
      <c r="F44" s="73"/>
      <c r="G44" s="74"/>
      <c r="H44" s="74">
        <f t="shared" si="7"/>
        <v>0</v>
      </c>
      <c r="I44" s="74"/>
      <c r="J44" s="74"/>
      <c r="K44" s="75">
        <f t="shared" si="8"/>
        <v>0</v>
      </c>
      <c r="L44" s="73">
        <f t="shared" si="9"/>
        <v>0</v>
      </c>
      <c r="M44" s="74">
        <f t="shared" si="10"/>
        <v>0</v>
      </c>
      <c r="N44" s="74">
        <f t="shared" si="11"/>
        <v>0</v>
      </c>
      <c r="O44" s="74">
        <f t="shared" si="12"/>
        <v>0</v>
      </c>
      <c r="P44" s="75">
        <f t="shared" si="13"/>
        <v>0</v>
      </c>
    </row>
    <row r="45" spans="1:16" x14ac:dyDescent="0.25">
      <c r="A45" s="68" t="str">
        <f>IF(COUNTBLANK(B45)=1," ",COUNTA(B$13:B45))</f>
        <v xml:space="preserve"> </v>
      </c>
      <c r="B45" s="103"/>
      <c r="C45" s="104" t="s">
        <v>201</v>
      </c>
      <c r="D45" s="103" t="s">
        <v>89</v>
      </c>
      <c r="E45" s="102">
        <f>E44*5</f>
        <v>68</v>
      </c>
      <c r="F45" s="73"/>
      <c r="G45" s="74"/>
      <c r="H45" s="79">
        <f t="shared" si="7"/>
        <v>0</v>
      </c>
      <c r="I45" s="74"/>
      <c r="J45" s="74"/>
      <c r="K45" s="80">
        <f t="shared" si="8"/>
        <v>0</v>
      </c>
      <c r="L45" s="81">
        <f t="shared" si="9"/>
        <v>0</v>
      </c>
      <c r="M45" s="79">
        <f t="shared" si="10"/>
        <v>0</v>
      </c>
      <c r="N45" s="79">
        <f t="shared" si="11"/>
        <v>0</v>
      </c>
      <c r="O45" s="79">
        <f t="shared" si="12"/>
        <v>0</v>
      </c>
      <c r="P45" s="80">
        <f t="shared" si="13"/>
        <v>0</v>
      </c>
    </row>
    <row r="46" spans="1:16" x14ac:dyDescent="0.25">
      <c r="A46" s="68" t="str">
        <f>IF(COUNTBLANK(B46)=1," ",COUNTA(B$13:B46))</f>
        <v xml:space="preserve"> </v>
      </c>
      <c r="B46" s="103"/>
      <c r="C46" s="104" t="s">
        <v>88</v>
      </c>
      <c r="D46" s="105" t="s">
        <v>55</v>
      </c>
      <c r="E46" s="102">
        <f>E44*1.1</f>
        <v>14.96</v>
      </c>
      <c r="F46" s="73"/>
      <c r="G46" s="74"/>
      <c r="H46" s="74">
        <f t="shared" si="7"/>
        <v>0</v>
      </c>
      <c r="I46" s="74"/>
      <c r="J46" s="74"/>
      <c r="K46" s="75">
        <f t="shared" si="8"/>
        <v>0</v>
      </c>
      <c r="L46" s="73">
        <f t="shared" si="9"/>
        <v>0</v>
      </c>
      <c r="M46" s="74">
        <f t="shared" si="10"/>
        <v>0</v>
      </c>
      <c r="N46" s="74">
        <f t="shared" si="11"/>
        <v>0</v>
      </c>
      <c r="O46" s="74">
        <f t="shared" si="12"/>
        <v>0</v>
      </c>
      <c r="P46" s="75">
        <f t="shared" si="13"/>
        <v>0</v>
      </c>
    </row>
    <row r="47" spans="1:16" x14ac:dyDescent="0.25">
      <c r="A47" s="68">
        <f>IF(COUNTBLANK(B47)=1," ",COUNTA(B$13:B47))</f>
        <v>15</v>
      </c>
      <c r="B47" s="97" t="s">
        <v>84</v>
      </c>
      <c r="C47" s="100" t="s">
        <v>295</v>
      </c>
      <c r="D47" s="98" t="s">
        <v>86</v>
      </c>
      <c r="E47" s="109">
        <f>apjomi!R13</f>
        <v>125.05</v>
      </c>
      <c r="F47" s="73"/>
      <c r="G47" s="74"/>
      <c r="H47" s="79">
        <f t="shared" si="7"/>
        <v>0</v>
      </c>
      <c r="I47" s="74"/>
      <c r="J47" s="74"/>
      <c r="K47" s="80">
        <f t="shared" si="8"/>
        <v>0</v>
      </c>
      <c r="L47" s="81">
        <f t="shared" si="9"/>
        <v>0</v>
      </c>
      <c r="M47" s="79">
        <f t="shared" si="10"/>
        <v>0</v>
      </c>
      <c r="N47" s="79">
        <f t="shared" si="11"/>
        <v>0</v>
      </c>
      <c r="O47" s="79">
        <f t="shared" si="12"/>
        <v>0</v>
      </c>
      <c r="P47" s="80">
        <f t="shared" si="13"/>
        <v>0</v>
      </c>
    </row>
    <row r="48" spans="1:16" x14ac:dyDescent="0.25">
      <c r="A48" s="68">
        <f>IF(COUNTBLANK(B48)=1," ",COUNTA(B$13:B48))</f>
        <v>16</v>
      </c>
      <c r="B48" s="97" t="s">
        <v>84</v>
      </c>
      <c r="C48" s="100" t="s">
        <v>296</v>
      </c>
      <c r="D48" s="98" t="s">
        <v>86</v>
      </c>
      <c r="E48" s="109">
        <f>apjomi!S13</f>
        <v>125.05</v>
      </c>
      <c r="F48" s="73"/>
      <c r="G48" s="74"/>
      <c r="H48" s="74">
        <f t="shared" si="7"/>
        <v>0</v>
      </c>
      <c r="I48" s="74"/>
      <c r="J48" s="74"/>
      <c r="K48" s="75">
        <f t="shared" si="8"/>
        <v>0</v>
      </c>
      <c r="L48" s="73">
        <f t="shared" si="9"/>
        <v>0</v>
      </c>
      <c r="M48" s="74">
        <f t="shared" si="10"/>
        <v>0</v>
      </c>
      <c r="N48" s="74">
        <f t="shared" si="11"/>
        <v>0</v>
      </c>
      <c r="O48" s="74">
        <f t="shared" si="12"/>
        <v>0</v>
      </c>
      <c r="P48" s="75">
        <f t="shared" si="13"/>
        <v>0</v>
      </c>
    </row>
    <row r="49" spans="1:16" x14ac:dyDescent="0.25">
      <c r="A49" s="68">
        <f>IF(COUNTBLANK(B49)=1," ",COUNTA(B$13:B49))</f>
        <v>17</v>
      </c>
      <c r="B49" s="97" t="s">
        <v>84</v>
      </c>
      <c r="C49" s="100" t="s">
        <v>297</v>
      </c>
      <c r="D49" s="98" t="s">
        <v>86</v>
      </c>
      <c r="E49" s="109">
        <f>apjomi!T13</f>
        <v>48.449999999999996</v>
      </c>
      <c r="F49" s="73"/>
      <c r="G49" s="74"/>
      <c r="H49" s="74">
        <f t="shared" si="7"/>
        <v>0</v>
      </c>
      <c r="I49" s="74"/>
      <c r="J49" s="74"/>
      <c r="K49" s="75">
        <f t="shared" si="8"/>
        <v>0</v>
      </c>
      <c r="L49" s="73">
        <f t="shared" si="9"/>
        <v>0</v>
      </c>
      <c r="M49" s="74">
        <f t="shared" si="10"/>
        <v>0</v>
      </c>
      <c r="N49" s="74">
        <f t="shared" si="11"/>
        <v>0</v>
      </c>
      <c r="O49" s="74">
        <f t="shared" si="12"/>
        <v>0</v>
      </c>
      <c r="P49" s="75">
        <f t="shared" si="13"/>
        <v>0</v>
      </c>
    </row>
    <row r="50" spans="1:16" x14ac:dyDescent="0.25">
      <c r="A50" s="68">
        <f>IF(COUNTBLANK(B50)=1," ",COUNTA(B$13:B50))</f>
        <v>18</v>
      </c>
      <c r="B50" s="97" t="s">
        <v>84</v>
      </c>
      <c r="C50" s="100" t="s">
        <v>298</v>
      </c>
      <c r="D50" s="98" t="s">
        <v>86</v>
      </c>
      <c r="E50" s="109">
        <f>apjomi!U13</f>
        <v>45.8</v>
      </c>
      <c r="F50" s="73"/>
      <c r="G50" s="74"/>
      <c r="H50" s="79">
        <f t="shared" si="7"/>
        <v>0</v>
      </c>
      <c r="I50" s="74"/>
      <c r="J50" s="74"/>
      <c r="K50" s="80">
        <f t="shared" si="8"/>
        <v>0</v>
      </c>
      <c r="L50" s="81">
        <f t="shared" si="9"/>
        <v>0</v>
      </c>
      <c r="M50" s="79">
        <f t="shared" si="10"/>
        <v>0</v>
      </c>
      <c r="N50" s="79">
        <f t="shared" si="11"/>
        <v>0</v>
      </c>
      <c r="O50" s="79">
        <f t="shared" si="12"/>
        <v>0</v>
      </c>
      <c r="P50" s="80">
        <f t="shared" si="13"/>
        <v>0</v>
      </c>
    </row>
    <row r="51" spans="1:16" x14ac:dyDescent="0.25">
      <c r="A51" s="68">
        <f>IF(COUNTBLANK(B51)=1," ",COUNTA(B$13:B51))</f>
        <v>19</v>
      </c>
      <c r="B51" s="97" t="s">
        <v>84</v>
      </c>
      <c r="C51" s="110" t="s">
        <v>299</v>
      </c>
      <c r="D51" s="103" t="s">
        <v>86</v>
      </c>
      <c r="E51" s="102">
        <f>apjomi!V13</f>
        <v>68.400000000000006</v>
      </c>
      <c r="F51" s="73"/>
      <c r="G51" s="74"/>
      <c r="H51" s="74">
        <f t="shared" si="7"/>
        <v>0</v>
      </c>
      <c r="I51" s="74"/>
      <c r="J51" s="74"/>
      <c r="K51" s="75">
        <f t="shared" si="8"/>
        <v>0</v>
      </c>
      <c r="L51" s="73">
        <f t="shared" si="9"/>
        <v>0</v>
      </c>
      <c r="M51" s="74">
        <f t="shared" si="10"/>
        <v>0</v>
      </c>
      <c r="N51" s="74">
        <f t="shared" si="11"/>
        <v>0</v>
      </c>
      <c r="O51" s="74">
        <f t="shared" si="12"/>
        <v>0</v>
      </c>
      <c r="P51" s="75">
        <f t="shared" si="13"/>
        <v>0</v>
      </c>
    </row>
    <row r="52" spans="1:16" ht="22.5" x14ac:dyDescent="0.25">
      <c r="A52" s="68">
        <f>IF(COUNTBLANK(B52)=1," ",COUNTA(B$13:B52))</f>
        <v>20</v>
      </c>
      <c r="B52" s="69" t="s">
        <v>84</v>
      </c>
      <c r="C52" s="104" t="s">
        <v>87</v>
      </c>
      <c r="D52" s="111" t="s">
        <v>86</v>
      </c>
      <c r="E52" s="108">
        <f>6.8*4</f>
        <v>27.2</v>
      </c>
      <c r="F52" s="73"/>
      <c r="G52" s="74"/>
      <c r="H52" s="79">
        <f t="shared" si="7"/>
        <v>0</v>
      </c>
      <c r="I52" s="74"/>
      <c r="J52" s="74"/>
      <c r="K52" s="80">
        <f t="shared" si="8"/>
        <v>0</v>
      </c>
      <c r="L52" s="81">
        <f t="shared" si="9"/>
        <v>0</v>
      </c>
      <c r="M52" s="79">
        <f t="shared" si="10"/>
        <v>0</v>
      </c>
      <c r="N52" s="79">
        <f t="shared" si="11"/>
        <v>0</v>
      </c>
      <c r="O52" s="79">
        <f t="shared" si="12"/>
        <v>0</v>
      </c>
      <c r="P52" s="80">
        <f t="shared" si="13"/>
        <v>0</v>
      </c>
    </row>
    <row r="53" spans="1:16" x14ac:dyDescent="0.25">
      <c r="A53" s="68">
        <f>IF(COUNTBLANK(B53)=1," ",COUNTA(B$13:B53))</f>
        <v>21</v>
      </c>
      <c r="B53" s="112" t="s">
        <v>84</v>
      </c>
      <c r="C53" s="113" t="s">
        <v>203</v>
      </c>
      <c r="D53" s="91" t="s">
        <v>56</v>
      </c>
      <c r="E53" s="114">
        <f>apjomi!C12</f>
        <v>6</v>
      </c>
      <c r="F53" s="73"/>
      <c r="G53" s="74"/>
      <c r="H53" s="74">
        <f t="shared" si="7"/>
        <v>0</v>
      </c>
      <c r="I53" s="74"/>
      <c r="J53" s="74"/>
      <c r="K53" s="75">
        <f t="shared" si="8"/>
        <v>0</v>
      </c>
      <c r="L53" s="73">
        <f t="shared" si="9"/>
        <v>0</v>
      </c>
      <c r="M53" s="74">
        <f t="shared" si="10"/>
        <v>0</v>
      </c>
      <c r="N53" s="74">
        <f t="shared" si="11"/>
        <v>0</v>
      </c>
      <c r="O53" s="74">
        <f t="shared" si="12"/>
        <v>0</v>
      </c>
      <c r="P53" s="75">
        <f t="shared" si="13"/>
        <v>0</v>
      </c>
    </row>
    <row r="54" spans="1:16" x14ac:dyDescent="0.25">
      <c r="A54" s="68" t="str">
        <f>IF(COUNTBLANK(B54)=1," ",COUNTA(B$13:B54))</f>
        <v xml:space="preserve"> </v>
      </c>
      <c r="B54" s="91"/>
      <c r="C54" s="113" t="s">
        <v>204</v>
      </c>
      <c r="D54" s="91" t="s">
        <v>142</v>
      </c>
      <c r="E54" s="116">
        <f>E53</f>
        <v>6</v>
      </c>
      <c r="F54" s="73"/>
      <c r="G54" s="74"/>
      <c r="H54" s="74">
        <f t="shared" si="7"/>
        <v>0</v>
      </c>
      <c r="I54" s="74"/>
      <c r="J54" s="74"/>
      <c r="K54" s="75">
        <f t="shared" si="8"/>
        <v>0</v>
      </c>
      <c r="L54" s="73">
        <f t="shared" si="9"/>
        <v>0</v>
      </c>
      <c r="M54" s="74">
        <f t="shared" si="10"/>
        <v>0</v>
      </c>
      <c r="N54" s="74">
        <f t="shared" si="11"/>
        <v>0</v>
      </c>
      <c r="O54" s="74">
        <f t="shared" si="12"/>
        <v>0</v>
      </c>
      <c r="P54" s="75">
        <f t="shared" si="13"/>
        <v>0</v>
      </c>
    </row>
    <row r="55" spans="1:16" x14ac:dyDescent="0.25">
      <c r="A55" s="68">
        <f>IF(COUNTBLANK(B55)=1," ",COUNTA(B$13:B55))</f>
        <v>22</v>
      </c>
      <c r="B55" s="76" t="s">
        <v>84</v>
      </c>
      <c r="C55" s="104" t="s">
        <v>85</v>
      </c>
      <c r="D55" s="102" t="s">
        <v>91</v>
      </c>
      <c r="E55" s="117">
        <v>1</v>
      </c>
      <c r="F55" s="73"/>
      <c r="G55" s="74"/>
      <c r="H55" s="79">
        <f t="shared" si="7"/>
        <v>0</v>
      </c>
      <c r="I55" s="74"/>
      <c r="J55" s="74"/>
      <c r="K55" s="80">
        <f t="shared" si="8"/>
        <v>0</v>
      </c>
      <c r="L55" s="81">
        <f t="shared" si="9"/>
        <v>0</v>
      </c>
      <c r="M55" s="79">
        <f t="shared" si="10"/>
        <v>0</v>
      </c>
      <c r="N55" s="79">
        <f t="shared" si="11"/>
        <v>0</v>
      </c>
      <c r="O55" s="79">
        <f t="shared" si="12"/>
        <v>0</v>
      </c>
      <c r="P55" s="80">
        <f t="shared" si="13"/>
        <v>0</v>
      </c>
    </row>
    <row r="56" spans="1:16" ht="101.25" x14ac:dyDescent="0.25">
      <c r="A56" s="68">
        <f>IF(COUNTBLANK(B56)=1," ",COUNTA(B$13:B56))</f>
        <v>23</v>
      </c>
      <c r="B56" s="118" t="s">
        <v>84</v>
      </c>
      <c r="C56" s="29" t="s">
        <v>153</v>
      </c>
      <c r="D56" s="30" t="s">
        <v>115</v>
      </c>
      <c r="E56" s="31">
        <v>2</v>
      </c>
      <c r="F56" s="73"/>
      <c r="G56" s="74"/>
      <c r="H56" s="74">
        <f t="shared" si="7"/>
        <v>0</v>
      </c>
      <c r="I56" s="74"/>
      <c r="J56" s="74"/>
      <c r="K56" s="75">
        <f t="shared" si="8"/>
        <v>0</v>
      </c>
      <c r="L56" s="73">
        <f t="shared" si="9"/>
        <v>0</v>
      </c>
      <c r="M56" s="74">
        <f t="shared" si="10"/>
        <v>0</v>
      </c>
      <c r="N56" s="74">
        <f t="shared" si="11"/>
        <v>0</v>
      </c>
      <c r="O56" s="74">
        <f t="shared" si="12"/>
        <v>0</v>
      </c>
      <c r="P56" s="75">
        <f t="shared" si="13"/>
        <v>0</v>
      </c>
    </row>
    <row r="57" spans="1:16" x14ac:dyDescent="0.25">
      <c r="A57" s="68">
        <f>IF(COUNTBLANK(B57)=1," ",COUNTA(B$13:B57))</f>
        <v>24</v>
      </c>
      <c r="B57" s="76" t="s">
        <v>84</v>
      </c>
      <c r="C57" s="119" t="s">
        <v>83</v>
      </c>
      <c r="D57" s="120" t="s">
        <v>82</v>
      </c>
      <c r="E57" s="121">
        <f>E24*0.01</f>
        <v>3.66</v>
      </c>
      <c r="F57" s="73"/>
      <c r="G57" s="74"/>
      <c r="H57" s="79">
        <f t="shared" si="7"/>
        <v>0</v>
      </c>
      <c r="I57" s="74"/>
      <c r="J57" s="74"/>
      <c r="K57" s="80">
        <f t="shared" si="8"/>
        <v>0</v>
      </c>
      <c r="L57" s="81">
        <f t="shared" si="9"/>
        <v>0</v>
      </c>
      <c r="M57" s="79">
        <f t="shared" si="10"/>
        <v>0</v>
      </c>
      <c r="N57" s="79">
        <f t="shared" si="11"/>
        <v>0</v>
      </c>
      <c r="O57" s="79">
        <f t="shared" si="12"/>
        <v>0</v>
      </c>
      <c r="P57" s="80">
        <f t="shared" si="13"/>
        <v>0</v>
      </c>
    </row>
    <row r="58" spans="1:16" ht="15.75" thickBot="1" x14ac:dyDescent="0.3">
      <c r="A58" s="68" t="str">
        <f>IF(COUNTBLANK(B58)=1," ",COUNTA(B$13:B58))</f>
        <v xml:space="preserve"> </v>
      </c>
      <c r="B58" s="76"/>
      <c r="C58" s="119" t="s">
        <v>81</v>
      </c>
      <c r="D58" s="120" t="s">
        <v>80</v>
      </c>
      <c r="E58" s="122">
        <f>E57/8</f>
        <v>0.45750000000000002</v>
      </c>
      <c r="F58" s="73"/>
      <c r="G58" s="74"/>
      <c r="H58" s="74">
        <f t="shared" si="7"/>
        <v>0</v>
      </c>
      <c r="I58" s="74"/>
      <c r="J58" s="74"/>
      <c r="K58" s="75">
        <f t="shared" si="8"/>
        <v>0</v>
      </c>
      <c r="L58" s="73">
        <f t="shared" si="9"/>
        <v>0</v>
      </c>
      <c r="M58" s="74">
        <f t="shared" si="10"/>
        <v>0</v>
      </c>
      <c r="N58" s="74">
        <f t="shared" si="11"/>
        <v>0</v>
      </c>
      <c r="O58" s="74">
        <f t="shared" si="12"/>
        <v>0</v>
      </c>
      <c r="P58" s="75">
        <f t="shared" si="13"/>
        <v>0</v>
      </c>
    </row>
    <row r="59" spans="1:16" ht="15" customHeight="1" thickBot="1" x14ac:dyDescent="0.3">
      <c r="A59" s="290" t="s">
        <v>280</v>
      </c>
      <c r="B59" s="290"/>
      <c r="C59" s="290"/>
      <c r="D59" s="290"/>
      <c r="E59" s="290"/>
      <c r="F59" s="290"/>
      <c r="G59" s="290"/>
      <c r="H59" s="290"/>
      <c r="I59" s="290"/>
      <c r="J59" s="290"/>
      <c r="K59" s="291"/>
      <c r="L59" s="123">
        <f>SUM(L14:L58)</f>
        <v>0</v>
      </c>
      <c r="M59" s="124">
        <f>SUM(M14:M58)</f>
        <v>0</v>
      </c>
      <c r="N59" s="124">
        <f>SUM(N14:N58)</f>
        <v>0</v>
      </c>
      <c r="O59" s="124">
        <f>SUM(O14:O58)</f>
        <v>0</v>
      </c>
      <c r="P59" s="125">
        <f>SUM(P14:P58)</f>
        <v>0</v>
      </c>
    </row>
    <row r="60" spans="1:16" x14ac:dyDescent="0.25">
      <c r="A60" s="56"/>
      <c r="B60" s="56"/>
      <c r="C60" s="56"/>
      <c r="D60" s="56"/>
      <c r="E60" s="56"/>
      <c r="F60" s="56"/>
      <c r="G60" s="56"/>
      <c r="H60" s="56"/>
      <c r="I60" s="56"/>
      <c r="J60" s="56"/>
      <c r="K60" s="56"/>
      <c r="L60" s="56"/>
      <c r="M60" s="56"/>
      <c r="N60" s="56"/>
      <c r="O60" s="56"/>
      <c r="P60" s="56"/>
    </row>
    <row r="61" spans="1:16" x14ac:dyDescent="0.25">
      <c r="A61" s="56"/>
      <c r="B61" s="56"/>
      <c r="C61" s="56"/>
      <c r="D61" s="56"/>
      <c r="E61" s="56"/>
      <c r="F61" s="56"/>
      <c r="G61" s="56"/>
      <c r="H61" s="56"/>
      <c r="I61" s="56"/>
      <c r="J61" s="56"/>
      <c r="K61" s="56"/>
      <c r="L61" s="56"/>
      <c r="M61" s="56"/>
      <c r="N61" s="56"/>
      <c r="O61" s="56"/>
      <c r="P61" s="56"/>
    </row>
    <row r="62" spans="1:16" x14ac:dyDescent="0.25">
      <c r="A62" s="51" t="s">
        <v>14</v>
      </c>
      <c r="B62" s="56"/>
      <c r="C62" s="268">
        <f>sas</f>
        <v>0</v>
      </c>
      <c r="D62" s="268"/>
      <c r="E62" s="268"/>
      <c r="F62" s="268"/>
      <c r="G62" s="268"/>
      <c r="H62" s="268"/>
      <c r="I62" s="56"/>
      <c r="J62" s="56"/>
      <c r="K62" s="56"/>
      <c r="L62" s="56"/>
      <c r="M62" s="56"/>
      <c r="N62" s="56"/>
      <c r="O62" s="56"/>
      <c r="P62" s="56"/>
    </row>
    <row r="63" spans="1:16" x14ac:dyDescent="0.25">
      <c r="A63" s="56"/>
      <c r="B63" s="56"/>
      <c r="C63" s="265" t="s">
        <v>15</v>
      </c>
      <c r="D63" s="265"/>
      <c r="E63" s="265"/>
      <c r="F63" s="265"/>
      <c r="G63" s="265"/>
      <c r="H63" s="265"/>
      <c r="I63" s="56"/>
      <c r="J63" s="56"/>
      <c r="K63" s="56"/>
      <c r="L63" s="56"/>
      <c r="M63" s="56"/>
      <c r="N63" s="56"/>
      <c r="O63" s="56"/>
      <c r="P63" s="56"/>
    </row>
    <row r="64" spans="1:16" x14ac:dyDescent="0.25">
      <c r="A64" s="56"/>
      <c r="B64" s="56"/>
      <c r="C64" s="56"/>
      <c r="D64" s="56"/>
      <c r="E64" s="56"/>
      <c r="F64" s="56"/>
      <c r="G64" s="56"/>
      <c r="H64" s="56"/>
      <c r="I64" s="56"/>
      <c r="J64" s="56"/>
      <c r="K64" s="56"/>
      <c r="L64" s="56"/>
      <c r="M64" s="56"/>
      <c r="N64" s="56"/>
      <c r="O64" s="56"/>
      <c r="P64" s="56"/>
    </row>
    <row r="65" spans="1:16" x14ac:dyDescent="0.25">
      <c r="A65" s="126" t="str">
        <f>'Kops a'!A33</f>
        <v>Tāme sastādīta 2021.gada</v>
      </c>
      <c r="B65" s="127"/>
      <c r="C65" s="127"/>
      <c r="D65" s="127"/>
      <c r="F65" s="56"/>
      <c r="G65" s="56"/>
      <c r="H65" s="56"/>
      <c r="I65" s="56"/>
      <c r="J65" s="56"/>
      <c r="K65" s="56"/>
      <c r="L65" s="56"/>
      <c r="M65" s="56"/>
      <c r="N65" s="56"/>
      <c r="O65" s="56"/>
      <c r="P65" s="56"/>
    </row>
    <row r="66" spans="1:16" x14ac:dyDescent="0.25">
      <c r="A66" s="56"/>
      <c r="B66" s="56"/>
      <c r="C66" s="56"/>
      <c r="D66" s="56"/>
      <c r="E66" s="56"/>
      <c r="F66" s="56"/>
      <c r="G66" s="56"/>
      <c r="H66" s="56"/>
      <c r="I66" s="56"/>
      <c r="J66" s="56"/>
      <c r="K66" s="56"/>
      <c r="L66" s="56"/>
      <c r="M66" s="56"/>
      <c r="N66" s="56"/>
      <c r="O66" s="56"/>
      <c r="P66" s="56"/>
    </row>
    <row r="67" spans="1:16" x14ac:dyDescent="0.25">
      <c r="A67" s="51" t="s">
        <v>38</v>
      </c>
      <c r="B67" s="56"/>
      <c r="C67" s="268">
        <f>C62</f>
        <v>0</v>
      </c>
      <c r="D67" s="268"/>
      <c r="E67" s="268"/>
      <c r="F67" s="268"/>
      <c r="G67" s="268"/>
      <c r="H67" s="268"/>
      <c r="I67" s="56"/>
      <c r="J67" s="56"/>
      <c r="K67" s="56"/>
      <c r="L67" s="56"/>
      <c r="M67" s="56"/>
      <c r="N67" s="56"/>
      <c r="O67" s="56"/>
      <c r="P67" s="56"/>
    </row>
    <row r="68" spans="1:16" x14ac:dyDescent="0.25">
      <c r="A68" s="56"/>
      <c r="B68" s="56"/>
      <c r="C68" s="265" t="s">
        <v>15</v>
      </c>
      <c r="D68" s="265"/>
      <c r="E68" s="265"/>
      <c r="F68" s="265"/>
      <c r="G68" s="265"/>
      <c r="H68" s="265"/>
      <c r="I68" s="56"/>
      <c r="J68" s="56"/>
      <c r="K68" s="56"/>
      <c r="L68" s="56"/>
      <c r="M68" s="56"/>
      <c r="N68" s="56"/>
      <c r="O68" s="56"/>
      <c r="P68" s="56"/>
    </row>
    <row r="69" spans="1:16" x14ac:dyDescent="0.25">
      <c r="A69" s="56"/>
      <c r="B69" s="56"/>
      <c r="C69" s="56"/>
      <c r="D69" s="56"/>
      <c r="E69" s="56"/>
      <c r="F69" s="56"/>
      <c r="G69" s="56"/>
      <c r="H69" s="56"/>
      <c r="I69" s="56"/>
      <c r="J69" s="56"/>
      <c r="K69" s="56"/>
      <c r="L69" s="56"/>
      <c r="M69" s="56"/>
      <c r="N69" s="56"/>
      <c r="O69" s="56"/>
      <c r="P69" s="56"/>
    </row>
    <row r="70" spans="1:16" x14ac:dyDescent="0.25">
      <c r="A70" s="126" t="s">
        <v>53</v>
      </c>
      <c r="B70" s="127"/>
      <c r="C70" s="260">
        <f>sert.nr</f>
        <v>0</v>
      </c>
      <c r="D70" s="127"/>
      <c r="F70" s="56"/>
      <c r="G70" s="56"/>
      <c r="H70" s="56"/>
      <c r="I70" s="56"/>
      <c r="J70" s="56"/>
      <c r="K70" s="56"/>
      <c r="L70" s="56"/>
      <c r="M70" s="56"/>
      <c r="N70" s="56"/>
      <c r="O70" s="56"/>
      <c r="P70" s="56"/>
    </row>
    <row r="71" spans="1:16" x14ac:dyDescent="0.25">
      <c r="A71" s="51" t="s">
        <v>288</v>
      </c>
    </row>
    <row r="72" spans="1:16" x14ac:dyDescent="0.25">
      <c r="A72" s="51" t="s">
        <v>289</v>
      </c>
    </row>
    <row r="73" spans="1:16" x14ac:dyDescent="0.25">
      <c r="A73" s="51" t="s">
        <v>290</v>
      </c>
    </row>
  </sheetData>
  <mergeCells count="22">
    <mergeCell ref="C2:I2"/>
    <mergeCell ref="C3:I3"/>
    <mergeCell ref="C4:I4"/>
    <mergeCell ref="D5:L5"/>
    <mergeCell ref="D6:L6"/>
    <mergeCell ref="D7:L7"/>
    <mergeCell ref="D8:L8"/>
    <mergeCell ref="A9:F9"/>
    <mergeCell ref="J9:M9"/>
    <mergeCell ref="N9:O9"/>
    <mergeCell ref="C67:H67"/>
    <mergeCell ref="C68:H68"/>
    <mergeCell ref="F12:K12"/>
    <mergeCell ref="L12:P12"/>
    <mergeCell ref="A59:K59"/>
    <mergeCell ref="C62:H62"/>
    <mergeCell ref="C63:H63"/>
    <mergeCell ref="A12:A13"/>
    <mergeCell ref="B12:B13"/>
    <mergeCell ref="C12:C13"/>
    <mergeCell ref="D12:D13"/>
    <mergeCell ref="E12:E13"/>
  </mergeCells>
  <phoneticPr fontId="23" type="noConversion"/>
  <conditionalFormatting sqref="C4:I4 A14:E16 A17:D17 B50:E52 A57:E58 B55:E56 A50:A56 A18:E49">
    <cfRule type="cellIs" dxfId="84" priority="29" operator="equal">
      <formula>0</formula>
    </cfRule>
  </conditionalFormatting>
  <conditionalFormatting sqref="N9:O9 C2:I2 D5:L8">
    <cfRule type="cellIs" dxfId="83" priority="30" operator="equal">
      <formula>0</formula>
    </cfRule>
  </conditionalFormatting>
  <conditionalFormatting sqref="A9:F9">
    <cfRule type="containsText" dxfId="82" priority="31" operator="containsText" text="Tāme sastādīta  20__. gada tirgus cenās, pamatojoties uz ___ daļas rasējumiem"/>
  </conditionalFormatting>
  <conditionalFormatting sqref="O10:P10">
    <cfRule type="cellIs" dxfId="81" priority="33" operator="equal">
      <formula>"20__. gada __. _________"</formula>
    </cfRule>
  </conditionalFormatting>
  <conditionalFormatting sqref="L59:P59">
    <cfRule type="cellIs" dxfId="80" priority="37" operator="equal">
      <formula>0</formula>
    </cfRule>
  </conditionalFormatting>
  <conditionalFormatting sqref="D1">
    <cfRule type="cellIs" dxfId="79" priority="41" operator="equal">
      <formula>0</formula>
    </cfRule>
  </conditionalFormatting>
  <conditionalFormatting sqref="B53:E53">
    <cfRule type="cellIs" dxfId="78" priority="9" operator="equal">
      <formula>0</formula>
    </cfRule>
  </conditionalFormatting>
  <conditionalFormatting sqref="B54:E54">
    <cfRule type="cellIs" dxfId="77" priority="7" operator="equal">
      <formula>0</formula>
    </cfRule>
  </conditionalFormatting>
  <conditionalFormatting sqref="I14:J58 F14:G58">
    <cfRule type="cellIs" dxfId="76" priority="6" operator="equal">
      <formula>0</formula>
    </cfRule>
  </conditionalFormatting>
  <conditionalFormatting sqref="H14:H58 K14:P58">
    <cfRule type="cellIs" dxfId="75" priority="5" operator="equal">
      <formula>0</formula>
    </cfRule>
  </conditionalFormatting>
  <conditionalFormatting sqref="A59:K59">
    <cfRule type="containsText" dxfId="74" priority="4" operator="containsText" text="Tāme sastādīta  20__. gada tirgus cenās, pamatojoties uz ___ daļas rasējumiem"/>
  </conditionalFormatting>
  <conditionalFormatting sqref="C67:H67">
    <cfRule type="cellIs" dxfId="73" priority="1" operator="equal">
      <formula>0</formula>
    </cfRule>
  </conditionalFormatting>
  <conditionalFormatting sqref="C62:H62">
    <cfRule type="cellIs" dxfId="72" priority="2" operator="equal">
      <formula>0</formula>
    </cfRule>
  </conditionalFormatting>
  <conditionalFormatting sqref="C70">
    <cfRule type="cellIs" dxfId="71" priority="3" operator="equal">
      <formula>0</formula>
    </cfRule>
  </conditionalFormatting>
  <pageMargins left="0.19685039370078741" right="0.19685039370078741" top="0.75196850393700787" bottom="0.39370078740157483" header="0.51181102362204722" footer="0.51181102362204722"/>
  <pageSetup paperSize="9" scale="70" firstPageNumber="0" orientation="landscape" horizontalDpi="300" verticalDpi="300" r:id="rId1"/>
  <rowBreaks count="1" manualBreakCount="1">
    <brk id="34" max="15"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AME71"/>
  <sheetViews>
    <sheetView view="pageBreakPreview" topLeftCell="A36" zoomScale="115" zoomScaleNormal="100" zoomScaleSheetLayoutView="115" workbookViewId="0">
      <selection activeCell="C36" sqref="C36"/>
    </sheetView>
  </sheetViews>
  <sheetFormatPr defaultColWidth="9.140625" defaultRowHeight="15" x14ac:dyDescent="0.25"/>
  <cols>
    <col min="1" max="1" width="4.5703125" style="115" customWidth="1"/>
    <col min="2" max="2" width="5.28515625" style="115" customWidth="1"/>
    <col min="3" max="3" width="38.42578125" style="115" customWidth="1"/>
    <col min="4" max="4" width="5.85546875" style="115" customWidth="1"/>
    <col min="5" max="5" width="5.7109375" style="115" customWidth="1"/>
    <col min="6" max="6" width="5.42578125" style="115" customWidth="1"/>
    <col min="7" max="7" width="4.85546875" style="115" customWidth="1"/>
    <col min="8" max="10" width="6.7109375" style="115" customWidth="1"/>
    <col min="11" max="11" width="7" style="115" customWidth="1"/>
    <col min="12" max="15" width="7.7109375" style="115" customWidth="1"/>
    <col min="16" max="16" width="9" style="115" customWidth="1"/>
    <col min="17" max="1019" width="9.140625" style="115" customWidth="1"/>
    <col min="1020" max="16384" width="9.140625" style="259"/>
  </cols>
  <sheetData>
    <row r="1" spans="1:1019" x14ac:dyDescent="0.25">
      <c r="A1" s="48"/>
      <c r="B1" s="48"/>
      <c r="C1" s="49" t="s">
        <v>39</v>
      </c>
      <c r="D1" s="197">
        <f>'Kops a'!A16</f>
        <v>2</v>
      </c>
      <c r="E1" s="128"/>
      <c r="F1" s="128"/>
      <c r="G1" s="128"/>
      <c r="H1" s="128"/>
      <c r="I1" s="128"/>
      <c r="J1" s="128"/>
      <c r="K1" s="198"/>
      <c r="L1" s="198"/>
      <c r="O1" s="48"/>
      <c r="P1" s="48"/>
    </row>
    <row r="2" spans="1:1019" x14ac:dyDescent="0.25">
      <c r="A2" s="48"/>
      <c r="B2" s="48"/>
      <c r="C2" s="320" t="s">
        <v>170</v>
      </c>
      <c r="D2" s="320"/>
      <c r="E2" s="320"/>
      <c r="F2" s="320"/>
      <c r="G2" s="320"/>
      <c r="H2" s="320"/>
      <c r="I2" s="320"/>
      <c r="J2" s="128"/>
      <c r="K2" s="198"/>
      <c r="L2" s="198"/>
    </row>
    <row r="3" spans="1:1019" x14ac:dyDescent="0.25">
      <c r="A3" s="48"/>
      <c r="B3" s="48"/>
      <c r="C3" s="286" t="s">
        <v>18</v>
      </c>
      <c r="D3" s="286"/>
      <c r="E3" s="286"/>
      <c r="F3" s="286"/>
      <c r="G3" s="286"/>
      <c r="H3" s="286"/>
      <c r="I3" s="286"/>
      <c r="J3" s="128"/>
      <c r="K3" s="198"/>
      <c r="L3" s="198"/>
    </row>
    <row r="4" spans="1:1019" x14ac:dyDescent="0.25">
      <c r="A4" s="48"/>
      <c r="B4" s="48"/>
      <c r="C4" s="302" t="s">
        <v>4</v>
      </c>
      <c r="D4" s="302"/>
      <c r="E4" s="302"/>
      <c r="F4" s="302"/>
      <c r="G4" s="302"/>
      <c r="H4" s="302"/>
      <c r="I4" s="302"/>
      <c r="J4" s="128"/>
      <c r="K4" s="198"/>
      <c r="L4" s="198"/>
    </row>
    <row r="5" spans="1:1019" x14ac:dyDescent="0.25">
      <c r="A5" s="48"/>
      <c r="B5" s="48"/>
      <c r="C5" s="128" t="s">
        <v>5</v>
      </c>
      <c r="D5" s="297" t="str">
        <f>'Kops a'!D6</f>
        <v>Daudzīvokļu dzīvojamā māja</v>
      </c>
      <c r="E5" s="297"/>
      <c r="F5" s="297"/>
      <c r="G5" s="297"/>
      <c r="H5" s="297"/>
      <c r="I5" s="297"/>
      <c r="J5" s="297"/>
      <c r="K5" s="297"/>
      <c r="L5" s="297"/>
      <c r="ALV5" s="259"/>
      <c r="ALW5" s="259"/>
      <c r="ALX5" s="259"/>
      <c r="ALY5" s="259"/>
      <c r="ALZ5" s="259"/>
      <c r="AMA5" s="259"/>
      <c r="AMB5" s="259"/>
      <c r="AMC5" s="259"/>
      <c r="AMD5" s="259"/>
      <c r="AME5" s="259"/>
    </row>
    <row r="6" spans="1:1019" x14ac:dyDescent="0.25">
      <c r="A6" s="48"/>
      <c r="B6" s="48"/>
      <c r="C6" s="128" t="s">
        <v>6</v>
      </c>
      <c r="D6" s="316" t="str">
        <f>'Kops a'!D7</f>
        <v>Daudzdzīvokļu dzīvojamās ēkas Ventas ielā 14, Liepājā, energoefektivitātes paaugstināšanas pasākumi</v>
      </c>
      <c r="E6" s="316"/>
      <c r="F6" s="316"/>
      <c r="G6" s="316"/>
      <c r="H6" s="316"/>
      <c r="I6" s="316"/>
      <c r="J6" s="316"/>
      <c r="K6" s="316"/>
      <c r="L6" s="316"/>
      <c r="ALV6" s="259"/>
      <c r="ALW6" s="259"/>
      <c r="ALX6" s="259"/>
      <c r="ALY6" s="259"/>
      <c r="ALZ6" s="259"/>
      <c r="AMA6" s="259"/>
      <c r="AMB6" s="259"/>
      <c r="AMC6" s="259"/>
      <c r="AMD6" s="259"/>
      <c r="AME6" s="259"/>
    </row>
    <row r="7" spans="1:1019" x14ac:dyDescent="0.25">
      <c r="A7" s="48"/>
      <c r="B7" s="48"/>
      <c r="C7" s="128" t="s">
        <v>7</v>
      </c>
      <c r="D7" s="316" t="str">
        <f>'Kops a'!D8</f>
        <v>Ventas iela 14, Liepāja</v>
      </c>
      <c r="E7" s="316"/>
      <c r="F7" s="316"/>
      <c r="G7" s="316"/>
      <c r="H7" s="316"/>
      <c r="I7" s="316"/>
      <c r="J7" s="316"/>
      <c r="K7" s="316"/>
      <c r="L7" s="316"/>
      <c r="ALV7" s="259"/>
      <c r="ALW7" s="259"/>
      <c r="ALX7" s="259"/>
      <c r="ALY7" s="259"/>
      <c r="ALZ7" s="259"/>
      <c r="AMA7" s="259"/>
      <c r="AMB7" s="259"/>
      <c r="AMC7" s="259"/>
      <c r="AMD7" s="259"/>
      <c r="AME7" s="259"/>
    </row>
    <row r="8" spans="1:1019" x14ac:dyDescent="0.25">
      <c r="A8" s="48"/>
      <c r="B8" s="48"/>
      <c r="C8" s="198" t="s">
        <v>21</v>
      </c>
      <c r="D8" s="316" t="str">
        <f>'Kops a'!D9</f>
        <v>WS-53-18</v>
      </c>
      <c r="E8" s="316"/>
      <c r="F8" s="316"/>
      <c r="G8" s="316"/>
      <c r="H8" s="316"/>
      <c r="I8" s="316"/>
      <c r="J8" s="316"/>
      <c r="K8" s="316"/>
      <c r="L8" s="316"/>
      <c r="ALV8" s="259"/>
      <c r="ALW8" s="259"/>
      <c r="ALX8" s="259"/>
      <c r="ALY8" s="259"/>
      <c r="ALZ8" s="259"/>
      <c r="AMA8" s="259"/>
      <c r="AMB8" s="259"/>
      <c r="AMC8" s="259"/>
      <c r="AMD8" s="259"/>
      <c r="AME8" s="259"/>
    </row>
    <row r="9" spans="1:1019" x14ac:dyDescent="0.25">
      <c r="A9" s="317" t="s">
        <v>287</v>
      </c>
      <c r="B9" s="317"/>
      <c r="C9" s="317"/>
      <c r="D9" s="317"/>
      <c r="E9" s="317"/>
      <c r="F9" s="317"/>
      <c r="G9" s="58"/>
      <c r="H9" s="58"/>
      <c r="I9" s="58"/>
      <c r="J9" s="318" t="s">
        <v>40</v>
      </c>
      <c r="K9" s="318"/>
      <c r="L9" s="318"/>
      <c r="M9" s="318"/>
      <c r="N9" s="319">
        <f>P56</f>
        <v>0</v>
      </c>
      <c r="O9" s="319"/>
      <c r="P9" s="58"/>
    </row>
    <row r="10" spans="1:1019" x14ac:dyDescent="0.25">
      <c r="A10" s="60"/>
      <c r="B10" s="60"/>
      <c r="D10" s="48"/>
      <c r="E10" s="48"/>
      <c r="F10" s="48"/>
      <c r="G10" s="48"/>
      <c r="H10" s="48"/>
      <c r="I10" s="48"/>
      <c r="J10" s="48"/>
      <c r="K10" s="48"/>
      <c r="L10" s="48"/>
      <c r="M10" s="48"/>
      <c r="O10" s="61"/>
      <c r="P10" s="62" t="str">
        <f>A62</f>
        <v>Tāme sastādīta 2021.gada</v>
      </c>
    </row>
    <row r="11" spans="1:1019" ht="15.75" thickBot="1" x14ac:dyDescent="0.3">
      <c r="A11" s="60"/>
      <c r="B11" s="60"/>
      <c r="D11" s="48"/>
      <c r="E11" s="48"/>
      <c r="F11" s="48"/>
      <c r="G11" s="48"/>
      <c r="H11" s="48"/>
      <c r="I11" s="48"/>
      <c r="J11" s="48"/>
      <c r="K11" s="48"/>
      <c r="L11" s="48"/>
      <c r="M11" s="48"/>
      <c r="N11" s="61"/>
      <c r="P11" s="48"/>
    </row>
    <row r="12" spans="1:1019" x14ac:dyDescent="0.25">
      <c r="A12" s="306" t="s">
        <v>24</v>
      </c>
      <c r="B12" s="308" t="s">
        <v>41</v>
      </c>
      <c r="C12" s="314" t="s">
        <v>42</v>
      </c>
      <c r="D12" s="310" t="s">
        <v>43</v>
      </c>
      <c r="E12" s="312" t="s">
        <v>44</v>
      </c>
      <c r="F12" s="303" t="s">
        <v>45</v>
      </c>
      <c r="G12" s="304"/>
      <c r="H12" s="304"/>
      <c r="I12" s="304"/>
      <c r="J12" s="304"/>
      <c r="K12" s="305"/>
      <c r="L12" s="303" t="s">
        <v>46</v>
      </c>
      <c r="M12" s="304"/>
      <c r="N12" s="304"/>
      <c r="O12" s="304"/>
      <c r="P12" s="305"/>
    </row>
    <row r="13" spans="1:1019" ht="119.25" thickBot="1" x14ac:dyDescent="0.3">
      <c r="A13" s="307"/>
      <c r="B13" s="309"/>
      <c r="C13" s="315"/>
      <c r="D13" s="311"/>
      <c r="E13" s="313"/>
      <c r="F13" s="199" t="s">
        <v>47</v>
      </c>
      <c r="G13" s="200" t="s">
        <v>48</v>
      </c>
      <c r="H13" s="200" t="s">
        <v>49</v>
      </c>
      <c r="I13" s="200" t="s">
        <v>50</v>
      </c>
      <c r="J13" s="200" t="s">
        <v>51</v>
      </c>
      <c r="K13" s="201" t="s">
        <v>52</v>
      </c>
      <c r="L13" s="199" t="s">
        <v>47</v>
      </c>
      <c r="M13" s="200" t="s">
        <v>49</v>
      </c>
      <c r="N13" s="200" t="s">
        <v>50</v>
      </c>
      <c r="O13" s="200" t="s">
        <v>51</v>
      </c>
      <c r="P13" s="201" t="s">
        <v>52</v>
      </c>
    </row>
    <row r="14" spans="1:1019" x14ac:dyDescent="0.25">
      <c r="A14" s="91">
        <f>IF(COUNTBLANK(B14)=1," ",COUNTA(B$12:B14))</f>
        <v>2</v>
      </c>
      <c r="B14" s="76" t="s">
        <v>84</v>
      </c>
      <c r="C14" s="202" t="s">
        <v>134</v>
      </c>
      <c r="D14" s="30" t="s">
        <v>82</v>
      </c>
      <c r="E14" s="154">
        <v>42</v>
      </c>
      <c r="F14" s="73"/>
      <c r="G14" s="74"/>
      <c r="H14" s="74">
        <f>ROUND(F14*G14,2)</f>
        <v>0</v>
      </c>
      <c r="I14" s="74"/>
      <c r="J14" s="74"/>
      <c r="K14" s="75">
        <f>SUM(H14:J14)</f>
        <v>0</v>
      </c>
      <c r="L14" s="73">
        <f>ROUND(E14*F14,2)</f>
        <v>0</v>
      </c>
      <c r="M14" s="74">
        <f>ROUND(H14*E14,2)</f>
        <v>0</v>
      </c>
      <c r="N14" s="74">
        <f>ROUND(I14*E14,2)</f>
        <v>0</v>
      </c>
      <c r="O14" s="74">
        <f>ROUND(J14*E14,2)</f>
        <v>0</v>
      </c>
      <c r="P14" s="75">
        <f>SUM(M14:O14)</f>
        <v>0</v>
      </c>
    </row>
    <row r="15" spans="1:1019" x14ac:dyDescent="0.25">
      <c r="A15" s="91">
        <f>IF(COUNTBLANK(B15)=1," ",COUNTA(B$12:B15))</f>
        <v>3</v>
      </c>
      <c r="B15" s="76" t="s">
        <v>84</v>
      </c>
      <c r="C15" s="113" t="s">
        <v>258</v>
      </c>
      <c r="D15" s="91" t="s">
        <v>82</v>
      </c>
      <c r="E15" s="204">
        <f>57*1*0.8</f>
        <v>45.6</v>
      </c>
      <c r="F15" s="73"/>
      <c r="G15" s="74"/>
      <c r="H15" s="79">
        <f t="shared" ref="H15:H19" si="0">ROUND(F15*G15,2)</f>
        <v>0</v>
      </c>
      <c r="I15" s="74"/>
      <c r="J15" s="74"/>
      <c r="K15" s="80">
        <f t="shared" ref="K15:K19" si="1">SUM(H15:J15)</f>
        <v>0</v>
      </c>
      <c r="L15" s="81">
        <f t="shared" ref="L15:L19" si="2">ROUND(E15*F15,2)</f>
        <v>0</v>
      </c>
      <c r="M15" s="79">
        <f t="shared" ref="M15:M19" si="3">ROUND(H15*E15,2)</f>
        <v>0</v>
      </c>
      <c r="N15" s="79">
        <f t="shared" ref="N15:N19" si="4">ROUND(I15*E15,2)</f>
        <v>0</v>
      </c>
      <c r="O15" s="79">
        <f t="shared" ref="O15:O19" si="5">ROUND(J15*E15,2)</f>
        <v>0</v>
      </c>
      <c r="P15" s="80">
        <f t="shared" ref="P15:P19" si="6">SUM(M15:O15)</f>
        <v>0</v>
      </c>
    </row>
    <row r="16" spans="1:1019" ht="22.5" x14ac:dyDescent="0.25">
      <c r="A16" s="91">
        <f>IF(COUNTBLANK(B16)=1," ",COUNTA(B$12:B16))</f>
        <v>4</v>
      </c>
      <c r="B16" s="76" t="s">
        <v>84</v>
      </c>
      <c r="C16" s="113" t="s">
        <v>133</v>
      </c>
      <c r="D16" s="91" t="s">
        <v>55</v>
      </c>
      <c r="E16" s="204">
        <f>57*1.7</f>
        <v>96.899999999999991</v>
      </c>
      <c r="F16" s="73"/>
      <c r="G16" s="74"/>
      <c r="H16" s="74">
        <f t="shared" si="0"/>
        <v>0</v>
      </c>
      <c r="I16" s="74"/>
      <c r="J16" s="74"/>
      <c r="K16" s="75">
        <f t="shared" si="1"/>
        <v>0</v>
      </c>
      <c r="L16" s="73">
        <f t="shared" si="2"/>
        <v>0</v>
      </c>
      <c r="M16" s="74">
        <f t="shared" si="3"/>
        <v>0</v>
      </c>
      <c r="N16" s="74">
        <f t="shared" si="4"/>
        <v>0</v>
      </c>
      <c r="O16" s="74">
        <f t="shared" si="5"/>
        <v>0</v>
      </c>
      <c r="P16" s="75">
        <f t="shared" si="6"/>
        <v>0</v>
      </c>
    </row>
    <row r="17" spans="1:16" ht="22.5" x14ac:dyDescent="0.25">
      <c r="A17" s="91" t="str">
        <f>IF(COUNTBLANK(B17)=1," ",COUNTA(B$12:B17))</f>
        <v xml:space="preserve"> </v>
      </c>
      <c r="B17" s="120"/>
      <c r="C17" s="203" t="s">
        <v>132</v>
      </c>
      <c r="D17" s="120" t="s">
        <v>89</v>
      </c>
      <c r="E17" s="151">
        <f>E16*0.5</f>
        <v>48.449999999999996</v>
      </c>
      <c r="F17" s="73"/>
      <c r="G17" s="74"/>
      <c r="H17" s="79">
        <f t="shared" si="0"/>
        <v>0</v>
      </c>
      <c r="I17" s="74"/>
      <c r="J17" s="74"/>
      <c r="K17" s="80">
        <f t="shared" si="1"/>
        <v>0</v>
      </c>
      <c r="L17" s="81">
        <f t="shared" si="2"/>
        <v>0</v>
      </c>
      <c r="M17" s="79">
        <f t="shared" si="3"/>
        <v>0</v>
      </c>
      <c r="N17" s="79">
        <f t="shared" si="4"/>
        <v>0</v>
      </c>
      <c r="O17" s="79">
        <f t="shared" si="5"/>
        <v>0</v>
      </c>
      <c r="P17" s="80">
        <f t="shared" si="6"/>
        <v>0</v>
      </c>
    </row>
    <row r="18" spans="1:16" x14ac:dyDescent="0.25">
      <c r="A18" s="91">
        <f>IF(COUNTBLANK(B18)=1," ",COUNTA(B$12:B18))</f>
        <v>5</v>
      </c>
      <c r="B18" s="76" t="s">
        <v>84</v>
      </c>
      <c r="C18" s="113" t="s">
        <v>131</v>
      </c>
      <c r="D18" s="91" t="s">
        <v>86</v>
      </c>
      <c r="E18" s="204">
        <v>57</v>
      </c>
      <c r="F18" s="73"/>
      <c r="G18" s="74"/>
      <c r="H18" s="74">
        <f t="shared" si="0"/>
        <v>0</v>
      </c>
      <c r="I18" s="74"/>
      <c r="J18" s="74"/>
      <c r="K18" s="75">
        <f t="shared" si="1"/>
        <v>0</v>
      </c>
      <c r="L18" s="73">
        <f t="shared" si="2"/>
        <v>0</v>
      </c>
      <c r="M18" s="74">
        <f t="shared" si="3"/>
        <v>0</v>
      </c>
      <c r="N18" s="74">
        <f t="shared" si="4"/>
        <v>0</v>
      </c>
      <c r="O18" s="74">
        <f t="shared" si="5"/>
        <v>0</v>
      </c>
      <c r="P18" s="75">
        <f t="shared" si="6"/>
        <v>0</v>
      </c>
    </row>
    <row r="19" spans="1:16" x14ac:dyDescent="0.25">
      <c r="A19" s="91" t="str">
        <f>IF(COUNTBLANK(B19)=1," ",COUNTA(B$12:B19))</f>
        <v xml:space="preserve"> </v>
      </c>
      <c r="B19" s="91"/>
      <c r="C19" s="29" t="s">
        <v>130</v>
      </c>
      <c r="D19" s="116" t="s">
        <v>89</v>
      </c>
      <c r="E19" s="116">
        <f>E18*0.2</f>
        <v>11.4</v>
      </c>
      <c r="F19" s="73"/>
      <c r="G19" s="74"/>
      <c r="H19" s="74">
        <f t="shared" si="0"/>
        <v>0</v>
      </c>
      <c r="I19" s="74"/>
      <c r="J19" s="74"/>
      <c r="K19" s="75">
        <f t="shared" si="1"/>
        <v>0</v>
      </c>
      <c r="L19" s="73">
        <f t="shared" si="2"/>
        <v>0</v>
      </c>
      <c r="M19" s="74">
        <f t="shared" si="3"/>
        <v>0</v>
      </c>
      <c r="N19" s="74">
        <f t="shared" si="4"/>
        <v>0</v>
      </c>
      <c r="O19" s="74">
        <f t="shared" si="5"/>
        <v>0</v>
      </c>
      <c r="P19" s="75">
        <f t="shared" si="6"/>
        <v>0</v>
      </c>
    </row>
    <row r="20" spans="1:16" ht="22.5" x14ac:dyDescent="0.25">
      <c r="A20" s="91">
        <f>IF(COUNTBLANK(B20)=1," ",COUNTA(B$12:B20))</f>
        <v>6</v>
      </c>
      <c r="B20" s="76" t="s">
        <v>84</v>
      </c>
      <c r="C20" s="113" t="s">
        <v>129</v>
      </c>
      <c r="D20" s="91" t="s">
        <v>55</v>
      </c>
      <c r="E20" s="204">
        <f>E16</f>
        <v>96.899999999999991</v>
      </c>
      <c r="F20" s="73"/>
      <c r="G20" s="74"/>
      <c r="H20" s="79">
        <f t="shared" ref="H20:H55" si="7">ROUND(F20*G20,2)</f>
        <v>0</v>
      </c>
      <c r="I20" s="74"/>
      <c r="J20" s="74"/>
      <c r="K20" s="80">
        <f t="shared" ref="K20:K55" si="8">SUM(H20:J20)</f>
        <v>0</v>
      </c>
      <c r="L20" s="81">
        <f t="shared" ref="L20:L55" si="9">ROUND(E20*F20,2)</f>
        <v>0</v>
      </c>
      <c r="M20" s="79">
        <f t="shared" ref="M20:M55" si="10">ROUND(H20*E20,2)</f>
        <v>0</v>
      </c>
      <c r="N20" s="79">
        <f t="shared" ref="N20:N55" si="11">ROUND(I20*E20,2)</f>
        <v>0</v>
      </c>
      <c r="O20" s="79">
        <f t="shared" ref="O20:O55" si="12">ROUND(J20*E20,2)</f>
        <v>0</v>
      </c>
      <c r="P20" s="80">
        <f t="shared" ref="P20:P55" si="13">SUM(M20:O20)</f>
        <v>0</v>
      </c>
    </row>
    <row r="21" spans="1:16" ht="22.5" x14ac:dyDescent="0.25">
      <c r="A21" s="91" t="str">
        <f>IF(COUNTBLANK(B21)=1," ",COUNTA(B$12:B21))</f>
        <v xml:space="preserve"> </v>
      </c>
      <c r="B21" s="91"/>
      <c r="C21" s="29" t="s">
        <v>128</v>
      </c>
      <c r="D21" s="116" t="s">
        <v>89</v>
      </c>
      <c r="E21" s="116">
        <f>E20*0.3</f>
        <v>29.069999999999997</v>
      </c>
      <c r="F21" s="73"/>
      <c r="G21" s="74"/>
      <c r="H21" s="74">
        <f t="shared" si="7"/>
        <v>0</v>
      </c>
      <c r="I21" s="74"/>
      <c r="J21" s="74"/>
      <c r="K21" s="75">
        <f t="shared" si="8"/>
        <v>0</v>
      </c>
      <c r="L21" s="73">
        <f t="shared" si="9"/>
        <v>0</v>
      </c>
      <c r="M21" s="74">
        <f t="shared" si="10"/>
        <v>0</v>
      </c>
      <c r="N21" s="74">
        <f t="shared" si="11"/>
        <v>0</v>
      </c>
      <c r="O21" s="74">
        <f t="shared" si="12"/>
        <v>0</v>
      </c>
      <c r="P21" s="75">
        <f t="shared" si="13"/>
        <v>0</v>
      </c>
    </row>
    <row r="22" spans="1:16" ht="22.5" x14ac:dyDescent="0.25">
      <c r="A22" s="91">
        <f>IF(COUNTBLANK(B22)=1," ",COUNTA(B$12:B22))</f>
        <v>7</v>
      </c>
      <c r="B22" s="76" t="s">
        <v>154</v>
      </c>
      <c r="C22" s="205" t="s">
        <v>155</v>
      </c>
      <c r="D22" s="87" t="s">
        <v>55</v>
      </c>
      <c r="E22" s="89">
        <f>E16</f>
        <v>96.899999999999991</v>
      </c>
      <c r="F22" s="73"/>
      <c r="G22" s="74"/>
      <c r="H22" s="79">
        <f t="shared" si="7"/>
        <v>0</v>
      </c>
      <c r="I22" s="74"/>
      <c r="J22" s="74"/>
      <c r="K22" s="80">
        <f t="shared" si="8"/>
        <v>0</v>
      </c>
      <c r="L22" s="81">
        <f t="shared" si="9"/>
        <v>0</v>
      </c>
      <c r="M22" s="79">
        <f t="shared" si="10"/>
        <v>0</v>
      </c>
      <c r="N22" s="79">
        <f t="shared" si="11"/>
        <v>0</v>
      </c>
      <c r="O22" s="79">
        <f t="shared" si="12"/>
        <v>0</v>
      </c>
      <c r="P22" s="80">
        <f t="shared" si="13"/>
        <v>0</v>
      </c>
    </row>
    <row r="23" spans="1:16" ht="22.5" x14ac:dyDescent="0.25">
      <c r="A23" s="91" t="str">
        <f>IF(COUNTBLANK(B23)=1," ",COUNTA(B$12:B23))</f>
        <v xml:space="preserve"> </v>
      </c>
      <c r="B23" s="91"/>
      <c r="C23" s="113" t="s">
        <v>300</v>
      </c>
      <c r="D23" s="91" t="s">
        <v>55</v>
      </c>
      <c r="E23" s="116">
        <f>E22*1.1</f>
        <v>106.59</v>
      </c>
      <c r="F23" s="73"/>
      <c r="G23" s="74"/>
      <c r="H23" s="74">
        <f t="shared" si="7"/>
        <v>0</v>
      </c>
      <c r="I23" s="74"/>
      <c r="J23" s="74"/>
      <c r="K23" s="75">
        <f t="shared" si="8"/>
        <v>0</v>
      </c>
      <c r="L23" s="73">
        <f t="shared" si="9"/>
        <v>0</v>
      </c>
      <c r="M23" s="74">
        <f t="shared" si="10"/>
        <v>0</v>
      </c>
      <c r="N23" s="74">
        <f t="shared" si="11"/>
        <v>0</v>
      </c>
      <c r="O23" s="74">
        <f t="shared" si="12"/>
        <v>0</v>
      </c>
      <c r="P23" s="75">
        <f t="shared" si="13"/>
        <v>0</v>
      </c>
    </row>
    <row r="24" spans="1:16" x14ac:dyDescent="0.25">
      <c r="A24" s="91" t="str">
        <f>IF(COUNTBLANK(B24)=1," ",COUNTA(B$12:B24))</f>
        <v xml:space="preserve"> </v>
      </c>
      <c r="B24" s="91"/>
      <c r="C24" s="113" t="s">
        <v>127</v>
      </c>
      <c r="D24" s="91" t="s">
        <v>89</v>
      </c>
      <c r="E24" s="116">
        <f>E22*5</f>
        <v>484.49999999999994</v>
      </c>
      <c r="F24" s="73"/>
      <c r="G24" s="74"/>
      <c r="H24" s="74">
        <f t="shared" si="7"/>
        <v>0</v>
      </c>
      <c r="I24" s="74"/>
      <c r="J24" s="74"/>
      <c r="K24" s="75">
        <f t="shared" si="8"/>
        <v>0</v>
      </c>
      <c r="L24" s="73">
        <f t="shared" si="9"/>
        <v>0</v>
      </c>
      <c r="M24" s="74">
        <f t="shared" si="10"/>
        <v>0</v>
      </c>
      <c r="N24" s="74">
        <f t="shared" si="11"/>
        <v>0</v>
      </c>
      <c r="O24" s="74">
        <f t="shared" si="12"/>
        <v>0</v>
      </c>
      <c r="P24" s="75">
        <f t="shared" si="13"/>
        <v>0</v>
      </c>
    </row>
    <row r="25" spans="1:16" ht="45" x14ac:dyDescent="0.25">
      <c r="A25" s="68" t="str">
        <f>IF(COUNTBLANK(B25)=1," ",COUNTA(B$13:B25))</f>
        <v xml:space="preserve"> </v>
      </c>
      <c r="B25" s="91"/>
      <c r="C25" s="29" t="s">
        <v>156</v>
      </c>
      <c r="D25" s="91" t="s">
        <v>56</v>
      </c>
      <c r="E25" s="92">
        <f>40*0.7*6</f>
        <v>168</v>
      </c>
      <c r="F25" s="73"/>
      <c r="G25" s="74"/>
      <c r="H25" s="79">
        <f t="shared" si="7"/>
        <v>0</v>
      </c>
      <c r="I25" s="74"/>
      <c r="J25" s="74"/>
      <c r="K25" s="80">
        <f t="shared" si="8"/>
        <v>0</v>
      </c>
      <c r="L25" s="81">
        <f t="shared" si="9"/>
        <v>0</v>
      </c>
      <c r="M25" s="79">
        <f t="shared" si="10"/>
        <v>0</v>
      </c>
      <c r="N25" s="79">
        <f t="shared" si="11"/>
        <v>0</v>
      </c>
      <c r="O25" s="79">
        <f t="shared" si="12"/>
        <v>0</v>
      </c>
      <c r="P25" s="80">
        <f t="shared" si="13"/>
        <v>0</v>
      </c>
    </row>
    <row r="26" spans="1:16" x14ac:dyDescent="0.25">
      <c r="A26" s="91">
        <f>IF(COUNTBLANK(B26)=1," ",COUNTA(B$12:B26))</f>
        <v>8</v>
      </c>
      <c r="B26" s="76" t="s">
        <v>84</v>
      </c>
      <c r="C26" s="113" t="s">
        <v>126</v>
      </c>
      <c r="D26" s="91" t="s">
        <v>82</v>
      </c>
      <c r="E26" s="204">
        <f>E15</f>
        <v>45.6</v>
      </c>
      <c r="F26" s="73"/>
      <c r="G26" s="74"/>
      <c r="H26" s="74">
        <f t="shared" si="7"/>
        <v>0</v>
      </c>
      <c r="I26" s="74"/>
      <c r="J26" s="74"/>
      <c r="K26" s="75">
        <f t="shared" si="8"/>
        <v>0</v>
      </c>
      <c r="L26" s="73">
        <f t="shared" si="9"/>
        <v>0</v>
      </c>
      <c r="M26" s="74">
        <f t="shared" si="10"/>
        <v>0</v>
      </c>
      <c r="N26" s="74">
        <f t="shared" si="11"/>
        <v>0</v>
      </c>
      <c r="O26" s="74">
        <f t="shared" si="12"/>
        <v>0</v>
      </c>
      <c r="P26" s="75">
        <f t="shared" si="13"/>
        <v>0</v>
      </c>
    </row>
    <row r="27" spans="1:16" ht="22.5" x14ac:dyDescent="0.25">
      <c r="A27" s="91">
        <f>IF(COUNTBLANK(B27)=1," ",COUNTA(B$12:B27))</f>
        <v>9</v>
      </c>
      <c r="B27" s="76" t="s">
        <v>84</v>
      </c>
      <c r="C27" s="113" t="s">
        <v>125</v>
      </c>
      <c r="D27" s="91" t="s">
        <v>55</v>
      </c>
      <c r="E27" s="204">
        <f>57*0.7</f>
        <v>39.9</v>
      </c>
      <c r="F27" s="73"/>
      <c r="G27" s="74"/>
      <c r="H27" s="79">
        <f t="shared" si="7"/>
        <v>0</v>
      </c>
      <c r="I27" s="74"/>
      <c r="J27" s="74"/>
      <c r="K27" s="80">
        <f t="shared" si="8"/>
        <v>0</v>
      </c>
      <c r="L27" s="81">
        <f t="shared" si="9"/>
        <v>0</v>
      </c>
      <c r="M27" s="79">
        <f t="shared" si="10"/>
        <v>0</v>
      </c>
      <c r="N27" s="79">
        <f t="shared" si="11"/>
        <v>0</v>
      </c>
      <c r="O27" s="79">
        <f t="shared" si="12"/>
        <v>0</v>
      </c>
      <c r="P27" s="80">
        <f t="shared" si="13"/>
        <v>0</v>
      </c>
    </row>
    <row r="28" spans="1:16" x14ac:dyDescent="0.25">
      <c r="A28" s="91" t="str">
        <f>IF(COUNTBLANK(B28)=1," ",COUNTA(B$12:B28))</f>
        <v xml:space="preserve"> </v>
      </c>
      <c r="B28" s="91"/>
      <c r="C28" s="113" t="s">
        <v>124</v>
      </c>
      <c r="D28" s="91" t="s">
        <v>89</v>
      </c>
      <c r="E28" s="116">
        <f>E27*5</f>
        <v>199.5</v>
      </c>
      <c r="F28" s="73"/>
      <c r="G28" s="74"/>
      <c r="H28" s="74">
        <f t="shared" si="7"/>
        <v>0</v>
      </c>
      <c r="I28" s="74"/>
      <c r="J28" s="74"/>
      <c r="K28" s="75">
        <f t="shared" si="8"/>
        <v>0</v>
      </c>
      <c r="L28" s="73">
        <f t="shared" si="9"/>
        <v>0</v>
      </c>
      <c r="M28" s="74">
        <f t="shared" si="10"/>
        <v>0</v>
      </c>
      <c r="N28" s="74">
        <f t="shared" si="11"/>
        <v>0</v>
      </c>
      <c r="O28" s="74">
        <f t="shared" si="12"/>
        <v>0</v>
      </c>
      <c r="P28" s="75">
        <f t="shared" si="13"/>
        <v>0</v>
      </c>
    </row>
    <row r="29" spans="1:16" x14ac:dyDescent="0.25">
      <c r="A29" s="91" t="str">
        <f>IF(COUNTBLANK(B29)=1," ",COUNTA(B$12:B29))</f>
        <v xml:space="preserve"> </v>
      </c>
      <c r="B29" s="91"/>
      <c r="C29" s="113" t="s">
        <v>88</v>
      </c>
      <c r="D29" s="91" t="s">
        <v>55</v>
      </c>
      <c r="E29" s="116">
        <f>E27*1.1</f>
        <v>43.89</v>
      </c>
      <c r="F29" s="73"/>
      <c r="G29" s="74"/>
      <c r="H29" s="74">
        <f t="shared" si="7"/>
        <v>0</v>
      </c>
      <c r="I29" s="74"/>
      <c r="J29" s="74"/>
      <c r="K29" s="75">
        <f t="shared" si="8"/>
        <v>0</v>
      </c>
      <c r="L29" s="73">
        <f t="shared" si="9"/>
        <v>0</v>
      </c>
      <c r="M29" s="74">
        <f t="shared" si="10"/>
        <v>0</v>
      </c>
      <c r="N29" s="74">
        <f t="shared" si="11"/>
        <v>0</v>
      </c>
      <c r="O29" s="74">
        <f t="shared" si="12"/>
        <v>0</v>
      </c>
      <c r="P29" s="75">
        <f t="shared" si="13"/>
        <v>0</v>
      </c>
    </row>
    <row r="30" spans="1:16" x14ac:dyDescent="0.25">
      <c r="A30" s="91" t="str">
        <f>IF(COUNTBLANK(B30)=1," ",COUNTA(B$12:B30))</f>
        <v xml:space="preserve"> </v>
      </c>
      <c r="B30" s="91"/>
      <c r="C30" s="113" t="s">
        <v>94</v>
      </c>
      <c r="D30" s="91" t="s">
        <v>93</v>
      </c>
      <c r="E30" s="116">
        <f>E27*0.1</f>
        <v>3.99</v>
      </c>
      <c r="F30" s="73"/>
      <c r="G30" s="74"/>
      <c r="H30" s="79">
        <f t="shared" si="7"/>
        <v>0</v>
      </c>
      <c r="I30" s="74"/>
      <c r="J30" s="74"/>
      <c r="K30" s="80">
        <f t="shared" si="8"/>
        <v>0</v>
      </c>
      <c r="L30" s="81">
        <f t="shared" si="9"/>
        <v>0</v>
      </c>
      <c r="M30" s="79">
        <f t="shared" si="10"/>
        <v>0</v>
      </c>
      <c r="N30" s="79">
        <f t="shared" si="11"/>
        <v>0</v>
      </c>
      <c r="O30" s="79">
        <f t="shared" si="12"/>
        <v>0</v>
      </c>
      <c r="P30" s="80">
        <f t="shared" si="13"/>
        <v>0</v>
      </c>
    </row>
    <row r="31" spans="1:16" x14ac:dyDescent="0.25">
      <c r="A31" s="91" t="str">
        <f>IF(COUNTBLANK(B31)=1," ",COUNTA(B$12:B31))</f>
        <v xml:space="preserve"> </v>
      </c>
      <c r="B31" s="91"/>
      <c r="C31" s="119" t="s">
        <v>95</v>
      </c>
      <c r="D31" s="91" t="s">
        <v>89</v>
      </c>
      <c r="E31" s="116">
        <f>E27*0.3</f>
        <v>11.969999999999999</v>
      </c>
      <c r="F31" s="73"/>
      <c r="G31" s="74"/>
      <c r="H31" s="74">
        <f t="shared" si="7"/>
        <v>0</v>
      </c>
      <c r="I31" s="74"/>
      <c r="J31" s="74"/>
      <c r="K31" s="75">
        <f t="shared" si="8"/>
        <v>0</v>
      </c>
      <c r="L31" s="73">
        <f t="shared" si="9"/>
        <v>0</v>
      </c>
      <c r="M31" s="74">
        <f t="shared" si="10"/>
        <v>0</v>
      </c>
      <c r="N31" s="74">
        <f t="shared" si="11"/>
        <v>0</v>
      </c>
      <c r="O31" s="74">
        <f t="shared" si="12"/>
        <v>0</v>
      </c>
      <c r="P31" s="75">
        <f t="shared" si="13"/>
        <v>0</v>
      </c>
    </row>
    <row r="32" spans="1:16" ht="22.5" x14ac:dyDescent="0.25">
      <c r="A32" s="91" t="str">
        <f>IF(COUNTBLANK(B32)=1," ",COUNTA(B$12:B32))</f>
        <v xml:space="preserve"> </v>
      </c>
      <c r="B32" s="91"/>
      <c r="C32" s="113" t="s">
        <v>157</v>
      </c>
      <c r="D32" s="91" t="s">
        <v>89</v>
      </c>
      <c r="E32" s="116">
        <f>E27*4.5</f>
        <v>179.54999999999998</v>
      </c>
      <c r="F32" s="73"/>
      <c r="G32" s="74"/>
      <c r="H32" s="79">
        <f t="shared" si="7"/>
        <v>0</v>
      </c>
      <c r="I32" s="74"/>
      <c r="J32" s="74"/>
      <c r="K32" s="80">
        <f t="shared" si="8"/>
        <v>0</v>
      </c>
      <c r="L32" s="81">
        <f t="shared" si="9"/>
        <v>0</v>
      </c>
      <c r="M32" s="79">
        <f t="shared" si="10"/>
        <v>0</v>
      </c>
      <c r="N32" s="79">
        <f t="shared" si="11"/>
        <v>0</v>
      </c>
      <c r="O32" s="79">
        <f t="shared" si="12"/>
        <v>0</v>
      </c>
      <c r="P32" s="80">
        <f t="shared" si="13"/>
        <v>0</v>
      </c>
    </row>
    <row r="33" spans="1:16" ht="22.5" x14ac:dyDescent="0.25">
      <c r="A33" s="91">
        <f>IF(COUNTBLANK(B33)=1," ",COUNTA(B$12:B33))</f>
        <v>10</v>
      </c>
      <c r="B33" s="112" t="s">
        <v>84</v>
      </c>
      <c r="C33" s="113" t="s">
        <v>123</v>
      </c>
      <c r="D33" s="91" t="s">
        <v>86</v>
      </c>
      <c r="E33" s="114">
        <v>40</v>
      </c>
      <c r="F33" s="73"/>
      <c r="G33" s="74"/>
      <c r="H33" s="74">
        <f t="shared" si="7"/>
        <v>0</v>
      </c>
      <c r="I33" s="74"/>
      <c r="J33" s="74"/>
      <c r="K33" s="75">
        <f t="shared" si="8"/>
        <v>0</v>
      </c>
      <c r="L33" s="73">
        <f t="shared" si="9"/>
        <v>0</v>
      </c>
      <c r="M33" s="74">
        <f t="shared" si="10"/>
        <v>0</v>
      </c>
      <c r="N33" s="74">
        <f t="shared" si="11"/>
        <v>0</v>
      </c>
      <c r="O33" s="74">
        <f t="shared" si="12"/>
        <v>0</v>
      </c>
      <c r="P33" s="75">
        <f t="shared" si="13"/>
        <v>0</v>
      </c>
    </row>
    <row r="34" spans="1:16" ht="22.5" x14ac:dyDescent="0.25">
      <c r="A34" s="91" t="str">
        <f>IF(COUNTBLANK(B34)=1," ",COUNTA(B$12:B34))</f>
        <v xml:space="preserve"> </v>
      </c>
      <c r="B34" s="91"/>
      <c r="C34" s="113" t="s">
        <v>301</v>
      </c>
      <c r="D34" s="91" t="s">
        <v>89</v>
      </c>
      <c r="E34" s="116">
        <f>E33*0.3</f>
        <v>12</v>
      </c>
      <c r="F34" s="73"/>
      <c r="G34" s="74"/>
      <c r="H34" s="74">
        <f t="shared" si="7"/>
        <v>0</v>
      </c>
      <c r="I34" s="74"/>
      <c r="J34" s="74"/>
      <c r="K34" s="75">
        <f t="shared" si="8"/>
        <v>0</v>
      </c>
      <c r="L34" s="73">
        <f t="shared" si="9"/>
        <v>0</v>
      </c>
      <c r="M34" s="74">
        <f t="shared" si="10"/>
        <v>0</v>
      </c>
      <c r="N34" s="74">
        <f t="shared" si="11"/>
        <v>0</v>
      </c>
      <c r="O34" s="74">
        <f t="shared" si="12"/>
        <v>0</v>
      </c>
      <c r="P34" s="75">
        <f t="shared" si="13"/>
        <v>0</v>
      </c>
    </row>
    <row r="35" spans="1:16" x14ac:dyDescent="0.25">
      <c r="A35" s="91" t="str">
        <f>IF(COUNTBLANK(B35)=1," ",COUNTA(B$12:B35))</f>
        <v xml:space="preserve"> </v>
      </c>
      <c r="B35" s="91"/>
      <c r="C35" s="113" t="s">
        <v>302</v>
      </c>
      <c r="D35" s="91" t="s">
        <v>89</v>
      </c>
      <c r="E35" s="116">
        <f>E34*2</f>
        <v>24</v>
      </c>
      <c r="F35" s="73"/>
      <c r="G35" s="74"/>
      <c r="H35" s="79">
        <f t="shared" si="7"/>
        <v>0</v>
      </c>
      <c r="I35" s="74"/>
      <c r="J35" s="74"/>
      <c r="K35" s="80">
        <f t="shared" si="8"/>
        <v>0</v>
      </c>
      <c r="L35" s="81">
        <f t="shared" si="9"/>
        <v>0</v>
      </c>
      <c r="M35" s="79">
        <f t="shared" si="10"/>
        <v>0</v>
      </c>
      <c r="N35" s="79">
        <f t="shared" si="11"/>
        <v>0</v>
      </c>
      <c r="O35" s="79">
        <f t="shared" si="12"/>
        <v>0</v>
      </c>
      <c r="P35" s="80">
        <f t="shared" si="13"/>
        <v>0</v>
      </c>
    </row>
    <row r="36" spans="1:16" ht="56.25" x14ac:dyDescent="0.25">
      <c r="A36" s="91">
        <f>IF(COUNTBLANK(B36)=1," ",COUNTA(B$12:B36))</f>
        <v>11</v>
      </c>
      <c r="B36" s="112" t="s">
        <v>84</v>
      </c>
      <c r="C36" s="113" t="s">
        <v>205</v>
      </c>
      <c r="D36" s="91" t="s">
        <v>56</v>
      </c>
      <c r="E36" s="114">
        <v>2</v>
      </c>
      <c r="F36" s="73"/>
      <c r="G36" s="74"/>
      <c r="H36" s="74">
        <f t="shared" si="7"/>
        <v>0</v>
      </c>
      <c r="I36" s="74"/>
      <c r="J36" s="74"/>
      <c r="K36" s="75">
        <f t="shared" si="8"/>
        <v>0</v>
      </c>
      <c r="L36" s="73">
        <f t="shared" si="9"/>
        <v>0</v>
      </c>
      <c r="M36" s="74">
        <f t="shared" si="10"/>
        <v>0</v>
      </c>
      <c r="N36" s="74">
        <f t="shared" si="11"/>
        <v>0</v>
      </c>
      <c r="O36" s="74">
        <f t="shared" si="12"/>
        <v>0</v>
      </c>
      <c r="P36" s="75">
        <f t="shared" si="13"/>
        <v>0</v>
      </c>
    </row>
    <row r="37" spans="1:16" ht="22.5" x14ac:dyDescent="0.25">
      <c r="A37" s="91" t="str">
        <f>IF(COUNTBLANK(B37)=1," ",COUNTA(B$12:B37))</f>
        <v xml:space="preserve"> </v>
      </c>
      <c r="B37" s="120"/>
      <c r="C37" s="206" t="s">
        <v>122</v>
      </c>
      <c r="D37" s="207"/>
      <c r="E37" s="208"/>
      <c r="F37" s="73"/>
      <c r="G37" s="74"/>
      <c r="H37" s="79">
        <f t="shared" si="7"/>
        <v>0</v>
      </c>
      <c r="I37" s="74"/>
      <c r="J37" s="74"/>
      <c r="K37" s="80">
        <f t="shared" si="8"/>
        <v>0</v>
      </c>
      <c r="L37" s="81">
        <f t="shared" si="9"/>
        <v>0</v>
      </c>
      <c r="M37" s="79">
        <f t="shared" si="10"/>
        <v>0</v>
      </c>
      <c r="N37" s="79">
        <f t="shared" si="11"/>
        <v>0</v>
      </c>
      <c r="O37" s="79">
        <f t="shared" si="12"/>
        <v>0</v>
      </c>
      <c r="P37" s="80">
        <f t="shared" si="13"/>
        <v>0</v>
      </c>
    </row>
    <row r="38" spans="1:16" x14ac:dyDescent="0.25">
      <c r="A38" s="91">
        <f>IF(COUNTBLANK(B38)=1," ",COUNTA(B$12:B38))</f>
        <v>12</v>
      </c>
      <c r="B38" s="76" t="s">
        <v>84</v>
      </c>
      <c r="C38" s="150" t="s">
        <v>121</v>
      </c>
      <c r="D38" s="120" t="s">
        <v>55</v>
      </c>
      <c r="E38" s="78">
        <f>E14</f>
        <v>42</v>
      </c>
      <c r="F38" s="73"/>
      <c r="G38" s="74"/>
      <c r="H38" s="74">
        <f t="shared" si="7"/>
        <v>0</v>
      </c>
      <c r="I38" s="74"/>
      <c r="J38" s="74"/>
      <c r="K38" s="75">
        <f t="shared" si="8"/>
        <v>0</v>
      </c>
      <c r="L38" s="73">
        <f t="shared" si="9"/>
        <v>0</v>
      </c>
      <c r="M38" s="74">
        <f t="shared" si="10"/>
        <v>0</v>
      </c>
      <c r="N38" s="74">
        <f t="shared" si="11"/>
        <v>0</v>
      </c>
      <c r="O38" s="74">
        <f t="shared" si="12"/>
        <v>0</v>
      </c>
      <c r="P38" s="75">
        <f t="shared" si="13"/>
        <v>0</v>
      </c>
    </row>
    <row r="39" spans="1:16" x14ac:dyDescent="0.25">
      <c r="A39" s="91">
        <f>IF(COUNTBLANK(B39)=1," ",COUNTA(B$12:B39))</f>
        <v>13</v>
      </c>
      <c r="B39" s="76" t="s">
        <v>84</v>
      </c>
      <c r="C39" s="150" t="s">
        <v>120</v>
      </c>
      <c r="D39" s="120" t="s">
        <v>82</v>
      </c>
      <c r="E39" s="78">
        <f>E38*0.1</f>
        <v>4.2</v>
      </c>
      <c r="F39" s="73"/>
      <c r="G39" s="74"/>
      <c r="H39" s="74">
        <f t="shared" si="7"/>
        <v>0</v>
      </c>
      <c r="I39" s="74"/>
      <c r="J39" s="74"/>
      <c r="K39" s="75">
        <f t="shared" si="8"/>
        <v>0</v>
      </c>
      <c r="L39" s="73">
        <f t="shared" si="9"/>
        <v>0</v>
      </c>
      <c r="M39" s="74">
        <f t="shared" si="10"/>
        <v>0</v>
      </c>
      <c r="N39" s="74">
        <f t="shared" si="11"/>
        <v>0</v>
      </c>
      <c r="O39" s="74">
        <f t="shared" si="12"/>
        <v>0</v>
      </c>
      <c r="P39" s="75">
        <f t="shared" si="13"/>
        <v>0</v>
      </c>
    </row>
    <row r="40" spans="1:16" x14ac:dyDescent="0.25">
      <c r="A40" s="91" t="str">
        <f>IF(COUNTBLANK(B40)=1," ",COUNTA(B$12:B40))</f>
        <v xml:space="preserve"> </v>
      </c>
      <c r="B40" s="120"/>
      <c r="C40" s="150" t="s">
        <v>119</v>
      </c>
      <c r="D40" s="120" t="s">
        <v>82</v>
      </c>
      <c r="E40" s="151">
        <f>E39*1.1</f>
        <v>4.620000000000001</v>
      </c>
      <c r="F40" s="73"/>
      <c r="G40" s="74"/>
      <c r="H40" s="79">
        <f t="shared" si="7"/>
        <v>0</v>
      </c>
      <c r="I40" s="74"/>
      <c r="J40" s="74"/>
      <c r="K40" s="80">
        <f t="shared" si="8"/>
        <v>0</v>
      </c>
      <c r="L40" s="81">
        <f t="shared" si="9"/>
        <v>0</v>
      </c>
      <c r="M40" s="79">
        <f t="shared" si="10"/>
        <v>0</v>
      </c>
      <c r="N40" s="79">
        <f t="shared" si="11"/>
        <v>0</v>
      </c>
      <c r="O40" s="79">
        <f t="shared" si="12"/>
        <v>0</v>
      </c>
      <c r="P40" s="80">
        <f t="shared" si="13"/>
        <v>0</v>
      </c>
    </row>
    <row r="41" spans="1:16" x14ac:dyDescent="0.25">
      <c r="A41" s="91">
        <f>IF(COUNTBLANK(B41)=1," ",COUNTA(B$12:B41))</f>
        <v>14</v>
      </c>
      <c r="B41" s="76" t="s">
        <v>84</v>
      </c>
      <c r="C41" s="150" t="s">
        <v>158</v>
      </c>
      <c r="D41" s="120" t="s">
        <v>82</v>
      </c>
      <c r="E41" s="78">
        <f>E38*0.05</f>
        <v>2.1</v>
      </c>
      <c r="F41" s="73"/>
      <c r="G41" s="74"/>
      <c r="H41" s="74">
        <f t="shared" si="7"/>
        <v>0</v>
      </c>
      <c r="I41" s="74"/>
      <c r="J41" s="74"/>
      <c r="K41" s="75">
        <f t="shared" si="8"/>
        <v>0</v>
      </c>
      <c r="L41" s="73">
        <f t="shared" si="9"/>
        <v>0</v>
      </c>
      <c r="M41" s="74">
        <f t="shared" si="10"/>
        <v>0</v>
      </c>
      <c r="N41" s="74">
        <f t="shared" si="11"/>
        <v>0</v>
      </c>
      <c r="O41" s="74">
        <f t="shared" si="12"/>
        <v>0</v>
      </c>
      <c r="P41" s="75">
        <f t="shared" si="13"/>
        <v>0</v>
      </c>
    </row>
    <row r="42" spans="1:16" x14ac:dyDescent="0.25">
      <c r="A42" s="91" t="str">
        <f>IF(COUNTBLANK(B42)=1," ",COUNTA(B$12:B42))</f>
        <v xml:space="preserve"> </v>
      </c>
      <c r="B42" s="120"/>
      <c r="C42" s="150" t="s">
        <v>119</v>
      </c>
      <c r="D42" s="120" t="s">
        <v>82</v>
      </c>
      <c r="E42" s="151">
        <f>E41*1.1</f>
        <v>2.3100000000000005</v>
      </c>
      <c r="F42" s="73"/>
      <c r="G42" s="74"/>
      <c r="H42" s="79">
        <f t="shared" si="7"/>
        <v>0</v>
      </c>
      <c r="I42" s="74"/>
      <c r="J42" s="74"/>
      <c r="K42" s="80">
        <f t="shared" si="8"/>
        <v>0</v>
      </c>
      <c r="L42" s="81">
        <f t="shared" si="9"/>
        <v>0</v>
      </c>
      <c r="M42" s="79">
        <f t="shared" si="10"/>
        <v>0</v>
      </c>
      <c r="N42" s="79">
        <f t="shared" si="11"/>
        <v>0</v>
      </c>
      <c r="O42" s="79">
        <f t="shared" si="12"/>
        <v>0</v>
      </c>
      <c r="P42" s="80">
        <f t="shared" si="13"/>
        <v>0</v>
      </c>
    </row>
    <row r="43" spans="1:16" x14ac:dyDescent="0.25">
      <c r="A43" s="91">
        <f>IF(COUNTBLANK(B43)=1," ",COUNTA(B$12:B43))</f>
        <v>15</v>
      </c>
      <c r="B43" s="76" t="s">
        <v>84</v>
      </c>
      <c r="C43" s="150" t="s">
        <v>159</v>
      </c>
      <c r="D43" s="120" t="s">
        <v>82</v>
      </c>
      <c r="E43" s="78">
        <f>E41</f>
        <v>2.1</v>
      </c>
      <c r="F43" s="73"/>
      <c r="G43" s="74"/>
      <c r="H43" s="74">
        <f t="shared" si="7"/>
        <v>0</v>
      </c>
      <c r="I43" s="74"/>
      <c r="J43" s="74"/>
      <c r="K43" s="75">
        <f t="shared" si="8"/>
        <v>0</v>
      </c>
      <c r="L43" s="73">
        <f t="shared" si="9"/>
        <v>0</v>
      </c>
      <c r="M43" s="74">
        <f t="shared" si="10"/>
        <v>0</v>
      </c>
      <c r="N43" s="74">
        <f t="shared" si="11"/>
        <v>0</v>
      </c>
      <c r="O43" s="74">
        <f t="shared" si="12"/>
        <v>0</v>
      </c>
      <c r="P43" s="75">
        <f t="shared" si="13"/>
        <v>0</v>
      </c>
    </row>
    <row r="44" spans="1:16" x14ac:dyDescent="0.25">
      <c r="A44" s="91" t="str">
        <f>IF(COUNTBLANK(B44)=1," ",COUNTA(B$12:B44))</f>
        <v xml:space="preserve"> </v>
      </c>
      <c r="B44" s="120"/>
      <c r="C44" s="150" t="s">
        <v>160</v>
      </c>
      <c r="D44" s="120" t="s">
        <v>82</v>
      </c>
      <c r="E44" s="151">
        <f>E43*1.1</f>
        <v>2.3100000000000005</v>
      </c>
      <c r="F44" s="73"/>
      <c r="G44" s="74"/>
      <c r="H44" s="74">
        <f t="shared" si="7"/>
        <v>0</v>
      </c>
      <c r="I44" s="74"/>
      <c r="J44" s="74"/>
      <c r="K44" s="75">
        <f t="shared" si="8"/>
        <v>0</v>
      </c>
      <c r="L44" s="73">
        <f t="shared" si="9"/>
        <v>0</v>
      </c>
      <c r="M44" s="74">
        <f t="shared" si="10"/>
        <v>0</v>
      </c>
      <c r="N44" s="74">
        <f t="shared" si="11"/>
        <v>0</v>
      </c>
      <c r="O44" s="74">
        <f t="shared" si="12"/>
        <v>0</v>
      </c>
      <c r="P44" s="75">
        <f t="shared" si="13"/>
        <v>0</v>
      </c>
    </row>
    <row r="45" spans="1:16" x14ac:dyDescent="0.25">
      <c r="A45" s="91">
        <f>IF(COUNTBLANK(B45)=1," ",COUNTA(B$12:B45))</f>
        <v>16</v>
      </c>
      <c r="B45" s="76" t="s">
        <v>84</v>
      </c>
      <c r="C45" s="150" t="s">
        <v>161</v>
      </c>
      <c r="D45" s="120" t="s">
        <v>55</v>
      </c>
      <c r="E45" s="78">
        <f>E38</f>
        <v>42</v>
      </c>
      <c r="F45" s="73"/>
      <c r="G45" s="74"/>
      <c r="H45" s="79">
        <f t="shared" si="7"/>
        <v>0</v>
      </c>
      <c r="I45" s="74"/>
      <c r="J45" s="74"/>
      <c r="K45" s="80">
        <f t="shared" si="8"/>
        <v>0</v>
      </c>
      <c r="L45" s="81">
        <f t="shared" si="9"/>
        <v>0</v>
      </c>
      <c r="M45" s="79">
        <f t="shared" si="10"/>
        <v>0</v>
      </c>
      <c r="N45" s="79">
        <f t="shared" si="11"/>
        <v>0</v>
      </c>
      <c r="O45" s="79">
        <f t="shared" si="12"/>
        <v>0</v>
      </c>
      <c r="P45" s="80">
        <f t="shared" si="13"/>
        <v>0</v>
      </c>
    </row>
    <row r="46" spans="1:16" x14ac:dyDescent="0.25">
      <c r="A46" s="91" t="str">
        <f>IF(COUNTBLANK(B46)=1," ",COUNTA(B$12:B46))</f>
        <v xml:space="preserve"> </v>
      </c>
      <c r="B46" s="120"/>
      <c r="C46" s="150" t="s">
        <v>162</v>
      </c>
      <c r="D46" s="151" t="s">
        <v>55</v>
      </c>
      <c r="E46" s="151">
        <f>E45*1.05</f>
        <v>44.1</v>
      </c>
      <c r="F46" s="73"/>
      <c r="G46" s="74"/>
      <c r="H46" s="74">
        <f t="shared" si="7"/>
        <v>0</v>
      </c>
      <c r="I46" s="74"/>
      <c r="J46" s="74"/>
      <c r="K46" s="75">
        <f t="shared" si="8"/>
        <v>0</v>
      </c>
      <c r="L46" s="73">
        <f t="shared" si="9"/>
        <v>0</v>
      </c>
      <c r="M46" s="74">
        <f t="shared" si="10"/>
        <v>0</v>
      </c>
      <c r="N46" s="74">
        <f t="shared" si="11"/>
        <v>0</v>
      </c>
      <c r="O46" s="74">
        <f t="shared" si="12"/>
        <v>0</v>
      </c>
      <c r="P46" s="75">
        <f t="shared" si="13"/>
        <v>0</v>
      </c>
    </row>
    <row r="47" spans="1:16" x14ac:dyDescent="0.25">
      <c r="A47" s="91" t="str">
        <f>IF(COUNTBLANK(B47)=1," ",COUNTA(B$12:B47))</f>
        <v xml:space="preserve"> </v>
      </c>
      <c r="B47" s="120"/>
      <c r="C47" s="150" t="s">
        <v>163</v>
      </c>
      <c r="D47" s="151" t="s">
        <v>82</v>
      </c>
      <c r="E47" s="151">
        <f>E45*0.05*1.1</f>
        <v>2.3100000000000005</v>
      </c>
      <c r="F47" s="73"/>
      <c r="G47" s="74"/>
      <c r="H47" s="79">
        <f t="shared" si="7"/>
        <v>0</v>
      </c>
      <c r="I47" s="74"/>
      <c r="J47" s="74"/>
      <c r="K47" s="80">
        <f t="shared" si="8"/>
        <v>0</v>
      </c>
      <c r="L47" s="81">
        <f t="shared" si="9"/>
        <v>0</v>
      </c>
      <c r="M47" s="79">
        <f t="shared" si="10"/>
        <v>0</v>
      </c>
      <c r="N47" s="79">
        <f t="shared" si="11"/>
        <v>0</v>
      </c>
      <c r="O47" s="79">
        <f t="shared" si="12"/>
        <v>0</v>
      </c>
      <c r="P47" s="80">
        <f t="shared" si="13"/>
        <v>0</v>
      </c>
    </row>
    <row r="48" spans="1:16" x14ac:dyDescent="0.25">
      <c r="A48" s="91">
        <f>IF(COUNTBLANK(B48)=1," ",COUNTA(B$12:B48))</f>
        <v>17</v>
      </c>
      <c r="B48" s="76" t="s">
        <v>84</v>
      </c>
      <c r="C48" s="150" t="s">
        <v>164</v>
      </c>
      <c r="D48" s="120" t="s">
        <v>86</v>
      </c>
      <c r="E48" s="78">
        <f>66+1.3*2</f>
        <v>68.599999999999994</v>
      </c>
      <c r="F48" s="73"/>
      <c r="G48" s="74"/>
      <c r="H48" s="74">
        <f t="shared" si="7"/>
        <v>0</v>
      </c>
      <c r="I48" s="74"/>
      <c r="J48" s="74"/>
      <c r="K48" s="75">
        <f t="shared" si="8"/>
        <v>0</v>
      </c>
      <c r="L48" s="73">
        <f t="shared" si="9"/>
        <v>0</v>
      </c>
      <c r="M48" s="74">
        <f t="shared" si="10"/>
        <v>0</v>
      </c>
      <c r="N48" s="74">
        <f t="shared" si="11"/>
        <v>0</v>
      </c>
      <c r="O48" s="74">
        <f t="shared" si="12"/>
        <v>0</v>
      </c>
      <c r="P48" s="75">
        <f t="shared" si="13"/>
        <v>0</v>
      </c>
    </row>
    <row r="49" spans="1:16" x14ac:dyDescent="0.25">
      <c r="A49" s="91" t="str">
        <f>IF(COUNTBLANK(B49)=1," ",COUNTA(B$12:B49))</f>
        <v xml:space="preserve"> </v>
      </c>
      <c r="B49" s="120"/>
      <c r="C49" s="150" t="s">
        <v>165</v>
      </c>
      <c r="D49" s="151" t="s">
        <v>82</v>
      </c>
      <c r="E49" s="151">
        <f>E48*0.3*0.2</f>
        <v>4.1159999999999997</v>
      </c>
      <c r="F49" s="73"/>
      <c r="G49" s="74"/>
      <c r="H49" s="74">
        <f t="shared" si="7"/>
        <v>0</v>
      </c>
      <c r="I49" s="74"/>
      <c r="J49" s="74"/>
      <c r="K49" s="75">
        <f t="shared" si="8"/>
        <v>0</v>
      </c>
      <c r="L49" s="73">
        <f t="shared" si="9"/>
        <v>0</v>
      </c>
      <c r="M49" s="74">
        <f t="shared" si="10"/>
        <v>0</v>
      </c>
      <c r="N49" s="74">
        <f t="shared" si="11"/>
        <v>0</v>
      </c>
      <c r="O49" s="74">
        <f t="shared" si="12"/>
        <v>0</v>
      </c>
      <c r="P49" s="75">
        <f t="shared" si="13"/>
        <v>0</v>
      </c>
    </row>
    <row r="50" spans="1:16" x14ac:dyDescent="0.25">
      <c r="A50" s="91">
        <f>IF(COUNTBLANK(B50)=1," ",COUNTA(B$12:B50))</f>
        <v>18</v>
      </c>
      <c r="B50" s="76" t="s">
        <v>84</v>
      </c>
      <c r="C50" s="150" t="s">
        <v>206</v>
      </c>
      <c r="D50" s="120" t="s">
        <v>86</v>
      </c>
      <c r="E50" s="78">
        <v>8</v>
      </c>
      <c r="F50" s="73"/>
      <c r="G50" s="74"/>
      <c r="H50" s="79">
        <f t="shared" si="7"/>
        <v>0</v>
      </c>
      <c r="I50" s="74"/>
      <c r="J50" s="74"/>
      <c r="K50" s="80">
        <f t="shared" si="8"/>
        <v>0</v>
      </c>
      <c r="L50" s="81">
        <f t="shared" si="9"/>
        <v>0</v>
      </c>
      <c r="M50" s="79">
        <f t="shared" si="10"/>
        <v>0</v>
      </c>
      <c r="N50" s="79">
        <f t="shared" si="11"/>
        <v>0</v>
      </c>
      <c r="O50" s="79">
        <f t="shared" si="12"/>
        <v>0</v>
      </c>
      <c r="P50" s="80">
        <f t="shared" si="13"/>
        <v>0</v>
      </c>
    </row>
    <row r="51" spans="1:16" x14ac:dyDescent="0.25">
      <c r="A51" s="91" t="str">
        <f>IF(COUNTBLANK(B51)=1," ",COUNTA(B$12:B51))</f>
        <v xml:space="preserve"> </v>
      </c>
      <c r="B51" s="120"/>
      <c r="C51" s="150" t="s">
        <v>165</v>
      </c>
      <c r="D51" s="151" t="s">
        <v>82</v>
      </c>
      <c r="E51" s="151">
        <f>0.7*E50*0.3*0.2</f>
        <v>0.33600000000000002</v>
      </c>
      <c r="F51" s="73"/>
      <c r="G51" s="74"/>
      <c r="H51" s="74">
        <f t="shared" si="7"/>
        <v>0</v>
      </c>
      <c r="I51" s="74"/>
      <c r="J51" s="74"/>
      <c r="K51" s="75">
        <f t="shared" si="8"/>
        <v>0</v>
      </c>
      <c r="L51" s="73">
        <f t="shared" si="9"/>
        <v>0</v>
      </c>
      <c r="M51" s="74">
        <f t="shared" si="10"/>
        <v>0</v>
      </c>
      <c r="N51" s="74">
        <f t="shared" si="11"/>
        <v>0</v>
      </c>
      <c r="O51" s="74">
        <f t="shared" si="12"/>
        <v>0</v>
      </c>
      <c r="P51" s="75">
        <f t="shared" si="13"/>
        <v>0</v>
      </c>
    </row>
    <row r="52" spans="1:16" x14ac:dyDescent="0.25">
      <c r="A52" s="91">
        <f>IF(COUNTBLANK(B52)=1," ",COUNTA(B$12:B52))</f>
        <v>19</v>
      </c>
      <c r="B52" s="76" t="s">
        <v>84</v>
      </c>
      <c r="C52" s="29" t="s">
        <v>166</v>
      </c>
      <c r="D52" s="91" t="s">
        <v>55</v>
      </c>
      <c r="E52" s="116">
        <f>66*0.5</f>
        <v>33</v>
      </c>
      <c r="F52" s="73"/>
      <c r="G52" s="74"/>
      <c r="H52" s="79">
        <f t="shared" si="7"/>
        <v>0</v>
      </c>
      <c r="I52" s="74"/>
      <c r="J52" s="74"/>
      <c r="K52" s="80">
        <f t="shared" si="8"/>
        <v>0</v>
      </c>
      <c r="L52" s="81">
        <f t="shared" si="9"/>
        <v>0</v>
      </c>
      <c r="M52" s="79">
        <f t="shared" si="10"/>
        <v>0</v>
      </c>
      <c r="N52" s="79">
        <f t="shared" si="11"/>
        <v>0</v>
      </c>
      <c r="O52" s="79">
        <f t="shared" si="12"/>
        <v>0</v>
      </c>
      <c r="P52" s="80">
        <f t="shared" si="13"/>
        <v>0</v>
      </c>
    </row>
    <row r="53" spans="1:16" x14ac:dyDescent="0.25">
      <c r="A53" s="91" t="str">
        <f>IF(COUNTBLANK(B53)=1," ",COUNTA(B$12:B53))</f>
        <v xml:space="preserve"> </v>
      </c>
      <c r="B53" s="91"/>
      <c r="C53" s="29" t="s">
        <v>167</v>
      </c>
      <c r="D53" s="116" t="s">
        <v>82</v>
      </c>
      <c r="E53" s="116">
        <f>E52*0.3*1.1</f>
        <v>10.89</v>
      </c>
      <c r="F53" s="73"/>
      <c r="G53" s="74"/>
      <c r="H53" s="74">
        <f t="shared" si="7"/>
        <v>0</v>
      </c>
      <c r="I53" s="74"/>
      <c r="J53" s="74"/>
      <c r="K53" s="75">
        <f t="shared" si="8"/>
        <v>0</v>
      </c>
      <c r="L53" s="73">
        <f t="shared" si="9"/>
        <v>0</v>
      </c>
      <c r="M53" s="74">
        <f t="shared" si="10"/>
        <v>0</v>
      </c>
      <c r="N53" s="74">
        <f t="shared" si="11"/>
        <v>0</v>
      </c>
      <c r="O53" s="74">
        <f t="shared" si="12"/>
        <v>0</v>
      </c>
      <c r="P53" s="75">
        <f t="shared" si="13"/>
        <v>0</v>
      </c>
    </row>
    <row r="54" spans="1:16" x14ac:dyDescent="0.25">
      <c r="A54" s="91">
        <f>IF(COUNTBLANK(B54)=1," ",COUNTA(B$12:B54))</f>
        <v>20</v>
      </c>
      <c r="B54" s="76" t="s">
        <v>84</v>
      </c>
      <c r="C54" s="29" t="s">
        <v>168</v>
      </c>
      <c r="D54" s="91" t="s">
        <v>55</v>
      </c>
      <c r="E54" s="116">
        <f>E52</f>
        <v>33</v>
      </c>
      <c r="F54" s="73"/>
      <c r="G54" s="74"/>
      <c r="H54" s="74">
        <f t="shared" si="7"/>
        <v>0</v>
      </c>
      <c r="I54" s="74"/>
      <c r="J54" s="74"/>
      <c r="K54" s="75">
        <f t="shared" si="8"/>
        <v>0</v>
      </c>
      <c r="L54" s="73">
        <f t="shared" si="9"/>
        <v>0</v>
      </c>
      <c r="M54" s="74">
        <f t="shared" si="10"/>
        <v>0</v>
      </c>
      <c r="N54" s="74">
        <f t="shared" si="11"/>
        <v>0</v>
      </c>
      <c r="O54" s="74">
        <f t="shared" si="12"/>
        <v>0</v>
      </c>
      <c r="P54" s="75">
        <f t="shared" si="13"/>
        <v>0</v>
      </c>
    </row>
    <row r="55" spans="1:16" ht="15.75" thickBot="1" x14ac:dyDescent="0.3">
      <c r="A55" s="91" t="str">
        <f>IF(COUNTBLANK(B55)=1," ",COUNTA(B$13:B55))</f>
        <v xml:space="preserve"> </v>
      </c>
      <c r="B55" s="91"/>
      <c r="C55" s="29" t="s">
        <v>169</v>
      </c>
      <c r="D55" s="91" t="s">
        <v>89</v>
      </c>
      <c r="E55" s="116">
        <f>E54*0.02</f>
        <v>0.66</v>
      </c>
      <c r="F55" s="73"/>
      <c r="G55" s="74"/>
      <c r="H55" s="79">
        <f t="shared" si="7"/>
        <v>0</v>
      </c>
      <c r="I55" s="74"/>
      <c r="J55" s="74"/>
      <c r="K55" s="80">
        <f t="shared" si="8"/>
        <v>0</v>
      </c>
      <c r="L55" s="81">
        <f t="shared" si="9"/>
        <v>0</v>
      </c>
      <c r="M55" s="79">
        <f t="shared" si="10"/>
        <v>0</v>
      </c>
      <c r="N55" s="79">
        <f t="shared" si="11"/>
        <v>0</v>
      </c>
      <c r="O55" s="79">
        <f t="shared" si="12"/>
        <v>0</v>
      </c>
      <c r="P55" s="80">
        <f t="shared" si="13"/>
        <v>0</v>
      </c>
    </row>
    <row r="56" spans="1:16" ht="15" customHeight="1" thickBot="1" x14ac:dyDescent="0.3">
      <c r="A56" s="290" t="s">
        <v>280</v>
      </c>
      <c r="B56" s="290"/>
      <c r="C56" s="290"/>
      <c r="D56" s="290"/>
      <c r="E56" s="290"/>
      <c r="F56" s="290"/>
      <c r="G56" s="290"/>
      <c r="H56" s="290"/>
      <c r="I56" s="290"/>
      <c r="J56" s="290"/>
      <c r="K56" s="291"/>
      <c r="L56" s="209">
        <f>SUM(L14:L55)</f>
        <v>0</v>
      </c>
      <c r="M56" s="210">
        <f>SUM(M14:M55)</f>
        <v>0</v>
      </c>
      <c r="N56" s="210">
        <f>SUM(N14:N55)</f>
        <v>0</v>
      </c>
      <c r="O56" s="210">
        <f>SUM(O14:O55)</f>
        <v>0</v>
      </c>
      <c r="P56" s="211">
        <f>SUM(P14:P55)</f>
        <v>0</v>
      </c>
    </row>
    <row r="57" spans="1:16" x14ac:dyDescent="0.25">
      <c r="A57" s="56"/>
      <c r="B57" s="56"/>
      <c r="C57" s="56"/>
      <c r="D57" s="56"/>
      <c r="E57" s="56"/>
      <c r="F57" s="56"/>
      <c r="G57" s="56"/>
      <c r="H57" s="56"/>
      <c r="I57" s="56"/>
      <c r="J57" s="56"/>
      <c r="K57" s="56"/>
      <c r="L57" s="56"/>
      <c r="M57" s="56"/>
      <c r="N57" s="56"/>
      <c r="O57" s="56"/>
      <c r="P57" s="56"/>
    </row>
    <row r="58" spans="1:16" x14ac:dyDescent="0.25">
      <c r="A58" s="56"/>
      <c r="B58" s="56"/>
      <c r="C58" s="155"/>
      <c r="D58" s="155"/>
      <c r="E58" s="155"/>
      <c r="F58" s="155"/>
      <c r="G58" s="155"/>
      <c r="H58" s="155"/>
      <c r="I58" s="155"/>
      <c r="J58" s="155"/>
      <c r="K58" s="155"/>
      <c r="L58" s="155"/>
      <c r="M58" s="155"/>
      <c r="N58" s="155"/>
      <c r="O58" s="155"/>
      <c r="P58" s="155"/>
    </row>
    <row r="59" spans="1:16" x14ac:dyDescent="0.25">
      <c r="A59" s="115" t="s">
        <v>14</v>
      </c>
      <c r="B59" s="56"/>
      <c r="C59" s="268">
        <f>sas</f>
        <v>0</v>
      </c>
      <c r="D59" s="268"/>
      <c r="E59" s="268"/>
      <c r="F59" s="268"/>
      <c r="G59" s="268"/>
      <c r="H59" s="268"/>
      <c r="I59" s="155"/>
      <c r="J59" s="155"/>
      <c r="K59" s="155"/>
      <c r="L59" s="155"/>
      <c r="M59" s="155"/>
      <c r="N59" s="155"/>
      <c r="O59" s="155"/>
      <c r="P59" s="155"/>
    </row>
    <row r="60" spans="1:16" x14ac:dyDescent="0.25">
      <c r="A60" s="56"/>
      <c r="B60" s="56"/>
      <c r="C60" s="265" t="s">
        <v>15</v>
      </c>
      <c r="D60" s="265"/>
      <c r="E60" s="265"/>
      <c r="F60" s="265"/>
      <c r="G60" s="265"/>
      <c r="H60" s="265"/>
      <c r="I60" s="155"/>
      <c r="J60" s="155"/>
      <c r="K60" s="155"/>
      <c r="L60" s="155"/>
      <c r="M60" s="155"/>
      <c r="N60" s="155"/>
      <c r="O60" s="155"/>
      <c r="P60" s="155"/>
    </row>
    <row r="61" spans="1:16" x14ac:dyDescent="0.25">
      <c r="A61" s="56"/>
      <c r="B61" s="56"/>
      <c r="C61" s="56"/>
      <c r="D61" s="56"/>
      <c r="E61" s="56"/>
      <c r="F61" s="56"/>
      <c r="G61" s="56"/>
      <c r="H61" s="56"/>
      <c r="I61" s="155"/>
      <c r="J61" s="155"/>
      <c r="K61" s="155"/>
      <c r="L61" s="155"/>
      <c r="M61" s="155"/>
      <c r="N61" s="155"/>
      <c r="O61" s="155"/>
      <c r="P61" s="155"/>
    </row>
    <row r="62" spans="1:16" x14ac:dyDescent="0.25">
      <c r="A62" s="126" t="str">
        <f>'Kops a'!A33</f>
        <v>Tāme sastādīta 2021.gada</v>
      </c>
      <c r="B62" s="127"/>
      <c r="C62" s="127"/>
      <c r="D62" s="127"/>
      <c r="E62" s="51"/>
      <c r="F62" s="56"/>
      <c r="G62" s="56"/>
      <c r="H62" s="56"/>
      <c r="I62" s="155"/>
      <c r="J62" s="155"/>
      <c r="K62" s="155"/>
      <c r="L62" s="155"/>
      <c r="M62" s="155"/>
      <c r="N62" s="155"/>
      <c r="O62" s="155"/>
      <c r="P62" s="155"/>
    </row>
    <row r="63" spans="1:16" x14ac:dyDescent="0.25">
      <c r="A63" s="56"/>
      <c r="B63" s="56"/>
      <c r="C63" s="56"/>
      <c r="D63" s="56"/>
      <c r="E63" s="56"/>
      <c r="F63" s="56"/>
      <c r="G63" s="56"/>
      <c r="H63" s="56"/>
      <c r="I63" s="155"/>
      <c r="J63" s="155"/>
      <c r="K63" s="155"/>
      <c r="L63" s="155"/>
      <c r="M63" s="155"/>
      <c r="N63" s="155"/>
      <c r="O63" s="155"/>
      <c r="P63" s="155"/>
    </row>
    <row r="64" spans="1:16" x14ac:dyDescent="0.25">
      <c r="A64" s="115" t="s">
        <v>38</v>
      </c>
      <c r="B64" s="56"/>
      <c r="C64" s="268">
        <f>C59</f>
        <v>0</v>
      </c>
      <c r="D64" s="268"/>
      <c r="E64" s="268"/>
      <c r="F64" s="268"/>
      <c r="G64" s="268"/>
      <c r="H64" s="268"/>
      <c r="I64" s="155"/>
      <c r="J64" s="155"/>
      <c r="K64" s="155"/>
      <c r="L64" s="155"/>
      <c r="M64" s="155"/>
      <c r="N64" s="155"/>
      <c r="O64" s="155"/>
      <c r="P64" s="155"/>
    </row>
    <row r="65" spans="1:16" x14ac:dyDescent="0.25">
      <c r="A65" s="56"/>
      <c r="B65" s="56"/>
      <c r="C65" s="265" t="s">
        <v>15</v>
      </c>
      <c r="D65" s="265"/>
      <c r="E65" s="265"/>
      <c r="F65" s="265"/>
      <c r="G65" s="265"/>
      <c r="H65" s="265"/>
      <c r="I65" s="155"/>
      <c r="J65" s="155"/>
      <c r="K65" s="155"/>
      <c r="L65" s="155"/>
      <c r="M65" s="155"/>
      <c r="N65" s="155"/>
      <c r="O65" s="155"/>
      <c r="P65" s="155"/>
    </row>
    <row r="66" spans="1:16" x14ac:dyDescent="0.25">
      <c r="A66" s="56"/>
      <c r="B66" s="56"/>
      <c r="C66" s="56"/>
      <c r="D66" s="56"/>
      <c r="E66" s="56"/>
      <c r="F66" s="56"/>
      <c r="G66" s="56"/>
      <c r="H66" s="56"/>
      <c r="I66" s="155"/>
      <c r="J66" s="155"/>
      <c r="K66" s="155"/>
      <c r="L66" s="155"/>
      <c r="M66" s="155"/>
      <c r="N66" s="155"/>
      <c r="O66" s="155"/>
      <c r="P66" s="155"/>
    </row>
    <row r="67" spans="1:16" x14ac:dyDescent="0.25">
      <c r="A67" s="126" t="s">
        <v>53</v>
      </c>
      <c r="B67" s="127"/>
      <c r="C67" s="260">
        <f>sert.nr</f>
        <v>0</v>
      </c>
      <c r="D67" s="127"/>
      <c r="E67" s="51"/>
      <c r="F67" s="56"/>
      <c r="G67" s="56"/>
      <c r="H67" s="56"/>
      <c r="I67" s="155"/>
      <c r="J67" s="155"/>
      <c r="K67" s="155"/>
      <c r="L67" s="155"/>
      <c r="M67" s="155"/>
      <c r="N67" s="155"/>
      <c r="O67" s="155"/>
      <c r="P67" s="155"/>
    </row>
    <row r="68" spans="1:16" x14ac:dyDescent="0.25">
      <c r="C68" s="51"/>
      <c r="D68" s="51"/>
      <c r="E68" s="51"/>
      <c r="F68" s="51"/>
      <c r="G68" s="51"/>
      <c r="H68" s="51"/>
    </row>
    <row r="69" spans="1:16" x14ac:dyDescent="0.25">
      <c r="A69" s="51" t="s">
        <v>288</v>
      </c>
    </row>
    <row r="70" spans="1:16" x14ac:dyDescent="0.25">
      <c r="A70" s="51" t="s">
        <v>289</v>
      </c>
    </row>
    <row r="71" spans="1:16" x14ac:dyDescent="0.25">
      <c r="A71" s="51" t="s">
        <v>290</v>
      </c>
    </row>
  </sheetData>
  <mergeCells count="22">
    <mergeCell ref="C2:I2"/>
    <mergeCell ref="C3:I3"/>
    <mergeCell ref="C4:I4"/>
    <mergeCell ref="D5:L5"/>
    <mergeCell ref="D6:L6"/>
    <mergeCell ref="D7:L7"/>
    <mergeCell ref="D8:L8"/>
    <mergeCell ref="A9:F9"/>
    <mergeCell ref="J9:M9"/>
    <mergeCell ref="N9:O9"/>
    <mergeCell ref="C64:H64"/>
    <mergeCell ref="C65:H65"/>
    <mergeCell ref="F12:K12"/>
    <mergeCell ref="L12:P12"/>
    <mergeCell ref="A56:K56"/>
    <mergeCell ref="C59:H59"/>
    <mergeCell ref="C60:H60"/>
    <mergeCell ref="A12:A13"/>
    <mergeCell ref="B12:B13"/>
    <mergeCell ref="D12:D13"/>
    <mergeCell ref="E12:E13"/>
    <mergeCell ref="C12:C13"/>
  </mergeCells>
  <phoneticPr fontId="23" type="noConversion"/>
  <conditionalFormatting sqref="D5:L8 C4:I4 A52:E55 A14:E49">
    <cfRule type="cellIs" dxfId="70" priority="29" operator="equal">
      <formula>0</formula>
    </cfRule>
  </conditionalFormatting>
  <conditionalFormatting sqref="N9:O9 C2:I2">
    <cfRule type="cellIs" dxfId="69" priority="30" operator="equal">
      <formula>0</formula>
    </cfRule>
  </conditionalFormatting>
  <conditionalFormatting sqref="A9:F9">
    <cfRule type="containsText" dxfId="68" priority="31" operator="containsText" text="Tāme sastādīta  20__. gada tirgus cenās, pamatojoties uz ___ daļas rasējumiem"/>
  </conditionalFormatting>
  <conditionalFormatting sqref="O10">
    <cfRule type="cellIs" dxfId="67" priority="33" operator="equal">
      <formula>"20__. gada __. _________"</formula>
    </cfRule>
  </conditionalFormatting>
  <conditionalFormatting sqref="L56:P56">
    <cfRule type="cellIs" dxfId="66" priority="35" operator="equal">
      <formula>0</formula>
    </cfRule>
  </conditionalFormatting>
  <conditionalFormatting sqref="P10">
    <cfRule type="cellIs" dxfId="65" priority="39" operator="equal">
      <formula>"20__. gada __. _________"</formula>
    </cfRule>
  </conditionalFormatting>
  <conditionalFormatting sqref="D1">
    <cfRule type="cellIs" dxfId="64" priority="43" operator="equal">
      <formula>0</formula>
    </cfRule>
  </conditionalFormatting>
  <conditionalFormatting sqref="A50:E51">
    <cfRule type="cellIs" dxfId="63" priority="7" operator="equal">
      <formula>0</formula>
    </cfRule>
  </conditionalFormatting>
  <conditionalFormatting sqref="I14:J55 F14:G55">
    <cfRule type="cellIs" dxfId="62" priority="6" operator="equal">
      <formula>0</formula>
    </cfRule>
  </conditionalFormatting>
  <conditionalFormatting sqref="H14:H55 K14:P55">
    <cfRule type="cellIs" dxfId="61" priority="5" operator="equal">
      <formula>0</formula>
    </cfRule>
  </conditionalFormatting>
  <conditionalFormatting sqref="A56:K56">
    <cfRule type="containsText" dxfId="60" priority="4" operator="containsText" text="Tāme sastādīta  20__. gada tirgus cenās, pamatojoties uz ___ daļas rasējumiem"/>
  </conditionalFormatting>
  <conditionalFormatting sqref="C64:H64">
    <cfRule type="cellIs" dxfId="59" priority="1" operator="equal">
      <formula>0</formula>
    </cfRule>
  </conditionalFormatting>
  <conditionalFormatting sqref="C59:H59">
    <cfRule type="cellIs" dxfId="58" priority="2" operator="equal">
      <formula>0</formula>
    </cfRule>
  </conditionalFormatting>
  <conditionalFormatting sqref="C67">
    <cfRule type="cellIs" dxfId="57" priority="3" operator="equal">
      <formula>0</formula>
    </cfRule>
  </conditionalFormatting>
  <pageMargins left="0.19685039370078741" right="0.19685039370078741" top="0.75196850393700787" bottom="0.39370078740157483" header="0.51181102362204722" footer="0.51181102362204722"/>
  <pageSetup paperSize="9" scale="89" firstPageNumber="0" orientation="landscape" horizontalDpi="300" verticalDpi="300" r:id="rId1"/>
  <rowBreaks count="2" manualBreakCount="2">
    <brk id="30" max="16383" man="1"/>
    <brk id="5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AMG61"/>
  <sheetViews>
    <sheetView view="pageBreakPreview" topLeftCell="A24" zoomScale="115" zoomScaleNormal="100" zoomScaleSheetLayoutView="115" workbookViewId="0">
      <selection activeCell="A10" sqref="A10"/>
    </sheetView>
  </sheetViews>
  <sheetFormatPr defaultColWidth="9.28515625" defaultRowHeight="15" x14ac:dyDescent="0.25"/>
  <cols>
    <col min="1" max="1" width="4.5703125" style="51" customWidth="1"/>
    <col min="2" max="2" width="7.7109375" style="51" customWidth="1"/>
    <col min="3" max="3" width="38.42578125" style="51" customWidth="1"/>
    <col min="4" max="4" width="5.85546875" style="51" customWidth="1"/>
    <col min="5" max="5" width="8.7109375" style="51" customWidth="1"/>
    <col min="6" max="6" width="5.42578125" style="51" customWidth="1"/>
    <col min="7" max="7" width="4.85546875" style="51" customWidth="1"/>
    <col min="8" max="10" width="6.7109375" style="51" customWidth="1"/>
    <col min="11" max="11" width="7" style="51" customWidth="1"/>
    <col min="12" max="15" width="7.7109375" style="51" customWidth="1"/>
    <col min="16" max="16" width="9" style="51" customWidth="1"/>
    <col min="17" max="1021" width="9.140625" style="51" customWidth="1"/>
    <col min="1022" max="16384" width="9.28515625" style="255"/>
  </cols>
  <sheetData>
    <row r="1" spans="1:16" x14ac:dyDescent="0.25">
      <c r="A1" s="48"/>
      <c r="B1" s="48"/>
      <c r="C1" s="49" t="s">
        <v>39</v>
      </c>
      <c r="D1" s="50">
        <f>'Kops a'!A17</f>
        <v>3</v>
      </c>
      <c r="E1" s="48"/>
      <c r="F1" s="48"/>
      <c r="G1" s="48"/>
      <c r="H1" s="48"/>
      <c r="I1" s="48"/>
      <c r="J1" s="48"/>
      <c r="N1" s="52"/>
      <c r="O1" s="49"/>
      <c r="P1" s="53"/>
    </row>
    <row r="2" spans="1:16" x14ac:dyDescent="0.25">
      <c r="A2" s="54"/>
      <c r="B2" s="54"/>
      <c r="C2" s="301" t="s">
        <v>178</v>
      </c>
      <c r="D2" s="301"/>
      <c r="E2" s="301"/>
      <c r="F2" s="301"/>
      <c r="G2" s="301"/>
      <c r="H2" s="301"/>
      <c r="I2" s="301"/>
      <c r="J2" s="54"/>
    </row>
    <row r="3" spans="1:16" x14ac:dyDescent="0.25">
      <c r="A3" s="55"/>
      <c r="B3" s="55"/>
      <c r="C3" s="286" t="s">
        <v>18</v>
      </c>
      <c r="D3" s="286"/>
      <c r="E3" s="286"/>
      <c r="F3" s="286"/>
      <c r="G3" s="286"/>
      <c r="H3" s="286"/>
      <c r="I3" s="286"/>
      <c r="J3" s="55"/>
    </row>
    <row r="4" spans="1:16" x14ac:dyDescent="0.25">
      <c r="A4" s="55"/>
      <c r="B4" s="55"/>
      <c r="C4" s="302" t="s">
        <v>4</v>
      </c>
      <c r="D4" s="302"/>
      <c r="E4" s="302"/>
      <c r="F4" s="302"/>
      <c r="G4" s="302"/>
      <c r="H4" s="302"/>
      <c r="I4" s="302"/>
      <c r="J4" s="55"/>
    </row>
    <row r="5" spans="1:16" x14ac:dyDescent="0.25">
      <c r="A5" s="48"/>
      <c r="B5" s="48"/>
      <c r="C5" s="49" t="s">
        <v>5</v>
      </c>
      <c r="D5" s="297" t="str">
        <f>'Kops a'!D6</f>
        <v>Daudzīvokļu dzīvojamā māja</v>
      </c>
      <c r="E5" s="297"/>
      <c r="F5" s="297"/>
      <c r="G5" s="297"/>
      <c r="H5" s="297"/>
      <c r="I5" s="297"/>
      <c r="J5" s="297"/>
      <c r="K5" s="297"/>
      <c r="L5" s="297"/>
      <c r="M5" s="56"/>
      <c r="N5" s="56"/>
      <c r="O5" s="56"/>
      <c r="P5" s="56"/>
    </row>
    <row r="6" spans="1:16" x14ac:dyDescent="0.25">
      <c r="A6" s="48"/>
      <c r="B6" s="48"/>
      <c r="C6" s="49" t="s">
        <v>6</v>
      </c>
      <c r="D6" s="297" t="str">
        <f>'Kops a'!D7</f>
        <v>Daudzdzīvokļu dzīvojamās ēkas Ventas ielā 14, Liepājā, energoefektivitātes paaugstināšanas pasākumi</v>
      </c>
      <c r="E6" s="297"/>
      <c r="F6" s="297"/>
      <c r="G6" s="297"/>
      <c r="H6" s="297"/>
      <c r="I6" s="297"/>
      <c r="J6" s="297"/>
      <c r="K6" s="297"/>
      <c r="L6" s="297"/>
      <c r="M6" s="56"/>
      <c r="N6" s="56"/>
      <c r="O6" s="56"/>
      <c r="P6" s="56"/>
    </row>
    <row r="7" spans="1:16" x14ac:dyDescent="0.25">
      <c r="A7" s="48"/>
      <c r="B7" s="48"/>
      <c r="C7" s="49" t="s">
        <v>7</v>
      </c>
      <c r="D7" s="297" t="str">
        <f>'Kops a'!D8</f>
        <v>Ventas iela 14, Liepāja</v>
      </c>
      <c r="E7" s="297"/>
      <c r="F7" s="297"/>
      <c r="G7" s="297"/>
      <c r="H7" s="297"/>
      <c r="I7" s="297"/>
      <c r="J7" s="297"/>
      <c r="K7" s="297"/>
      <c r="L7" s="297"/>
      <c r="M7" s="56"/>
      <c r="N7" s="56"/>
      <c r="O7" s="56"/>
      <c r="P7" s="56"/>
    </row>
    <row r="8" spans="1:16" x14ac:dyDescent="0.25">
      <c r="A8" s="48"/>
      <c r="B8" s="48"/>
      <c r="C8" s="57" t="s">
        <v>21</v>
      </c>
      <c r="D8" s="297" t="str">
        <f>'Kops a'!D9</f>
        <v>WS-53-18</v>
      </c>
      <c r="E8" s="297"/>
      <c r="F8" s="297"/>
      <c r="G8" s="297"/>
      <c r="H8" s="297"/>
      <c r="I8" s="297"/>
      <c r="J8" s="297"/>
      <c r="K8" s="297"/>
      <c r="L8" s="297"/>
      <c r="M8" s="56"/>
      <c r="N8" s="56"/>
      <c r="O8" s="56"/>
      <c r="P8" s="56"/>
    </row>
    <row r="9" spans="1:16" x14ac:dyDescent="0.25">
      <c r="A9" s="298" t="s">
        <v>287</v>
      </c>
      <c r="B9" s="298"/>
      <c r="C9" s="298"/>
      <c r="D9" s="298"/>
      <c r="E9" s="298"/>
      <c r="F9" s="298"/>
      <c r="G9" s="58"/>
      <c r="H9" s="58"/>
      <c r="I9" s="58"/>
      <c r="J9" s="299" t="s">
        <v>40</v>
      </c>
      <c r="K9" s="299"/>
      <c r="L9" s="299"/>
      <c r="M9" s="299"/>
      <c r="N9" s="300">
        <f>P46</f>
        <v>0</v>
      </c>
      <c r="O9" s="300"/>
      <c r="P9" s="58"/>
    </row>
    <row r="10" spans="1:16" x14ac:dyDescent="0.25">
      <c r="A10" s="59"/>
      <c r="B10" s="60"/>
      <c r="C10" s="57"/>
      <c r="D10" s="48"/>
      <c r="E10" s="48"/>
      <c r="F10" s="48"/>
      <c r="G10" s="48"/>
      <c r="H10" s="48"/>
      <c r="I10" s="48"/>
      <c r="J10" s="48"/>
      <c r="K10" s="48"/>
      <c r="L10" s="54"/>
      <c r="M10" s="54"/>
      <c r="O10" s="130"/>
      <c r="P10" s="62" t="str">
        <f>A52</f>
        <v>Tāme sastādīta 2021.gada</v>
      </c>
    </row>
    <row r="11" spans="1:16" ht="15.75" thickBot="1" x14ac:dyDescent="0.3">
      <c r="A11" s="59"/>
      <c r="B11" s="60"/>
      <c r="C11" s="57"/>
      <c r="D11" s="48"/>
      <c r="E11" s="48"/>
      <c r="F11" s="48"/>
      <c r="G11" s="48"/>
      <c r="H11" s="48"/>
      <c r="I11" s="48"/>
      <c r="J11" s="48"/>
      <c r="K11" s="48"/>
      <c r="L11" s="63"/>
      <c r="M11" s="63"/>
      <c r="N11" s="64"/>
      <c r="O11" s="52"/>
      <c r="P11" s="48"/>
    </row>
    <row r="12" spans="1:16" ht="15.75" thickBot="1" x14ac:dyDescent="0.3">
      <c r="A12" s="292" t="s">
        <v>24</v>
      </c>
      <c r="B12" s="293" t="s">
        <v>41</v>
      </c>
      <c r="C12" s="294" t="s">
        <v>42</v>
      </c>
      <c r="D12" s="295" t="s">
        <v>43</v>
      </c>
      <c r="E12" s="296" t="s">
        <v>44</v>
      </c>
      <c r="F12" s="289" t="s">
        <v>45</v>
      </c>
      <c r="G12" s="289"/>
      <c r="H12" s="289"/>
      <c r="I12" s="289"/>
      <c r="J12" s="289"/>
      <c r="K12" s="289"/>
      <c r="L12" s="289" t="s">
        <v>46</v>
      </c>
      <c r="M12" s="289"/>
      <c r="N12" s="289"/>
      <c r="O12" s="289"/>
      <c r="P12" s="289"/>
    </row>
    <row r="13" spans="1:16" ht="119.25" thickBot="1" x14ac:dyDescent="0.3">
      <c r="A13" s="292"/>
      <c r="B13" s="293"/>
      <c r="C13" s="294"/>
      <c r="D13" s="295"/>
      <c r="E13" s="296"/>
      <c r="F13" s="65" t="s">
        <v>47</v>
      </c>
      <c r="G13" s="66" t="s">
        <v>48</v>
      </c>
      <c r="H13" s="66" t="s">
        <v>49</v>
      </c>
      <c r="I13" s="66" t="s">
        <v>50</v>
      </c>
      <c r="J13" s="66" t="s">
        <v>51</v>
      </c>
      <c r="K13" s="67" t="s">
        <v>52</v>
      </c>
      <c r="L13" s="65" t="s">
        <v>47</v>
      </c>
      <c r="M13" s="66" t="s">
        <v>49</v>
      </c>
      <c r="N13" s="66" t="s">
        <v>50</v>
      </c>
      <c r="O13" s="66" t="s">
        <v>51</v>
      </c>
      <c r="P13" s="67" t="s">
        <v>52</v>
      </c>
    </row>
    <row r="14" spans="1:16" x14ac:dyDescent="0.25">
      <c r="A14" s="91">
        <f>IF(COUNTBLANK(B14)=1," ",COUNTA(B$14:B14))</f>
        <v>1</v>
      </c>
      <c r="B14" s="69" t="s">
        <v>84</v>
      </c>
      <c r="C14" s="156" t="s">
        <v>118</v>
      </c>
      <c r="D14" s="157" t="s">
        <v>115</v>
      </c>
      <c r="E14" s="158">
        <f>SUM(apjomi!C4:C9)</f>
        <v>5</v>
      </c>
      <c r="F14" s="73"/>
      <c r="G14" s="74"/>
      <c r="H14" s="74">
        <f>ROUND(F14*G14,2)</f>
        <v>0</v>
      </c>
      <c r="I14" s="74"/>
      <c r="J14" s="74"/>
      <c r="K14" s="75">
        <f>SUM(H14:J14)</f>
        <v>0</v>
      </c>
      <c r="L14" s="73">
        <f>ROUND(E14*F14,2)</f>
        <v>0</v>
      </c>
      <c r="M14" s="74">
        <f>ROUND(H14*E14,2)</f>
        <v>0</v>
      </c>
      <c r="N14" s="74">
        <f>ROUND(I14*E14,2)</f>
        <v>0</v>
      </c>
      <c r="O14" s="74">
        <f>ROUND(J14*E14,2)</f>
        <v>0</v>
      </c>
      <c r="P14" s="75">
        <f>SUM(M14:O14)</f>
        <v>0</v>
      </c>
    </row>
    <row r="15" spans="1:16" x14ac:dyDescent="0.25">
      <c r="A15" s="91">
        <f>IF(COUNTBLANK(B15)=1," ",COUNTA(B$14:B15))</f>
        <v>2</v>
      </c>
      <c r="B15" s="112" t="s">
        <v>84</v>
      </c>
      <c r="C15" s="159" t="s">
        <v>117</v>
      </c>
      <c r="D15" s="160" t="s">
        <v>115</v>
      </c>
      <c r="E15" s="161">
        <f>E27</f>
        <v>4</v>
      </c>
      <c r="F15" s="73"/>
      <c r="G15" s="74"/>
      <c r="H15" s="79">
        <f t="shared" ref="H15:H19" si="0">ROUND(F15*G15,2)</f>
        <v>0</v>
      </c>
      <c r="I15" s="74"/>
      <c r="J15" s="74"/>
      <c r="K15" s="80">
        <f t="shared" ref="K15:K19" si="1">SUM(H15:J15)</f>
        <v>0</v>
      </c>
      <c r="L15" s="81">
        <f t="shared" ref="L15:L19" si="2">ROUND(E15*F15,2)</f>
        <v>0</v>
      </c>
      <c r="M15" s="79">
        <f t="shared" ref="M15:M19" si="3">ROUND(H15*E15,2)</f>
        <v>0</v>
      </c>
      <c r="N15" s="79">
        <f t="shared" ref="N15:N19" si="4">ROUND(I15*E15,2)</f>
        <v>0</v>
      </c>
      <c r="O15" s="79">
        <f t="shared" ref="O15:O19" si="5">ROUND(J15*E15,2)</f>
        <v>0</v>
      </c>
      <c r="P15" s="80">
        <f t="shared" ref="P15:P19" si="6">SUM(M15:O15)</f>
        <v>0</v>
      </c>
    </row>
    <row r="16" spans="1:16" ht="101.25" x14ac:dyDescent="0.25">
      <c r="A16" s="91" t="str">
        <f>IF(COUNTBLANK(B16)=1," ",COUNTA(B$14:B16))</f>
        <v xml:space="preserve"> </v>
      </c>
      <c r="B16" s="76"/>
      <c r="C16" s="162" t="s">
        <v>171</v>
      </c>
      <c r="D16" s="162"/>
      <c r="E16" s="162"/>
      <c r="F16" s="73"/>
      <c r="G16" s="74"/>
      <c r="H16" s="74">
        <f t="shared" si="0"/>
        <v>0</v>
      </c>
      <c r="I16" s="74"/>
      <c r="J16" s="74"/>
      <c r="K16" s="75">
        <f t="shared" si="1"/>
        <v>0</v>
      </c>
      <c r="L16" s="73">
        <f t="shared" si="2"/>
        <v>0</v>
      </c>
      <c r="M16" s="74">
        <f t="shared" si="3"/>
        <v>0</v>
      </c>
      <c r="N16" s="74">
        <f t="shared" si="4"/>
        <v>0</v>
      </c>
      <c r="O16" s="74">
        <f t="shared" si="5"/>
        <v>0</v>
      </c>
      <c r="P16" s="75">
        <f t="shared" si="6"/>
        <v>0</v>
      </c>
    </row>
    <row r="17" spans="1:16" x14ac:dyDescent="0.25">
      <c r="A17" s="91">
        <f>IF(COUNTBLANK(B17)=1," ",COUNTA(B$14:B17))</f>
        <v>3</v>
      </c>
      <c r="B17" s="76" t="s">
        <v>84</v>
      </c>
      <c r="C17" s="163" t="str">
        <f>apjomi!B4</f>
        <v>L1 1,5×1,4m</v>
      </c>
      <c r="D17" s="164" t="s">
        <v>56</v>
      </c>
      <c r="E17" s="165">
        <f>apjomi!C4</f>
        <v>1</v>
      </c>
      <c r="F17" s="73"/>
      <c r="G17" s="74"/>
      <c r="H17" s="79">
        <f t="shared" si="0"/>
        <v>0</v>
      </c>
      <c r="I17" s="74"/>
      <c r="J17" s="74"/>
      <c r="K17" s="80">
        <f t="shared" si="1"/>
        <v>0</v>
      </c>
      <c r="L17" s="81">
        <f t="shared" si="2"/>
        <v>0</v>
      </c>
      <c r="M17" s="79">
        <f t="shared" si="3"/>
        <v>0</v>
      </c>
      <c r="N17" s="79">
        <f t="shared" si="4"/>
        <v>0</v>
      </c>
      <c r="O17" s="79">
        <f t="shared" si="5"/>
        <v>0</v>
      </c>
      <c r="P17" s="80">
        <f t="shared" si="6"/>
        <v>0</v>
      </c>
    </row>
    <row r="18" spans="1:16" x14ac:dyDescent="0.25">
      <c r="A18" s="91">
        <f>IF(COUNTBLANK(B18)=1," ",COUNTA(B$14:B18))</f>
        <v>4</v>
      </c>
      <c r="B18" s="76" t="s">
        <v>84</v>
      </c>
      <c r="C18" s="163" t="str">
        <f>apjomi!B5</f>
        <v>L2 2,15×1,4m</v>
      </c>
      <c r="D18" s="164" t="s">
        <v>56</v>
      </c>
      <c r="E18" s="165">
        <f>apjomi!C5</f>
        <v>1</v>
      </c>
      <c r="F18" s="73"/>
      <c r="G18" s="74"/>
      <c r="H18" s="74">
        <f t="shared" si="0"/>
        <v>0</v>
      </c>
      <c r="I18" s="74"/>
      <c r="J18" s="74"/>
      <c r="K18" s="75">
        <f t="shared" si="1"/>
        <v>0</v>
      </c>
      <c r="L18" s="73">
        <f t="shared" si="2"/>
        <v>0</v>
      </c>
      <c r="M18" s="74">
        <f t="shared" si="3"/>
        <v>0</v>
      </c>
      <c r="N18" s="74">
        <f t="shared" si="4"/>
        <v>0</v>
      </c>
      <c r="O18" s="74">
        <f t="shared" si="5"/>
        <v>0</v>
      </c>
      <c r="P18" s="75">
        <f t="shared" si="6"/>
        <v>0</v>
      </c>
    </row>
    <row r="19" spans="1:16" x14ac:dyDescent="0.25">
      <c r="A19" s="91">
        <f>IF(COUNTBLANK(B19)=1," ",COUNTA(B$14:B19))</f>
        <v>5</v>
      </c>
      <c r="B19" s="76" t="s">
        <v>84</v>
      </c>
      <c r="C19" s="163" t="str">
        <f>apjomi!B6</f>
        <v>L3 logs 0,85×1,45m</v>
      </c>
      <c r="D19" s="164" t="s">
        <v>56</v>
      </c>
      <c r="E19" s="165">
        <f>apjomi!C6</f>
        <v>1</v>
      </c>
      <c r="F19" s="73"/>
      <c r="G19" s="74"/>
      <c r="H19" s="74">
        <f t="shared" si="0"/>
        <v>0</v>
      </c>
      <c r="I19" s="74"/>
      <c r="J19" s="74"/>
      <c r="K19" s="75">
        <f t="shared" si="1"/>
        <v>0</v>
      </c>
      <c r="L19" s="73">
        <f t="shared" si="2"/>
        <v>0</v>
      </c>
      <c r="M19" s="74">
        <f t="shared" si="3"/>
        <v>0</v>
      </c>
      <c r="N19" s="74">
        <f t="shared" si="4"/>
        <v>0</v>
      </c>
      <c r="O19" s="74">
        <f t="shared" si="5"/>
        <v>0</v>
      </c>
      <c r="P19" s="75">
        <f t="shared" si="6"/>
        <v>0</v>
      </c>
    </row>
    <row r="20" spans="1:16" x14ac:dyDescent="0.25">
      <c r="A20" s="91">
        <f>IF(COUNTBLANK(B20)=1," ",COUNTA(B$14:B20))</f>
        <v>6</v>
      </c>
      <c r="B20" s="76" t="s">
        <v>84</v>
      </c>
      <c r="C20" s="163" t="str">
        <f>apjomi!B7</f>
        <v>L4 logs 1,1×2,9m</v>
      </c>
      <c r="D20" s="164" t="s">
        <v>56</v>
      </c>
      <c r="E20" s="165">
        <f>apjomi!C7</f>
        <v>1</v>
      </c>
      <c r="F20" s="73"/>
      <c r="G20" s="74"/>
      <c r="H20" s="79">
        <f t="shared" ref="H20:H45" si="7">ROUND(F20*G20,2)</f>
        <v>0</v>
      </c>
      <c r="I20" s="74"/>
      <c r="J20" s="74"/>
      <c r="K20" s="80">
        <f t="shared" ref="K20:K45" si="8">SUM(H20:J20)</f>
        <v>0</v>
      </c>
      <c r="L20" s="81">
        <f t="shared" ref="L20:L45" si="9">ROUND(E20*F20,2)</f>
        <v>0</v>
      </c>
      <c r="M20" s="79">
        <f t="shared" ref="M20:M45" si="10">ROUND(H20*E20,2)</f>
        <v>0</v>
      </c>
      <c r="N20" s="79">
        <f t="shared" ref="N20:N45" si="11">ROUND(I20*E20,2)</f>
        <v>0</v>
      </c>
      <c r="O20" s="79">
        <f t="shared" ref="O20:O45" si="12">ROUND(J20*E20,2)</f>
        <v>0</v>
      </c>
      <c r="P20" s="80">
        <f t="shared" ref="P20:P45" si="13">SUM(M20:O20)</f>
        <v>0</v>
      </c>
    </row>
    <row r="21" spans="1:16" x14ac:dyDescent="0.25">
      <c r="A21" s="91">
        <f>IF(COUNTBLANK(B21)=1," ",COUNTA(B$14:B21))</f>
        <v>7</v>
      </c>
      <c r="B21" s="69" t="s">
        <v>84</v>
      </c>
      <c r="C21" s="166" t="s">
        <v>172</v>
      </c>
      <c r="D21" s="164" t="s">
        <v>56</v>
      </c>
      <c r="E21" s="167">
        <f>SUM(E17:E20)</f>
        <v>4</v>
      </c>
      <c r="F21" s="73"/>
      <c r="G21" s="74"/>
      <c r="H21" s="74">
        <f t="shared" si="7"/>
        <v>0</v>
      </c>
      <c r="I21" s="74"/>
      <c r="J21" s="74"/>
      <c r="K21" s="75">
        <f t="shared" si="8"/>
        <v>0</v>
      </c>
      <c r="L21" s="73">
        <f t="shared" si="9"/>
        <v>0</v>
      </c>
      <c r="M21" s="74">
        <f t="shared" si="10"/>
        <v>0</v>
      </c>
      <c r="N21" s="74">
        <f t="shared" si="11"/>
        <v>0</v>
      </c>
      <c r="O21" s="74">
        <f t="shared" si="12"/>
        <v>0</v>
      </c>
      <c r="P21" s="75">
        <f t="shared" si="13"/>
        <v>0</v>
      </c>
    </row>
    <row r="22" spans="1:16" x14ac:dyDescent="0.25">
      <c r="A22" s="91" t="str">
        <f>IF(COUNTBLANK(B22)=1," ",COUNTA(B$14:B22))</f>
        <v xml:space="preserve"> </v>
      </c>
      <c r="B22" s="120"/>
      <c r="C22" s="119" t="s">
        <v>114</v>
      </c>
      <c r="D22" s="168" t="s">
        <v>56</v>
      </c>
      <c r="E22" s="167">
        <f>ROUNDUP(E21*10,0)</f>
        <v>40</v>
      </c>
      <c r="F22" s="73"/>
      <c r="G22" s="74"/>
      <c r="H22" s="79">
        <f t="shared" si="7"/>
        <v>0</v>
      </c>
      <c r="I22" s="74"/>
      <c r="J22" s="74"/>
      <c r="K22" s="80">
        <f t="shared" si="8"/>
        <v>0</v>
      </c>
      <c r="L22" s="81">
        <f t="shared" si="9"/>
        <v>0</v>
      </c>
      <c r="M22" s="79">
        <f t="shared" si="10"/>
        <v>0</v>
      </c>
      <c r="N22" s="79">
        <f t="shared" si="11"/>
        <v>0</v>
      </c>
      <c r="O22" s="79">
        <f t="shared" si="12"/>
        <v>0</v>
      </c>
      <c r="P22" s="80">
        <f t="shared" si="13"/>
        <v>0</v>
      </c>
    </row>
    <row r="23" spans="1:16" x14ac:dyDescent="0.25">
      <c r="A23" s="91" t="str">
        <f>IF(COUNTBLANK(B23)=1," ",COUNTA(B$14:B23))</f>
        <v xml:space="preserve"> </v>
      </c>
      <c r="B23" s="120"/>
      <c r="C23" s="119" t="s">
        <v>112</v>
      </c>
      <c r="D23" s="120" t="s">
        <v>56</v>
      </c>
      <c r="E23" s="169">
        <f>E22*4</f>
        <v>160</v>
      </c>
      <c r="F23" s="73"/>
      <c r="G23" s="74"/>
      <c r="H23" s="74">
        <f t="shared" si="7"/>
        <v>0</v>
      </c>
      <c r="I23" s="74"/>
      <c r="J23" s="74"/>
      <c r="K23" s="75">
        <f t="shared" si="8"/>
        <v>0</v>
      </c>
      <c r="L23" s="73">
        <f t="shared" si="9"/>
        <v>0</v>
      </c>
      <c r="M23" s="74">
        <f t="shared" si="10"/>
        <v>0</v>
      </c>
      <c r="N23" s="74">
        <f t="shared" si="11"/>
        <v>0</v>
      </c>
      <c r="O23" s="74">
        <f t="shared" si="12"/>
        <v>0</v>
      </c>
      <c r="P23" s="75">
        <f t="shared" si="13"/>
        <v>0</v>
      </c>
    </row>
    <row r="24" spans="1:16" x14ac:dyDescent="0.25">
      <c r="A24" s="91" t="str">
        <f>IF(COUNTBLANK(B24)=1," ",COUNTA(B$14:B24))</f>
        <v xml:space="preserve"> </v>
      </c>
      <c r="B24" s="120"/>
      <c r="C24" s="170" t="s">
        <v>113</v>
      </c>
      <c r="D24" s="151" t="s">
        <v>56</v>
      </c>
      <c r="E24" s="169">
        <f>E22*2</f>
        <v>80</v>
      </c>
      <c r="F24" s="73"/>
      <c r="G24" s="74"/>
      <c r="H24" s="74">
        <f t="shared" si="7"/>
        <v>0</v>
      </c>
      <c r="I24" s="74"/>
      <c r="J24" s="74"/>
      <c r="K24" s="75">
        <f t="shared" si="8"/>
        <v>0</v>
      </c>
      <c r="L24" s="73">
        <f t="shared" si="9"/>
        <v>0</v>
      </c>
      <c r="M24" s="74">
        <f t="shared" si="10"/>
        <v>0</v>
      </c>
      <c r="N24" s="74">
        <f t="shared" si="11"/>
        <v>0</v>
      </c>
      <c r="O24" s="74">
        <f t="shared" si="12"/>
        <v>0</v>
      </c>
      <c r="P24" s="75">
        <f t="shared" si="13"/>
        <v>0</v>
      </c>
    </row>
    <row r="25" spans="1:16" x14ac:dyDescent="0.25">
      <c r="A25" s="91" t="str">
        <f>IF(COUNTBLANK(B25)=1," ",COUNTA(B$14:B25))</f>
        <v xml:space="preserve"> </v>
      </c>
      <c r="B25" s="120"/>
      <c r="C25" s="171" t="s">
        <v>173</v>
      </c>
      <c r="D25" s="172" t="s">
        <v>92</v>
      </c>
      <c r="E25" s="173">
        <f>ROUNDUP(E21*4,0)</f>
        <v>16</v>
      </c>
      <c r="F25" s="73"/>
      <c r="G25" s="74"/>
      <c r="H25" s="79">
        <f t="shared" si="7"/>
        <v>0</v>
      </c>
      <c r="I25" s="74"/>
      <c r="J25" s="74"/>
      <c r="K25" s="80">
        <f t="shared" si="8"/>
        <v>0</v>
      </c>
      <c r="L25" s="81">
        <f t="shared" si="9"/>
        <v>0</v>
      </c>
      <c r="M25" s="79">
        <f t="shared" si="10"/>
        <v>0</v>
      </c>
      <c r="N25" s="79">
        <f t="shared" si="11"/>
        <v>0</v>
      </c>
      <c r="O25" s="79">
        <f t="shared" si="12"/>
        <v>0</v>
      </c>
      <c r="P25" s="80">
        <f t="shared" si="13"/>
        <v>0</v>
      </c>
    </row>
    <row r="26" spans="1:16" x14ac:dyDescent="0.25">
      <c r="A26" s="91" t="str">
        <f>IF(COUNTBLANK(B26)=1," ",COUNTA(B$14:B26))</f>
        <v xml:space="preserve"> </v>
      </c>
      <c r="B26" s="174"/>
      <c r="C26" s="175" t="s">
        <v>111</v>
      </c>
      <c r="D26" s="176" t="s">
        <v>92</v>
      </c>
      <c r="E26" s="177">
        <f>ROUNDUP(E21*0.25,2)</f>
        <v>1</v>
      </c>
      <c r="F26" s="73"/>
      <c r="G26" s="74"/>
      <c r="H26" s="74">
        <f t="shared" si="7"/>
        <v>0</v>
      </c>
      <c r="I26" s="74"/>
      <c r="J26" s="74"/>
      <c r="K26" s="75">
        <f t="shared" si="8"/>
        <v>0</v>
      </c>
      <c r="L26" s="73">
        <f t="shared" si="9"/>
        <v>0</v>
      </c>
      <c r="M26" s="74">
        <f t="shared" si="10"/>
        <v>0</v>
      </c>
      <c r="N26" s="74">
        <f t="shared" si="11"/>
        <v>0</v>
      </c>
      <c r="O26" s="74">
        <f t="shared" si="12"/>
        <v>0</v>
      </c>
      <c r="P26" s="75">
        <f t="shared" si="13"/>
        <v>0</v>
      </c>
    </row>
    <row r="27" spans="1:16" x14ac:dyDescent="0.25">
      <c r="A27" s="91" t="str">
        <f>IF(COUNTBLANK(B27)=1," ",COUNTA(B$14:B27))</f>
        <v xml:space="preserve"> </v>
      </c>
      <c r="B27" s="174"/>
      <c r="C27" s="175" t="s">
        <v>116</v>
      </c>
      <c r="D27" s="176" t="s">
        <v>143</v>
      </c>
      <c r="E27" s="178">
        <f>E21*1</f>
        <v>4</v>
      </c>
      <c r="F27" s="73"/>
      <c r="G27" s="74"/>
      <c r="H27" s="79">
        <f t="shared" si="7"/>
        <v>0</v>
      </c>
      <c r="I27" s="74"/>
      <c r="J27" s="74"/>
      <c r="K27" s="80">
        <f t="shared" si="8"/>
        <v>0</v>
      </c>
      <c r="L27" s="81">
        <f t="shared" si="9"/>
        <v>0</v>
      </c>
      <c r="M27" s="79">
        <f t="shared" si="10"/>
        <v>0</v>
      </c>
      <c r="N27" s="79">
        <f t="shared" si="11"/>
        <v>0</v>
      </c>
      <c r="O27" s="79">
        <f t="shared" si="12"/>
        <v>0</v>
      </c>
      <c r="P27" s="80">
        <f t="shared" si="13"/>
        <v>0</v>
      </c>
    </row>
    <row r="28" spans="1:16" ht="67.5" x14ac:dyDescent="0.25">
      <c r="A28" s="91">
        <f>IF(COUNTBLANK(B28)=1," ",COUNTA(B$14:B28))</f>
        <v>8</v>
      </c>
      <c r="B28" s="76" t="s">
        <v>84</v>
      </c>
      <c r="C28" s="179" t="str">
        <f>apjomi!B9</f>
        <v>Alumīnija konstrukcijas durvju bloks. Ar rokturi un enģēm, ar pašaizvēršanās mehānismu, ar speciālām blīvgumijām un piedurlīstēm, vienpunktu slēdzeni, kodatslēgu. Stikla paketes siltumcaurlaidības koef.:1.0w/m²*K.  Uw=1,6w/m²*K 
Krāsa - pēc krāsu pases,  D1 1,35×2,1m</v>
      </c>
      <c r="D28" s="180" t="s">
        <v>56</v>
      </c>
      <c r="E28" s="181">
        <f>apjomi!C9</f>
        <v>1</v>
      </c>
      <c r="F28" s="73"/>
      <c r="G28" s="74"/>
      <c r="H28" s="74">
        <f t="shared" si="7"/>
        <v>0</v>
      </c>
      <c r="I28" s="74"/>
      <c r="J28" s="74"/>
      <c r="K28" s="75">
        <f t="shared" si="8"/>
        <v>0</v>
      </c>
      <c r="L28" s="73">
        <f t="shared" si="9"/>
        <v>0</v>
      </c>
      <c r="M28" s="74">
        <f t="shared" si="10"/>
        <v>0</v>
      </c>
      <c r="N28" s="74">
        <f t="shared" si="11"/>
        <v>0</v>
      </c>
      <c r="O28" s="74">
        <f t="shared" si="12"/>
        <v>0</v>
      </c>
      <c r="P28" s="75">
        <f t="shared" si="13"/>
        <v>0</v>
      </c>
    </row>
    <row r="29" spans="1:16" x14ac:dyDescent="0.25">
      <c r="A29" s="91">
        <f>IF(COUNTBLANK(B29)=1," ",COUNTA(B$14:B29))</f>
        <v>9</v>
      </c>
      <c r="B29" s="182" t="s">
        <v>84</v>
      </c>
      <c r="C29" s="183" t="s">
        <v>174</v>
      </c>
      <c r="D29" s="184" t="s">
        <v>56</v>
      </c>
      <c r="E29" s="177">
        <f>SUM(E28:E28)</f>
        <v>1</v>
      </c>
      <c r="F29" s="73"/>
      <c r="G29" s="74"/>
      <c r="H29" s="74">
        <f t="shared" si="7"/>
        <v>0</v>
      </c>
      <c r="I29" s="74"/>
      <c r="J29" s="74"/>
      <c r="K29" s="75">
        <f t="shared" si="8"/>
        <v>0</v>
      </c>
      <c r="L29" s="73">
        <f t="shared" si="9"/>
        <v>0</v>
      </c>
      <c r="M29" s="74">
        <f t="shared" si="10"/>
        <v>0</v>
      </c>
      <c r="N29" s="74">
        <f t="shared" si="11"/>
        <v>0</v>
      </c>
      <c r="O29" s="74">
        <f t="shared" si="12"/>
        <v>0</v>
      </c>
      <c r="P29" s="75">
        <f t="shared" si="13"/>
        <v>0</v>
      </c>
    </row>
    <row r="30" spans="1:16" x14ac:dyDescent="0.25">
      <c r="A30" s="91" t="str">
        <f>IF(COUNTBLANK(B30)=1," ",COUNTA(B$14:B30))</f>
        <v xml:space="preserve"> </v>
      </c>
      <c r="B30" s="185"/>
      <c r="C30" s="175" t="s">
        <v>114</v>
      </c>
      <c r="D30" s="176" t="s">
        <v>56</v>
      </c>
      <c r="E30" s="177">
        <f>ROUNDUP(E29*10,0)</f>
        <v>10</v>
      </c>
      <c r="F30" s="73"/>
      <c r="G30" s="74"/>
      <c r="H30" s="79">
        <f t="shared" si="7"/>
        <v>0</v>
      </c>
      <c r="I30" s="74"/>
      <c r="J30" s="74"/>
      <c r="K30" s="80">
        <f t="shared" si="8"/>
        <v>0</v>
      </c>
      <c r="L30" s="81">
        <f t="shared" si="9"/>
        <v>0</v>
      </c>
      <c r="M30" s="79">
        <f t="shared" si="10"/>
        <v>0</v>
      </c>
      <c r="N30" s="79">
        <f t="shared" si="11"/>
        <v>0</v>
      </c>
      <c r="O30" s="79">
        <f t="shared" si="12"/>
        <v>0</v>
      </c>
      <c r="P30" s="80">
        <f t="shared" si="13"/>
        <v>0</v>
      </c>
    </row>
    <row r="31" spans="1:16" x14ac:dyDescent="0.25">
      <c r="A31" s="91" t="str">
        <f>IF(COUNTBLANK(B31)=1," ",COUNTA(B$14:B31))</f>
        <v xml:space="preserve"> </v>
      </c>
      <c r="B31" s="185"/>
      <c r="C31" s="175" t="s">
        <v>112</v>
      </c>
      <c r="D31" s="176" t="s">
        <v>56</v>
      </c>
      <c r="E31" s="177">
        <f>E30*4</f>
        <v>40</v>
      </c>
      <c r="F31" s="73"/>
      <c r="G31" s="74"/>
      <c r="H31" s="74">
        <f t="shared" si="7"/>
        <v>0</v>
      </c>
      <c r="I31" s="74"/>
      <c r="J31" s="74"/>
      <c r="K31" s="75">
        <f t="shared" si="8"/>
        <v>0</v>
      </c>
      <c r="L31" s="73">
        <f t="shared" si="9"/>
        <v>0</v>
      </c>
      <c r="M31" s="74">
        <f t="shared" si="10"/>
        <v>0</v>
      </c>
      <c r="N31" s="74">
        <f t="shared" si="11"/>
        <v>0</v>
      </c>
      <c r="O31" s="74">
        <f t="shared" si="12"/>
        <v>0</v>
      </c>
      <c r="P31" s="75">
        <f t="shared" si="13"/>
        <v>0</v>
      </c>
    </row>
    <row r="32" spans="1:16" x14ac:dyDescent="0.25">
      <c r="A32" s="91" t="str">
        <f>IF(COUNTBLANK(B32)=1," ",COUNTA(B$14:B32))</f>
        <v xml:space="preserve"> </v>
      </c>
      <c r="B32" s="182"/>
      <c r="C32" s="186" t="s">
        <v>113</v>
      </c>
      <c r="D32" s="178" t="s">
        <v>56</v>
      </c>
      <c r="E32" s="177">
        <f>E30*2</f>
        <v>20</v>
      </c>
      <c r="F32" s="73"/>
      <c r="G32" s="74"/>
      <c r="H32" s="79">
        <f t="shared" si="7"/>
        <v>0</v>
      </c>
      <c r="I32" s="74"/>
      <c r="J32" s="74"/>
      <c r="K32" s="80">
        <f t="shared" si="8"/>
        <v>0</v>
      </c>
      <c r="L32" s="81">
        <f t="shared" si="9"/>
        <v>0</v>
      </c>
      <c r="M32" s="79">
        <f t="shared" si="10"/>
        <v>0</v>
      </c>
      <c r="N32" s="79">
        <f t="shared" si="11"/>
        <v>0</v>
      </c>
      <c r="O32" s="79">
        <f t="shared" si="12"/>
        <v>0</v>
      </c>
      <c r="P32" s="80">
        <f t="shared" si="13"/>
        <v>0</v>
      </c>
    </row>
    <row r="33" spans="1:16" x14ac:dyDescent="0.25">
      <c r="A33" s="91" t="str">
        <f>IF(COUNTBLANK(B33)=1," ",COUNTA(B$14:B33))</f>
        <v xml:space="preserve"> </v>
      </c>
      <c r="B33" s="182"/>
      <c r="C33" s="175" t="s">
        <v>173</v>
      </c>
      <c r="D33" s="176" t="s">
        <v>92</v>
      </c>
      <c r="E33" s="177">
        <f>ROUNDUP(E29*4,0)</f>
        <v>4</v>
      </c>
      <c r="F33" s="73"/>
      <c r="G33" s="74"/>
      <c r="H33" s="74">
        <f t="shared" si="7"/>
        <v>0</v>
      </c>
      <c r="I33" s="74"/>
      <c r="J33" s="74"/>
      <c r="K33" s="75">
        <f t="shared" si="8"/>
        <v>0</v>
      </c>
      <c r="L33" s="73">
        <f t="shared" si="9"/>
        <v>0</v>
      </c>
      <c r="M33" s="74">
        <f t="shared" si="10"/>
        <v>0</v>
      </c>
      <c r="N33" s="74">
        <f t="shared" si="11"/>
        <v>0</v>
      </c>
      <c r="O33" s="74">
        <f t="shared" si="12"/>
        <v>0</v>
      </c>
      <c r="P33" s="75">
        <f t="shared" si="13"/>
        <v>0</v>
      </c>
    </row>
    <row r="34" spans="1:16" x14ac:dyDescent="0.25">
      <c r="A34" s="91" t="str">
        <f>IF(COUNTBLANK(B34)=1," ",COUNTA(B$14:B34))</f>
        <v xml:space="preserve"> </v>
      </c>
      <c r="B34" s="182"/>
      <c r="C34" s="175" t="s">
        <v>111</v>
      </c>
      <c r="D34" s="176" t="s">
        <v>92</v>
      </c>
      <c r="E34" s="177">
        <f>ROUNDUP(E29*0.25,2)</f>
        <v>0.25</v>
      </c>
      <c r="F34" s="73"/>
      <c r="G34" s="74"/>
      <c r="H34" s="74">
        <f t="shared" si="7"/>
        <v>0</v>
      </c>
      <c r="I34" s="74"/>
      <c r="J34" s="74"/>
      <c r="K34" s="75">
        <f t="shared" si="8"/>
        <v>0</v>
      </c>
      <c r="L34" s="73">
        <f t="shared" si="9"/>
        <v>0</v>
      </c>
      <c r="M34" s="74">
        <f t="shared" si="10"/>
        <v>0</v>
      </c>
      <c r="N34" s="74">
        <f t="shared" si="11"/>
        <v>0</v>
      </c>
      <c r="O34" s="74">
        <f t="shared" si="12"/>
        <v>0</v>
      </c>
      <c r="P34" s="75">
        <f t="shared" si="13"/>
        <v>0</v>
      </c>
    </row>
    <row r="35" spans="1:16" x14ac:dyDescent="0.25">
      <c r="A35" s="91">
        <f>IF(COUNTBLANK(B35)=1," ",COUNTA(B$14:B35))</f>
        <v>10</v>
      </c>
      <c r="B35" s="182" t="s">
        <v>84</v>
      </c>
      <c r="C35" s="187" t="s">
        <v>110</v>
      </c>
      <c r="D35" s="188" t="s">
        <v>86</v>
      </c>
      <c r="E35" s="189">
        <f>apjomi!L13</f>
        <v>167.15</v>
      </c>
      <c r="F35" s="73"/>
      <c r="G35" s="74"/>
      <c r="H35" s="79">
        <f t="shared" si="7"/>
        <v>0</v>
      </c>
      <c r="I35" s="74"/>
      <c r="J35" s="74"/>
      <c r="K35" s="80">
        <f t="shared" si="8"/>
        <v>0</v>
      </c>
      <c r="L35" s="81">
        <f t="shared" si="9"/>
        <v>0</v>
      </c>
      <c r="M35" s="79">
        <f t="shared" si="10"/>
        <v>0</v>
      </c>
      <c r="N35" s="79">
        <f t="shared" si="11"/>
        <v>0</v>
      </c>
      <c r="O35" s="79">
        <f t="shared" si="12"/>
        <v>0</v>
      </c>
      <c r="P35" s="80">
        <f t="shared" si="13"/>
        <v>0</v>
      </c>
    </row>
    <row r="36" spans="1:16" x14ac:dyDescent="0.25">
      <c r="A36" s="91">
        <f>IF(COUNTBLANK(B36)=1," ",COUNTA(B$14:B36))</f>
        <v>11</v>
      </c>
      <c r="B36" s="182" t="s">
        <v>84</v>
      </c>
      <c r="C36" s="187" t="s">
        <v>175</v>
      </c>
      <c r="D36" s="188" t="s">
        <v>86</v>
      </c>
      <c r="E36" s="189">
        <f>apjomi!M13</f>
        <v>24.6</v>
      </c>
      <c r="F36" s="73"/>
      <c r="G36" s="74"/>
      <c r="H36" s="74">
        <f t="shared" si="7"/>
        <v>0</v>
      </c>
      <c r="I36" s="74"/>
      <c r="J36" s="74"/>
      <c r="K36" s="75">
        <f t="shared" si="8"/>
        <v>0</v>
      </c>
      <c r="L36" s="73">
        <f t="shared" si="9"/>
        <v>0</v>
      </c>
      <c r="M36" s="74">
        <f t="shared" si="10"/>
        <v>0</v>
      </c>
      <c r="N36" s="74">
        <f t="shared" si="11"/>
        <v>0</v>
      </c>
      <c r="O36" s="74">
        <f t="shared" si="12"/>
        <v>0</v>
      </c>
      <c r="P36" s="75">
        <f t="shared" si="13"/>
        <v>0</v>
      </c>
    </row>
    <row r="37" spans="1:16" ht="33.75" x14ac:dyDescent="0.25">
      <c r="A37" s="91">
        <f>IF(COUNTBLANK(B37)=1," ",COUNTA(B$14:B37))</f>
        <v>12</v>
      </c>
      <c r="B37" s="182" t="s">
        <v>84</v>
      </c>
      <c r="C37" s="190" t="s">
        <v>109</v>
      </c>
      <c r="D37" s="191" t="s">
        <v>86</v>
      </c>
      <c r="E37" s="192">
        <f>apjomi!P13</f>
        <v>48.09</v>
      </c>
      <c r="F37" s="73"/>
      <c r="G37" s="74"/>
      <c r="H37" s="79">
        <f t="shared" si="7"/>
        <v>0</v>
      </c>
      <c r="I37" s="74"/>
      <c r="J37" s="74"/>
      <c r="K37" s="80">
        <f t="shared" si="8"/>
        <v>0</v>
      </c>
      <c r="L37" s="81">
        <f t="shared" si="9"/>
        <v>0</v>
      </c>
      <c r="M37" s="79">
        <f t="shared" si="10"/>
        <v>0</v>
      </c>
      <c r="N37" s="79">
        <f t="shared" si="11"/>
        <v>0</v>
      </c>
      <c r="O37" s="79">
        <f t="shared" si="12"/>
        <v>0</v>
      </c>
      <c r="P37" s="80">
        <f t="shared" si="13"/>
        <v>0</v>
      </c>
    </row>
    <row r="38" spans="1:16" x14ac:dyDescent="0.25">
      <c r="A38" s="91">
        <f>IF(COUNTBLANK(B38)=1," ",COUNTA(B$14:B38))</f>
        <v>13</v>
      </c>
      <c r="B38" s="76" t="s">
        <v>84</v>
      </c>
      <c r="C38" s="193" t="s">
        <v>103</v>
      </c>
      <c r="D38" s="180" t="s">
        <v>86</v>
      </c>
      <c r="E38" s="194">
        <f>apjomi!Q13</f>
        <v>6.6999999999999993</v>
      </c>
      <c r="F38" s="73"/>
      <c r="G38" s="74"/>
      <c r="H38" s="74">
        <f t="shared" si="7"/>
        <v>0</v>
      </c>
      <c r="I38" s="74"/>
      <c r="J38" s="74"/>
      <c r="K38" s="75">
        <f t="shared" si="8"/>
        <v>0</v>
      </c>
      <c r="L38" s="73">
        <f t="shared" si="9"/>
        <v>0</v>
      </c>
      <c r="M38" s="74">
        <f t="shared" si="10"/>
        <v>0</v>
      </c>
      <c r="N38" s="74">
        <f t="shared" si="11"/>
        <v>0</v>
      </c>
      <c r="O38" s="74">
        <f t="shared" si="12"/>
        <v>0</v>
      </c>
      <c r="P38" s="75">
        <f t="shared" si="13"/>
        <v>0</v>
      </c>
    </row>
    <row r="39" spans="1:16" ht="22.5" x14ac:dyDescent="0.25">
      <c r="A39" s="91">
        <f>IF(COUNTBLANK(B39)=1," ",COUNTA(B$14:B39))</f>
        <v>14</v>
      </c>
      <c r="B39" s="76" t="s">
        <v>84</v>
      </c>
      <c r="C39" s="179" t="s">
        <v>176</v>
      </c>
      <c r="D39" s="164" t="s">
        <v>55</v>
      </c>
      <c r="E39" s="86">
        <f>apjomi!O13</f>
        <v>7.3800000000000008</v>
      </c>
      <c r="F39" s="73"/>
      <c r="G39" s="74"/>
      <c r="H39" s="74">
        <f t="shared" si="7"/>
        <v>0</v>
      </c>
      <c r="I39" s="74"/>
      <c r="J39" s="74"/>
      <c r="K39" s="75">
        <f t="shared" si="8"/>
        <v>0</v>
      </c>
      <c r="L39" s="73">
        <f t="shared" si="9"/>
        <v>0</v>
      </c>
      <c r="M39" s="74">
        <f t="shared" si="10"/>
        <v>0</v>
      </c>
      <c r="N39" s="74">
        <f t="shared" si="11"/>
        <v>0</v>
      </c>
      <c r="O39" s="74">
        <f t="shared" si="12"/>
        <v>0</v>
      </c>
      <c r="P39" s="75">
        <f t="shared" si="13"/>
        <v>0</v>
      </c>
    </row>
    <row r="40" spans="1:16" x14ac:dyDescent="0.25">
      <c r="A40" s="91" t="str">
        <f>IF(COUNTBLANK(B40)=1," ",COUNTA(B$14:B40))</f>
        <v xml:space="preserve"> </v>
      </c>
      <c r="B40" s="195"/>
      <c r="C40" s="196" t="s">
        <v>108</v>
      </c>
      <c r="D40" s="169" t="s">
        <v>86</v>
      </c>
      <c r="E40" s="169">
        <f>ROUNDUP(E39*0.3,0)</f>
        <v>3</v>
      </c>
      <c r="F40" s="73"/>
      <c r="G40" s="74"/>
      <c r="H40" s="79">
        <f t="shared" si="7"/>
        <v>0</v>
      </c>
      <c r="I40" s="74"/>
      <c r="J40" s="74"/>
      <c r="K40" s="80">
        <f t="shared" si="8"/>
        <v>0</v>
      </c>
      <c r="L40" s="81">
        <f t="shared" si="9"/>
        <v>0</v>
      </c>
      <c r="M40" s="79">
        <f t="shared" si="10"/>
        <v>0</v>
      </c>
      <c r="N40" s="79">
        <f t="shared" si="11"/>
        <v>0</v>
      </c>
      <c r="O40" s="79">
        <f t="shared" si="12"/>
        <v>0</v>
      </c>
      <c r="P40" s="80">
        <f t="shared" si="13"/>
        <v>0</v>
      </c>
    </row>
    <row r="41" spans="1:16" x14ac:dyDescent="0.25">
      <c r="A41" s="91" t="str">
        <f>IF(COUNTBLANK(B41)=1," ",COUNTA(B$14:B41))</f>
        <v xml:space="preserve"> </v>
      </c>
      <c r="B41" s="195"/>
      <c r="C41" s="196" t="s">
        <v>107</v>
      </c>
      <c r="D41" s="169" t="s">
        <v>55</v>
      </c>
      <c r="E41" s="169">
        <f>ROUNDUP(E39*1.2,0)</f>
        <v>9</v>
      </c>
      <c r="F41" s="73"/>
      <c r="G41" s="74"/>
      <c r="H41" s="74">
        <f t="shared" si="7"/>
        <v>0</v>
      </c>
      <c r="I41" s="74"/>
      <c r="J41" s="74"/>
      <c r="K41" s="75">
        <f t="shared" si="8"/>
        <v>0</v>
      </c>
      <c r="L41" s="73">
        <f t="shared" si="9"/>
        <v>0</v>
      </c>
      <c r="M41" s="74">
        <f t="shared" si="10"/>
        <v>0</v>
      </c>
      <c r="N41" s="74">
        <f t="shared" si="11"/>
        <v>0</v>
      </c>
      <c r="O41" s="74">
        <f t="shared" si="12"/>
        <v>0</v>
      </c>
      <c r="P41" s="75">
        <f t="shared" si="13"/>
        <v>0</v>
      </c>
    </row>
    <row r="42" spans="1:16" x14ac:dyDescent="0.25">
      <c r="A42" s="91" t="str">
        <f>IF(COUNTBLANK(B42)=1," ",COUNTA(B$14:B42))</f>
        <v xml:space="preserve"> </v>
      </c>
      <c r="B42" s="195"/>
      <c r="C42" s="196" t="s">
        <v>106</v>
      </c>
      <c r="D42" s="169" t="s">
        <v>89</v>
      </c>
      <c r="E42" s="169">
        <f>ROUNDUP(E39*1,0)</f>
        <v>8</v>
      </c>
      <c r="F42" s="73"/>
      <c r="G42" s="74"/>
      <c r="H42" s="79">
        <f t="shared" si="7"/>
        <v>0</v>
      </c>
      <c r="I42" s="74"/>
      <c r="J42" s="74"/>
      <c r="K42" s="80">
        <f t="shared" si="8"/>
        <v>0</v>
      </c>
      <c r="L42" s="81">
        <f t="shared" si="9"/>
        <v>0</v>
      </c>
      <c r="M42" s="79">
        <f t="shared" si="10"/>
        <v>0</v>
      </c>
      <c r="N42" s="79">
        <f t="shared" si="11"/>
        <v>0</v>
      </c>
      <c r="O42" s="79">
        <f t="shared" si="12"/>
        <v>0</v>
      </c>
      <c r="P42" s="80">
        <f t="shared" si="13"/>
        <v>0</v>
      </c>
    </row>
    <row r="43" spans="1:16" x14ac:dyDescent="0.25">
      <c r="A43" s="91" t="str">
        <f>IF(COUNTBLANK(B43)=1," ",COUNTA(B$14:B43))</f>
        <v xml:space="preserve"> </v>
      </c>
      <c r="B43" s="195"/>
      <c r="C43" s="119" t="s">
        <v>177</v>
      </c>
      <c r="D43" s="169" t="s">
        <v>89</v>
      </c>
      <c r="E43" s="169">
        <f>ROUNDUP(E39*0.8,0)</f>
        <v>6</v>
      </c>
      <c r="F43" s="73"/>
      <c r="G43" s="74"/>
      <c r="H43" s="74">
        <f t="shared" si="7"/>
        <v>0</v>
      </c>
      <c r="I43" s="74"/>
      <c r="J43" s="74"/>
      <c r="K43" s="75">
        <f t="shared" si="8"/>
        <v>0</v>
      </c>
      <c r="L43" s="73">
        <f t="shared" si="9"/>
        <v>0</v>
      </c>
      <c r="M43" s="74">
        <f t="shared" si="10"/>
        <v>0</v>
      </c>
      <c r="N43" s="74">
        <f t="shared" si="11"/>
        <v>0</v>
      </c>
      <c r="O43" s="74">
        <f t="shared" si="12"/>
        <v>0</v>
      </c>
      <c r="P43" s="75">
        <f t="shared" si="13"/>
        <v>0</v>
      </c>
    </row>
    <row r="44" spans="1:16" x14ac:dyDescent="0.25">
      <c r="A44" s="91" t="str">
        <f>IF(COUNTBLANK(B44)=1," ",COUNTA(B$14:B44))</f>
        <v xml:space="preserve"> </v>
      </c>
      <c r="B44" s="195"/>
      <c r="C44" s="196" t="s">
        <v>105</v>
      </c>
      <c r="D44" s="169" t="s">
        <v>89</v>
      </c>
      <c r="E44" s="169">
        <f>ROUNDUP(E39*0.4,2)</f>
        <v>2.96</v>
      </c>
      <c r="F44" s="73"/>
      <c r="G44" s="74"/>
      <c r="H44" s="74">
        <f t="shared" si="7"/>
        <v>0</v>
      </c>
      <c r="I44" s="74"/>
      <c r="J44" s="74"/>
      <c r="K44" s="75">
        <f t="shared" si="8"/>
        <v>0</v>
      </c>
      <c r="L44" s="73">
        <f t="shared" si="9"/>
        <v>0</v>
      </c>
      <c r="M44" s="74">
        <f t="shared" si="10"/>
        <v>0</v>
      </c>
      <c r="N44" s="74">
        <f t="shared" si="11"/>
        <v>0</v>
      </c>
      <c r="O44" s="74">
        <f t="shared" si="12"/>
        <v>0</v>
      </c>
      <c r="P44" s="75">
        <f t="shared" si="13"/>
        <v>0</v>
      </c>
    </row>
    <row r="45" spans="1:16" ht="15.75" thickBot="1" x14ac:dyDescent="0.3">
      <c r="A45" s="91" t="str">
        <f>IF(COUNTBLANK(B45)=1," ",COUNTA(B$14:B45))</f>
        <v xml:space="preserve"> </v>
      </c>
      <c r="B45" s="195"/>
      <c r="C45" s="196" t="s">
        <v>104</v>
      </c>
      <c r="D45" s="169" t="s">
        <v>56</v>
      </c>
      <c r="E45" s="151">
        <f>E39*0.1</f>
        <v>0.7380000000000001</v>
      </c>
      <c r="F45" s="73"/>
      <c r="G45" s="74"/>
      <c r="H45" s="79">
        <f t="shared" si="7"/>
        <v>0</v>
      </c>
      <c r="I45" s="74"/>
      <c r="J45" s="74"/>
      <c r="K45" s="80">
        <f t="shared" si="8"/>
        <v>0</v>
      </c>
      <c r="L45" s="81">
        <f t="shared" si="9"/>
        <v>0</v>
      </c>
      <c r="M45" s="79">
        <f t="shared" si="10"/>
        <v>0</v>
      </c>
      <c r="N45" s="79">
        <f t="shared" si="11"/>
        <v>0</v>
      </c>
      <c r="O45" s="79">
        <f t="shared" si="12"/>
        <v>0</v>
      </c>
      <c r="P45" s="80">
        <f t="shared" si="13"/>
        <v>0</v>
      </c>
    </row>
    <row r="46" spans="1:16" ht="15" customHeight="1" thickBot="1" x14ac:dyDescent="0.3">
      <c r="A46" s="290" t="s">
        <v>280</v>
      </c>
      <c r="B46" s="290"/>
      <c r="C46" s="290"/>
      <c r="D46" s="290"/>
      <c r="E46" s="290"/>
      <c r="F46" s="290"/>
      <c r="G46" s="290"/>
      <c r="H46" s="290"/>
      <c r="I46" s="290"/>
      <c r="J46" s="290"/>
      <c r="K46" s="291"/>
      <c r="L46" s="123">
        <f>SUM(L14:L45)</f>
        <v>0</v>
      </c>
      <c r="M46" s="124">
        <f>SUM(M14:M45)</f>
        <v>0</v>
      </c>
      <c r="N46" s="124">
        <f>SUM(N14:N45)</f>
        <v>0</v>
      </c>
      <c r="O46" s="124">
        <f>SUM(O14:O45)</f>
        <v>0</v>
      </c>
      <c r="P46" s="125">
        <f>SUM(P14:P45)</f>
        <v>0</v>
      </c>
    </row>
    <row r="47" spans="1:16" x14ac:dyDescent="0.25">
      <c r="A47" s="56"/>
      <c r="B47" s="56"/>
      <c r="C47" s="56"/>
      <c r="D47" s="56"/>
      <c r="E47" s="56"/>
      <c r="F47" s="56"/>
      <c r="G47" s="56"/>
      <c r="H47" s="56"/>
      <c r="I47" s="56"/>
      <c r="J47" s="56"/>
      <c r="K47" s="56"/>
      <c r="L47" s="56"/>
      <c r="M47" s="56"/>
      <c r="N47" s="56"/>
      <c r="O47" s="56"/>
      <c r="P47" s="56"/>
    </row>
    <row r="48" spans="1:16" x14ac:dyDescent="0.25">
      <c r="A48" s="56"/>
      <c r="B48" s="56"/>
      <c r="C48" s="56"/>
      <c r="D48" s="56"/>
      <c r="E48" s="56"/>
      <c r="F48" s="56"/>
      <c r="G48" s="56"/>
      <c r="H48" s="56"/>
      <c r="I48" s="56"/>
      <c r="J48" s="56"/>
      <c r="K48" s="56"/>
      <c r="L48" s="56"/>
      <c r="M48" s="56"/>
      <c r="N48" s="56"/>
      <c r="O48" s="56"/>
      <c r="P48" s="56"/>
    </row>
    <row r="49" spans="1:16" x14ac:dyDescent="0.25">
      <c r="A49" s="51" t="s">
        <v>14</v>
      </c>
      <c r="B49" s="56"/>
      <c r="C49" s="268">
        <f>sas</f>
        <v>0</v>
      </c>
      <c r="D49" s="268"/>
      <c r="E49" s="268"/>
      <c r="F49" s="268"/>
      <c r="G49" s="268"/>
      <c r="H49" s="268"/>
      <c r="I49" s="56"/>
      <c r="J49" s="56"/>
      <c r="K49" s="56"/>
      <c r="L49" s="56"/>
      <c r="M49" s="56"/>
      <c r="N49" s="56"/>
      <c r="O49" s="56"/>
      <c r="P49" s="56"/>
    </row>
    <row r="50" spans="1:16" x14ac:dyDescent="0.25">
      <c r="A50" s="56"/>
      <c r="B50" s="56"/>
      <c r="C50" s="265" t="s">
        <v>15</v>
      </c>
      <c r="D50" s="265"/>
      <c r="E50" s="265"/>
      <c r="F50" s="265"/>
      <c r="G50" s="265"/>
      <c r="H50" s="265"/>
      <c r="I50" s="56"/>
      <c r="J50" s="56"/>
      <c r="K50" s="56"/>
      <c r="L50" s="56"/>
      <c r="M50" s="56"/>
      <c r="N50" s="56"/>
      <c r="O50" s="56"/>
      <c r="P50" s="56"/>
    </row>
    <row r="51" spans="1:16" x14ac:dyDescent="0.25">
      <c r="A51" s="56"/>
      <c r="B51" s="56"/>
      <c r="C51" s="56"/>
      <c r="D51" s="56"/>
      <c r="E51" s="56"/>
      <c r="F51" s="56"/>
      <c r="G51" s="56"/>
      <c r="H51" s="56"/>
      <c r="I51" s="56"/>
      <c r="J51" s="56"/>
      <c r="K51" s="56"/>
      <c r="L51" s="56"/>
      <c r="M51" s="56"/>
      <c r="N51" s="56"/>
      <c r="O51" s="56"/>
      <c r="P51" s="56"/>
    </row>
    <row r="52" spans="1:16" x14ac:dyDescent="0.25">
      <c r="A52" s="126" t="str">
        <f>'Kops a'!A33</f>
        <v>Tāme sastādīta 2021.gada</v>
      </c>
      <c r="B52" s="127"/>
      <c r="C52" s="127"/>
      <c r="D52" s="127"/>
      <c r="F52" s="56"/>
      <c r="G52" s="56"/>
      <c r="H52" s="56"/>
      <c r="I52" s="56"/>
      <c r="J52" s="56"/>
      <c r="K52" s="56"/>
      <c r="L52" s="56"/>
      <c r="M52" s="56"/>
      <c r="N52" s="56"/>
      <c r="O52" s="56"/>
      <c r="P52" s="56"/>
    </row>
    <row r="53" spans="1:16" x14ac:dyDescent="0.25">
      <c r="A53" s="56"/>
      <c r="B53" s="56"/>
      <c r="C53" s="56"/>
      <c r="D53" s="56"/>
      <c r="E53" s="56"/>
      <c r="F53" s="56"/>
      <c r="G53" s="56"/>
      <c r="H53" s="56"/>
      <c r="I53" s="56"/>
      <c r="J53" s="56"/>
      <c r="K53" s="56"/>
      <c r="L53" s="56"/>
      <c r="M53" s="56"/>
      <c r="N53" s="56"/>
      <c r="O53" s="56"/>
      <c r="P53" s="56"/>
    </row>
    <row r="54" spans="1:16" x14ac:dyDescent="0.25">
      <c r="A54" s="51" t="s">
        <v>38</v>
      </c>
      <c r="B54" s="56"/>
      <c r="C54" s="268">
        <f>C49</f>
        <v>0</v>
      </c>
      <c r="D54" s="268"/>
      <c r="E54" s="268"/>
      <c r="F54" s="268"/>
      <c r="G54" s="268"/>
      <c r="H54" s="268"/>
      <c r="I54" s="56"/>
      <c r="J54" s="56"/>
      <c r="K54" s="56"/>
      <c r="L54" s="56"/>
      <c r="M54" s="56"/>
      <c r="N54" s="56"/>
      <c r="O54" s="56"/>
      <c r="P54" s="56"/>
    </row>
    <row r="55" spans="1:16" x14ac:dyDescent="0.25">
      <c r="A55" s="56"/>
      <c r="B55" s="56"/>
      <c r="C55" s="265" t="s">
        <v>15</v>
      </c>
      <c r="D55" s="265"/>
      <c r="E55" s="265"/>
      <c r="F55" s="265"/>
      <c r="G55" s="265"/>
      <c r="H55" s="265"/>
      <c r="I55" s="56"/>
      <c r="J55" s="56"/>
      <c r="K55" s="56"/>
      <c r="L55" s="56"/>
      <c r="M55" s="56"/>
      <c r="N55" s="56"/>
      <c r="O55" s="56"/>
      <c r="P55" s="56"/>
    </row>
    <row r="56" spans="1:16" x14ac:dyDescent="0.25">
      <c r="A56" s="56"/>
      <c r="B56" s="56"/>
      <c r="C56" s="56"/>
      <c r="D56" s="56"/>
      <c r="E56" s="56"/>
      <c r="F56" s="56"/>
      <c r="G56" s="56"/>
      <c r="H56" s="56"/>
      <c r="I56" s="56"/>
      <c r="J56" s="56"/>
      <c r="K56" s="56"/>
      <c r="L56" s="56"/>
      <c r="M56" s="56"/>
      <c r="N56" s="56"/>
      <c r="O56" s="56"/>
      <c r="P56" s="56"/>
    </row>
    <row r="57" spans="1:16" x14ac:dyDescent="0.25">
      <c r="A57" s="126" t="s">
        <v>53</v>
      </c>
      <c r="B57" s="127"/>
      <c r="C57" s="260">
        <f>sert.nr</f>
        <v>0</v>
      </c>
      <c r="D57" s="127"/>
      <c r="F57" s="56"/>
      <c r="G57" s="56"/>
      <c r="H57" s="56"/>
      <c r="I57" s="56"/>
      <c r="J57" s="56"/>
      <c r="K57" s="56"/>
      <c r="L57" s="56"/>
      <c r="M57" s="56"/>
      <c r="N57" s="56"/>
      <c r="O57" s="56"/>
      <c r="P57" s="56"/>
    </row>
    <row r="59" spans="1:16" x14ac:dyDescent="0.25">
      <c r="A59" s="51" t="s">
        <v>288</v>
      </c>
    </row>
    <row r="60" spans="1:16" x14ac:dyDescent="0.25">
      <c r="A60" s="51" t="s">
        <v>289</v>
      </c>
    </row>
    <row r="61" spans="1:16" x14ac:dyDescent="0.25">
      <c r="A61" s="51" t="s">
        <v>290</v>
      </c>
    </row>
  </sheetData>
  <mergeCells count="22">
    <mergeCell ref="C2:I2"/>
    <mergeCell ref="C3:I3"/>
    <mergeCell ref="C4:I4"/>
    <mergeCell ref="D5:L5"/>
    <mergeCell ref="D6:L6"/>
    <mergeCell ref="D7:L7"/>
    <mergeCell ref="D8:L8"/>
    <mergeCell ref="A9:F9"/>
    <mergeCell ref="J9:M9"/>
    <mergeCell ref="N9:O9"/>
    <mergeCell ref="C54:H54"/>
    <mergeCell ref="C55:H55"/>
    <mergeCell ref="F12:K12"/>
    <mergeCell ref="L12:P12"/>
    <mergeCell ref="A46:K46"/>
    <mergeCell ref="C49:H49"/>
    <mergeCell ref="C50:H50"/>
    <mergeCell ref="A12:A13"/>
    <mergeCell ref="B12:B13"/>
    <mergeCell ref="C12:C13"/>
    <mergeCell ref="D12:D13"/>
    <mergeCell ref="E12:E13"/>
  </mergeCells>
  <conditionalFormatting sqref="C4:I4 D5:L8 B15:E45">
    <cfRule type="cellIs" dxfId="56" priority="12" operator="equal">
      <formula>0</formula>
    </cfRule>
  </conditionalFormatting>
  <conditionalFormatting sqref="N9:O9 C2:I2 D14:E14 A14:A45">
    <cfRule type="cellIs" dxfId="55" priority="13" operator="equal">
      <formula>0</formula>
    </cfRule>
  </conditionalFormatting>
  <conditionalFormatting sqref="A9:F9">
    <cfRule type="containsText" dxfId="54" priority="14" operator="containsText" text="Tāme sastādīta  20__. gada tirgus cenās, pamatojoties uz ___ daļas rasējumiem"/>
  </conditionalFormatting>
  <conditionalFormatting sqref="O10">
    <cfRule type="cellIs" dxfId="53" priority="16" operator="equal">
      <formula>"20__. gada __. _________"</formula>
    </cfRule>
  </conditionalFormatting>
  <conditionalFormatting sqref="L46:P46">
    <cfRule type="cellIs" dxfId="52" priority="18" operator="equal">
      <formula>0</formula>
    </cfRule>
  </conditionalFormatting>
  <conditionalFormatting sqref="B14">
    <cfRule type="cellIs" dxfId="51" priority="22" operator="equal">
      <formula>0</formula>
    </cfRule>
  </conditionalFormatting>
  <conditionalFormatting sqref="C14">
    <cfRule type="cellIs" dxfId="50" priority="23" operator="equal">
      <formula>0</formula>
    </cfRule>
  </conditionalFormatting>
  <conditionalFormatting sqref="P10">
    <cfRule type="cellIs" dxfId="49" priority="25" operator="equal">
      <formula>"20__. gada __. _________"</formula>
    </cfRule>
  </conditionalFormatting>
  <conditionalFormatting sqref="D1">
    <cfRule type="cellIs" dxfId="48" priority="29" operator="equal">
      <formula>0</formula>
    </cfRule>
  </conditionalFormatting>
  <conditionalFormatting sqref="I14:J45 F14:G45">
    <cfRule type="cellIs" dxfId="47" priority="6" operator="equal">
      <formula>0</formula>
    </cfRule>
  </conditionalFormatting>
  <conditionalFormatting sqref="H14:H45 K14:P45">
    <cfRule type="cellIs" dxfId="46" priority="5" operator="equal">
      <formula>0</formula>
    </cfRule>
  </conditionalFormatting>
  <conditionalFormatting sqref="A46:K46">
    <cfRule type="containsText" dxfId="45" priority="4" operator="containsText" text="Tāme sastādīta  20__. gada tirgus cenās, pamatojoties uz ___ daļas rasējumiem"/>
  </conditionalFormatting>
  <conditionalFormatting sqref="C54:H54">
    <cfRule type="cellIs" dxfId="44" priority="1" operator="equal">
      <formula>0</formula>
    </cfRule>
  </conditionalFormatting>
  <conditionalFormatting sqref="C49:H49">
    <cfRule type="cellIs" dxfId="43" priority="2" operator="equal">
      <formula>0</formula>
    </cfRule>
  </conditionalFormatting>
  <conditionalFormatting sqref="C57">
    <cfRule type="cellIs" dxfId="42" priority="3" operator="equal">
      <formula>0</formula>
    </cfRule>
  </conditionalFormatting>
  <pageMargins left="0.19685039370078741" right="0.19685039370078741" top="0.75196850393700787" bottom="0.39370078740157483" header="0.51181102362204722" footer="0.51181102362204722"/>
  <pageSetup paperSize="9" scale="95" firstPageNumber="0" orientation="landscape" horizontalDpi="300" verticalDpi="300" r:id="rId1"/>
  <rowBreaks count="2" manualBreakCount="2">
    <brk id="20" max="16383" man="1"/>
    <brk id="36"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AMF40"/>
  <sheetViews>
    <sheetView view="pageBreakPreview" topLeftCell="A7" zoomScale="115" zoomScaleNormal="100" zoomScaleSheetLayoutView="115" workbookViewId="0">
      <selection activeCell="C24" sqref="C24"/>
    </sheetView>
  </sheetViews>
  <sheetFormatPr defaultColWidth="9.140625" defaultRowHeight="15" x14ac:dyDescent="0.25"/>
  <cols>
    <col min="1" max="1" width="4.5703125" style="51" customWidth="1"/>
    <col min="2" max="2" width="5.28515625" style="51" customWidth="1"/>
    <col min="3" max="3" width="46.28515625" style="51" customWidth="1"/>
    <col min="4" max="4" width="5.85546875" style="51" customWidth="1"/>
    <col min="5" max="5" width="8.7109375" style="51" customWidth="1"/>
    <col min="6" max="6" width="5.42578125" style="51" customWidth="1"/>
    <col min="7" max="7" width="7.7109375" style="51" customWidth="1"/>
    <col min="8" max="10" width="6.7109375" style="51" customWidth="1"/>
    <col min="11" max="11" width="7" style="51" customWidth="1"/>
    <col min="12" max="15" width="7.7109375" style="51" customWidth="1"/>
    <col min="16" max="16" width="9" style="51" customWidth="1"/>
    <col min="17" max="1020" width="9.140625" style="51" customWidth="1"/>
    <col min="1021" max="16384" width="9.140625" style="255"/>
  </cols>
  <sheetData>
    <row r="1" spans="1:16" x14ac:dyDescent="0.25">
      <c r="A1" s="48"/>
      <c r="B1" s="48"/>
      <c r="C1" s="49" t="s">
        <v>39</v>
      </c>
      <c r="D1" s="50">
        <f>'Kops a'!A18</f>
        <v>4</v>
      </c>
      <c r="E1" s="48"/>
      <c r="F1" s="48"/>
      <c r="G1" s="48"/>
      <c r="H1" s="48"/>
      <c r="I1" s="48"/>
      <c r="J1" s="48"/>
      <c r="N1" s="52"/>
      <c r="O1" s="49"/>
      <c r="P1" s="53"/>
    </row>
    <row r="2" spans="1:16" x14ac:dyDescent="0.25">
      <c r="A2" s="54"/>
      <c r="B2" s="54"/>
      <c r="C2" s="301" t="s">
        <v>136</v>
      </c>
      <c r="D2" s="301"/>
      <c r="E2" s="301"/>
      <c r="F2" s="301"/>
      <c r="G2" s="301"/>
      <c r="H2" s="301"/>
      <c r="I2" s="301"/>
      <c r="J2" s="54"/>
    </row>
    <row r="3" spans="1:16" x14ac:dyDescent="0.25">
      <c r="A3" s="55"/>
      <c r="B3" s="55"/>
      <c r="C3" s="286" t="s">
        <v>18</v>
      </c>
      <c r="D3" s="286"/>
      <c r="E3" s="286"/>
      <c r="F3" s="286"/>
      <c r="G3" s="286"/>
      <c r="H3" s="286"/>
      <c r="I3" s="286"/>
      <c r="J3" s="55"/>
    </row>
    <row r="4" spans="1:16" x14ac:dyDescent="0.25">
      <c r="A4" s="55"/>
      <c r="B4" s="55"/>
      <c r="C4" s="302" t="s">
        <v>4</v>
      </c>
      <c r="D4" s="302"/>
      <c r="E4" s="302"/>
      <c r="F4" s="302"/>
      <c r="G4" s="302"/>
      <c r="H4" s="302"/>
      <c r="I4" s="302"/>
      <c r="J4" s="55"/>
    </row>
    <row r="5" spans="1:16" x14ac:dyDescent="0.25">
      <c r="A5" s="48"/>
      <c r="B5" s="48"/>
      <c r="C5" s="49" t="s">
        <v>5</v>
      </c>
      <c r="D5" s="297" t="str">
        <f>'Kops a'!D6</f>
        <v>Daudzīvokļu dzīvojamā māja</v>
      </c>
      <c r="E5" s="297"/>
      <c r="F5" s="297"/>
      <c r="G5" s="297"/>
      <c r="H5" s="297"/>
      <c r="I5" s="297"/>
      <c r="J5" s="297"/>
      <c r="K5" s="297"/>
      <c r="L5" s="297"/>
      <c r="M5" s="56"/>
      <c r="N5" s="56"/>
      <c r="O5" s="56"/>
      <c r="P5" s="56"/>
    </row>
    <row r="6" spans="1:16" x14ac:dyDescent="0.25">
      <c r="A6" s="48"/>
      <c r="B6" s="48"/>
      <c r="C6" s="49" t="s">
        <v>6</v>
      </c>
      <c r="D6" s="297" t="str">
        <f>'Kops a'!D7</f>
        <v>Daudzdzīvokļu dzīvojamās ēkas Ventas ielā 14, Liepājā, energoefektivitātes paaugstināšanas pasākumi</v>
      </c>
      <c r="E6" s="297"/>
      <c r="F6" s="297"/>
      <c r="G6" s="297"/>
      <c r="H6" s="297"/>
      <c r="I6" s="297"/>
      <c r="J6" s="297"/>
      <c r="K6" s="297"/>
      <c r="L6" s="297"/>
      <c r="M6" s="56"/>
      <c r="N6" s="56"/>
      <c r="O6" s="56"/>
      <c r="P6" s="56"/>
    </row>
    <row r="7" spans="1:16" x14ac:dyDescent="0.25">
      <c r="A7" s="48"/>
      <c r="B7" s="48"/>
      <c r="C7" s="49" t="s">
        <v>7</v>
      </c>
      <c r="D7" s="297" t="str">
        <f>'Kops a'!D8</f>
        <v>Ventas iela 14, Liepāja</v>
      </c>
      <c r="E7" s="297"/>
      <c r="F7" s="297"/>
      <c r="G7" s="297"/>
      <c r="H7" s="297"/>
      <c r="I7" s="297"/>
      <c r="J7" s="297"/>
      <c r="K7" s="297"/>
      <c r="L7" s="297"/>
      <c r="M7" s="56"/>
      <c r="N7" s="56"/>
      <c r="O7" s="56"/>
      <c r="P7" s="56"/>
    </row>
    <row r="8" spans="1:16" x14ac:dyDescent="0.25">
      <c r="A8" s="48"/>
      <c r="B8" s="48"/>
      <c r="C8" s="57" t="s">
        <v>21</v>
      </c>
      <c r="D8" s="297" t="str">
        <f>'Kops a'!D9</f>
        <v>WS-53-18</v>
      </c>
      <c r="E8" s="297"/>
      <c r="F8" s="297"/>
      <c r="G8" s="297"/>
      <c r="H8" s="297"/>
      <c r="I8" s="297"/>
      <c r="J8" s="297"/>
      <c r="K8" s="297"/>
      <c r="L8" s="297"/>
      <c r="M8" s="56"/>
      <c r="N8" s="56"/>
      <c r="O8" s="56"/>
      <c r="P8" s="56"/>
    </row>
    <row r="9" spans="1:16" x14ac:dyDescent="0.25">
      <c r="A9" s="298" t="s">
        <v>287</v>
      </c>
      <c r="B9" s="298"/>
      <c r="C9" s="298"/>
      <c r="D9" s="298"/>
      <c r="E9" s="298"/>
      <c r="F9" s="298"/>
      <c r="G9" s="58"/>
      <c r="H9" s="58"/>
      <c r="I9" s="58"/>
      <c r="J9" s="299" t="s">
        <v>40</v>
      </c>
      <c r="K9" s="299"/>
      <c r="L9" s="299"/>
      <c r="M9" s="299"/>
      <c r="N9" s="300">
        <f>P25</f>
        <v>0</v>
      </c>
      <c r="O9" s="300"/>
      <c r="P9" s="58"/>
    </row>
    <row r="10" spans="1:16" x14ac:dyDescent="0.25">
      <c r="A10" s="59"/>
      <c r="B10" s="60"/>
      <c r="C10" s="57"/>
      <c r="D10" s="48"/>
      <c r="E10" s="48"/>
      <c r="F10" s="48"/>
      <c r="G10" s="48"/>
      <c r="H10" s="48"/>
      <c r="I10" s="48"/>
      <c r="J10" s="48"/>
      <c r="K10" s="48"/>
      <c r="L10" s="54"/>
      <c r="M10" s="54"/>
      <c r="O10" s="130"/>
      <c r="P10" s="62" t="str">
        <f>A31</f>
        <v>Tāme sastādīta 2021.gada</v>
      </c>
    </row>
    <row r="11" spans="1:16" ht="15.75" thickBot="1" x14ac:dyDescent="0.3">
      <c r="A11" s="59"/>
      <c r="B11" s="60"/>
      <c r="C11" s="57"/>
      <c r="D11" s="48"/>
      <c r="E11" s="48"/>
      <c r="F11" s="48"/>
      <c r="G11" s="48"/>
      <c r="H11" s="48"/>
      <c r="I11" s="48"/>
      <c r="J11" s="48"/>
      <c r="K11" s="48"/>
      <c r="L11" s="63"/>
      <c r="M11" s="63"/>
      <c r="N11" s="64"/>
      <c r="O11" s="52"/>
      <c r="P11" s="48"/>
    </row>
    <row r="12" spans="1:16" ht="15.75" thickBot="1" x14ac:dyDescent="0.3">
      <c r="A12" s="292" t="s">
        <v>24</v>
      </c>
      <c r="B12" s="293" t="s">
        <v>41</v>
      </c>
      <c r="C12" s="294" t="s">
        <v>42</v>
      </c>
      <c r="D12" s="295" t="s">
        <v>43</v>
      </c>
      <c r="E12" s="296" t="s">
        <v>44</v>
      </c>
      <c r="F12" s="289" t="s">
        <v>45</v>
      </c>
      <c r="G12" s="289"/>
      <c r="H12" s="289"/>
      <c r="I12" s="289"/>
      <c r="J12" s="289"/>
      <c r="K12" s="289"/>
      <c r="L12" s="289" t="s">
        <v>46</v>
      </c>
      <c r="M12" s="289"/>
      <c r="N12" s="289"/>
      <c r="O12" s="289"/>
      <c r="P12" s="289"/>
    </row>
    <row r="13" spans="1:16" ht="53.25" thickBot="1" x14ac:dyDescent="0.3">
      <c r="A13" s="292"/>
      <c r="B13" s="293"/>
      <c r="C13" s="294"/>
      <c r="D13" s="295"/>
      <c r="E13" s="296"/>
      <c r="F13" s="65" t="s">
        <v>47</v>
      </c>
      <c r="G13" s="66" t="s">
        <v>48</v>
      </c>
      <c r="H13" s="66" t="s">
        <v>49</v>
      </c>
      <c r="I13" s="66" t="s">
        <v>50</v>
      </c>
      <c r="J13" s="66" t="s">
        <v>51</v>
      </c>
      <c r="K13" s="67" t="s">
        <v>52</v>
      </c>
      <c r="L13" s="65" t="s">
        <v>47</v>
      </c>
      <c r="M13" s="66" t="s">
        <v>49</v>
      </c>
      <c r="N13" s="66" t="s">
        <v>50</v>
      </c>
      <c r="O13" s="66" t="s">
        <v>51</v>
      </c>
      <c r="P13" s="67" t="s">
        <v>52</v>
      </c>
    </row>
    <row r="14" spans="1:16" x14ac:dyDescent="0.25">
      <c r="A14" s="91">
        <f>IF(COUNTBLANK(B14)=1," ",COUNTA(B$14:B14))</f>
        <v>1</v>
      </c>
      <c r="B14" s="76" t="s">
        <v>84</v>
      </c>
      <c r="C14" s="113" t="s">
        <v>137</v>
      </c>
      <c r="D14" s="91" t="s">
        <v>55</v>
      </c>
      <c r="E14" s="116">
        <v>156</v>
      </c>
      <c r="F14" s="73"/>
      <c r="G14" s="74"/>
      <c r="H14" s="74">
        <f>ROUND(F14*G14,2)</f>
        <v>0</v>
      </c>
      <c r="I14" s="74"/>
      <c r="J14" s="74"/>
      <c r="K14" s="75">
        <f>SUM(H14:J14)</f>
        <v>0</v>
      </c>
      <c r="L14" s="73">
        <f>ROUND(E14*F14,2)</f>
        <v>0</v>
      </c>
      <c r="M14" s="74">
        <f>ROUND(H14*E14,2)</f>
        <v>0</v>
      </c>
      <c r="N14" s="74">
        <f>ROUND(I14*E14,2)</f>
        <v>0</v>
      </c>
      <c r="O14" s="74">
        <f>ROUND(J14*E14,2)</f>
        <v>0</v>
      </c>
      <c r="P14" s="75">
        <f>SUM(M14:O14)</f>
        <v>0</v>
      </c>
    </row>
    <row r="15" spans="1:16" x14ac:dyDescent="0.25">
      <c r="A15" s="91" t="str">
        <f>IF(COUNTBLANK(B15)=1," ",COUNTA(B$14:B15))</f>
        <v xml:space="preserve"> </v>
      </c>
      <c r="B15" s="120"/>
      <c r="C15" s="150" t="s">
        <v>138</v>
      </c>
      <c r="D15" s="91" t="s">
        <v>55</v>
      </c>
      <c r="E15" s="151">
        <f>E14*1.1</f>
        <v>171.60000000000002</v>
      </c>
      <c r="F15" s="73"/>
      <c r="G15" s="74"/>
      <c r="H15" s="79">
        <f t="shared" ref="H15:H19" si="0">ROUND(F15*G15,2)</f>
        <v>0</v>
      </c>
      <c r="I15" s="74"/>
      <c r="J15" s="74"/>
      <c r="K15" s="80">
        <f t="shared" ref="K15:K19" si="1">SUM(H15:J15)</f>
        <v>0</v>
      </c>
      <c r="L15" s="81">
        <f t="shared" ref="L15:L19" si="2">ROUND(E15*F15,2)</f>
        <v>0</v>
      </c>
      <c r="M15" s="79">
        <f t="shared" ref="M15:M19" si="3">ROUND(H15*E15,2)</f>
        <v>0</v>
      </c>
      <c r="N15" s="79">
        <f t="shared" ref="N15:N19" si="4">ROUND(I15*E15,2)</f>
        <v>0</v>
      </c>
      <c r="O15" s="79">
        <f t="shared" ref="O15:O19" si="5">ROUND(J15*E15,2)</f>
        <v>0</v>
      </c>
      <c r="P15" s="80">
        <f t="shared" ref="P15:P19" si="6">SUM(M15:O15)</f>
        <v>0</v>
      </c>
    </row>
    <row r="16" spans="1:16" x14ac:dyDescent="0.25">
      <c r="A16" s="91" t="str">
        <f>IF(COUNTBLANK(B16)=1," ",COUNTA(B$14:B16))</f>
        <v xml:space="preserve"> </v>
      </c>
      <c r="B16" s="120"/>
      <c r="C16" s="150" t="s">
        <v>94</v>
      </c>
      <c r="D16" s="120" t="s">
        <v>93</v>
      </c>
      <c r="E16" s="151">
        <f>E14*0.1</f>
        <v>15.600000000000001</v>
      </c>
      <c r="F16" s="73"/>
      <c r="G16" s="74"/>
      <c r="H16" s="74">
        <f t="shared" si="0"/>
        <v>0</v>
      </c>
      <c r="I16" s="74"/>
      <c r="J16" s="74"/>
      <c r="K16" s="75">
        <f t="shared" si="1"/>
        <v>0</v>
      </c>
      <c r="L16" s="73">
        <f t="shared" si="2"/>
        <v>0</v>
      </c>
      <c r="M16" s="74">
        <f t="shared" si="3"/>
        <v>0</v>
      </c>
      <c r="N16" s="74">
        <f t="shared" si="4"/>
        <v>0</v>
      </c>
      <c r="O16" s="74">
        <f t="shared" si="5"/>
        <v>0</v>
      </c>
      <c r="P16" s="75">
        <f t="shared" si="6"/>
        <v>0</v>
      </c>
    </row>
    <row r="17" spans="1:16" ht="33.75" x14ac:dyDescent="0.25">
      <c r="A17" s="91">
        <f>IF(COUNTBLANK(B17)=1," ",COUNTA(B$14:B17))</f>
        <v>2</v>
      </c>
      <c r="B17" s="76" t="s">
        <v>84</v>
      </c>
      <c r="C17" s="150" t="s">
        <v>303</v>
      </c>
      <c r="D17" s="152" t="s">
        <v>55</v>
      </c>
      <c r="E17" s="153">
        <f>E14</f>
        <v>156</v>
      </c>
      <c r="F17" s="73"/>
      <c r="G17" s="74"/>
      <c r="H17" s="79">
        <f t="shared" si="0"/>
        <v>0</v>
      </c>
      <c r="I17" s="74"/>
      <c r="J17" s="74"/>
      <c r="K17" s="80">
        <f t="shared" si="1"/>
        <v>0</v>
      </c>
      <c r="L17" s="81">
        <f t="shared" si="2"/>
        <v>0</v>
      </c>
      <c r="M17" s="79">
        <f t="shared" si="3"/>
        <v>0</v>
      </c>
      <c r="N17" s="79">
        <f t="shared" si="4"/>
        <v>0</v>
      </c>
      <c r="O17" s="79">
        <f t="shared" si="5"/>
        <v>0</v>
      </c>
      <c r="P17" s="80">
        <f t="shared" si="6"/>
        <v>0</v>
      </c>
    </row>
    <row r="18" spans="1:16" x14ac:dyDescent="0.25">
      <c r="A18" s="91" t="str">
        <f>IF(COUNTBLANK(B18)=1," ",COUNTA(B$14:B18))</f>
        <v xml:space="preserve"> </v>
      </c>
      <c r="B18" s="120"/>
      <c r="C18" s="119" t="s">
        <v>139</v>
      </c>
      <c r="D18" s="120" t="s">
        <v>82</v>
      </c>
      <c r="E18" s="151">
        <f>E17*0.4*1.2</f>
        <v>74.88000000000001</v>
      </c>
      <c r="F18" s="73"/>
      <c r="G18" s="74"/>
      <c r="H18" s="74">
        <f t="shared" si="0"/>
        <v>0</v>
      </c>
      <c r="I18" s="74"/>
      <c r="J18" s="74"/>
      <c r="K18" s="75">
        <f t="shared" si="1"/>
        <v>0</v>
      </c>
      <c r="L18" s="73">
        <f t="shared" si="2"/>
        <v>0</v>
      </c>
      <c r="M18" s="74">
        <f t="shared" si="3"/>
        <v>0</v>
      </c>
      <c r="N18" s="74">
        <f t="shared" si="4"/>
        <v>0</v>
      </c>
      <c r="O18" s="74">
        <f t="shared" si="5"/>
        <v>0</v>
      </c>
      <c r="P18" s="75">
        <f t="shared" si="6"/>
        <v>0</v>
      </c>
    </row>
    <row r="19" spans="1:16" x14ac:dyDescent="0.25">
      <c r="A19" s="91">
        <f>IF(COUNTBLANK(B19)=1," ",COUNTA(B$14:B19))</f>
        <v>3</v>
      </c>
      <c r="B19" s="76" t="s">
        <v>84</v>
      </c>
      <c r="C19" s="29" t="s">
        <v>179</v>
      </c>
      <c r="D19" s="30" t="s">
        <v>91</v>
      </c>
      <c r="E19" s="30">
        <v>1</v>
      </c>
      <c r="F19" s="73"/>
      <c r="G19" s="74"/>
      <c r="H19" s="74">
        <f t="shared" si="0"/>
        <v>0</v>
      </c>
      <c r="I19" s="74"/>
      <c r="J19" s="74"/>
      <c r="K19" s="75">
        <f t="shared" si="1"/>
        <v>0</v>
      </c>
      <c r="L19" s="73">
        <f t="shared" si="2"/>
        <v>0</v>
      </c>
      <c r="M19" s="74">
        <f t="shared" si="3"/>
        <v>0</v>
      </c>
      <c r="N19" s="74">
        <f t="shared" si="4"/>
        <v>0</v>
      </c>
      <c r="O19" s="74">
        <f t="shared" si="5"/>
        <v>0</v>
      </c>
      <c r="P19" s="75">
        <f t="shared" si="6"/>
        <v>0</v>
      </c>
    </row>
    <row r="20" spans="1:16" ht="22.5" x14ac:dyDescent="0.25">
      <c r="A20" s="91">
        <f>IF(COUNTBLANK(B20)=1," ",COUNTA(B$14:B20))</f>
        <v>4</v>
      </c>
      <c r="B20" s="76" t="s">
        <v>84</v>
      </c>
      <c r="C20" s="113" t="s">
        <v>180</v>
      </c>
      <c r="D20" s="30" t="s">
        <v>91</v>
      </c>
      <c r="E20" s="154">
        <v>12</v>
      </c>
      <c r="F20" s="73"/>
      <c r="G20" s="74"/>
      <c r="H20" s="79">
        <f t="shared" ref="H20:H24" si="7">ROUND(F20*G20,2)</f>
        <v>0</v>
      </c>
      <c r="I20" s="74"/>
      <c r="J20" s="74"/>
      <c r="K20" s="80">
        <f t="shared" ref="K20:K24" si="8">SUM(H20:J20)</f>
        <v>0</v>
      </c>
      <c r="L20" s="81">
        <f t="shared" ref="L20:L24" si="9">ROUND(E20*F20,2)</f>
        <v>0</v>
      </c>
      <c r="M20" s="79">
        <f t="shared" ref="M20:M24" si="10">ROUND(H20*E20,2)</f>
        <v>0</v>
      </c>
      <c r="N20" s="79">
        <f t="shared" ref="N20:N24" si="11">ROUND(I20*E20,2)</f>
        <v>0</v>
      </c>
      <c r="O20" s="79">
        <f t="shared" ref="O20:O24" si="12">ROUND(J20*E20,2)</f>
        <v>0</v>
      </c>
      <c r="P20" s="80">
        <f t="shared" ref="P20:P24" si="13">SUM(M20:O20)</f>
        <v>0</v>
      </c>
    </row>
    <row r="21" spans="1:16" x14ac:dyDescent="0.25">
      <c r="A21" s="91" t="str">
        <f>IF(COUNTBLANK(B21)=1," ",COUNTA(B$14:B21))</f>
        <v xml:space="preserve"> </v>
      </c>
      <c r="B21" s="76"/>
      <c r="C21" s="191" t="s">
        <v>147</v>
      </c>
      <c r="D21" s="30" t="s">
        <v>82</v>
      </c>
      <c r="E21" s="257">
        <f>0.03375*E20</f>
        <v>0.40500000000000003</v>
      </c>
      <c r="F21" s="73"/>
      <c r="G21" s="74"/>
      <c r="H21" s="74">
        <f t="shared" si="7"/>
        <v>0</v>
      </c>
      <c r="I21" s="74"/>
      <c r="J21" s="74"/>
      <c r="K21" s="75">
        <f t="shared" si="8"/>
        <v>0</v>
      </c>
      <c r="L21" s="73">
        <f t="shared" si="9"/>
        <v>0</v>
      </c>
      <c r="M21" s="74">
        <f t="shared" si="10"/>
        <v>0</v>
      </c>
      <c r="N21" s="74">
        <f t="shared" si="11"/>
        <v>0</v>
      </c>
      <c r="O21" s="74">
        <f t="shared" si="12"/>
        <v>0</v>
      </c>
      <c r="P21" s="75">
        <f t="shared" si="13"/>
        <v>0</v>
      </c>
    </row>
    <row r="22" spans="1:16" x14ac:dyDescent="0.25">
      <c r="A22" s="91" t="str">
        <f>IF(COUNTBLANK(B22)=1," ",COUNTA(B$14:B22))</f>
        <v xml:space="preserve"> </v>
      </c>
      <c r="B22" s="76"/>
      <c r="C22" s="191" t="s">
        <v>148</v>
      </c>
      <c r="D22" s="30" t="str">
        <f>D21</f>
        <v>m³</v>
      </c>
      <c r="E22" s="257">
        <f>0.02925*E20</f>
        <v>0.35100000000000003</v>
      </c>
      <c r="F22" s="73"/>
      <c r="G22" s="74"/>
      <c r="H22" s="79">
        <f t="shared" si="7"/>
        <v>0</v>
      </c>
      <c r="I22" s="74"/>
      <c r="J22" s="74"/>
      <c r="K22" s="80">
        <f t="shared" si="8"/>
        <v>0</v>
      </c>
      <c r="L22" s="81">
        <f t="shared" si="9"/>
        <v>0</v>
      </c>
      <c r="M22" s="79">
        <f t="shared" si="10"/>
        <v>0</v>
      </c>
      <c r="N22" s="79">
        <f t="shared" si="11"/>
        <v>0</v>
      </c>
      <c r="O22" s="79">
        <f t="shared" si="12"/>
        <v>0</v>
      </c>
      <c r="P22" s="80">
        <f t="shared" si="13"/>
        <v>0</v>
      </c>
    </row>
    <row r="23" spans="1:16" ht="33.75" x14ac:dyDescent="0.25">
      <c r="A23" s="91" t="str">
        <f>IF(COUNTBLANK(B23)=1," ",COUNTA(B$14:B23))</f>
        <v xml:space="preserve"> </v>
      </c>
      <c r="B23" s="76"/>
      <c r="C23" s="191" t="s">
        <v>304</v>
      </c>
      <c r="D23" s="30" t="str">
        <f>D22</f>
        <v>m³</v>
      </c>
      <c r="E23" s="257">
        <f>0.072*E20</f>
        <v>0.86399999999999988</v>
      </c>
      <c r="F23" s="73"/>
      <c r="G23" s="74"/>
      <c r="H23" s="74">
        <f t="shared" si="7"/>
        <v>0</v>
      </c>
      <c r="I23" s="74"/>
      <c r="J23" s="74"/>
      <c r="K23" s="75">
        <f t="shared" si="8"/>
        <v>0</v>
      </c>
      <c r="L23" s="73">
        <f t="shared" si="9"/>
        <v>0</v>
      </c>
      <c r="M23" s="74">
        <f t="shared" si="10"/>
        <v>0</v>
      </c>
      <c r="N23" s="74">
        <f t="shared" si="11"/>
        <v>0</v>
      </c>
      <c r="O23" s="74">
        <f t="shared" si="12"/>
        <v>0</v>
      </c>
      <c r="P23" s="75">
        <f t="shared" si="13"/>
        <v>0</v>
      </c>
    </row>
    <row r="24" spans="1:16" ht="15.75" thickBot="1" x14ac:dyDescent="0.3">
      <c r="A24" s="91" t="str">
        <f>IF(COUNTBLANK(B24)=1," ",COUNTA(B$14:B24))</f>
        <v xml:space="preserve"> </v>
      </c>
      <c r="B24" s="76"/>
      <c r="C24" s="258" t="s">
        <v>181</v>
      </c>
      <c r="D24" s="30" t="s">
        <v>55</v>
      </c>
      <c r="E24" s="257">
        <f>0.385*E20</f>
        <v>4.62</v>
      </c>
      <c r="F24" s="73"/>
      <c r="G24" s="74"/>
      <c r="H24" s="74">
        <f t="shared" si="7"/>
        <v>0</v>
      </c>
      <c r="I24" s="74"/>
      <c r="J24" s="74"/>
      <c r="K24" s="75">
        <f t="shared" si="8"/>
        <v>0</v>
      </c>
      <c r="L24" s="73">
        <f t="shared" si="9"/>
        <v>0</v>
      </c>
      <c r="M24" s="74">
        <f t="shared" si="10"/>
        <v>0</v>
      </c>
      <c r="N24" s="74">
        <f t="shared" si="11"/>
        <v>0</v>
      </c>
      <c r="O24" s="74">
        <f t="shared" si="12"/>
        <v>0</v>
      </c>
      <c r="P24" s="75">
        <f t="shared" si="13"/>
        <v>0</v>
      </c>
    </row>
    <row r="25" spans="1:16" ht="15" customHeight="1" thickBot="1" x14ac:dyDescent="0.3">
      <c r="A25" s="290" t="s">
        <v>280</v>
      </c>
      <c r="B25" s="290"/>
      <c r="C25" s="290"/>
      <c r="D25" s="290"/>
      <c r="E25" s="290"/>
      <c r="F25" s="290"/>
      <c r="G25" s="290"/>
      <c r="H25" s="290"/>
      <c r="I25" s="290"/>
      <c r="J25" s="290"/>
      <c r="K25" s="291"/>
      <c r="L25" s="123">
        <f>SUM(L14:L24)</f>
        <v>0</v>
      </c>
      <c r="M25" s="124">
        <f>SUM(M14:M24)</f>
        <v>0</v>
      </c>
      <c r="N25" s="124">
        <f>SUM(N14:N24)</f>
        <v>0</v>
      </c>
      <c r="O25" s="124">
        <f>SUM(O14:O24)</f>
        <v>0</v>
      </c>
      <c r="P25" s="125">
        <f>SUM(P14:P24)</f>
        <v>0</v>
      </c>
    </row>
    <row r="26" spans="1:16" x14ac:dyDescent="0.25">
      <c r="A26" s="56"/>
      <c r="B26" s="56"/>
      <c r="C26" s="56"/>
      <c r="D26" s="56"/>
      <c r="E26" s="56"/>
      <c r="F26" s="56"/>
      <c r="G26" s="56"/>
      <c r="H26" s="56"/>
      <c r="I26" s="56"/>
      <c r="J26" s="56"/>
      <c r="K26" s="56"/>
      <c r="L26" s="56"/>
      <c r="M26" s="56"/>
      <c r="N26" s="56"/>
      <c r="O26" s="56"/>
      <c r="P26" s="56"/>
    </row>
    <row r="27" spans="1:16" x14ac:dyDescent="0.25">
      <c r="A27" s="56"/>
      <c r="B27" s="56"/>
      <c r="C27" s="56"/>
      <c r="D27" s="56"/>
      <c r="E27" s="56"/>
      <c r="F27" s="56"/>
      <c r="G27" s="56"/>
      <c r="H27" s="56"/>
      <c r="I27" s="56"/>
      <c r="J27" s="56"/>
      <c r="K27" s="56"/>
      <c r="L27" s="56"/>
      <c r="M27" s="56"/>
      <c r="N27" s="56"/>
      <c r="O27" s="56"/>
      <c r="P27" s="56"/>
    </row>
    <row r="28" spans="1:16" x14ac:dyDescent="0.25">
      <c r="A28" s="51" t="s">
        <v>14</v>
      </c>
      <c r="B28" s="56"/>
      <c r="C28" s="268">
        <f>sas</f>
        <v>0</v>
      </c>
      <c r="D28" s="268"/>
      <c r="E28" s="268"/>
      <c r="F28" s="268"/>
      <c r="G28" s="268"/>
      <c r="H28" s="268"/>
      <c r="I28" s="56"/>
      <c r="J28" s="56"/>
      <c r="K28" s="56"/>
      <c r="L28" s="56"/>
      <c r="M28" s="56"/>
      <c r="N28" s="56"/>
      <c r="O28" s="56"/>
      <c r="P28" s="56"/>
    </row>
    <row r="29" spans="1:16" x14ac:dyDescent="0.25">
      <c r="A29" s="56"/>
      <c r="B29" s="56"/>
      <c r="C29" s="265" t="s">
        <v>15</v>
      </c>
      <c r="D29" s="265"/>
      <c r="E29" s="265"/>
      <c r="F29" s="265"/>
      <c r="G29" s="265"/>
      <c r="H29" s="265"/>
      <c r="I29" s="56"/>
      <c r="J29" s="56"/>
      <c r="K29" s="56"/>
      <c r="L29" s="56"/>
      <c r="M29" s="56"/>
      <c r="N29" s="56"/>
      <c r="O29" s="56"/>
      <c r="P29" s="56"/>
    </row>
    <row r="30" spans="1:16" x14ac:dyDescent="0.25">
      <c r="A30" s="56"/>
      <c r="B30" s="56"/>
      <c r="C30" s="56"/>
      <c r="D30" s="56"/>
      <c r="E30" s="56"/>
      <c r="F30" s="56"/>
      <c r="G30" s="56"/>
      <c r="H30" s="56"/>
      <c r="I30" s="56"/>
      <c r="J30" s="56"/>
      <c r="K30" s="56"/>
      <c r="L30" s="56"/>
      <c r="M30" s="56"/>
      <c r="N30" s="56"/>
      <c r="O30" s="56"/>
      <c r="P30" s="56"/>
    </row>
    <row r="31" spans="1:16" x14ac:dyDescent="0.25">
      <c r="A31" s="126" t="str">
        <f>'Kops a'!A33</f>
        <v>Tāme sastādīta 2021.gada</v>
      </c>
      <c r="B31" s="127"/>
      <c r="C31" s="127"/>
      <c r="D31" s="127"/>
      <c r="F31" s="56"/>
      <c r="G31" s="56"/>
      <c r="H31" s="56"/>
      <c r="I31" s="56"/>
      <c r="J31" s="56"/>
      <c r="K31" s="56"/>
      <c r="L31" s="56"/>
      <c r="M31" s="56"/>
      <c r="N31" s="56"/>
      <c r="O31" s="56"/>
      <c r="P31" s="56"/>
    </row>
    <row r="32" spans="1:16" x14ac:dyDescent="0.25">
      <c r="A32" s="56"/>
      <c r="B32" s="56"/>
      <c r="C32" s="56"/>
      <c r="D32" s="56"/>
      <c r="E32" s="56"/>
      <c r="F32" s="56"/>
      <c r="G32" s="56"/>
      <c r="H32" s="56"/>
      <c r="I32" s="56"/>
      <c r="J32" s="56"/>
      <c r="K32" s="56"/>
      <c r="L32" s="56"/>
      <c r="M32" s="56"/>
      <c r="N32" s="56"/>
      <c r="O32" s="56"/>
      <c r="P32" s="56"/>
    </row>
    <row r="33" spans="1:16" x14ac:dyDescent="0.25">
      <c r="A33" s="51" t="s">
        <v>38</v>
      </c>
      <c r="B33" s="56"/>
      <c r="C33" s="268">
        <f>C28</f>
        <v>0</v>
      </c>
      <c r="D33" s="268"/>
      <c r="E33" s="268"/>
      <c r="F33" s="268"/>
      <c r="G33" s="268"/>
      <c r="H33" s="268"/>
      <c r="I33" s="56"/>
      <c r="J33" s="56"/>
      <c r="K33" s="56"/>
      <c r="L33" s="56"/>
      <c r="M33" s="56"/>
      <c r="N33" s="56"/>
      <c r="O33" s="56"/>
      <c r="P33" s="56"/>
    </row>
    <row r="34" spans="1:16" x14ac:dyDescent="0.25">
      <c r="A34" s="56"/>
      <c r="B34" s="56"/>
      <c r="C34" s="265" t="s">
        <v>15</v>
      </c>
      <c r="D34" s="265"/>
      <c r="E34" s="265"/>
      <c r="F34" s="265"/>
      <c r="G34" s="265"/>
      <c r="H34" s="265"/>
      <c r="I34" s="56"/>
      <c r="J34" s="56"/>
      <c r="K34" s="56"/>
      <c r="L34" s="56"/>
      <c r="M34" s="56"/>
      <c r="N34" s="56"/>
      <c r="O34" s="56"/>
      <c r="P34" s="56"/>
    </row>
    <row r="35" spans="1:16" x14ac:dyDescent="0.25">
      <c r="A35" s="56"/>
      <c r="B35" s="56"/>
      <c r="C35" s="56"/>
      <c r="D35" s="56"/>
      <c r="E35" s="56"/>
      <c r="F35" s="56"/>
      <c r="G35" s="56"/>
      <c r="H35" s="56"/>
      <c r="I35" s="56"/>
      <c r="J35" s="56"/>
      <c r="K35" s="56"/>
      <c r="L35" s="56"/>
      <c r="M35" s="56"/>
      <c r="N35" s="56"/>
      <c r="O35" s="56"/>
      <c r="P35" s="56"/>
    </row>
    <row r="36" spans="1:16" x14ac:dyDescent="0.25">
      <c r="A36" s="126" t="s">
        <v>53</v>
      </c>
      <c r="B36" s="127"/>
      <c r="C36" s="260">
        <f>sert.nr</f>
        <v>0</v>
      </c>
      <c r="D36" s="127"/>
      <c r="F36" s="56"/>
      <c r="G36" s="56"/>
      <c r="H36" s="56"/>
      <c r="I36" s="56"/>
      <c r="J36" s="56"/>
      <c r="K36" s="56"/>
      <c r="L36" s="56"/>
      <c r="M36" s="56"/>
      <c r="N36" s="56"/>
      <c r="O36" s="56"/>
      <c r="P36" s="56"/>
    </row>
    <row r="38" spans="1:16" x14ac:dyDescent="0.25">
      <c r="A38" s="51" t="s">
        <v>288</v>
      </c>
    </row>
    <row r="39" spans="1:16" x14ac:dyDescent="0.25">
      <c r="A39" s="51" t="s">
        <v>289</v>
      </c>
    </row>
    <row r="40" spans="1:16" x14ac:dyDescent="0.25">
      <c r="A40" s="51" t="s">
        <v>290</v>
      </c>
    </row>
  </sheetData>
  <mergeCells count="22">
    <mergeCell ref="C2:I2"/>
    <mergeCell ref="C3:I3"/>
    <mergeCell ref="C4:I4"/>
    <mergeCell ref="D5:L5"/>
    <mergeCell ref="D6:L6"/>
    <mergeCell ref="D7:L7"/>
    <mergeCell ref="D8:L8"/>
    <mergeCell ref="A9:F9"/>
    <mergeCell ref="J9:M9"/>
    <mergeCell ref="N9:O9"/>
    <mergeCell ref="C33:H33"/>
    <mergeCell ref="C34:H34"/>
    <mergeCell ref="F12:K12"/>
    <mergeCell ref="L12:P12"/>
    <mergeCell ref="A25:K25"/>
    <mergeCell ref="C28:H28"/>
    <mergeCell ref="C29:H29"/>
    <mergeCell ref="A12:A13"/>
    <mergeCell ref="B12:B13"/>
    <mergeCell ref="C12:C13"/>
    <mergeCell ref="D12:D13"/>
    <mergeCell ref="E12:E13"/>
  </mergeCells>
  <conditionalFormatting sqref="C4:I4 D5:L8 D1 B14:E24">
    <cfRule type="cellIs" dxfId="41" priority="17" operator="equal">
      <formula>0</formula>
    </cfRule>
  </conditionalFormatting>
  <conditionalFormatting sqref="N9:O9 C2:I2 A14:A24">
    <cfRule type="cellIs" dxfId="40" priority="18" operator="equal">
      <formula>0</formula>
    </cfRule>
  </conditionalFormatting>
  <conditionalFormatting sqref="A9:F9">
    <cfRule type="containsText" dxfId="39" priority="19" operator="containsText" text="Tāme sastādīta  20__. gada tirgus cenās, pamatojoties uz ___ daļas rasējumiem"/>
  </conditionalFormatting>
  <conditionalFormatting sqref="O10">
    <cfRule type="cellIs" dxfId="38" priority="21" operator="equal">
      <formula>"20__. gada __. _________"</formula>
    </cfRule>
  </conditionalFormatting>
  <conditionalFormatting sqref="L25:P25">
    <cfRule type="cellIs" dxfId="37" priority="23" operator="equal">
      <formula>0</formula>
    </cfRule>
  </conditionalFormatting>
  <conditionalFormatting sqref="P10">
    <cfRule type="cellIs" dxfId="36" priority="30" operator="equal">
      <formula>"20__. gada __. _________"</formula>
    </cfRule>
  </conditionalFormatting>
  <conditionalFormatting sqref="I14:J24 F14:G24">
    <cfRule type="cellIs" dxfId="35" priority="6" operator="equal">
      <formula>0</formula>
    </cfRule>
  </conditionalFormatting>
  <conditionalFormatting sqref="H14:H24 K14:P24">
    <cfRule type="cellIs" dxfId="34" priority="5" operator="equal">
      <formula>0</formula>
    </cfRule>
  </conditionalFormatting>
  <conditionalFormatting sqref="A25:K25">
    <cfRule type="containsText" dxfId="33" priority="4" operator="containsText" text="Tāme sastādīta  20__. gada tirgus cenās, pamatojoties uz ___ daļas rasējumiem"/>
  </conditionalFormatting>
  <conditionalFormatting sqref="C33:H33">
    <cfRule type="cellIs" dxfId="32" priority="1" operator="equal">
      <formula>0</formula>
    </cfRule>
  </conditionalFormatting>
  <conditionalFormatting sqref="C28:H28">
    <cfRule type="cellIs" dxfId="31" priority="2" operator="equal">
      <formula>0</formula>
    </cfRule>
  </conditionalFormatting>
  <conditionalFormatting sqref="C36">
    <cfRule type="cellIs" dxfId="30" priority="3" operator="equal">
      <formula>0</formula>
    </cfRule>
  </conditionalFormatting>
  <pageMargins left="0.19685039370078741" right="0.19685039370078741" top="0.75196850393700787" bottom="0.39370078740157483" header="0.51181102362204722" footer="0.51181102362204722"/>
  <pageSetup paperSize="9" scale="90" firstPageNumber="0" orientation="landscape" horizontalDpi="300" verticalDpi="300" r:id="rId1"/>
  <rowBreaks count="1" manualBreakCount="1">
    <brk id="2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AMH47"/>
  <sheetViews>
    <sheetView view="pageBreakPreview" zoomScale="115" zoomScaleNormal="100" zoomScaleSheetLayoutView="115" workbookViewId="0">
      <selection activeCell="C27" sqref="C27"/>
    </sheetView>
  </sheetViews>
  <sheetFormatPr defaultColWidth="9.28515625" defaultRowHeight="15" x14ac:dyDescent="0.25"/>
  <cols>
    <col min="1" max="1" width="4.5703125" style="51" customWidth="1"/>
    <col min="2" max="2" width="5.28515625" style="51" customWidth="1"/>
    <col min="3" max="3" width="38.42578125" style="51" customWidth="1"/>
    <col min="4" max="4" width="5.85546875" style="51" customWidth="1"/>
    <col min="5" max="5" width="8.7109375" style="51" customWidth="1"/>
    <col min="6" max="6" width="5.42578125" style="51" customWidth="1"/>
    <col min="7" max="7" width="7.7109375" style="51" customWidth="1"/>
    <col min="8" max="10" width="6.7109375" style="51" customWidth="1"/>
    <col min="11" max="11" width="7" style="51" customWidth="1"/>
    <col min="12" max="15" width="7.7109375" style="51" customWidth="1"/>
    <col min="16" max="16" width="9" style="51" customWidth="1"/>
    <col min="17" max="1022" width="9.140625" style="51" customWidth="1"/>
    <col min="1023" max="16384" width="9.28515625" style="255"/>
  </cols>
  <sheetData>
    <row r="1" spans="1:16" x14ac:dyDescent="0.25">
      <c r="A1" s="48"/>
      <c r="B1" s="48"/>
      <c r="C1" s="49" t="s">
        <v>39</v>
      </c>
      <c r="D1" s="50">
        <f>'Kops a'!A19</f>
        <v>5</v>
      </c>
      <c r="E1" s="48"/>
      <c r="F1" s="48"/>
      <c r="G1" s="48"/>
      <c r="H1" s="48"/>
      <c r="I1" s="48"/>
      <c r="J1" s="48"/>
      <c r="N1" s="52"/>
      <c r="O1" s="49"/>
      <c r="P1" s="53"/>
    </row>
    <row r="2" spans="1:16" x14ac:dyDescent="0.25">
      <c r="A2" s="54"/>
      <c r="B2" s="54"/>
      <c r="C2" s="301" t="s">
        <v>207</v>
      </c>
      <c r="D2" s="301"/>
      <c r="E2" s="301"/>
      <c r="F2" s="301"/>
      <c r="G2" s="301"/>
      <c r="H2" s="301"/>
      <c r="I2" s="301"/>
      <c r="J2" s="54"/>
    </row>
    <row r="3" spans="1:16" x14ac:dyDescent="0.25">
      <c r="A3" s="55"/>
      <c r="B3" s="55"/>
      <c r="C3" s="286" t="s">
        <v>18</v>
      </c>
      <c r="D3" s="286"/>
      <c r="E3" s="286"/>
      <c r="F3" s="286"/>
      <c r="G3" s="286"/>
      <c r="H3" s="286"/>
      <c r="I3" s="286"/>
      <c r="J3" s="55"/>
    </row>
    <row r="4" spans="1:16" x14ac:dyDescent="0.25">
      <c r="A4" s="55"/>
      <c r="B4" s="55"/>
      <c r="C4" s="302" t="s">
        <v>4</v>
      </c>
      <c r="D4" s="302"/>
      <c r="E4" s="302"/>
      <c r="F4" s="302"/>
      <c r="G4" s="302"/>
      <c r="H4" s="302"/>
      <c r="I4" s="302"/>
      <c r="J4" s="55"/>
    </row>
    <row r="5" spans="1:16" x14ac:dyDescent="0.25">
      <c r="A5" s="48"/>
      <c r="B5" s="48"/>
      <c r="C5" s="49" t="s">
        <v>5</v>
      </c>
      <c r="D5" s="297" t="str">
        <f>'Kops a'!D6</f>
        <v>Daudzīvokļu dzīvojamā māja</v>
      </c>
      <c r="E5" s="297"/>
      <c r="F5" s="297"/>
      <c r="G5" s="297"/>
      <c r="H5" s="297"/>
      <c r="I5" s="297"/>
      <c r="J5" s="297"/>
      <c r="K5" s="297"/>
      <c r="L5" s="297"/>
      <c r="M5" s="56"/>
      <c r="N5" s="56"/>
      <c r="O5" s="56"/>
      <c r="P5" s="56"/>
    </row>
    <row r="6" spans="1:16" x14ac:dyDescent="0.25">
      <c r="A6" s="48"/>
      <c r="B6" s="48"/>
      <c r="C6" s="49" t="s">
        <v>6</v>
      </c>
      <c r="D6" s="297" t="str">
        <f>'Kops a'!D7</f>
        <v>Daudzdzīvokļu dzīvojamās ēkas Ventas ielā 14, Liepājā, energoefektivitātes paaugstināšanas pasākumi</v>
      </c>
      <c r="E6" s="297"/>
      <c r="F6" s="297"/>
      <c r="G6" s="297"/>
      <c r="H6" s="297"/>
      <c r="I6" s="297"/>
      <c r="J6" s="297"/>
      <c r="K6" s="297"/>
      <c r="L6" s="297"/>
      <c r="M6" s="56"/>
      <c r="N6" s="56"/>
      <c r="O6" s="56"/>
      <c r="P6" s="56"/>
    </row>
    <row r="7" spans="1:16" x14ac:dyDescent="0.25">
      <c r="A7" s="48"/>
      <c r="B7" s="48"/>
      <c r="C7" s="49" t="s">
        <v>7</v>
      </c>
      <c r="D7" s="297" t="str">
        <f>'Kops a'!D8</f>
        <v>Ventas iela 14, Liepāja</v>
      </c>
      <c r="E7" s="297"/>
      <c r="F7" s="297"/>
      <c r="G7" s="297"/>
      <c r="H7" s="297"/>
      <c r="I7" s="297"/>
      <c r="J7" s="297"/>
      <c r="K7" s="297"/>
      <c r="L7" s="297"/>
      <c r="M7" s="56"/>
      <c r="N7" s="56"/>
      <c r="O7" s="56"/>
      <c r="P7" s="56"/>
    </row>
    <row r="8" spans="1:16" x14ac:dyDescent="0.25">
      <c r="A8" s="48"/>
      <c r="B8" s="48"/>
      <c r="C8" s="57" t="s">
        <v>21</v>
      </c>
      <c r="D8" s="297" t="str">
        <f>'Kops a'!D9</f>
        <v>WS-53-18</v>
      </c>
      <c r="E8" s="297"/>
      <c r="F8" s="297"/>
      <c r="G8" s="297"/>
      <c r="H8" s="297"/>
      <c r="I8" s="297"/>
      <c r="J8" s="297"/>
      <c r="K8" s="297"/>
      <c r="L8" s="297"/>
      <c r="M8" s="56"/>
      <c r="N8" s="56"/>
      <c r="O8" s="56"/>
      <c r="P8" s="56"/>
    </row>
    <row r="9" spans="1:16" x14ac:dyDescent="0.25">
      <c r="A9" s="298" t="s">
        <v>287</v>
      </c>
      <c r="B9" s="298"/>
      <c r="C9" s="298"/>
      <c r="D9" s="298"/>
      <c r="E9" s="298"/>
      <c r="F9" s="298"/>
      <c r="G9" s="58"/>
      <c r="H9" s="58"/>
      <c r="I9" s="58"/>
      <c r="J9" s="299" t="s">
        <v>40</v>
      </c>
      <c r="K9" s="299"/>
      <c r="L9" s="299"/>
      <c r="M9" s="299"/>
      <c r="N9" s="300">
        <f>P32</f>
        <v>0</v>
      </c>
      <c r="O9" s="300"/>
      <c r="P9" s="58"/>
    </row>
    <row r="10" spans="1:16" x14ac:dyDescent="0.25">
      <c r="A10" s="59"/>
      <c r="B10" s="60"/>
      <c r="C10" s="57"/>
      <c r="D10" s="48"/>
      <c r="E10" s="48"/>
      <c r="F10" s="48"/>
      <c r="G10" s="48"/>
      <c r="H10" s="48"/>
      <c r="I10" s="48"/>
      <c r="J10" s="48"/>
      <c r="K10" s="48"/>
      <c r="L10" s="54"/>
      <c r="M10" s="54"/>
      <c r="O10" s="130"/>
      <c r="P10" s="62" t="str">
        <f>A38</f>
        <v>Tāme sastādīta 2021.gada</v>
      </c>
    </row>
    <row r="11" spans="1:16" ht="15.75" thickBot="1" x14ac:dyDescent="0.3">
      <c r="A11" s="59"/>
      <c r="B11" s="60"/>
      <c r="C11" s="57"/>
      <c r="D11" s="48"/>
      <c r="E11" s="48"/>
      <c r="F11" s="48"/>
      <c r="G11" s="48"/>
      <c r="H11" s="48"/>
      <c r="I11" s="48"/>
      <c r="J11" s="48"/>
      <c r="K11" s="48"/>
      <c r="L11" s="63"/>
      <c r="M11" s="63"/>
      <c r="N11" s="64"/>
      <c r="O11" s="52"/>
      <c r="P11" s="48"/>
    </row>
    <row r="12" spans="1:16" ht="15.75" thickBot="1" x14ac:dyDescent="0.3">
      <c r="A12" s="292" t="s">
        <v>24</v>
      </c>
      <c r="B12" s="293" t="s">
        <v>41</v>
      </c>
      <c r="C12" s="294" t="s">
        <v>42</v>
      </c>
      <c r="D12" s="295" t="s">
        <v>43</v>
      </c>
      <c r="E12" s="296" t="s">
        <v>44</v>
      </c>
      <c r="F12" s="289" t="s">
        <v>45</v>
      </c>
      <c r="G12" s="289"/>
      <c r="H12" s="289"/>
      <c r="I12" s="289"/>
      <c r="J12" s="289"/>
      <c r="K12" s="289"/>
      <c r="L12" s="289" t="s">
        <v>46</v>
      </c>
      <c r="M12" s="289"/>
      <c r="N12" s="289"/>
      <c r="O12" s="289"/>
      <c r="P12" s="289"/>
    </row>
    <row r="13" spans="1:16" ht="53.25" thickBot="1" x14ac:dyDescent="0.3">
      <c r="A13" s="292"/>
      <c r="B13" s="293"/>
      <c r="C13" s="294"/>
      <c r="D13" s="295"/>
      <c r="E13" s="296"/>
      <c r="F13" s="65" t="s">
        <v>47</v>
      </c>
      <c r="G13" s="66" t="s">
        <v>48</v>
      </c>
      <c r="H13" s="66" t="s">
        <v>49</v>
      </c>
      <c r="I13" s="66" t="s">
        <v>50</v>
      </c>
      <c r="J13" s="66" t="s">
        <v>51</v>
      </c>
      <c r="K13" s="67" t="s">
        <v>52</v>
      </c>
      <c r="L13" s="65" t="s">
        <v>47</v>
      </c>
      <c r="M13" s="66" t="s">
        <v>49</v>
      </c>
      <c r="N13" s="66" t="s">
        <v>50</v>
      </c>
      <c r="O13" s="66" t="s">
        <v>51</v>
      </c>
      <c r="P13" s="67" t="s">
        <v>52</v>
      </c>
    </row>
    <row r="14" spans="1:16" x14ac:dyDescent="0.25">
      <c r="A14" s="147"/>
      <c r="B14" s="147"/>
      <c r="C14" s="148" t="s">
        <v>208</v>
      </c>
      <c r="D14" s="147"/>
      <c r="E14" s="147"/>
      <c r="F14" s="73"/>
      <c r="G14" s="74"/>
      <c r="H14" s="74">
        <f>ROUND(F14*G14,2)</f>
        <v>0</v>
      </c>
      <c r="I14" s="74"/>
      <c r="J14" s="74"/>
      <c r="K14" s="75">
        <f>SUM(H14:J14)</f>
        <v>0</v>
      </c>
      <c r="L14" s="73">
        <f>ROUND(E14*F14,2)</f>
        <v>0</v>
      </c>
      <c r="M14" s="74">
        <f>ROUND(H14*E14,2)</f>
        <v>0</v>
      </c>
      <c r="N14" s="74">
        <f>ROUND(I14*E14,2)</f>
        <v>0</v>
      </c>
      <c r="O14" s="74">
        <f>ROUND(J14*E14,2)</f>
        <v>0</v>
      </c>
      <c r="P14" s="75">
        <f>SUM(M14:O14)</f>
        <v>0</v>
      </c>
    </row>
    <row r="15" spans="1:16" x14ac:dyDescent="0.25">
      <c r="A15" s="131">
        <f>IF(COUNTBLANK(B15)=1," ",COUNTA($B$13:B15))</f>
        <v>1</v>
      </c>
      <c r="B15" s="132" t="s">
        <v>84</v>
      </c>
      <c r="C15" s="32" t="s">
        <v>209</v>
      </c>
      <c r="D15" s="134" t="s">
        <v>86</v>
      </c>
      <c r="E15" s="135">
        <v>21</v>
      </c>
      <c r="F15" s="73"/>
      <c r="G15" s="74"/>
      <c r="H15" s="79">
        <f t="shared" ref="H15:H19" si="0">ROUND(F15*G15,2)</f>
        <v>0</v>
      </c>
      <c r="I15" s="74"/>
      <c r="J15" s="74"/>
      <c r="K15" s="80">
        <f t="shared" ref="K15:K19" si="1">SUM(H15:J15)</f>
        <v>0</v>
      </c>
      <c r="L15" s="81">
        <f t="shared" ref="L15:L19" si="2">ROUND(E15*F15,2)</f>
        <v>0</v>
      </c>
      <c r="M15" s="79">
        <f t="shared" ref="M15:M19" si="3">ROUND(H15*E15,2)</f>
        <v>0</v>
      </c>
      <c r="N15" s="79">
        <f t="shared" ref="N15:N19" si="4">ROUND(I15*E15,2)</f>
        <v>0</v>
      </c>
      <c r="O15" s="79">
        <f t="shared" ref="O15:O19" si="5">ROUND(J15*E15,2)</f>
        <v>0</v>
      </c>
      <c r="P15" s="80">
        <f t="shared" ref="P15:P19" si="6">SUM(M15:O15)</f>
        <v>0</v>
      </c>
    </row>
    <row r="16" spans="1:16" x14ac:dyDescent="0.25">
      <c r="A16" s="131">
        <f>IF(COUNTBLANK(B16)=1," ",COUNTA($B$13:B16))</f>
        <v>2</v>
      </c>
      <c r="B16" s="132" t="s">
        <v>84</v>
      </c>
      <c r="C16" s="32" t="s">
        <v>210</v>
      </c>
      <c r="D16" s="134" t="s">
        <v>55</v>
      </c>
      <c r="E16" s="135">
        <v>28.5</v>
      </c>
      <c r="F16" s="73"/>
      <c r="G16" s="74"/>
      <c r="H16" s="74">
        <f t="shared" si="0"/>
        <v>0</v>
      </c>
      <c r="I16" s="74"/>
      <c r="J16" s="74"/>
      <c r="K16" s="75">
        <f t="shared" si="1"/>
        <v>0</v>
      </c>
      <c r="L16" s="73">
        <f t="shared" si="2"/>
        <v>0</v>
      </c>
      <c r="M16" s="74">
        <f t="shared" si="3"/>
        <v>0</v>
      </c>
      <c r="N16" s="74">
        <f t="shared" si="4"/>
        <v>0</v>
      </c>
      <c r="O16" s="74">
        <f t="shared" si="5"/>
        <v>0</v>
      </c>
      <c r="P16" s="75">
        <f t="shared" si="6"/>
        <v>0</v>
      </c>
    </row>
    <row r="17" spans="1:16" x14ac:dyDescent="0.25">
      <c r="A17" s="131"/>
      <c r="B17" s="132"/>
      <c r="C17" s="149" t="s">
        <v>211</v>
      </c>
      <c r="D17" s="134"/>
      <c r="E17" s="135"/>
      <c r="F17" s="73"/>
      <c r="G17" s="74"/>
      <c r="H17" s="79">
        <f t="shared" si="0"/>
        <v>0</v>
      </c>
      <c r="I17" s="74"/>
      <c r="J17" s="74"/>
      <c r="K17" s="80">
        <f t="shared" si="1"/>
        <v>0</v>
      </c>
      <c r="L17" s="81">
        <f t="shared" si="2"/>
        <v>0</v>
      </c>
      <c r="M17" s="79">
        <f t="shared" si="3"/>
        <v>0</v>
      </c>
      <c r="N17" s="79">
        <f t="shared" si="4"/>
        <v>0</v>
      </c>
      <c r="O17" s="79">
        <f t="shared" si="5"/>
        <v>0</v>
      </c>
      <c r="P17" s="80">
        <f t="shared" si="6"/>
        <v>0</v>
      </c>
    </row>
    <row r="18" spans="1:16" x14ac:dyDescent="0.25">
      <c r="A18" s="131">
        <f>IF(COUNTBLANK(B18)=1," ",COUNTA($B$13:B18))</f>
        <v>3</v>
      </c>
      <c r="B18" s="132" t="s">
        <v>84</v>
      </c>
      <c r="C18" s="32" t="s">
        <v>212</v>
      </c>
      <c r="D18" s="134" t="s">
        <v>91</v>
      </c>
      <c r="E18" s="135">
        <v>1</v>
      </c>
      <c r="F18" s="73"/>
      <c r="G18" s="74"/>
      <c r="H18" s="74">
        <f t="shared" si="0"/>
        <v>0</v>
      </c>
      <c r="I18" s="74"/>
      <c r="J18" s="74"/>
      <c r="K18" s="75">
        <f t="shared" si="1"/>
        <v>0</v>
      </c>
      <c r="L18" s="73">
        <f t="shared" si="2"/>
        <v>0</v>
      </c>
      <c r="M18" s="74">
        <f t="shared" si="3"/>
        <v>0</v>
      </c>
      <c r="N18" s="74">
        <f t="shared" si="4"/>
        <v>0</v>
      </c>
      <c r="O18" s="74">
        <f t="shared" si="5"/>
        <v>0</v>
      </c>
      <c r="P18" s="75">
        <f t="shared" si="6"/>
        <v>0</v>
      </c>
    </row>
    <row r="19" spans="1:16" x14ac:dyDescent="0.25">
      <c r="A19" s="131"/>
      <c r="B19" s="132"/>
      <c r="C19" s="32" t="s">
        <v>213</v>
      </c>
      <c r="D19" s="134" t="s">
        <v>91</v>
      </c>
      <c r="E19" s="135">
        <f>E18</f>
        <v>1</v>
      </c>
      <c r="F19" s="73"/>
      <c r="G19" s="74"/>
      <c r="H19" s="74">
        <f t="shared" si="0"/>
        <v>0</v>
      </c>
      <c r="I19" s="74"/>
      <c r="J19" s="74"/>
      <c r="K19" s="75">
        <f t="shared" si="1"/>
        <v>0</v>
      </c>
      <c r="L19" s="73">
        <f t="shared" si="2"/>
        <v>0</v>
      </c>
      <c r="M19" s="74">
        <f t="shared" si="3"/>
        <v>0</v>
      </c>
      <c r="N19" s="74">
        <f t="shared" si="4"/>
        <v>0</v>
      </c>
      <c r="O19" s="74">
        <f t="shared" si="5"/>
        <v>0</v>
      </c>
      <c r="P19" s="75">
        <f t="shared" si="6"/>
        <v>0</v>
      </c>
    </row>
    <row r="20" spans="1:16" x14ac:dyDescent="0.25">
      <c r="A20" s="131"/>
      <c r="B20" s="132"/>
      <c r="C20" s="32" t="s">
        <v>214</v>
      </c>
      <c r="D20" s="134" t="s">
        <v>86</v>
      </c>
      <c r="E20" s="135">
        <f>0.3*E18</f>
        <v>0.3</v>
      </c>
      <c r="F20" s="73"/>
      <c r="G20" s="74"/>
      <c r="H20" s="79">
        <f t="shared" ref="H20:H31" si="7">ROUND(F20*G20,2)</f>
        <v>0</v>
      </c>
      <c r="I20" s="74"/>
      <c r="J20" s="74"/>
      <c r="K20" s="80">
        <f t="shared" ref="K20:K31" si="8">SUM(H20:J20)</f>
        <v>0</v>
      </c>
      <c r="L20" s="81">
        <f t="shared" ref="L20:L31" si="9">ROUND(E20*F20,2)</f>
        <v>0</v>
      </c>
      <c r="M20" s="79">
        <f t="shared" ref="M20:M31" si="10">ROUND(H20*E20,2)</f>
        <v>0</v>
      </c>
      <c r="N20" s="79">
        <f t="shared" ref="N20:N31" si="11">ROUND(I20*E20,2)</f>
        <v>0</v>
      </c>
      <c r="O20" s="79">
        <f t="shared" ref="O20:O31" si="12">ROUND(J20*E20,2)</f>
        <v>0</v>
      </c>
      <c r="P20" s="80">
        <f t="shared" ref="P20:P31" si="13">SUM(M20:O20)</f>
        <v>0</v>
      </c>
    </row>
    <row r="21" spans="1:16" ht="17.25" x14ac:dyDescent="0.25">
      <c r="A21" s="131"/>
      <c r="B21" s="132"/>
      <c r="C21" s="32" t="s">
        <v>215</v>
      </c>
      <c r="D21" s="134" t="s">
        <v>216</v>
      </c>
      <c r="E21" s="135">
        <f>0.92*E18</f>
        <v>0.92</v>
      </c>
      <c r="F21" s="73"/>
      <c r="G21" s="74"/>
      <c r="H21" s="74">
        <f t="shared" si="7"/>
        <v>0</v>
      </c>
      <c r="I21" s="74"/>
      <c r="J21" s="74"/>
      <c r="K21" s="75">
        <f t="shared" si="8"/>
        <v>0</v>
      </c>
      <c r="L21" s="73">
        <f t="shared" si="9"/>
        <v>0</v>
      </c>
      <c r="M21" s="74">
        <f t="shared" si="10"/>
        <v>0</v>
      </c>
      <c r="N21" s="74">
        <f t="shared" si="11"/>
        <v>0</v>
      </c>
      <c r="O21" s="74">
        <f t="shared" si="12"/>
        <v>0</v>
      </c>
      <c r="P21" s="75">
        <f t="shared" si="13"/>
        <v>0</v>
      </c>
    </row>
    <row r="22" spans="1:16" ht="17.25" x14ac:dyDescent="0.25">
      <c r="A22" s="131"/>
      <c r="B22" s="132"/>
      <c r="C22" s="32" t="s">
        <v>217</v>
      </c>
      <c r="D22" s="134" t="s">
        <v>218</v>
      </c>
      <c r="E22" s="135">
        <f>0.01*E18</f>
        <v>0.01</v>
      </c>
      <c r="F22" s="73"/>
      <c r="G22" s="74"/>
      <c r="H22" s="79">
        <f t="shared" si="7"/>
        <v>0</v>
      </c>
      <c r="I22" s="74"/>
      <c r="J22" s="74"/>
      <c r="K22" s="80">
        <f t="shared" si="8"/>
        <v>0</v>
      </c>
      <c r="L22" s="81">
        <f t="shared" si="9"/>
        <v>0</v>
      </c>
      <c r="M22" s="79">
        <f t="shared" si="10"/>
        <v>0</v>
      </c>
      <c r="N22" s="79">
        <f t="shared" si="11"/>
        <v>0</v>
      </c>
      <c r="O22" s="79">
        <f t="shared" si="12"/>
        <v>0</v>
      </c>
      <c r="P22" s="80">
        <f t="shared" si="13"/>
        <v>0</v>
      </c>
    </row>
    <row r="23" spans="1:16" ht="17.25" x14ac:dyDescent="0.25">
      <c r="A23" s="147"/>
      <c r="B23" s="147"/>
      <c r="C23" s="32" t="s">
        <v>219</v>
      </c>
      <c r="D23" s="134" t="s">
        <v>216</v>
      </c>
      <c r="E23" s="135">
        <f>0.8*E18</f>
        <v>0.8</v>
      </c>
      <c r="F23" s="73"/>
      <c r="G23" s="74"/>
      <c r="H23" s="74">
        <f t="shared" si="7"/>
        <v>0</v>
      </c>
      <c r="I23" s="74"/>
      <c r="J23" s="74"/>
      <c r="K23" s="75">
        <f t="shared" si="8"/>
        <v>0</v>
      </c>
      <c r="L23" s="73">
        <f t="shared" si="9"/>
        <v>0</v>
      </c>
      <c r="M23" s="74">
        <f t="shared" si="10"/>
        <v>0</v>
      </c>
      <c r="N23" s="74">
        <f t="shared" si="11"/>
        <v>0</v>
      </c>
      <c r="O23" s="74">
        <f t="shared" si="12"/>
        <v>0</v>
      </c>
      <c r="P23" s="75">
        <f t="shared" si="13"/>
        <v>0</v>
      </c>
    </row>
    <row r="24" spans="1:16" ht="33.75" x14ac:dyDescent="0.25">
      <c r="A24" s="147"/>
      <c r="B24" s="147"/>
      <c r="C24" s="32" t="s">
        <v>305</v>
      </c>
      <c r="D24" s="134" t="s">
        <v>91</v>
      </c>
      <c r="E24" s="135">
        <f>2*E18</f>
        <v>2</v>
      </c>
      <c r="F24" s="73"/>
      <c r="G24" s="74"/>
      <c r="H24" s="74">
        <f t="shared" si="7"/>
        <v>0</v>
      </c>
      <c r="I24" s="74"/>
      <c r="J24" s="74"/>
      <c r="K24" s="75">
        <f t="shared" si="8"/>
        <v>0</v>
      </c>
      <c r="L24" s="73">
        <f t="shared" si="9"/>
        <v>0</v>
      </c>
      <c r="M24" s="74">
        <f t="shared" si="10"/>
        <v>0</v>
      </c>
      <c r="N24" s="74">
        <f t="shared" si="11"/>
        <v>0</v>
      </c>
      <c r="O24" s="74">
        <f t="shared" si="12"/>
        <v>0</v>
      </c>
      <c r="P24" s="75">
        <f t="shared" si="13"/>
        <v>0</v>
      </c>
    </row>
    <row r="25" spans="1:16" x14ac:dyDescent="0.25">
      <c r="A25" s="131">
        <f>IF(COUNTBLANK(B25)=1," ",COUNTA($B$13:B25))</f>
        <v>4</v>
      </c>
      <c r="B25" s="132" t="s">
        <v>84</v>
      </c>
      <c r="C25" s="32" t="s">
        <v>220</v>
      </c>
      <c r="D25" s="134" t="s">
        <v>91</v>
      </c>
      <c r="E25" s="135">
        <v>2</v>
      </c>
      <c r="F25" s="73"/>
      <c r="G25" s="74"/>
      <c r="H25" s="79">
        <f t="shared" si="7"/>
        <v>0</v>
      </c>
      <c r="I25" s="74"/>
      <c r="J25" s="74"/>
      <c r="K25" s="80">
        <f t="shared" si="8"/>
        <v>0</v>
      </c>
      <c r="L25" s="81">
        <f t="shared" si="9"/>
        <v>0</v>
      </c>
      <c r="M25" s="79">
        <f t="shared" si="10"/>
        <v>0</v>
      </c>
      <c r="N25" s="79">
        <f t="shared" si="11"/>
        <v>0</v>
      </c>
      <c r="O25" s="79">
        <f t="shared" si="12"/>
        <v>0</v>
      </c>
      <c r="P25" s="80">
        <f t="shared" si="13"/>
        <v>0</v>
      </c>
    </row>
    <row r="26" spans="1:16" x14ac:dyDescent="0.25">
      <c r="A26" s="147"/>
      <c r="B26" s="147"/>
      <c r="C26" s="32" t="s">
        <v>221</v>
      </c>
      <c r="D26" s="134" t="s">
        <v>91</v>
      </c>
      <c r="E26" s="135">
        <f>E25</f>
        <v>2</v>
      </c>
      <c r="F26" s="73"/>
      <c r="G26" s="74"/>
      <c r="H26" s="74">
        <f t="shared" si="7"/>
        <v>0</v>
      </c>
      <c r="I26" s="74"/>
      <c r="J26" s="74"/>
      <c r="K26" s="75">
        <f t="shared" si="8"/>
        <v>0</v>
      </c>
      <c r="L26" s="73">
        <f t="shared" si="9"/>
        <v>0</v>
      </c>
      <c r="M26" s="74">
        <f t="shared" si="10"/>
        <v>0</v>
      </c>
      <c r="N26" s="74">
        <f t="shared" si="11"/>
        <v>0</v>
      </c>
      <c r="O26" s="74">
        <f t="shared" si="12"/>
        <v>0</v>
      </c>
      <c r="P26" s="75">
        <f t="shared" si="13"/>
        <v>0</v>
      </c>
    </row>
    <row r="27" spans="1:16" x14ac:dyDescent="0.25">
      <c r="A27" s="147"/>
      <c r="B27" s="147"/>
      <c r="C27" s="32" t="s">
        <v>214</v>
      </c>
      <c r="D27" s="134" t="s">
        <v>86</v>
      </c>
      <c r="E27" s="59">
        <f>0.3*E25</f>
        <v>0.6</v>
      </c>
      <c r="F27" s="73"/>
      <c r="G27" s="74"/>
      <c r="H27" s="79">
        <f t="shared" si="7"/>
        <v>0</v>
      </c>
      <c r="I27" s="74"/>
      <c r="J27" s="74"/>
      <c r="K27" s="80">
        <f t="shared" si="8"/>
        <v>0</v>
      </c>
      <c r="L27" s="81">
        <f t="shared" si="9"/>
        <v>0</v>
      </c>
      <c r="M27" s="79">
        <f t="shared" si="10"/>
        <v>0</v>
      </c>
      <c r="N27" s="79">
        <f t="shared" si="11"/>
        <v>0</v>
      </c>
      <c r="O27" s="79">
        <f t="shared" si="12"/>
        <v>0</v>
      </c>
      <c r="P27" s="80">
        <f t="shared" si="13"/>
        <v>0</v>
      </c>
    </row>
    <row r="28" spans="1:16" ht="17.25" x14ac:dyDescent="0.25">
      <c r="A28" s="147"/>
      <c r="B28" s="147"/>
      <c r="C28" s="32" t="s">
        <v>215</v>
      </c>
      <c r="D28" s="134" t="s">
        <v>216</v>
      </c>
      <c r="E28" s="135">
        <f>0.74*E25</f>
        <v>1.48</v>
      </c>
      <c r="F28" s="73"/>
      <c r="G28" s="74"/>
      <c r="H28" s="74">
        <f t="shared" si="7"/>
        <v>0</v>
      </c>
      <c r="I28" s="74"/>
      <c r="J28" s="74"/>
      <c r="K28" s="75">
        <f t="shared" si="8"/>
        <v>0</v>
      </c>
      <c r="L28" s="73">
        <f t="shared" si="9"/>
        <v>0</v>
      </c>
      <c r="M28" s="74">
        <f t="shared" si="10"/>
        <v>0</v>
      </c>
      <c r="N28" s="74">
        <f t="shared" si="11"/>
        <v>0</v>
      </c>
      <c r="O28" s="74">
        <f t="shared" si="12"/>
        <v>0</v>
      </c>
      <c r="P28" s="75">
        <f t="shared" si="13"/>
        <v>0</v>
      </c>
    </row>
    <row r="29" spans="1:16" ht="17.25" x14ac:dyDescent="0.25">
      <c r="A29" s="147"/>
      <c r="B29" s="147"/>
      <c r="C29" s="32" t="s">
        <v>217</v>
      </c>
      <c r="D29" s="134" t="s">
        <v>218</v>
      </c>
      <c r="E29" s="135">
        <f>0.01*E25</f>
        <v>0.02</v>
      </c>
      <c r="F29" s="73"/>
      <c r="G29" s="74"/>
      <c r="H29" s="74">
        <f t="shared" si="7"/>
        <v>0</v>
      </c>
      <c r="I29" s="74"/>
      <c r="J29" s="74"/>
      <c r="K29" s="75">
        <f t="shared" si="8"/>
        <v>0</v>
      </c>
      <c r="L29" s="73">
        <f t="shared" si="9"/>
        <v>0</v>
      </c>
      <c r="M29" s="74">
        <f t="shared" si="10"/>
        <v>0</v>
      </c>
      <c r="N29" s="74">
        <f t="shared" si="11"/>
        <v>0</v>
      </c>
      <c r="O29" s="74">
        <f t="shared" si="12"/>
        <v>0</v>
      </c>
      <c r="P29" s="75">
        <f t="shared" si="13"/>
        <v>0</v>
      </c>
    </row>
    <row r="30" spans="1:16" ht="17.25" x14ac:dyDescent="0.25">
      <c r="A30" s="147"/>
      <c r="B30" s="147"/>
      <c r="C30" s="32" t="s">
        <v>219</v>
      </c>
      <c r="D30" s="134" t="s">
        <v>216</v>
      </c>
      <c r="E30" s="135">
        <f>0.3*E25</f>
        <v>0.6</v>
      </c>
      <c r="F30" s="73"/>
      <c r="G30" s="74"/>
      <c r="H30" s="79">
        <f t="shared" si="7"/>
        <v>0</v>
      </c>
      <c r="I30" s="74"/>
      <c r="J30" s="74"/>
      <c r="K30" s="80">
        <f t="shared" si="8"/>
        <v>0</v>
      </c>
      <c r="L30" s="81">
        <f t="shared" si="9"/>
        <v>0</v>
      </c>
      <c r="M30" s="79">
        <f t="shared" si="10"/>
        <v>0</v>
      </c>
      <c r="N30" s="79">
        <f t="shared" si="11"/>
        <v>0</v>
      </c>
      <c r="O30" s="79">
        <f t="shared" si="12"/>
        <v>0</v>
      </c>
      <c r="P30" s="80">
        <f t="shared" si="13"/>
        <v>0</v>
      </c>
    </row>
    <row r="31" spans="1:16" ht="34.5" thickBot="1" x14ac:dyDescent="0.3">
      <c r="A31" s="147"/>
      <c r="B31" s="147"/>
      <c r="C31" s="32" t="s">
        <v>305</v>
      </c>
      <c r="D31" s="134" t="s">
        <v>91</v>
      </c>
      <c r="E31" s="135">
        <f>2*E25</f>
        <v>4</v>
      </c>
      <c r="F31" s="73"/>
      <c r="G31" s="74"/>
      <c r="H31" s="74">
        <f t="shared" si="7"/>
        <v>0</v>
      </c>
      <c r="I31" s="74"/>
      <c r="J31" s="74"/>
      <c r="K31" s="75">
        <f t="shared" si="8"/>
        <v>0</v>
      </c>
      <c r="L31" s="73">
        <f t="shared" si="9"/>
        <v>0</v>
      </c>
      <c r="M31" s="74">
        <f t="shared" si="10"/>
        <v>0</v>
      </c>
      <c r="N31" s="74">
        <f t="shared" si="11"/>
        <v>0</v>
      </c>
      <c r="O31" s="74">
        <f t="shared" si="12"/>
        <v>0</v>
      </c>
      <c r="P31" s="75">
        <f t="shared" si="13"/>
        <v>0</v>
      </c>
    </row>
    <row r="32" spans="1:16" s="51" customFormat="1" ht="10.7" customHeight="1" thickBot="1" x14ac:dyDescent="0.25">
      <c r="A32" s="290" t="s">
        <v>280</v>
      </c>
      <c r="B32" s="290"/>
      <c r="C32" s="290"/>
      <c r="D32" s="290"/>
      <c r="E32" s="290"/>
      <c r="F32" s="290"/>
      <c r="G32" s="290"/>
      <c r="H32" s="290"/>
      <c r="I32" s="290"/>
      <c r="J32" s="290"/>
      <c r="K32" s="291"/>
      <c r="L32" s="123">
        <f>SUM(L14:L31)</f>
        <v>0</v>
      </c>
      <c r="M32" s="124">
        <f>SUM(M14:M31)</f>
        <v>0</v>
      </c>
      <c r="N32" s="124">
        <f>SUM(N14:N31)</f>
        <v>0</v>
      </c>
      <c r="O32" s="124">
        <f>SUM(O14:O31)</f>
        <v>0</v>
      </c>
      <c r="P32" s="125">
        <f>SUM(P14:P31)</f>
        <v>0</v>
      </c>
    </row>
    <row r="33" spans="1:16" s="51" customFormat="1" ht="11.25" x14ac:dyDescent="0.2">
      <c r="A33" s="56"/>
      <c r="B33" s="56"/>
      <c r="C33" s="56"/>
      <c r="D33" s="56"/>
      <c r="E33" s="56"/>
      <c r="F33" s="56"/>
      <c r="G33" s="56"/>
      <c r="H33" s="56"/>
      <c r="I33" s="56"/>
      <c r="J33" s="56"/>
      <c r="K33" s="56"/>
      <c r="L33" s="56"/>
      <c r="M33" s="56"/>
      <c r="N33" s="56"/>
      <c r="O33" s="56"/>
      <c r="P33" s="56"/>
    </row>
    <row r="34" spans="1:16" s="51" customFormat="1" ht="11.25" x14ac:dyDescent="0.2">
      <c r="A34" s="56"/>
      <c r="B34" s="56"/>
      <c r="C34" s="56"/>
      <c r="D34" s="56"/>
      <c r="E34" s="56"/>
      <c r="F34" s="56"/>
      <c r="G34" s="56"/>
      <c r="H34" s="56"/>
      <c r="I34" s="56"/>
      <c r="J34" s="56"/>
      <c r="K34" s="56"/>
      <c r="L34" s="56"/>
      <c r="M34" s="56"/>
      <c r="N34" s="56"/>
      <c r="O34" s="56"/>
      <c r="P34" s="56"/>
    </row>
    <row r="35" spans="1:16" s="51" customFormat="1" ht="11.25" x14ac:dyDescent="0.2">
      <c r="A35" s="51" t="s">
        <v>14</v>
      </c>
      <c r="B35" s="56"/>
      <c r="C35" s="268">
        <f>sas</f>
        <v>0</v>
      </c>
      <c r="D35" s="268"/>
      <c r="E35" s="268"/>
      <c r="F35" s="268"/>
      <c r="G35" s="268"/>
      <c r="H35" s="268"/>
      <c r="I35" s="56"/>
      <c r="J35" s="56"/>
      <c r="K35" s="56"/>
      <c r="L35" s="56"/>
      <c r="M35" s="56"/>
      <c r="N35" s="56"/>
      <c r="O35" s="56"/>
      <c r="P35" s="56"/>
    </row>
    <row r="36" spans="1:16" s="51" customFormat="1" ht="11.25" x14ac:dyDescent="0.2">
      <c r="A36" s="56"/>
      <c r="B36" s="56"/>
      <c r="C36" s="265" t="s">
        <v>15</v>
      </c>
      <c r="D36" s="265"/>
      <c r="E36" s="265"/>
      <c r="F36" s="265"/>
      <c r="G36" s="265"/>
      <c r="H36" s="265"/>
      <c r="I36" s="56"/>
      <c r="J36" s="56"/>
      <c r="K36" s="56"/>
      <c r="L36" s="56"/>
      <c r="M36" s="56"/>
      <c r="N36" s="56"/>
      <c r="O36" s="56"/>
      <c r="P36" s="56"/>
    </row>
    <row r="37" spans="1:16" s="51" customFormat="1" ht="11.25" x14ac:dyDescent="0.2">
      <c r="A37" s="56"/>
      <c r="B37" s="56"/>
      <c r="C37" s="56"/>
      <c r="D37" s="56"/>
      <c r="E37" s="56"/>
      <c r="F37" s="56"/>
      <c r="G37" s="56"/>
      <c r="H37" s="56"/>
      <c r="I37" s="56"/>
      <c r="J37" s="56"/>
      <c r="K37" s="56"/>
      <c r="L37" s="56"/>
      <c r="M37" s="56"/>
      <c r="N37" s="56"/>
      <c r="O37" s="56"/>
      <c r="P37" s="56"/>
    </row>
    <row r="38" spans="1:16" s="51" customFormat="1" ht="11.25" x14ac:dyDescent="0.2">
      <c r="A38" s="126" t="str">
        <f>'Kops a'!A33</f>
        <v>Tāme sastādīta 2021.gada</v>
      </c>
      <c r="B38" s="127"/>
      <c r="C38" s="127"/>
      <c r="D38" s="127"/>
      <c r="F38" s="56"/>
      <c r="G38" s="56"/>
      <c r="H38" s="56"/>
      <c r="I38" s="56"/>
      <c r="J38" s="56"/>
      <c r="K38" s="56"/>
      <c r="L38" s="56"/>
      <c r="M38" s="56"/>
      <c r="N38" s="56"/>
      <c r="O38" s="56"/>
      <c r="P38" s="56"/>
    </row>
    <row r="39" spans="1:16" s="51" customFormat="1" ht="11.25" x14ac:dyDescent="0.2">
      <c r="A39" s="56"/>
      <c r="B39" s="56"/>
      <c r="C39" s="56"/>
      <c r="D39" s="56"/>
      <c r="E39" s="56"/>
      <c r="F39" s="56"/>
      <c r="G39" s="56"/>
      <c r="H39" s="56"/>
      <c r="I39" s="56"/>
      <c r="J39" s="56"/>
      <c r="K39" s="56"/>
      <c r="L39" s="56"/>
      <c r="M39" s="56"/>
      <c r="N39" s="56"/>
      <c r="O39" s="56"/>
      <c r="P39" s="56"/>
    </row>
    <row r="40" spans="1:16" s="51" customFormat="1" ht="11.25" x14ac:dyDescent="0.2">
      <c r="A40" s="51" t="s">
        <v>38</v>
      </c>
      <c r="B40" s="56"/>
      <c r="C40" s="268">
        <f>C35</f>
        <v>0</v>
      </c>
      <c r="D40" s="268"/>
      <c r="E40" s="268"/>
      <c r="F40" s="268"/>
      <c r="G40" s="268"/>
      <c r="H40" s="268"/>
      <c r="I40" s="56"/>
      <c r="J40" s="56"/>
      <c r="K40" s="56"/>
      <c r="L40" s="56"/>
      <c r="M40" s="56"/>
      <c r="N40" s="56"/>
      <c r="O40" s="56"/>
      <c r="P40" s="56"/>
    </row>
    <row r="41" spans="1:16" s="51" customFormat="1" ht="11.25" x14ac:dyDescent="0.2">
      <c r="A41" s="56"/>
      <c r="B41" s="56"/>
      <c r="C41" s="265" t="s">
        <v>15</v>
      </c>
      <c r="D41" s="265"/>
      <c r="E41" s="265"/>
      <c r="F41" s="265"/>
      <c r="G41" s="265"/>
      <c r="H41" s="265"/>
      <c r="I41" s="56"/>
      <c r="J41" s="56"/>
      <c r="K41" s="56"/>
      <c r="L41" s="56"/>
      <c r="M41" s="56"/>
      <c r="N41" s="56"/>
      <c r="O41" s="56"/>
      <c r="P41" s="56"/>
    </row>
    <row r="42" spans="1:16" s="51" customFormat="1" ht="11.25" x14ac:dyDescent="0.2">
      <c r="A42" s="56"/>
      <c r="B42" s="56"/>
      <c r="C42" s="56"/>
      <c r="D42" s="56"/>
      <c r="E42" s="56"/>
      <c r="F42" s="56"/>
      <c r="G42" s="56"/>
      <c r="H42" s="56"/>
      <c r="I42" s="56"/>
      <c r="J42" s="56"/>
      <c r="K42" s="56"/>
      <c r="L42" s="56"/>
      <c r="M42" s="56"/>
      <c r="N42" s="56"/>
      <c r="O42" s="56"/>
      <c r="P42" s="56"/>
    </row>
    <row r="43" spans="1:16" s="51" customFormat="1" ht="11.25" x14ac:dyDescent="0.2">
      <c r="A43" s="126" t="s">
        <v>53</v>
      </c>
      <c r="B43" s="127"/>
      <c r="C43" s="260">
        <f>sert.nr</f>
        <v>0</v>
      </c>
      <c r="D43" s="127"/>
      <c r="F43" s="56"/>
      <c r="G43" s="56"/>
      <c r="H43" s="56"/>
      <c r="I43" s="56"/>
      <c r="J43" s="56"/>
      <c r="K43" s="56"/>
      <c r="L43" s="56"/>
      <c r="M43" s="56"/>
      <c r="N43" s="56"/>
      <c r="O43" s="56"/>
      <c r="P43" s="56"/>
    </row>
    <row r="45" spans="1:16" x14ac:dyDescent="0.25">
      <c r="A45" s="51" t="s">
        <v>288</v>
      </c>
    </row>
    <row r="46" spans="1:16" x14ac:dyDescent="0.25">
      <c r="A46" s="51" t="s">
        <v>289</v>
      </c>
    </row>
    <row r="47" spans="1:16" x14ac:dyDescent="0.25">
      <c r="A47" s="51" t="s">
        <v>290</v>
      </c>
    </row>
  </sheetData>
  <mergeCells count="22">
    <mergeCell ref="D7:L7"/>
    <mergeCell ref="C2:I2"/>
    <mergeCell ref="C3:I3"/>
    <mergeCell ref="C4:I4"/>
    <mergeCell ref="D5:L5"/>
    <mergeCell ref="D6:L6"/>
    <mergeCell ref="C41:H41"/>
    <mergeCell ref="D8:L8"/>
    <mergeCell ref="A9:F9"/>
    <mergeCell ref="J9:M9"/>
    <mergeCell ref="N9:O9"/>
    <mergeCell ref="A12:A13"/>
    <mergeCell ref="B12:B13"/>
    <mergeCell ref="C12:C13"/>
    <mergeCell ref="D12:D13"/>
    <mergeCell ref="E12:E13"/>
    <mergeCell ref="F12:K12"/>
    <mergeCell ref="L12:P12"/>
    <mergeCell ref="A32:K32"/>
    <mergeCell ref="C35:H35"/>
    <mergeCell ref="C36:H36"/>
    <mergeCell ref="C40:H40"/>
  </mergeCells>
  <conditionalFormatting sqref="C4:I4 D5:L8 A15 B14:E31">
    <cfRule type="cellIs" dxfId="29" priority="18" operator="equal">
      <formula>0</formula>
    </cfRule>
  </conditionalFormatting>
  <conditionalFormatting sqref="N9:O9 C2:I2">
    <cfRule type="cellIs" dxfId="28" priority="19" operator="equal">
      <formula>0</formula>
    </cfRule>
  </conditionalFormatting>
  <conditionalFormatting sqref="A9:F9">
    <cfRule type="containsText" dxfId="27" priority="20" operator="containsText" text="Tāme sastādīta  20__. gada tirgus cenās, pamatojoties uz ___ daļas rasējumiem"/>
  </conditionalFormatting>
  <conditionalFormatting sqref="O10">
    <cfRule type="cellIs" dxfId="26" priority="22" operator="equal">
      <formula>"20__. gada __. _________"</formula>
    </cfRule>
  </conditionalFormatting>
  <conditionalFormatting sqref="L32:P32">
    <cfRule type="cellIs" dxfId="25" priority="24" operator="equal">
      <formula>0</formula>
    </cfRule>
  </conditionalFormatting>
  <conditionalFormatting sqref="P10">
    <cfRule type="cellIs" dxfId="24" priority="31" operator="equal">
      <formula>"20__. gada __. _________"</formula>
    </cfRule>
  </conditionalFormatting>
  <conditionalFormatting sqref="D1">
    <cfRule type="cellIs" dxfId="23" priority="35" operator="equal">
      <formula>0</formula>
    </cfRule>
  </conditionalFormatting>
  <conditionalFormatting sqref="A14 A16:A31">
    <cfRule type="cellIs" dxfId="22" priority="17" operator="equal">
      <formula>0</formula>
    </cfRule>
  </conditionalFormatting>
  <conditionalFormatting sqref="I14:J31 F14:G31">
    <cfRule type="cellIs" dxfId="21" priority="6" operator="equal">
      <formula>0</formula>
    </cfRule>
  </conditionalFormatting>
  <conditionalFormatting sqref="H14:H31 K14:P31">
    <cfRule type="cellIs" dxfId="20" priority="5" operator="equal">
      <formula>0</formula>
    </cfRule>
  </conditionalFormatting>
  <conditionalFormatting sqref="A32:K32">
    <cfRule type="containsText" dxfId="19" priority="4" operator="containsText" text="Tāme sastādīta  20__. gada tirgus cenās, pamatojoties uz ___ daļas rasējumiem"/>
  </conditionalFormatting>
  <conditionalFormatting sqref="C40:H40">
    <cfRule type="cellIs" dxfId="18" priority="1" operator="equal">
      <formula>0</formula>
    </cfRule>
  </conditionalFormatting>
  <conditionalFormatting sqref="C35:H35">
    <cfRule type="cellIs" dxfId="17" priority="2" operator="equal">
      <formula>0</formula>
    </cfRule>
  </conditionalFormatting>
  <conditionalFormatting sqref="C43">
    <cfRule type="cellIs" dxfId="16" priority="3" operator="equal">
      <formula>0</formula>
    </cfRule>
  </conditionalFormatting>
  <pageMargins left="0.19685039370078741" right="0.19685039370078741" top="0.75196850393700787" bottom="0.39370078740157483" header="0.51181102362204722" footer="0.51181102362204722"/>
  <pageSetup paperSize="9" scale="80"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7CC74-63BC-4DE7-9FCE-84DDBCFEFA34}">
  <sheetPr>
    <tabColor rgb="FF92D050"/>
  </sheetPr>
  <dimension ref="A1:ALZ81"/>
  <sheetViews>
    <sheetView tabSelected="1" view="pageBreakPreview" zoomScale="130" zoomScaleNormal="100" zoomScaleSheetLayoutView="130" workbookViewId="0">
      <selection activeCell="A66" sqref="A66:K66"/>
    </sheetView>
  </sheetViews>
  <sheetFormatPr defaultColWidth="9.28515625" defaultRowHeight="15" x14ac:dyDescent="0.25"/>
  <cols>
    <col min="1" max="1" width="4.5703125" style="51" customWidth="1"/>
    <col min="2" max="2" width="5.28515625" style="51" customWidth="1"/>
    <col min="3" max="3" width="38.42578125" style="51" customWidth="1"/>
    <col min="4" max="4" width="5.85546875" style="51" customWidth="1"/>
    <col min="5" max="5" width="6.28515625" style="51" customWidth="1"/>
    <col min="6" max="6" width="5.42578125" style="51" customWidth="1"/>
    <col min="7" max="7" width="7.7109375" style="128" customWidth="1"/>
    <col min="8" max="10" width="6.7109375" style="51" customWidth="1"/>
    <col min="11" max="11" width="7" style="51" customWidth="1"/>
    <col min="12" max="15" width="7.7109375" style="51" customWidth="1"/>
    <col min="16" max="16" width="9" style="51" customWidth="1"/>
    <col min="17" max="1014" width="9.140625" style="51" customWidth="1"/>
    <col min="1015" max="16384" width="9.28515625" style="255"/>
  </cols>
  <sheetData>
    <row r="1" spans="1:16" x14ac:dyDescent="0.25">
      <c r="A1" s="48"/>
      <c r="B1" s="48"/>
      <c r="C1" s="49" t="s">
        <v>39</v>
      </c>
      <c r="D1" s="50">
        <f>'Kops a'!A20</f>
        <v>6</v>
      </c>
      <c r="E1" s="48"/>
      <c r="F1" s="48"/>
      <c r="H1" s="48"/>
      <c r="I1" s="48"/>
      <c r="J1" s="48"/>
      <c r="N1" s="52"/>
      <c r="O1" s="49"/>
      <c r="P1" s="53"/>
    </row>
    <row r="2" spans="1:16" x14ac:dyDescent="0.25">
      <c r="A2" s="54"/>
      <c r="B2" s="54"/>
      <c r="C2" s="301" t="s">
        <v>144</v>
      </c>
      <c r="D2" s="301"/>
      <c r="E2" s="301"/>
      <c r="F2" s="301"/>
      <c r="G2" s="301"/>
      <c r="H2" s="301"/>
      <c r="I2" s="301"/>
      <c r="J2" s="54"/>
    </row>
    <row r="3" spans="1:16" x14ac:dyDescent="0.25">
      <c r="A3" s="55"/>
      <c r="B3" s="55"/>
      <c r="C3" s="286" t="s">
        <v>18</v>
      </c>
      <c r="D3" s="286"/>
      <c r="E3" s="286"/>
      <c r="F3" s="286"/>
      <c r="G3" s="286"/>
      <c r="H3" s="286"/>
      <c r="I3" s="286"/>
      <c r="J3" s="55"/>
    </row>
    <row r="4" spans="1:16" x14ac:dyDescent="0.25">
      <c r="A4" s="55"/>
      <c r="B4" s="55"/>
      <c r="C4" s="302" t="s">
        <v>4</v>
      </c>
      <c r="D4" s="302"/>
      <c r="E4" s="302"/>
      <c r="F4" s="302"/>
      <c r="G4" s="302"/>
      <c r="H4" s="302"/>
      <c r="I4" s="302"/>
      <c r="J4" s="55"/>
    </row>
    <row r="5" spans="1:16" x14ac:dyDescent="0.25">
      <c r="A5" s="48"/>
      <c r="B5" s="48"/>
      <c r="C5" s="49" t="s">
        <v>5</v>
      </c>
      <c r="D5" s="297" t="str">
        <f>'Kops a'!D6</f>
        <v>Daudzīvokļu dzīvojamā māja</v>
      </c>
      <c r="E5" s="297"/>
      <c r="F5" s="297"/>
      <c r="G5" s="297"/>
      <c r="H5" s="297"/>
      <c r="I5" s="297"/>
      <c r="J5" s="297"/>
      <c r="K5" s="297"/>
      <c r="L5" s="297"/>
      <c r="M5" s="56"/>
      <c r="N5" s="56"/>
      <c r="O5" s="56"/>
      <c r="P5" s="56"/>
    </row>
    <row r="6" spans="1:16" x14ac:dyDescent="0.25">
      <c r="A6" s="48"/>
      <c r="B6" s="48"/>
      <c r="C6" s="49" t="s">
        <v>6</v>
      </c>
      <c r="D6" s="297" t="str">
        <f>'Kops a'!D7</f>
        <v>Daudzdzīvokļu dzīvojamās ēkas Ventas ielā 14, Liepājā, energoefektivitātes paaugstināšanas pasākumi</v>
      </c>
      <c r="E6" s="297"/>
      <c r="F6" s="297"/>
      <c r="G6" s="297"/>
      <c r="H6" s="297"/>
      <c r="I6" s="297"/>
      <c r="J6" s="297"/>
      <c r="K6" s="297"/>
      <c r="L6" s="297"/>
      <c r="M6" s="56"/>
      <c r="N6" s="56"/>
      <c r="O6" s="56"/>
      <c r="P6" s="56"/>
    </row>
    <row r="7" spans="1:16" x14ac:dyDescent="0.25">
      <c r="A7" s="48"/>
      <c r="B7" s="48"/>
      <c r="C7" s="49" t="s">
        <v>7</v>
      </c>
      <c r="D7" s="297" t="str">
        <f>'Kops a'!D8</f>
        <v>Ventas iela 14, Liepāja</v>
      </c>
      <c r="E7" s="297"/>
      <c r="F7" s="297"/>
      <c r="G7" s="297"/>
      <c r="H7" s="297"/>
      <c r="I7" s="297"/>
      <c r="J7" s="297"/>
      <c r="K7" s="297"/>
      <c r="L7" s="297"/>
      <c r="M7" s="56"/>
      <c r="N7" s="56"/>
      <c r="O7" s="56"/>
      <c r="P7" s="56"/>
    </row>
    <row r="8" spans="1:16" x14ac:dyDescent="0.25">
      <c r="A8" s="48"/>
      <c r="B8" s="48"/>
      <c r="C8" s="57" t="s">
        <v>21</v>
      </c>
      <c r="D8" s="297" t="str">
        <f>'Kops a'!D9</f>
        <v>WS-53-18</v>
      </c>
      <c r="E8" s="297"/>
      <c r="F8" s="297"/>
      <c r="G8" s="297"/>
      <c r="H8" s="297"/>
      <c r="I8" s="297"/>
      <c r="J8" s="297"/>
      <c r="K8" s="297"/>
      <c r="L8" s="297"/>
      <c r="M8" s="56"/>
      <c r="N8" s="56"/>
      <c r="O8" s="56"/>
      <c r="P8" s="56"/>
    </row>
    <row r="9" spans="1:16" x14ac:dyDescent="0.25">
      <c r="A9" s="298" t="s">
        <v>287</v>
      </c>
      <c r="B9" s="298"/>
      <c r="C9" s="298"/>
      <c r="D9" s="298"/>
      <c r="E9" s="298"/>
      <c r="F9" s="298"/>
      <c r="G9" s="129"/>
      <c r="H9" s="58"/>
      <c r="I9" s="58"/>
      <c r="J9" s="299" t="s">
        <v>40</v>
      </c>
      <c r="K9" s="299"/>
      <c r="L9" s="299"/>
      <c r="M9" s="299"/>
      <c r="N9" s="300">
        <f>P66</f>
        <v>0</v>
      </c>
      <c r="O9" s="300"/>
      <c r="P9" s="58"/>
    </row>
    <row r="10" spans="1:16" x14ac:dyDescent="0.25">
      <c r="A10" s="59"/>
      <c r="B10" s="60"/>
      <c r="C10" s="57"/>
      <c r="D10" s="48"/>
      <c r="E10" s="48"/>
      <c r="F10" s="48"/>
      <c r="H10" s="48"/>
      <c r="I10" s="48"/>
      <c r="J10" s="48"/>
      <c r="K10" s="48"/>
      <c r="L10" s="54"/>
      <c r="M10" s="54"/>
      <c r="O10" s="130"/>
      <c r="P10" s="62" t="str">
        <f>A72</f>
        <v>Tāme sastādīta 2021.gada</v>
      </c>
    </row>
    <row r="11" spans="1:16" ht="15.75" thickBot="1" x14ac:dyDescent="0.3">
      <c r="A11" s="59"/>
      <c r="B11" s="60"/>
      <c r="C11" s="57"/>
      <c r="D11" s="48"/>
      <c r="E11" s="48"/>
      <c r="F11" s="48"/>
      <c r="H11" s="48"/>
      <c r="I11" s="48"/>
      <c r="J11" s="48"/>
      <c r="K11" s="48"/>
      <c r="L11" s="63"/>
      <c r="M11" s="63"/>
      <c r="N11" s="64"/>
      <c r="O11" s="52"/>
      <c r="P11" s="48"/>
    </row>
    <row r="12" spans="1:16" ht="15.75" thickBot="1" x14ac:dyDescent="0.3">
      <c r="A12" s="292" t="s">
        <v>24</v>
      </c>
      <c r="B12" s="293" t="s">
        <v>41</v>
      </c>
      <c r="C12" s="294" t="s">
        <v>42</v>
      </c>
      <c r="D12" s="295" t="s">
        <v>43</v>
      </c>
      <c r="E12" s="296" t="s">
        <v>44</v>
      </c>
      <c r="F12" s="289" t="s">
        <v>45</v>
      </c>
      <c r="G12" s="289"/>
      <c r="H12" s="289"/>
      <c r="I12" s="289"/>
      <c r="J12" s="289"/>
      <c r="K12" s="289"/>
      <c r="L12" s="289" t="s">
        <v>46</v>
      </c>
      <c r="M12" s="289"/>
      <c r="N12" s="289"/>
      <c r="O12" s="289"/>
      <c r="P12" s="289"/>
    </row>
    <row r="13" spans="1:16" ht="53.25" thickBot="1" x14ac:dyDescent="0.3">
      <c r="A13" s="292"/>
      <c r="B13" s="293"/>
      <c r="C13" s="294"/>
      <c r="D13" s="295"/>
      <c r="E13" s="296"/>
      <c r="F13" s="65" t="s">
        <v>47</v>
      </c>
      <c r="G13" s="66" t="s">
        <v>48</v>
      </c>
      <c r="H13" s="66" t="s">
        <v>49</v>
      </c>
      <c r="I13" s="66" t="s">
        <v>50</v>
      </c>
      <c r="J13" s="66" t="s">
        <v>51</v>
      </c>
      <c r="K13" s="67" t="s">
        <v>52</v>
      </c>
      <c r="L13" s="65" t="s">
        <v>47</v>
      </c>
      <c r="M13" s="66" t="s">
        <v>49</v>
      </c>
      <c r="N13" s="66" t="s">
        <v>50</v>
      </c>
      <c r="O13" s="66" t="s">
        <v>51</v>
      </c>
      <c r="P13" s="67" t="s">
        <v>52</v>
      </c>
    </row>
    <row r="14" spans="1:16" x14ac:dyDescent="0.25">
      <c r="A14" s="131">
        <f>IF(COUNTBLANK(B14)=1," ",COUNTA($B$13:B14))</f>
        <v>1</v>
      </c>
      <c r="B14" s="132" t="s">
        <v>84</v>
      </c>
      <c r="C14" s="32" t="s">
        <v>248</v>
      </c>
      <c r="D14" s="133" t="s">
        <v>86</v>
      </c>
      <c r="E14" s="134">
        <f>2*18.6</f>
        <v>37.200000000000003</v>
      </c>
      <c r="F14" s="73"/>
      <c r="G14" s="74"/>
      <c r="H14" s="74">
        <f>ROUND(F14*G14,2)</f>
        <v>0</v>
      </c>
      <c r="I14" s="74"/>
      <c r="J14" s="74"/>
      <c r="K14" s="75">
        <f>SUM(H14:J14)</f>
        <v>0</v>
      </c>
      <c r="L14" s="73">
        <f>ROUND(E14*F14,2)</f>
        <v>0</v>
      </c>
      <c r="M14" s="74">
        <f>ROUND(H14*E14,2)</f>
        <v>0</v>
      </c>
      <c r="N14" s="74">
        <f>ROUND(I14*E14,2)</f>
        <v>0</v>
      </c>
      <c r="O14" s="74">
        <f>ROUND(J14*E14,2)</f>
        <v>0</v>
      </c>
      <c r="P14" s="75">
        <f>SUM(M14:O14)</f>
        <v>0</v>
      </c>
    </row>
    <row r="15" spans="1:16" x14ac:dyDescent="0.25">
      <c r="A15" s="131">
        <f>IF(COUNTBLANK(B15)=1," ",COUNTA($B$13:B15))</f>
        <v>2</v>
      </c>
      <c r="B15" s="132" t="s">
        <v>84</v>
      </c>
      <c r="C15" s="32" t="s">
        <v>249</v>
      </c>
      <c r="D15" s="134" t="s">
        <v>86</v>
      </c>
      <c r="E15" s="134">
        <f>6.8*8</f>
        <v>54.4</v>
      </c>
      <c r="F15" s="73"/>
      <c r="G15" s="74"/>
      <c r="H15" s="79">
        <f t="shared" ref="H15:H19" si="0">ROUND(F15*G15,2)</f>
        <v>0</v>
      </c>
      <c r="I15" s="74"/>
      <c r="J15" s="74"/>
      <c r="K15" s="80">
        <f t="shared" ref="K15:K19" si="1">SUM(H15:J15)</f>
        <v>0</v>
      </c>
      <c r="L15" s="81">
        <f t="shared" ref="L15:L19" si="2">ROUND(E15*F15,2)</f>
        <v>0</v>
      </c>
      <c r="M15" s="79">
        <f t="shared" ref="M15:M19" si="3">ROUND(H15*E15,2)</f>
        <v>0</v>
      </c>
      <c r="N15" s="79">
        <f t="shared" ref="N15:N19" si="4">ROUND(I15*E15,2)</f>
        <v>0</v>
      </c>
      <c r="O15" s="79">
        <f t="shared" ref="O15:O19" si="5">ROUND(J15*E15,2)</f>
        <v>0</v>
      </c>
      <c r="P15" s="80">
        <f t="shared" ref="P15:P19" si="6">SUM(M15:O15)</f>
        <v>0</v>
      </c>
    </row>
    <row r="16" spans="1:16" ht="22.5" x14ac:dyDescent="0.25">
      <c r="A16" s="131">
        <f>IF(COUNTBLANK(B16)=1," ",COUNTA($B$13:B16))</f>
        <v>3</v>
      </c>
      <c r="B16" s="132" t="s">
        <v>84</v>
      </c>
      <c r="C16" s="32" t="s">
        <v>256</v>
      </c>
      <c r="D16" s="134" t="s">
        <v>86</v>
      </c>
      <c r="E16" s="134">
        <f>E14</f>
        <v>37.200000000000003</v>
      </c>
      <c r="F16" s="73"/>
      <c r="G16" s="74"/>
      <c r="H16" s="74">
        <f t="shared" si="0"/>
        <v>0</v>
      </c>
      <c r="I16" s="74"/>
      <c r="J16" s="74"/>
      <c r="K16" s="75">
        <f t="shared" si="1"/>
        <v>0</v>
      </c>
      <c r="L16" s="73">
        <f t="shared" si="2"/>
        <v>0</v>
      </c>
      <c r="M16" s="74">
        <f t="shared" si="3"/>
        <v>0</v>
      </c>
      <c r="N16" s="74">
        <f t="shared" si="4"/>
        <v>0</v>
      </c>
      <c r="O16" s="74">
        <f t="shared" si="5"/>
        <v>0</v>
      </c>
      <c r="P16" s="75">
        <f t="shared" si="6"/>
        <v>0</v>
      </c>
    </row>
    <row r="17" spans="1:16" ht="22.5" x14ac:dyDescent="0.25">
      <c r="A17" s="131">
        <f>IF(COUNTBLANK(B17)=1," ",COUNTA($B$13:B17))</f>
        <v>4</v>
      </c>
      <c r="B17" s="132" t="s">
        <v>84</v>
      </c>
      <c r="C17" s="32" t="s">
        <v>257</v>
      </c>
      <c r="D17" s="134" t="s">
        <v>86</v>
      </c>
      <c r="E17" s="134">
        <f>E15</f>
        <v>54.4</v>
      </c>
      <c r="F17" s="73"/>
      <c r="G17" s="74"/>
      <c r="H17" s="79">
        <f t="shared" si="0"/>
        <v>0</v>
      </c>
      <c r="I17" s="74"/>
      <c r="J17" s="74"/>
      <c r="K17" s="80">
        <f t="shared" si="1"/>
        <v>0</v>
      </c>
      <c r="L17" s="81">
        <f t="shared" si="2"/>
        <v>0</v>
      </c>
      <c r="M17" s="79">
        <f t="shared" si="3"/>
        <v>0</v>
      </c>
      <c r="N17" s="79">
        <f t="shared" si="4"/>
        <v>0</v>
      </c>
      <c r="O17" s="79">
        <f t="shared" si="5"/>
        <v>0</v>
      </c>
      <c r="P17" s="80">
        <f t="shared" si="6"/>
        <v>0</v>
      </c>
    </row>
    <row r="18" spans="1:16" ht="33.75" x14ac:dyDescent="0.25">
      <c r="A18" s="131">
        <f>IF(COUNTBLANK(B18)=1," ",COUNTA($B$13:B18))</f>
        <v>5</v>
      </c>
      <c r="B18" s="132" t="s">
        <v>84</v>
      </c>
      <c r="C18" s="32" t="s">
        <v>251</v>
      </c>
      <c r="D18" s="134" t="s">
        <v>82</v>
      </c>
      <c r="E18" s="135">
        <v>0.28599999999999998</v>
      </c>
      <c r="F18" s="73"/>
      <c r="G18" s="74"/>
      <c r="H18" s="74">
        <f t="shared" si="0"/>
        <v>0</v>
      </c>
      <c r="I18" s="74"/>
      <c r="J18" s="74"/>
      <c r="K18" s="75">
        <f t="shared" si="1"/>
        <v>0</v>
      </c>
      <c r="L18" s="73">
        <f t="shared" si="2"/>
        <v>0</v>
      </c>
      <c r="M18" s="74">
        <f t="shared" si="3"/>
        <v>0</v>
      </c>
      <c r="N18" s="74">
        <f t="shared" si="4"/>
        <v>0</v>
      </c>
      <c r="O18" s="74">
        <f t="shared" si="5"/>
        <v>0</v>
      </c>
      <c r="P18" s="75">
        <f t="shared" si="6"/>
        <v>0</v>
      </c>
    </row>
    <row r="19" spans="1:16" x14ac:dyDescent="0.25">
      <c r="A19" s="131"/>
      <c r="B19" s="132"/>
      <c r="C19" s="136" t="s">
        <v>182</v>
      </c>
      <c r="D19" s="134" t="s">
        <v>82</v>
      </c>
      <c r="E19" s="135">
        <f>E18*1.1</f>
        <v>0.31459999999999999</v>
      </c>
      <c r="F19" s="73"/>
      <c r="G19" s="74"/>
      <c r="H19" s="74">
        <f t="shared" si="0"/>
        <v>0</v>
      </c>
      <c r="I19" s="74"/>
      <c r="J19" s="74"/>
      <c r="K19" s="75">
        <f t="shared" si="1"/>
        <v>0</v>
      </c>
      <c r="L19" s="73">
        <f t="shared" si="2"/>
        <v>0</v>
      </c>
      <c r="M19" s="74">
        <f t="shared" si="3"/>
        <v>0</v>
      </c>
      <c r="N19" s="74">
        <f t="shared" si="4"/>
        <v>0</v>
      </c>
      <c r="O19" s="74">
        <f t="shared" si="5"/>
        <v>0</v>
      </c>
      <c r="P19" s="75">
        <f t="shared" si="6"/>
        <v>0</v>
      </c>
    </row>
    <row r="20" spans="1:16" x14ac:dyDescent="0.25">
      <c r="A20" s="131"/>
      <c r="B20" s="132"/>
      <c r="C20" s="136" t="s">
        <v>183</v>
      </c>
      <c r="D20" s="135" t="s">
        <v>89</v>
      </c>
      <c r="E20" s="135">
        <f>E19*35</f>
        <v>11.010999999999999</v>
      </c>
      <c r="F20" s="73"/>
      <c r="G20" s="74"/>
      <c r="H20" s="79">
        <f t="shared" ref="H20:H65" si="7">ROUND(F20*G20,2)</f>
        <v>0</v>
      </c>
      <c r="I20" s="74"/>
      <c r="J20" s="74"/>
      <c r="K20" s="80">
        <f t="shared" ref="K20:K65" si="8">SUM(H20:J20)</f>
        <v>0</v>
      </c>
      <c r="L20" s="81">
        <f t="shared" ref="L20:L65" si="9">ROUND(E20*F20,2)</f>
        <v>0</v>
      </c>
      <c r="M20" s="79">
        <f t="shared" ref="M20:M65" si="10">ROUND(H20*E20,2)</f>
        <v>0</v>
      </c>
      <c r="N20" s="79">
        <f t="shared" ref="N20:N65" si="11">ROUND(I20*E20,2)</f>
        <v>0</v>
      </c>
      <c r="O20" s="79">
        <f t="shared" ref="O20:O65" si="12">ROUND(J20*E20,2)</f>
        <v>0</v>
      </c>
      <c r="P20" s="80">
        <f t="shared" ref="P20:P65" si="13">SUM(M20:O20)</f>
        <v>0</v>
      </c>
    </row>
    <row r="21" spans="1:16" x14ac:dyDescent="0.25">
      <c r="A21" s="131">
        <f>IF(COUNTBLANK(B21)=1," ",COUNTA($B$13:B21))</f>
        <v>6</v>
      </c>
      <c r="B21" s="132" t="s">
        <v>84</v>
      </c>
      <c r="C21" s="32" t="s">
        <v>222</v>
      </c>
      <c r="D21" s="134" t="s">
        <v>82</v>
      </c>
      <c r="E21" s="134">
        <v>220.6</v>
      </c>
      <c r="F21" s="73"/>
      <c r="G21" s="74"/>
      <c r="H21" s="74">
        <f t="shared" si="7"/>
        <v>0</v>
      </c>
      <c r="I21" s="74"/>
      <c r="J21" s="74"/>
      <c r="K21" s="75">
        <f t="shared" si="8"/>
        <v>0</v>
      </c>
      <c r="L21" s="73">
        <f t="shared" si="9"/>
        <v>0</v>
      </c>
      <c r="M21" s="74">
        <f t="shared" si="10"/>
        <v>0</v>
      </c>
      <c r="N21" s="74">
        <f t="shared" si="11"/>
        <v>0</v>
      </c>
      <c r="O21" s="74">
        <f t="shared" si="12"/>
        <v>0</v>
      </c>
      <c r="P21" s="75">
        <f t="shared" si="13"/>
        <v>0</v>
      </c>
    </row>
    <row r="22" spans="1:16" ht="33.75" x14ac:dyDescent="0.25">
      <c r="A22" s="131">
        <f>IF(COUNTBLANK(B22)=1," ",COUNTA($B$13:B22))</f>
        <v>7</v>
      </c>
      <c r="B22" s="132" t="s">
        <v>84</v>
      </c>
      <c r="C22" s="32" t="s">
        <v>252</v>
      </c>
      <c r="D22" s="134" t="s">
        <v>86</v>
      </c>
      <c r="E22" s="135">
        <f>E18</f>
        <v>0.28599999999999998</v>
      </c>
      <c r="F22" s="73"/>
      <c r="G22" s="74"/>
      <c r="H22" s="79">
        <f t="shared" si="7"/>
        <v>0</v>
      </c>
      <c r="I22" s="74"/>
      <c r="J22" s="74"/>
      <c r="K22" s="80">
        <f t="shared" si="8"/>
        <v>0</v>
      </c>
      <c r="L22" s="81">
        <f t="shared" si="9"/>
        <v>0</v>
      </c>
      <c r="M22" s="79">
        <f t="shared" si="10"/>
        <v>0</v>
      </c>
      <c r="N22" s="79">
        <f t="shared" si="11"/>
        <v>0</v>
      </c>
      <c r="O22" s="79">
        <f t="shared" si="12"/>
        <v>0</v>
      </c>
      <c r="P22" s="80">
        <f t="shared" si="13"/>
        <v>0</v>
      </c>
    </row>
    <row r="23" spans="1:16" x14ac:dyDescent="0.25">
      <c r="A23" s="131"/>
      <c r="B23" s="132"/>
      <c r="C23" s="136" t="s">
        <v>182</v>
      </c>
      <c r="D23" s="134" t="s">
        <v>82</v>
      </c>
      <c r="E23" s="135">
        <f>E22*1.1</f>
        <v>0.31459999999999999</v>
      </c>
      <c r="F23" s="73"/>
      <c r="G23" s="74"/>
      <c r="H23" s="74">
        <f t="shared" si="7"/>
        <v>0</v>
      </c>
      <c r="I23" s="74"/>
      <c r="J23" s="74"/>
      <c r="K23" s="75">
        <f t="shared" si="8"/>
        <v>0</v>
      </c>
      <c r="L23" s="73">
        <f t="shared" si="9"/>
        <v>0</v>
      </c>
      <c r="M23" s="74">
        <f t="shared" si="10"/>
        <v>0</v>
      </c>
      <c r="N23" s="74">
        <f t="shared" si="11"/>
        <v>0</v>
      </c>
      <c r="O23" s="74">
        <f t="shared" si="12"/>
        <v>0</v>
      </c>
      <c r="P23" s="75">
        <f t="shared" si="13"/>
        <v>0</v>
      </c>
    </row>
    <row r="24" spans="1:16" x14ac:dyDescent="0.25">
      <c r="A24" s="131"/>
      <c r="B24" s="132"/>
      <c r="C24" s="136" t="s">
        <v>183</v>
      </c>
      <c r="D24" s="135" t="s">
        <v>89</v>
      </c>
      <c r="E24" s="135">
        <f>E23*35</f>
        <v>11.010999999999999</v>
      </c>
      <c r="F24" s="73"/>
      <c r="G24" s="74"/>
      <c r="H24" s="74">
        <f t="shared" si="7"/>
        <v>0</v>
      </c>
      <c r="I24" s="74"/>
      <c r="J24" s="74"/>
      <c r="K24" s="75">
        <f t="shared" si="8"/>
        <v>0</v>
      </c>
      <c r="L24" s="73">
        <f t="shared" si="9"/>
        <v>0</v>
      </c>
      <c r="M24" s="74">
        <f t="shared" si="10"/>
        <v>0</v>
      </c>
      <c r="N24" s="74">
        <f t="shared" si="11"/>
        <v>0</v>
      </c>
      <c r="O24" s="74">
        <f t="shared" si="12"/>
        <v>0</v>
      </c>
      <c r="P24" s="75">
        <f t="shared" si="13"/>
        <v>0</v>
      </c>
    </row>
    <row r="25" spans="1:16" ht="33.75" x14ac:dyDescent="0.25">
      <c r="A25" s="131" t="s">
        <v>223</v>
      </c>
      <c r="B25" s="132" t="s">
        <v>84</v>
      </c>
      <c r="C25" s="32" t="s">
        <v>224</v>
      </c>
      <c r="D25" s="134" t="s">
        <v>140</v>
      </c>
      <c r="E25" s="134">
        <f>E21</f>
        <v>220.6</v>
      </c>
      <c r="F25" s="73"/>
      <c r="G25" s="74"/>
      <c r="H25" s="79">
        <f t="shared" si="7"/>
        <v>0</v>
      </c>
      <c r="I25" s="74"/>
      <c r="J25" s="74"/>
      <c r="K25" s="80">
        <f t="shared" si="8"/>
        <v>0</v>
      </c>
      <c r="L25" s="81">
        <f t="shared" si="9"/>
        <v>0</v>
      </c>
      <c r="M25" s="79">
        <f t="shared" si="10"/>
        <v>0</v>
      </c>
      <c r="N25" s="79">
        <f t="shared" si="11"/>
        <v>0</v>
      </c>
      <c r="O25" s="79">
        <f t="shared" si="12"/>
        <v>0</v>
      </c>
      <c r="P25" s="80">
        <f t="shared" si="13"/>
        <v>0</v>
      </c>
    </row>
    <row r="26" spans="1:16" ht="45" x14ac:dyDescent="0.25">
      <c r="A26" s="131">
        <f>IF(COUNTBLANK(B26)=1," ",COUNTA($B$13:B26))</f>
        <v>9</v>
      </c>
      <c r="B26" s="132" t="s">
        <v>84</v>
      </c>
      <c r="C26" s="32" t="s">
        <v>225</v>
      </c>
      <c r="D26" s="134" t="s">
        <v>82</v>
      </c>
      <c r="E26" s="134">
        <v>2.77</v>
      </c>
      <c r="F26" s="73"/>
      <c r="G26" s="74"/>
      <c r="H26" s="74">
        <f t="shared" si="7"/>
        <v>0</v>
      </c>
      <c r="I26" s="74"/>
      <c r="J26" s="74"/>
      <c r="K26" s="75">
        <f t="shared" si="8"/>
        <v>0</v>
      </c>
      <c r="L26" s="73">
        <f t="shared" si="9"/>
        <v>0</v>
      </c>
      <c r="M26" s="74">
        <f t="shared" si="10"/>
        <v>0</v>
      </c>
      <c r="N26" s="74">
        <f t="shared" si="11"/>
        <v>0</v>
      </c>
      <c r="O26" s="74">
        <f t="shared" si="12"/>
        <v>0</v>
      </c>
      <c r="P26" s="75">
        <f t="shared" si="13"/>
        <v>0</v>
      </c>
    </row>
    <row r="27" spans="1:16" x14ac:dyDescent="0.25">
      <c r="A27" s="131"/>
      <c r="B27" s="132"/>
      <c r="C27" s="136" t="s">
        <v>182</v>
      </c>
      <c r="D27" s="134" t="s">
        <v>82</v>
      </c>
      <c r="E27" s="135">
        <f>E26*1.1</f>
        <v>3.0470000000000002</v>
      </c>
      <c r="F27" s="73"/>
      <c r="G27" s="74"/>
      <c r="H27" s="79">
        <f t="shared" si="7"/>
        <v>0</v>
      </c>
      <c r="I27" s="74"/>
      <c r="J27" s="74"/>
      <c r="K27" s="80">
        <f t="shared" si="8"/>
        <v>0</v>
      </c>
      <c r="L27" s="81">
        <f t="shared" si="9"/>
        <v>0</v>
      </c>
      <c r="M27" s="79">
        <f t="shared" si="10"/>
        <v>0</v>
      </c>
      <c r="N27" s="79">
        <f t="shared" si="11"/>
        <v>0</v>
      </c>
      <c r="O27" s="79">
        <f t="shared" si="12"/>
        <v>0</v>
      </c>
      <c r="P27" s="80">
        <f t="shared" si="13"/>
        <v>0</v>
      </c>
    </row>
    <row r="28" spans="1:16" x14ac:dyDescent="0.25">
      <c r="A28" s="131"/>
      <c r="B28" s="132"/>
      <c r="C28" s="136" t="s">
        <v>183</v>
      </c>
      <c r="D28" s="135" t="s">
        <v>89</v>
      </c>
      <c r="E28" s="135">
        <f>E27*35</f>
        <v>106.64500000000001</v>
      </c>
      <c r="F28" s="73"/>
      <c r="G28" s="74"/>
      <c r="H28" s="74">
        <f t="shared" si="7"/>
        <v>0</v>
      </c>
      <c r="I28" s="74"/>
      <c r="J28" s="74"/>
      <c r="K28" s="75">
        <f t="shared" si="8"/>
        <v>0</v>
      </c>
      <c r="L28" s="73">
        <f t="shared" si="9"/>
        <v>0</v>
      </c>
      <c r="M28" s="74">
        <f t="shared" si="10"/>
        <v>0</v>
      </c>
      <c r="N28" s="74">
        <f t="shared" si="11"/>
        <v>0</v>
      </c>
      <c r="O28" s="74">
        <f t="shared" si="12"/>
        <v>0</v>
      </c>
      <c r="P28" s="75">
        <f t="shared" si="13"/>
        <v>0</v>
      </c>
    </row>
    <row r="29" spans="1:16" ht="22.5" x14ac:dyDescent="0.25">
      <c r="A29" s="131">
        <f>IF(COUNTBLANK(B29)=1," ",COUNTA($B$13:B29))</f>
        <v>10</v>
      </c>
      <c r="B29" s="132" t="s">
        <v>84</v>
      </c>
      <c r="C29" s="32" t="s">
        <v>226</v>
      </c>
      <c r="D29" s="134" t="s">
        <v>55</v>
      </c>
      <c r="E29" s="134">
        <f>E25</f>
        <v>220.6</v>
      </c>
      <c r="F29" s="73"/>
      <c r="G29" s="74"/>
      <c r="H29" s="74">
        <f t="shared" si="7"/>
        <v>0</v>
      </c>
      <c r="I29" s="74"/>
      <c r="J29" s="74"/>
      <c r="K29" s="75">
        <f t="shared" si="8"/>
        <v>0</v>
      </c>
      <c r="L29" s="73">
        <f t="shared" si="9"/>
        <v>0</v>
      </c>
      <c r="M29" s="74">
        <f t="shared" si="10"/>
        <v>0</v>
      </c>
      <c r="N29" s="74">
        <f t="shared" si="11"/>
        <v>0</v>
      </c>
      <c r="O29" s="74">
        <f t="shared" si="12"/>
        <v>0</v>
      </c>
      <c r="P29" s="75">
        <f t="shared" si="13"/>
        <v>0</v>
      </c>
    </row>
    <row r="30" spans="1:16" x14ac:dyDescent="0.25">
      <c r="A30" s="131"/>
      <c r="B30" s="132"/>
      <c r="C30" s="136" t="s">
        <v>227</v>
      </c>
      <c r="D30" s="134" t="s">
        <v>55</v>
      </c>
      <c r="E30" s="135">
        <f>E29</f>
        <v>220.6</v>
      </c>
      <c r="F30" s="73"/>
      <c r="G30" s="74"/>
      <c r="H30" s="79">
        <f t="shared" si="7"/>
        <v>0</v>
      </c>
      <c r="I30" s="74"/>
      <c r="J30" s="74"/>
      <c r="K30" s="80">
        <f t="shared" si="8"/>
        <v>0</v>
      </c>
      <c r="L30" s="81">
        <f t="shared" si="9"/>
        <v>0</v>
      </c>
      <c r="M30" s="79">
        <f t="shared" si="10"/>
        <v>0</v>
      </c>
      <c r="N30" s="79">
        <f t="shared" si="11"/>
        <v>0</v>
      </c>
      <c r="O30" s="79">
        <f t="shared" si="12"/>
        <v>0</v>
      </c>
      <c r="P30" s="80">
        <f t="shared" si="13"/>
        <v>0</v>
      </c>
    </row>
    <row r="31" spans="1:16" x14ac:dyDescent="0.25">
      <c r="A31" s="131"/>
      <c r="B31" s="132"/>
      <c r="C31" s="137" t="s">
        <v>228</v>
      </c>
      <c r="D31" s="133" t="s">
        <v>91</v>
      </c>
      <c r="E31" s="135">
        <f>E29*6</f>
        <v>1323.6</v>
      </c>
      <c r="F31" s="73"/>
      <c r="G31" s="74"/>
      <c r="H31" s="74">
        <f t="shared" si="7"/>
        <v>0</v>
      </c>
      <c r="I31" s="74"/>
      <c r="J31" s="74"/>
      <c r="K31" s="75">
        <f t="shared" si="8"/>
        <v>0</v>
      </c>
      <c r="L31" s="73">
        <f t="shared" si="9"/>
        <v>0</v>
      </c>
      <c r="M31" s="74">
        <f t="shared" si="10"/>
        <v>0</v>
      </c>
      <c r="N31" s="74">
        <f t="shared" si="11"/>
        <v>0</v>
      </c>
      <c r="O31" s="74">
        <f t="shared" si="12"/>
        <v>0</v>
      </c>
      <c r="P31" s="75">
        <f t="shared" si="13"/>
        <v>0</v>
      </c>
    </row>
    <row r="32" spans="1:16" x14ac:dyDescent="0.25">
      <c r="A32" s="131"/>
      <c r="B32" s="132"/>
      <c r="C32" s="137" t="s">
        <v>229</v>
      </c>
      <c r="D32" s="133" t="s">
        <v>86</v>
      </c>
      <c r="E32" s="135">
        <f>E29*1</f>
        <v>220.6</v>
      </c>
      <c r="F32" s="73"/>
      <c r="G32" s="74"/>
      <c r="H32" s="79">
        <f t="shared" si="7"/>
        <v>0</v>
      </c>
      <c r="I32" s="74"/>
      <c r="J32" s="74"/>
      <c r="K32" s="80">
        <f t="shared" si="8"/>
        <v>0</v>
      </c>
      <c r="L32" s="81">
        <f t="shared" si="9"/>
        <v>0</v>
      </c>
      <c r="M32" s="79">
        <f t="shared" si="10"/>
        <v>0</v>
      </c>
      <c r="N32" s="79">
        <f t="shared" si="11"/>
        <v>0</v>
      </c>
      <c r="O32" s="79">
        <f t="shared" si="12"/>
        <v>0</v>
      </c>
      <c r="P32" s="80">
        <f t="shared" si="13"/>
        <v>0</v>
      </c>
    </row>
    <row r="33" spans="1:16" ht="22.5" x14ac:dyDescent="0.25">
      <c r="A33" s="131">
        <f>IF(COUNTBLANK(B33)=1," ",COUNTA($B$13:B33))</f>
        <v>11</v>
      </c>
      <c r="B33" s="132" t="s">
        <v>84</v>
      </c>
      <c r="C33" s="32" t="s">
        <v>253</v>
      </c>
      <c r="D33" s="134" t="s">
        <v>86</v>
      </c>
      <c r="E33" s="134">
        <v>39.4</v>
      </c>
      <c r="F33" s="73"/>
      <c r="G33" s="74"/>
      <c r="H33" s="74">
        <f t="shared" si="7"/>
        <v>0</v>
      </c>
      <c r="I33" s="74"/>
      <c r="J33" s="74"/>
      <c r="K33" s="75">
        <f t="shared" si="8"/>
        <v>0</v>
      </c>
      <c r="L33" s="73">
        <f t="shared" si="9"/>
        <v>0</v>
      </c>
      <c r="M33" s="74">
        <f t="shared" si="10"/>
        <v>0</v>
      </c>
      <c r="N33" s="74">
        <f t="shared" si="11"/>
        <v>0</v>
      </c>
      <c r="O33" s="74">
        <f t="shared" si="12"/>
        <v>0</v>
      </c>
      <c r="P33" s="75">
        <f t="shared" si="13"/>
        <v>0</v>
      </c>
    </row>
    <row r="34" spans="1:16" x14ac:dyDescent="0.25">
      <c r="A34" s="131"/>
      <c r="B34" s="132"/>
      <c r="C34" s="136" t="s">
        <v>94</v>
      </c>
      <c r="D34" s="135" t="s">
        <v>93</v>
      </c>
      <c r="E34" s="99">
        <v>2</v>
      </c>
      <c r="F34" s="73"/>
      <c r="G34" s="74"/>
      <c r="H34" s="74">
        <f t="shared" si="7"/>
        <v>0</v>
      </c>
      <c r="I34" s="74"/>
      <c r="J34" s="74"/>
      <c r="K34" s="75">
        <f t="shared" si="8"/>
        <v>0</v>
      </c>
      <c r="L34" s="73">
        <f t="shared" si="9"/>
        <v>0</v>
      </c>
      <c r="M34" s="74">
        <f t="shared" si="10"/>
        <v>0</v>
      </c>
      <c r="N34" s="74">
        <f t="shared" si="11"/>
        <v>0</v>
      </c>
      <c r="O34" s="74">
        <f t="shared" si="12"/>
        <v>0</v>
      </c>
      <c r="P34" s="75">
        <f t="shared" si="13"/>
        <v>0</v>
      </c>
    </row>
    <row r="35" spans="1:16" x14ac:dyDescent="0.25">
      <c r="A35" s="131"/>
      <c r="B35" s="132"/>
      <c r="C35" s="136" t="s">
        <v>230</v>
      </c>
      <c r="D35" s="133" t="s">
        <v>231</v>
      </c>
      <c r="E35" s="135">
        <f>E33*0.4*1.05</f>
        <v>16.548000000000002</v>
      </c>
      <c r="F35" s="73"/>
      <c r="G35" s="74"/>
      <c r="H35" s="79">
        <f t="shared" si="7"/>
        <v>0</v>
      </c>
      <c r="I35" s="74"/>
      <c r="J35" s="74"/>
      <c r="K35" s="80">
        <f t="shared" si="8"/>
        <v>0</v>
      </c>
      <c r="L35" s="81">
        <f t="shared" si="9"/>
        <v>0</v>
      </c>
      <c r="M35" s="79">
        <f t="shared" si="10"/>
        <v>0</v>
      </c>
      <c r="N35" s="79">
        <f t="shared" si="11"/>
        <v>0</v>
      </c>
      <c r="O35" s="79">
        <f t="shared" si="12"/>
        <v>0</v>
      </c>
      <c r="P35" s="80">
        <f t="shared" si="13"/>
        <v>0</v>
      </c>
    </row>
    <row r="36" spans="1:16" ht="22.5" x14ac:dyDescent="0.25">
      <c r="A36" s="131">
        <f>IF(COUNTBLANK(B36)=1," ",COUNTA($B$13:B36))</f>
        <v>12</v>
      </c>
      <c r="B36" s="132" t="s">
        <v>84</v>
      </c>
      <c r="C36" s="32" t="s">
        <v>232</v>
      </c>
      <c r="D36" s="134" t="s">
        <v>86</v>
      </c>
      <c r="E36" s="134">
        <v>19.7</v>
      </c>
      <c r="F36" s="73"/>
      <c r="G36" s="74"/>
      <c r="H36" s="74">
        <f t="shared" si="7"/>
        <v>0</v>
      </c>
      <c r="I36" s="74"/>
      <c r="J36" s="74"/>
      <c r="K36" s="75">
        <f t="shared" si="8"/>
        <v>0</v>
      </c>
      <c r="L36" s="73">
        <f t="shared" si="9"/>
        <v>0</v>
      </c>
      <c r="M36" s="74">
        <f t="shared" si="10"/>
        <v>0</v>
      </c>
      <c r="N36" s="74">
        <f t="shared" si="11"/>
        <v>0</v>
      </c>
      <c r="O36" s="74">
        <f t="shared" si="12"/>
        <v>0</v>
      </c>
      <c r="P36" s="75">
        <f t="shared" si="13"/>
        <v>0</v>
      </c>
    </row>
    <row r="37" spans="1:16" ht="45" x14ac:dyDescent="0.25">
      <c r="A37" s="131">
        <f>IF(COUNTBLANK(B37)=1," ",COUNTA($B$13:B37))</f>
        <v>13</v>
      </c>
      <c r="B37" s="132" t="s">
        <v>84</v>
      </c>
      <c r="C37" s="32" t="s">
        <v>233</v>
      </c>
      <c r="D37" s="134" t="s">
        <v>82</v>
      </c>
      <c r="E37" s="135">
        <v>0.252</v>
      </c>
      <c r="F37" s="73"/>
      <c r="G37" s="74"/>
      <c r="H37" s="79">
        <f t="shared" si="7"/>
        <v>0</v>
      </c>
      <c r="I37" s="74"/>
      <c r="J37" s="74"/>
      <c r="K37" s="80">
        <f t="shared" si="8"/>
        <v>0</v>
      </c>
      <c r="L37" s="81">
        <f t="shared" si="9"/>
        <v>0</v>
      </c>
      <c r="M37" s="79">
        <f t="shared" si="10"/>
        <v>0</v>
      </c>
      <c r="N37" s="79">
        <f t="shared" si="11"/>
        <v>0</v>
      </c>
      <c r="O37" s="79">
        <f t="shared" si="12"/>
        <v>0</v>
      </c>
      <c r="P37" s="80">
        <f t="shared" si="13"/>
        <v>0</v>
      </c>
    </row>
    <row r="38" spans="1:16" x14ac:dyDescent="0.25">
      <c r="A38" s="131"/>
      <c r="B38" s="132"/>
      <c r="C38" s="136" t="s">
        <v>182</v>
      </c>
      <c r="D38" s="134" t="s">
        <v>82</v>
      </c>
      <c r="E38" s="135">
        <f>E37*1.1</f>
        <v>0.2772</v>
      </c>
      <c r="F38" s="73"/>
      <c r="G38" s="74"/>
      <c r="H38" s="74">
        <f t="shared" si="7"/>
        <v>0</v>
      </c>
      <c r="I38" s="74"/>
      <c r="J38" s="74"/>
      <c r="K38" s="75">
        <f t="shared" si="8"/>
        <v>0</v>
      </c>
      <c r="L38" s="73">
        <f t="shared" si="9"/>
        <v>0</v>
      </c>
      <c r="M38" s="74">
        <f t="shared" si="10"/>
        <v>0</v>
      </c>
      <c r="N38" s="74">
        <f t="shared" si="11"/>
        <v>0</v>
      </c>
      <c r="O38" s="74">
        <f t="shared" si="12"/>
        <v>0</v>
      </c>
      <c r="P38" s="75">
        <f t="shared" si="13"/>
        <v>0</v>
      </c>
    </row>
    <row r="39" spans="1:16" x14ac:dyDescent="0.25">
      <c r="A39" s="131"/>
      <c r="B39" s="132"/>
      <c r="C39" s="136" t="s">
        <v>183</v>
      </c>
      <c r="D39" s="135" t="s">
        <v>89</v>
      </c>
      <c r="E39" s="135">
        <f>E38*35</f>
        <v>9.702</v>
      </c>
      <c r="F39" s="73"/>
      <c r="G39" s="74"/>
      <c r="H39" s="74">
        <f t="shared" si="7"/>
        <v>0</v>
      </c>
      <c r="I39" s="74"/>
      <c r="J39" s="74"/>
      <c r="K39" s="75">
        <f t="shared" si="8"/>
        <v>0</v>
      </c>
      <c r="L39" s="73">
        <f t="shared" si="9"/>
        <v>0</v>
      </c>
      <c r="M39" s="74">
        <f t="shared" si="10"/>
        <v>0</v>
      </c>
      <c r="N39" s="74">
        <f t="shared" si="11"/>
        <v>0</v>
      </c>
      <c r="O39" s="74">
        <f t="shared" si="12"/>
        <v>0</v>
      </c>
      <c r="P39" s="75">
        <f t="shared" si="13"/>
        <v>0</v>
      </c>
    </row>
    <row r="40" spans="1:16" ht="33.75" x14ac:dyDescent="0.25">
      <c r="A40" s="131">
        <f>IF(COUNTBLANK(B40)=1," ",COUNTA($B$13:B40))</f>
        <v>14</v>
      </c>
      <c r="B40" s="132" t="s">
        <v>84</v>
      </c>
      <c r="C40" s="32" t="s">
        <v>234</v>
      </c>
      <c r="D40" s="134" t="s">
        <v>82</v>
      </c>
      <c r="E40" s="135">
        <v>7.9000000000000001E-2</v>
      </c>
      <c r="F40" s="73"/>
      <c r="G40" s="74"/>
      <c r="H40" s="79">
        <f t="shared" si="7"/>
        <v>0</v>
      </c>
      <c r="I40" s="74"/>
      <c r="J40" s="74"/>
      <c r="K40" s="80">
        <f t="shared" si="8"/>
        <v>0</v>
      </c>
      <c r="L40" s="81">
        <f t="shared" si="9"/>
        <v>0</v>
      </c>
      <c r="M40" s="79">
        <f t="shared" si="10"/>
        <v>0</v>
      </c>
      <c r="N40" s="79">
        <f t="shared" si="11"/>
        <v>0</v>
      </c>
      <c r="O40" s="79">
        <f t="shared" si="12"/>
        <v>0</v>
      </c>
      <c r="P40" s="80">
        <f t="shared" si="13"/>
        <v>0</v>
      </c>
    </row>
    <row r="41" spans="1:16" s="51" customFormat="1" ht="11.25" x14ac:dyDescent="0.2">
      <c r="A41" s="131"/>
      <c r="B41" s="132"/>
      <c r="C41" s="136" t="s">
        <v>182</v>
      </c>
      <c r="D41" s="134" t="s">
        <v>82</v>
      </c>
      <c r="E41" s="135">
        <f>E40*1.1</f>
        <v>8.6900000000000005E-2</v>
      </c>
      <c r="F41" s="73"/>
      <c r="G41" s="74"/>
      <c r="H41" s="74">
        <f t="shared" si="7"/>
        <v>0</v>
      </c>
      <c r="I41" s="74"/>
      <c r="J41" s="74"/>
      <c r="K41" s="75">
        <f t="shared" si="8"/>
        <v>0</v>
      </c>
      <c r="L41" s="73">
        <f t="shared" si="9"/>
        <v>0</v>
      </c>
      <c r="M41" s="74">
        <f t="shared" si="10"/>
        <v>0</v>
      </c>
      <c r="N41" s="74">
        <f t="shared" si="11"/>
        <v>0</v>
      </c>
      <c r="O41" s="74">
        <f t="shared" si="12"/>
        <v>0</v>
      </c>
      <c r="P41" s="75">
        <f t="shared" si="13"/>
        <v>0</v>
      </c>
    </row>
    <row r="42" spans="1:16" s="51" customFormat="1" ht="11.25" x14ac:dyDescent="0.2">
      <c r="A42" s="131"/>
      <c r="B42" s="132"/>
      <c r="C42" s="136" t="s">
        <v>183</v>
      </c>
      <c r="D42" s="135" t="s">
        <v>89</v>
      </c>
      <c r="E42" s="135">
        <f>E41*35</f>
        <v>3.0415000000000001</v>
      </c>
      <c r="F42" s="73"/>
      <c r="G42" s="74"/>
      <c r="H42" s="79">
        <f t="shared" si="7"/>
        <v>0</v>
      </c>
      <c r="I42" s="74"/>
      <c r="J42" s="74"/>
      <c r="K42" s="80">
        <f t="shared" si="8"/>
        <v>0</v>
      </c>
      <c r="L42" s="81">
        <f t="shared" si="9"/>
        <v>0</v>
      </c>
      <c r="M42" s="79">
        <f t="shared" si="10"/>
        <v>0</v>
      </c>
      <c r="N42" s="79">
        <f t="shared" si="11"/>
        <v>0</v>
      </c>
      <c r="O42" s="79">
        <f t="shared" si="12"/>
        <v>0</v>
      </c>
      <c r="P42" s="80">
        <f t="shared" si="13"/>
        <v>0</v>
      </c>
    </row>
    <row r="43" spans="1:16" s="51" customFormat="1" ht="22.5" x14ac:dyDescent="0.2">
      <c r="A43" s="131">
        <f>IF(COUNTBLANK(B43)=1," ",COUNTA($B$13:B43))</f>
        <v>15</v>
      </c>
      <c r="B43" s="132" t="s">
        <v>84</v>
      </c>
      <c r="C43" s="32" t="s">
        <v>235</v>
      </c>
      <c r="D43" s="134" t="s">
        <v>86</v>
      </c>
      <c r="E43" s="134">
        <v>15.2</v>
      </c>
      <c r="F43" s="73"/>
      <c r="G43" s="74"/>
      <c r="H43" s="74">
        <f t="shared" si="7"/>
        <v>0</v>
      </c>
      <c r="I43" s="74"/>
      <c r="J43" s="74"/>
      <c r="K43" s="75">
        <f t="shared" si="8"/>
        <v>0</v>
      </c>
      <c r="L43" s="73">
        <f t="shared" si="9"/>
        <v>0</v>
      </c>
      <c r="M43" s="74">
        <f t="shared" si="10"/>
        <v>0</v>
      </c>
      <c r="N43" s="74">
        <f t="shared" si="11"/>
        <v>0</v>
      </c>
      <c r="O43" s="74">
        <f t="shared" si="12"/>
        <v>0</v>
      </c>
      <c r="P43" s="75">
        <f t="shared" si="13"/>
        <v>0</v>
      </c>
    </row>
    <row r="44" spans="1:16" s="51" customFormat="1" ht="11.25" x14ac:dyDescent="0.2">
      <c r="A44" s="131">
        <f>IF(COUNTBLANK(B44)=1," ",COUNTA($B$13:B44))</f>
        <v>16</v>
      </c>
      <c r="B44" s="132" t="s">
        <v>84</v>
      </c>
      <c r="C44" s="32" t="s">
        <v>236</v>
      </c>
      <c r="D44" s="134" t="s">
        <v>86</v>
      </c>
      <c r="E44" s="134">
        <v>39.4</v>
      </c>
      <c r="F44" s="73"/>
      <c r="G44" s="74"/>
      <c r="H44" s="74">
        <f t="shared" si="7"/>
        <v>0</v>
      </c>
      <c r="I44" s="74"/>
      <c r="J44" s="74"/>
      <c r="K44" s="75">
        <f t="shared" si="8"/>
        <v>0</v>
      </c>
      <c r="L44" s="73">
        <f t="shared" si="9"/>
        <v>0</v>
      </c>
      <c r="M44" s="74">
        <f t="shared" si="10"/>
        <v>0</v>
      </c>
      <c r="N44" s="74">
        <f t="shared" si="11"/>
        <v>0</v>
      </c>
      <c r="O44" s="74">
        <f t="shared" si="12"/>
        <v>0</v>
      </c>
      <c r="P44" s="75">
        <f t="shared" si="13"/>
        <v>0</v>
      </c>
    </row>
    <row r="45" spans="1:16" s="51" customFormat="1" ht="11.25" x14ac:dyDescent="0.2">
      <c r="A45" s="131">
        <f>IF(COUNTBLANK(B45)=1," ",COUNTA($B$13:B45))</f>
        <v>17</v>
      </c>
      <c r="B45" s="132" t="s">
        <v>84</v>
      </c>
      <c r="C45" s="32" t="s">
        <v>237</v>
      </c>
      <c r="D45" s="134" t="s">
        <v>184</v>
      </c>
      <c r="E45" s="134">
        <v>1</v>
      </c>
      <c r="F45" s="73"/>
      <c r="G45" s="74"/>
      <c r="H45" s="79">
        <f t="shared" si="7"/>
        <v>0</v>
      </c>
      <c r="I45" s="74"/>
      <c r="J45" s="74"/>
      <c r="K45" s="80">
        <f t="shared" si="8"/>
        <v>0</v>
      </c>
      <c r="L45" s="81">
        <f t="shared" si="9"/>
        <v>0</v>
      </c>
      <c r="M45" s="79">
        <f t="shared" si="10"/>
        <v>0</v>
      </c>
      <c r="N45" s="79">
        <f t="shared" si="11"/>
        <v>0</v>
      </c>
      <c r="O45" s="79">
        <f t="shared" si="12"/>
        <v>0</v>
      </c>
      <c r="P45" s="80">
        <f t="shared" si="13"/>
        <v>0</v>
      </c>
    </row>
    <row r="46" spans="1:16" s="51" customFormat="1" ht="22.5" x14ac:dyDescent="0.2">
      <c r="A46" s="131">
        <f>IF(COUNTBLANK(B46)=1," ",COUNTA($B$13:B46))</f>
        <v>18</v>
      </c>
      <c r="B46" s="132" t="s">
        <v>84</v>
      </c>
      <c r="C46" s="137" t="s">
        <v>238</v>
      </c>
      <c r="D46" s="133" t="s">
        <v>82</v>
      </c>
      <c r="E46" s="138">
        <f>0.42*0.5*4</f>
        <v>0.84</v>
      </c>
      <c r="F46" s="73"/>
      <c r="G46" s="74"/>
      <c r="H46" s="74">
        <f t="shared" si="7"/>
        <v>0</v>
      </c>
      <c r="I46" s="74"/>
      <c r="J46" s="74"/>
      <c r="K46" s="75">
        <f t="shared" si="8"/>
        <v>0</v>
      </c>
      <c r="L46" s="73">
        <f t="shared" si="9"/>
        <v>0</v>
      </c>
      <c r="M46" s="74">
        <f t="shared" si="10"/>
        <v>0</v>
      </c>
      <c r="N46" s="74">
        <f t="shared" si="11"/>
        <v>0</v>
      </c>
      <c r="O46" s="74">
        <f t="shared" si="12"/>
        <v>0</v>
      </c>
      <c r="P46" s="75">
        <f t="shared" si="13"/>
        <v>0</v>
      </c>
    </row>
    <row r="47" spans="1:16" s="51" customFormat="1" ht="11.25" x14ac:dyDescent="0.2">
      <c r="A47" s="131"/>
      <c r="B47" s="132"/>
      <c r="C47" s="137" t="s">
        <v>239</v>
      </c>
      <c r="D47" s="133" t="s">
        <v>82</v>
      </c>
      <c r="E47" s="135">
        <f>E46*0.25</f>
        <v>0.21</v>
      </c>
      <c r="F47" s="73"/>
      <c r="G47" s="74"/>
      <c r="H47" s="79">
        <f t="shared" si="7"/>
        <v>0</v>
      </c>
      <c r="I47" s="74"/>
      <c r="J47" s="74"/>
      <c r="K47" s="80">
        <f t="shared" si="8"/>
        <v>0</v>
      </c>
      <c r="L47" s="81">
        <f t="shared" si="9"/>
        <v>0</v>
      </c>
      <c r="M47" s="79">
        <f t="shared" si="10"/>
        <v>0</v>
      </c>
      <c r="N47" s="79">
        <f t="shared" si="11"/>
        <v>0</v>
      </c>
      <c r="O47" s="79">
        <f t="shared" si="12"/>
        <v>0</v>
      </c>
      <c r="P47" s="80">
        <f t="shared" si="13"/>
        <v>0</v>
      </c>
    </row>
    <row r="48" spans="1:16" s="51" customFormat="1" ht="11.25" x14ac:dyDescent="0.2">
      <c r="A48" s="131"/>
      <c r="B48" s="132"/>
      <c r="C48" s="137" t="s">
        <v>94</v>
      </c>
      <c r="D48" s="133" t="s">
        <v>93</v>
      </c>
      <c r="E48" s="135">
        <v>1</v>
      </c>
      <c r="F48" s="73"/>
      <c r="G48" s="74"/>
      <c r="H48" s="74">
        <f t="shared" si="7"/>
        <v>0</v>
      </c>
      <c r="I48" s="74"/>
      <c r="J48" s="74"/>
      <c r="K48" s="75">
        <f t="shared" si="8"/>
        <v>0</v>
      </c>
      <c r="L48" s="73">
        <f t="shared" si="9"/>
        <v>0</v>
      </c>
      <c r="M48" s="74">
        <f t="shared" si="10"/>
        <v>0</v>
      </c>
      <c r="N48" s="74">
        <f t="shared" si="11"/>
        <v>0</v>
      </c>
      <c r="O48" s="74">
        <f t="shared" si="12"/>
        <v>0</v>
      </c>
      <c r="P48" s="75">
        <f t="shared" si="13"/>
        <v>0</v>
      </c>
    </row>
    <row r="49" spans="1:16" s="51" customFormat="1" ht="11.25" x14ac:dyDescent="0.2">
      <c r="A49" s="131"/>
      <c r="B49" s="132"/>
      <c r="C49" s="137" t="s">
        <v>240</v>
      </c>
      <c r="D49" s="133" t="s">
        <v>91</v>
      </c>
      <c r="E49" s="135">
        <f>ROUNDUP(E46/0.03,0)</f>
        <v>28</v>
      </c>
      <c r="F49" s="73"/>
      <c r="G49" s="74"/>
      <c r="H49" s="74">
        <f t="shared" si="7"/>
        <v>0</v>
      </c>
      <c r="I49" s="74"/>
      <c r="J49" s="74"/>
      <c r="K49" s="75">
        <f t="shared" si="8"/>
        <v>0</v>
      </c>
      <c r="L49" s="73">
        <f t="shared" si="9"/>
        <v>0</v>
      </c>
      <c r="M49" s="74">
        <f t="shared" si="10"/>
        <v>0</v>
      </c>
      <c r="N49" s="74">
        <f t="shared" si="11"/>
        <v>0</v>
      </c>
      <c r="O49" s="74">
        <f t="shared" si="12"/>
        <v>0</v>
      </c>
      <c r="P49" s="75">
        <f t="shared" si="13"/>
        <v>0</v>
      </c>
    </row>
    <row r="50" spans="1:16" s="51" customFormat="1" ht="22.5" x14ac:dyDescent="0.2">
      <c r="A50" s="131">
        <f>IF(COUNTBLANK(B50)=1," ",COUNTA($B$13:B50))</f>
        <v>19</v>
      </c>
      <c r="B50" s="132" t="s">
        <v>84</v>
      </c>
      <c r="C50" s="137" t="s">
        <v>259</v>
      </c>
      <c r="D50" s="133" t="s">
        <v>143</v>
      </c>
      <c r="E50" s="138">
        <v>5</v>
      </c>
      <c r="F50" s="73"/>
      <c r="G50" s="74"/>
      <c r="H50" s="79">
        <f t="shared" si="7"/>
        <v>0</v>
      </c>
      <c r="I50" s="74"/>
      <c r="J50" s="74"/>
      <c r="K50" s="80">
        <f t="shared" si="8"/>
        <v>0</v>
      </c>
      <c r="L50" s="81">
        <f t="shared" si="9"/>
        <v>0</v>
      </c>
      <c r="M50" s="79">
        <f t="shared" si="10"/>
        <v>0</v>
      </c>
      <c r="N50" s="79">
        <f t="shared" si="11"/>
        <v>0</v>
      </c>
      <c r="O50" s="79">
        <f t="shared" si="12"/>
        <v>0</v>
      </c>
      <c r="P50" s="80">
        <f t="shared" si="13"/>
        <v>0</v>
      </c>
    </row>
    <row r="51" spans="1:16" s="51" customFormat="1" ht="22.5" x14ac:dyDescent="0.2">
      <c r="A51" s="98">
        <f>IF(COUNTBLANK(B51)=1," ",COUNTA(B$14:B51))</f>
        <v>20</v>
      </c>
      <c r="B51" s="139" t="s">
        <v>84</v>
      </c>
      <c r="C51" s="137" t="s">
        <v>241</v>
      </c>
      <c r="D51" s="140" t="s">
        <v>55</v>
      </c>
      <c r="E51" s="138">
        <v>32</v>
      </c>
      <c r="F51" s="73"/>
      <c r="G51" s="74"/>
      <c r="H51" s="74">
        <f t="shared" si="7"/>
        <v>0</v>
      </c>
      <c r="I51" s="74"/>
      <c r="J51" s="74"/>
      <c r="K51" s="75">
        <f t="shared" si="8"/>
        <v>0</v>
      </c>
      <c r="L51" s="73">
        <f t="shared" si="9"/>
        <v>0</v>
      </c>
      <c r="M51" s="74">
        <f t="shared" si="10"/>
        <v>0</v>
      </c>
      <c r="N51" s="74">
        <f t="shared" si="11"/>
        <v>0</v>
      </c>
      <c r="O51" s="74">
        <f t="shared" si="12"/>
        <v>0</v>
      </c>
      <c r="P51" s="75">
        <f t="shared" si="13"/>
        <v>0</v>
      </c>
    </row>
    <row r="52" spans="1:16" s="51" customFormat="1" ht="11.25" x14ac:dyDescent="0.2">
      <c r="A52" s="98" t="str">
        <f>IF(COUNTBLANK(B52)=1," ",COUNTA(B$14:B52))</f>
        <v xml:space="preserve"> </v>
      </c>
      <c r="B52" s="139"/>
      <c r="C52" s="141" t="s">
        <v>306</v>
      </c>
      <c r="D52" s="142" t="s">
        <v>242</v>
      </c>
      <c r="E52" s="99">
        <f>E51*0.33</f>
        <v>10.56</v>
      </c>
      <c r="F52" s="73"/>
      <c r="G52" s="74"/>
      <c r="H52" s="79">
        <f t="shared" si="7"/>
        <v>0</v>
      </c>
      <c r="I52" s="74"/>
      <c r="J52" s="74"/>
      <c r="K52" s="80">
        <f t="shared" si="8"/>
        <v>0</v>
      </c>
      <c r="L52" s="81">
        <f t="shared" si="9"/>
        <v>0</v>
      </c>
      <c r="M52" s="79">
        <f t="shared" si="10"/>
        <v>0</v>
      </c>
      <c r="N52" s="79">
        <f t="shared" si="11"/>
        <v>0</v>
      </c>
      <c r="O52" s="79">
        <f t="shared" si="12"/>
        <v>0</v>
      </c>
      <c r="P52" s="80">
        <f t="shared" si="13"/>
        <v>0</v>
      </c>
    </row>
    <row r="53" spans="1:16" s="51" customFormat="1" ht="11.25" x14ac:dyDescent="0.2">
      <c r="A53" s="98" t="str">
        <f>IF(COUNTBLANK(B53)=1," ",COUNTA(B$14:B53))</f>
        <v xml:space="preserve"> </v>
      </c>
      <c r="B53" s="139"/>
      <c r="C53" s="141" t="s">
        <v>201</v>
      </c>
      <c r="D53" s="142" t="s">
        <v>89</v>
      </c>
      <c r="E53" s="99">
        <f>ROUNDUP(E51*1.5,2)</f>
        <v>48</v>
      </c>
      <c r="F53" s="73"/>
      <c r="G53" s="74"/>
      <c r="H53" s="74">
        <f t="shared" si="7"/>
        <v>0</v>
      </c>
      <c r="I53" s="74"/>
      <c r="J53" s="74"/>
      <c r="K53" s="75">
        <f t="shared" si="8"/>
        <v>0</v>
      </c>
      <c r="L53" s="73">
        <f t="shared" si="9"/>
        <v>0</v>
      </c>
      <c r="M53" s="74">
        <f t="shared" si="10"/>
        <v>0</v>
      </c>
      <c r="N53" s="74">
        <f t="shared" si="11"/>
        <v>0</v>
      </c>
      <c r="O53" s="74">
        <f t="shared" si="12"/>
        <v>0</v>
      </c>
      <c r="P53" s="75">
        <f t="shared" si="13"/>
        <v>0</v>
      </c>
    </row>
    <row r="54" spans="1:16" s="51" customFormat="1" ht="11.25" x14ac:dyDescent="0.2">
      <c r="A54" s="98" t="str">
        <f>IF(COUNTBLANK(B54)=1," ",COUNTA(B$14:B54))</f>
        <v xml:space="preserve"> </v>
      </c>
      <c r="B54" s="139"/>
      <c r="C54" s="141" t="s">
        <v>88</v>
      </c>
      <c r="D54" s="143" t="s">
        <v>55</v>
      </c>
      <c r="E54" s="99">
        <f>ROUNDUP(E51*0.4,2)</f>
        <v>12.8</v>
      </c>
      <c r="F54" s="73"/>
      <c r="G54" s="74"/>
      <c r="H54" s="74">
        <f t="shared" si="7"/>
        <v>0</v>
      </c>
      <c r="I54" s="74"/>
      <c r="J54" s="74"/>
      <c r="K54" s="75">
        <f t="shared" si="8"/>
        <v>0</v>
      </c>
      <c r="L54" s="73">
        <f t="shared" si="9"/>
        <v>0</v>
      </c>
      <c r="M54" s="74">
        <f t="shared" si="10"/>
        <v>0</v>
      </c>
      <c r="N54" s="74">
        <f t="shared" si="11"/>
        <v>0</v>
      </c>
      <c r="O54" s="74">
        <f t="shared" si="12"/>
        <v>0</v>
      </c>
      <c r="P54" s="75">
        <f t="shared" si="13"/>
        <v>0</v>
      </c>
    </row>
    <row r="55" spans="1:16" s="51" customFormat="1" ht="11.25" x14ac:dyDescent="0.2">
      <c r="A55" s="98" t="str">
        <f>IF(COUNTBLANK(B55)=1," ",COUNTA(B$14:B55))</f>
        <v xml:space="preserve"> </v>
      </c>
      <c r="B55" s="139"/>
      <c r="C55" s="141" t="s">
        <v>201</v>
      </c>
      <c r="D55" s="142" t="s">
        <v>89</v>
      </c>
      <c r="E55" s="99">
        <f>ROUNDUP(E51*0.3,2)</f>
        <v>9.6</v>
      </c>
      <c r="F55" s="73"/>
      <c r="G55" s="74"/>
      <c r="H55" s="79">
        <f t="shared" si="7"/>
        <v>0</v>
      </c>
      <c r="I55" s="74"/>
      <c r="J55" s="74"/>
      <c r="K55" s="80">
        <f t="shared" si="8"/>
        <v>0</v>
      </c>
      <c r="L55" s="81">
        <f t="shared" si="9"/>
        <v>0</v>
      </c>
      <c r="M55" s="79">
        <f t="shared" si="10"/>
        <v>0</v>
      </c>
      <c r="N55" s="79">
        <f t="shared" si="11"/>
        <v>0</v>
      </c>
      <c r="O55" s="79">
        <f t="shared" si="12"/>
        <v>0</v>
      </c>
      <c r="P55" s="80">
        <f t="shared" si="13"/>
        <v>0</v>
      </c>
    </row>
    <row r="56" spans="1:16" s="51" customFormat="1" ht="11.25" x14ac:dyDescent="0.2">
      <c r="A56" s="98" t="str">
        <f>IF(COUNTBLANK(B56)=1," ",COUNTA(B$14:B56))</f>
        <v xml:space="preserve"> </v>
      </c>
      <c r="B56" s="139"/>
      <c r="C56" s="141" t="s">
        <v>95</v>
      </c>
      <c r="D56" s="142" t="s">
        <v>89</v>
      </c>
      <c r="E56" s="99">
        <f>ROUNDUP(E51*0.02,2)</f>
        <v>0.64</v>
      </c>
      <c r="F56" s="73"/>
      <c r="G56" s="74"/>
      <c r="H56" s="74">
        <f t="shared" si="7"/>
        <v>0</v>
      </c>
      <c r="I56" s="74"/>
      <c r="J56" s="74"/>
      <c r="K56" s="75">
        <f t="shared" si="8"/>
        <v>0</v>
      </c>
      <c r="L56" s="73">
        <f t="shared" si="9"/>
        <v>0</v>
      </c>
      <c r="M56" s="74">
        <f t="shared" si="10"/>
        <v>0</v>
      </c>
      <c r="N56" s="74">
        <f t="shared" si="11"/>
        <v>0</v>
      </c>
      <c r="O56" s="74">
        <f t="shared" si="12"/>
        <v>0</v>
      </c>
      <c r="P56" s="75">
        <f t="shared" si="13"/>
        <v>0</v>
      </c>
    </row>
    <row r="57" spans="1:16" s="51" customFormat="1" ht="11.25" x14ac:dyDescent="0.2">
      <c r="A57" s="98" t="str">
        <f>IF(COUNTBLANK(B57)=1," ",COUNTA(B$14:B57))</f>
        <v xml:space="preserve"> </v>
      </c>
      <c r="B57" s="139"/>
      <c r="C57" s="141" t="s">
        <v>141</v>
      </c>
      <c r="D57" s="142" t="s">
        <v>89</v>
      </c>
      <c r="E57" s="99">
        <f>ROUNDUP(E51*0.3,2)</f>
        <v>9.6</v>
      </c>
      <c r="F57" s="73"/>
      <c r="G57" s="74"/>
      <c r="H57" s="79">
        <f t="shared" si="7"/>
        <v>0</v>
      </c>
      <c r="I57" s="74"/>
      <c r="J57" s="74"/>
      <c r="K57" s="80">
        <f t="shared" si="8"/>
        <v>0</v>
      </c>
      <c r="L57" s="81">
        <f t="shared" si="9"/>
        <v>0</v>
      </c>
      <c r="M57" s="79">
        <f t="shared" si="10"/>
        <v>0</v>
      </c>
      <c r="N57" s="79">
        <f t="shared" si="11"/>
        <v>0</v>
      </c>
      <c r="O57" s="79">
        <f t="shared" si="12"/>
        <v>0</v>
      </c>
      <c r="P57" s="80">
        <f t="shared" si="13"/>
        <v>0</v>
      </c>
    </row>
    <row r="58" spans="1:16" s="51" customFormat="1" ht="11.25" x14ac:dyDescent="0.2">
      <c r="A58" s="98" t="str">
        <f>IF(COUNTBLANK(B58)=1," ",COUNTA(B$14:B58))</f>
        <v xml:space="preserve"> </v>
      </c>
      <c r="B58" s="139"/>
      <c r="C58" s="141" t="s">
        <v>94</v>
      </c>
      <c r="D58" s="142" t="s">
        <v>184</v>
      </c>
      <c r="E58" s="99">
        <f>ROUNDUP(E51*1,0)</f>
        <v>32</v>
      </c>
      <c r="F58" s="73"/>
      <c r="G58" s="74"/>
      <c r="H58" s="74">
        <f t="shared" si="7"/>
        <v>0</v>
      </c>
      <c r="I58" s="74"/>
      <c r="J58" s="74"/>
      <c r="K58" s="75">
        <f t="shared" si="8"/>
        <v>0</v>
      </c>
      <c r="L58" s="73">
        <f t="shared" si="9"/>
        <v>0</v>
      </c>
      <c r="M58" s="74">
        <f t="shared" si="10"/>
        <v>0</v>
      </c>
      <c r="N58" s="74">
        <f t="shared" si="11"/>
        <v>0</v>
      </c>
      <c r="O58" s="74">
        <f t="shared" si="12"/>
        <v>0</v>
      </c>
      <c r="P58" s="75">
        <f t="shared" si="13"/>
        <v>0</v>
      </c>
    </row>
    <row r="59" spans="1:16" s="51" customFormat="1" ht="22.5" x14ac:dyDescent="0.2">
      <c r="A59" s="131">
        <f>IF(COUNTBLANK(B59)=1," ",COUNTA($B$13:B59))</f>
        <v>21</v>
      </c>
      <c r="B59" s="132" t="s">
        <v>84</v>
      </c>
      <c r="C59" s="137" t="s">
        <v>243</v>
      </c>
      <c r="D59" s="140" t="s">
        <v>55</v>
      </c>
      <c r="E59" s="138">
        <f>1.5*4</f>
        <v>6</v>
      </c>
      <c r="F59" s="73"/>
      <c r="G59" s="74"/>
      <c r="H59" s="74">
        <f t="shared" si="7"/>
        <v>0</v>
      </c>
      <c r="I59" s="74"/>
      <c r="J59" s="74"/>
      <c r="K59" s="75">
        <f t="shared" si="8"/>
        <v>0</v>
      </c>
      <c r="L59" s="73">
        <f t="shared" si="9"/>
        <v>0</v>
      </c>
      <c r="M59" s="74">
        <f t="shared" si="10"/>
        <v>0</v>
      </c>
      <c r="N59" s="74">
        <f t="shared" si="11"/>
        <v>0</v>
      </c>
      <c r="O59" s="74">
        <f t="shared" si="12"/>
        <v>0</v>
      </c>
      <c r="P59" s="75">
        <f t="shared" si="13"/>
        <v>0</v>
      </c>
    </row>
    <row r="60" spans="1:16" s="51" customFormat="1" ht="22.5" x14ac:dyDescent="0.2">
      <c r="A60" s="131"/>
      <c r="B60" s="132"/>
      <c r="C60" s="137" t="s">
        <v>244</v>
      </c>
      <c r="D60" s="133" t="s">
        <v>89</v>
      </c>
      <c r="E60" s="135">
        <v>28.753</v>
      </c>
      <c r="F60" s="73"/>
      <c r="G60" s="74"/>
      <c r="H60" s="79">
        <f t="shared" si="7"/>
        <v>0</v>
      </c>
      <c r="I60" s="74"/>
      <c r="J60" s="74"/>
      <c r="K60" s="80">
        <f t="shared" si="8"/>
        <v>0</v>
      </c>
      <c r="L60" s="81">
        <f t="shared" si="9"/>
        <v>0</v>
      </c>
      <c r="M60" s="79">
        <f t="shared" si="10"/>
        <v>0</v>
      </c>
      <c r="N60" s="79">
        <f t="shared" si="11"/>
        <v>0</v>
      </c>
      <c r="O60" s="79">
        <f t="shared" si="12"/>
        <v>0</v>
      </c>
      <c r="P60" s="80">
        <f t="shared" si="13"/>
        <v>0</v>
      </c>
    </row>
    <row r="61" spans="1:16" s="51" customFormat="1" ht="11.25" x14ac:dyDescent="0.2">
      <c r="A61" s="131"/>
      <c r="B61" s="132"/>
      <c r="C61" s="137" t="s">
        <v>245</v>
      </c>
      <c r="D61" s="133" t="s">
        <v>91</v>
      </c>
      <c r="E61" s="135">
        <f>48*2</f>
        <v>96</v>
      </c>
      <c r="F61" s="73"/>
      <c r="G61" s="74"/>
      <c r="H61" s="74">
        <f t="shared" si="7"/>
        <v>0</v>
      </c>
      <c r="I61" s="74"/>
      <c r="J61" s="74"/>
      <c r="K61" s="75">
        <f t="shared" si="8"/>
        <v>0</v>
      </c>
      <c r="L61" s="73">
        <f t="shared" si="9"/>
        <v>0</v>
      </c>
      <c r="M61" s="74">
        <f t="shared" si="10"/>
        <v>0</v>
      </c>
      <c r="N61" s="74">
        <f t="shared" si="11"/>
        <v>0</v>
      </c>
      <c r="O61" s="74">
        <f t="shared" si="12"/>
        <v>0</v>
      </c>
      <c r="P61" s="75">
        <f t="shared" si="13"/>
        <v>0</v>
      </c>
    </row>
    <row r="62" spans="1:16" s="51" customFormat="1" ht="22.5" x14ac:dyDescent="0.2">
      <c r="A62" s="131"/>
      <c r="B62" s="132"/>
      <c r="C62" s="137" t="s">
        <v>246</v>
      </c>
      <c r="D62" s="133" t="s">
        <v>91</v>
      </c>
      <c r="E62" s="135">
        <v>38.688000000000002</v>
      </c>
      <c r="F62" s="73"/>
      <c r="G62" s="74"/>
      <c r="H62" s="79">
        <f t="shared" si="7"/>
        <v>0</v>
      </c>
      <c r="I62" s="74"/>
      <c r="J62" s="74"/>
      <c r="K62" s="80">
        <f t="shared" si="8"/>
        <v>0</v>
      </c>
      <c r="L62" s="81">
        <f t="shared" si="9"/>
        <v>0</v>
      </c>
      <c r="M62" s="79">
        <f t="shared" si="10"/>
        <v>0</v>
      </c>
      <c r="N62" s="79">
        <f t="shared" si="11"/>
        <v>0</v>
      </c>
      <c r="O62" s="79">
        <f t="shared" si="12"/>
        <v>0</v>
      </c>
      <c r="P62" s="80">
        <f t="shared" si="13"/>
        <v>0</v>
      </c>
    </row>
    <row r="63" spans="1:16" s="51" customFormat="1" ht="22.5" x14ac:dyDescent="0.2">
      <c r="A63" s="131"/>
      <c r="B63" s="132"/>
      <c r="C63" s="137" t="s">
        <v>243</v>
      </c>
      <c r="D63" s="133" t="s">
        <v>55</v>
      </c>
      <c r="E63" s="135">
        <f>E59*0.4</f>
        <v>2.4000000000000004</v>
      </c>
      <c r="F63" s="73"/>
      <c r="G63" s="74"/>
      <c r="H63" s="74">
        <f t="shared" si="7"/>
        <v>0</v>
      </c>
      <c r="I63" s="74"/>
      <c r="J63" s="74"/>
      <c r="K63" s="75">
        <f t="shared" si="8"/>
        <v>0</v>
      </c>
      <c r="L63" s="73">
        <f t="shared" si="9"/>
        <v>0</v>
      </c>
      <c r="M63" s="74">
        <f t="shared" si="10"/>
        <v>0</v>
      </c>
      <c r="N63" s="74">
        <f t="shared" si="11"/>
        <v>0</v>
      </c>
      <c r="O63" s="74">
        <f t="shared" si="12"/>
        <v>0</v>
      </c>
      <c r="P63" s="75">
        <f t="shared" si="13"/>
        <v>0</v>
      </c>
    </row>
    <row r="64" spans="1:16" s="51" customFormat="1" ht="22.5" x14ac:dyDescent="0.2">
      <c r="A64" s="131">
        <f>IF(COUNTBLANK(B64)=1," ",COUNTA($B$13:B64))</f>
        <v>22</v>
      </c>
      <c r="B64" s="132" t="s">
        <v>84</v>
      </c>
      <c r="C64" s="137" t="s">
        <v>247</v>
      </c>
      <c r="D64" s="140" t="s">
        <v>55</v>
      </c>
      <c r="E64" s="138">
        <v>13.6</v>
      </c>
      <c r="F64" s="73"/>
      <c r="G64" s="74"/>
      <c r="H64" s="74">
        <f t="shared" si="7"/>
        <v>0</v>
      </c>
      <c r="I64" s="74"/>
      <c r="J64" s="74"/>
      <c r="K64" s="75">
        <f t="shared" si="8"/>
        <v>0</v>
      </c>
      <c r="L64" s="73">
        <f t="shared" si="9"/>
        <v>0</v>
      </c>
      <c r="M64" s="74">
        <f t="shared" si="10"/>
        <v>0</v>
      </c>
      <c r="N64" s="74">
        <f t="shared" si="11"/>
        <v>0</v>
      </c>
      <c r="O64" s="74">
        <f t="shared" si="12"/>
        <v>0</v>
      </c>
      <c r="P64" s="75">
        <f t="shared" si="13"/>
        <v>0</v>
      </c>
    </row>
    <row r="65" spans="1:16" s="51" customFormat="1" ht="11.25" x14ac:dyDescent="0.2">
      <c r="A65" s="131"/>
      <c r="B65" s="132"/>
      <c r="C65" s="137" t="s">
        <v>307</v>
      </c>
      <c r="D65" s="133" t="s">
        <v>89</v>
      </c>
      <c r="E65" s="135">
        <f>E64*1.05</f>
        <v>14.28</v>
      </c>
      <c r="F65" s="73"/>
      <c r="G65" s="74"/>
      <c r="H65" s="79">
        <f t="shared" si="7"/>
        <v>0</v>
      </c>
      <c r="I65" s="74"/>
      <c r="J65" s="74"/>
      <c r="K65" s="80">
        <f t="shared" si="8"/>
        <v>0</v>
      </c>
      <c r="L65" s="81">
        <f t="shared" si="9"/>
        <v>0</v>
      </c>
      <c r="M65" s="79">
        <f t="shared" si="10"/>
        <v>0</v>
      </c>
      <c r="N65" s="79">
        <f t="shared" si="11"/>
        <v>0</v>
      </c>
      <c r="O65" s="79">
        <f t="shared" si="12"/>
        <v>0</v>
      </c>
      <c r="P65" s="80">
        <f t="shared" si="13"/>
        <v>0</v>
      </c>
    </row>
    <row r="66" spans="1:16" s="51" customFormat="1" ht="10.7" customHeight="1" thickBot="1" x14ac:dyDescent="0.25">
      <c r="A66" s="290" t="s">
        <v>280</v>
      </c>
      <c r="B66" s="290"/>
      <c r="C66" s="290"/>
      <c r="D66" s="290"/>
      <c r="E66" s="290"/>
      <c r="F66" s="290"/>
      <c r="G66" s="290"/>
      <c r="H66" s="290"/>
      <c r="I66" s="290"/>
      <c r="J66" s="290"/>
      <c r="K66" s="291"/>
      <c r="L66" s="144">
        <f>SUM(L14:L65)</f>
        <v>0</v>
      </c>
      <c r="M66" s="145">
        <f>SUM(M14:M65)</f>
        <v>0</v>
      </c>
      <c r="N66" s="145">
        <f>SUM(N14:N65)</f>
        <v>0</v>
      </c>
      <c r="O66" s="145">
        <f>SUM(O14:O65)</f>
        <v>0</v>
      </c>
      <c r="P66" s="146">
        <f>SUM(P14:P65)</f>
        <v>0</v>
      </c>
    </row>
    <row r="67" spans="1:16" s="51" customFormat="1" ht="11.25" x14ac:dyDescent="0.2">
      <c r="A67" s="56"/>
      <c r="B67" s="56"/>
      <c r="C67" s="56"/>
      <c r="D67" s="56"/>
      <c r="E67" s="56"/>
      <c r="F67" s="56"/>
      <c r="G67" s="129"/>
      <c r="H67" s="56"/>
      <c r="I67" s="56"/>
      <c r="J67" s="56"/>
      <c r="K67" s="56"/>
      <c r="L67" s="56"/>
      <c r="M67" s="56"/>
      <c r="N67" s="56"/>
      <c r="O67" s="56"/>
      <c r="P67" s="56"/>
    </row>
    <row r="68" spans="1:16" s="51" customFormat="1" ht="11.25" x14ac:dyDescent="0.2">
      <c r="A68" s="56"/>
      <c r="B68" s="56"/>
      <c r="C68" s="56"/>
      <c r="D68" s="56"/>
      <c r="E68" s="56"/>
      <c r="F68" s="56"/>
      <c r="G68" s="129"/>
      <c r="H68" s="56"/>
      <c r="I68" s="56"/>
      <c r="J68" s="56"/>
      <c r="K68" s="56"/>
      <c r="L68" s="56"/>
      <c r="M68" s="56"/>
      <c r="N68" s="56"/>
      <c r="O68" s="56"/>
      <c r="P68" s="56"/>
    </row>
    <row r="69" spans="1:16" s="51" customFormat="1" ht="11.25" x14ac:dyDescent="0.2">
      <c r="A69" s="51" t="s">
        <v>14</v>
      </c>
      <c r="B69" s="56"/>
      <c r="C69" s="268">
        <f>sas</f>
        <v>0</v>
      </c>
      <c r="D69" s="268"/>
      <c r="E69" s="268"/>
      <c r="F69" s="268"/>
      <c r="G69" s="268"/>
      <c r="H69" s="268"/>
      <c r="I69" s="56"/>
      <c r="J69" s="56"/>
      <c r="K69" s="56"/>
      <c r="L69" s="56"/>
      <c r="M69" s="56"/>
      <c r="N69" s="56"/>
      <c r="O69" s="56"/>
      <c r="P69" s="56"/>
    </row>
    <row r="70" spans="1:16" s="51" customFormat="1" ht="11.25" x14ac:dyDescent="0.2">
      <c r="A70" s="56"/>
      <c r="B70" s="56"/>
      <c r="C70" s="265" t="s">
        <v>15</v>
      </c>
      <c r="D70" s="265"/>
      <c r="E70" s="265"/>
      <c r="F70" s="265"/>
      <c r="G70" s="265"/>
      <c r="H70" s="265"/>
      <c r="I70" s="56"/>
      <c r="J70" s="56"/>
      <c r="K70" s="56"/>
      <c r="L70" s="56"/>
      <c r="M70" s="56"/>
      <c r="N70" s="56"/>
      <c r="O70" s="56"/>
      <c r="P70" s="56"/>
    </row>
    <row r="71" spans="1:16" s="51" customFormat="1" ht="11.25" x14ac:dyDescent="0.2">
      <c r="A71" s="56"/>
      <c r="B71" s="56"/>
      <c r="C71" s="56"/>
      <c r="D71" s="56"/>
      <c r="E71" s="56"/>
      <c r="F71" s="56"/>
      <c r="G71" s="56"/>
      <c r="H71" s="56"/>
      <c r="I71" s="56"/>
      <c r="J71" s="56"/>
      <c r="K71" s="56"/>
      <c r="L71" s="56"/>
      <c r="M71" s="56"/>
      <c r="N71" s="56"/>
      <c r="O71" s="56"/>
      <c r="P71" s="56"/>
    </row>
    <row r="72" spans="1:16" s="51" customFormat="1" ht="11.25" x14ac:dyDescent="0.2">
      <c r="A72" s="126" t="str">
        <f>'Kops a'!A33</f>
        <v>Tāme sastādīta 2021.gada</v>
      </c>
      <c r="B72" s="127"/>
      <c r="C72" s="127"/>
      <c r="D72" s="127"/>
      <c r="F72" s="56"/>
      <c r="G72" s="56"/>
      <c r="H72" s="56"/>
      <c r="I72" s="56"/>
      <c r="J72" s="56"/>
      <c r="K72" s="56"/>
      <c r="L72" s="56"/>
      <c r="M72" s="56"/>
      <c r="N72" s="56"/>
      <c r="O72" s="56"/>
      <c r="P72" s="56"/>
    </row>
    <row r="73" spans="1:16" s="51" customFormat="1" ht="11.25" x14ac:dyDescent="0.2">
      <c r="A73" s="56"/>
      <c r="B73" s="56"/>
      <c r="C73" s="56"/>
      <c r="D73" s="56"/>
      <c r="E73" s="56"/>
      <c r="F73" s="56"/>
      <c r="G73" s="56"/>
      <c r="H73" s="56"/>
      <c r="I73" s="56"/>
      <c r="J73" s="56"/>
      <c r="K73" s="56"/>
      <c r="L73" s="56"/>
      <c r="M73" s="56"/>
      <c r="N73" s="56"/>
      <c r="O73" s="56"/>
      <c r="P73" s="56"/>
    </row>
    <row r="74" spans="1:16" s="51" customFormat="1" ht="11.25" x14ac:dyDescent="0.2">
      <c r="A74" s="51" t="s">
        <v>38</v>
      </c>
      <c r="B74" s="56"/>
      <c r="C74" s="268">
        <f>C69</f>
        <v>0</v>
      </c>
      <c r="D74" s="268"/>
      <c r="E74" s="268"/>
      <c r="F74" s="268"/>
      <c r="G74" s="268"/>
      <c r="H74" s="268"/>
      <c r="I74" s="56"/>
      <c r="J74" s="56"/>
      <c r="K74" s="56"/>
      <c r="L74" s="56"/>
      <c r="M74" s="56"/>
      <c r="N74" s="56"/>
      <c r="O74" s="56"/>
      <c r="P74" s="56"/>
    </row>
    <row r="75" spans="1:16" s="51" customFormat="1" ht="11.25" x14ac:dyDescent="0.2">
      <c r="A75" s="56"/>
      <c r="B75" s="56"/>
      <c r="C75" s="265" t="s">
        <v>15</v>
      </c>
      <c r="D75" s="265"/>
      <c r="E75" s="265"/>
      <c r="F75" s="265"/>
      <c r="G75" s="265"/>
      <c r="H75" s="265"/>
      <c r="I75" s="56"/>
      <c r="J75" s="56"/>
      <c r="K75" s="56"/>
      <c r="L75" s="56"/>
      <c r="M75" s="56"/>
      <c r="N75" s="56"/>
      <c r="O75" s="56"/>
      <c r="P75" s="56"/>
    </row>
    <row r="76" spans="1:16" s="51" customFormat="1" ht="11.25" x14ac:dyDescent="0.2">
      <c r="A76" s="56"/>
      <c r="B76" s="56"/>
      <c r="C76" s="56"/>
      <c r="D76" s="56"/>
      <c r="E76" s="56"/>
      <c r="F76" s="56"/>
      <c r="G76" s="56"/>
      <c r="H76" s="56"/>
      <c r="I76" s="56"/>
      <c r="J76" s="56"/>
      <c r="K76" s="56"/>
      <c r="L76" s="56"/>
      <c r="M76" s="56"/>
      <c r="N76" s="56"/>
      <c r="O76" s="56"/>
      <c r="P76" s="56"/>
    </row>
    <row r="77" spans="1:16" s="51" customFormat="1" ht="11.25" x14ac:dyDescent="0.2">
      <c r="A77" s="126" t="s">
        <v>53</v>
      </c>
      <c r="B77" s="127"/>
      <c r="C77" s="260">
        <f>sert.nr</f>
        <v>0</v>
      </c>
      <c r="D77" s="127"/>
      <c r="F77" s="56"/>
      <c r="G77" s="56"/>
      <c r="H77" s="56"/>
      <c r="I77" s="56"/>
      <c r="J77" s="56"/>
      <c r="K77" s="56"/>
      <c r="L77" s="56"/>
      <c r="M77" s="56"/>
      <c r="N77" s="56"/>
      <c r="O77" s="56"/>
      <c r="P77" s="56"/>
    </row>
    <row r="78" spans="1:16" x14ac:dyDescent="0.25">
      <c r="G78" s="51"/>
    </row>
    <row r="79" spans="1:16" x14ac:dyDescent="0.25">
      <c r="A79" s="51" t="s">
        <v>288</v>
      </c>
    </row>
    <row r="80" spans="1:16" x14ac:dyDescent="0.25">
      <c r="A80" s="51" t="s">
        <v>289</v>
      </c>
    </row>
    <row r="81" spans="1:1" x14ac:dyDescent="0.25">
      <c r="A81" s="51" t="s">
        <v>290</v>
      </c>
    </row>
  </sheetData>
  <mergeCells count="22">
    <mergeCell ref="D7:L7"/>
    <mergeCell ref="C2:I2"/>
    <mergeCell ref="C3:I3"/>
    <mergeCell ref="C4:I4"/>
    <mergeCell ref="D5:L5"/>
    <mergeCell ref="D6:L6"/>
    <mergeCell ref="C75:H75"/>
    <mergeCell ref="D8:L8"/>
    <mergeCell ref="A9:F9"/>
    <mergeCell ref="J9:M9"/>
    <mergeCell ref="N9:O9"/>
    <mergeCell ref="A12:A13"/>
    <mergeCell ref="B12:B13"/>
    <mergeCell ref="C12:C13"/>
    <mergeCell ref="D12:D13"/>
    <mergeCell ref="E12:E13"/>
    <mergeCell ref="F12:K12"/>
    <mergeCell ref="L12:P12"/>
    <mergeCell ref="A66:K66"/>
    <mergeCell ref="C69:H69"/>
    <mergeCell ref="C70:H70"/>
    <mergeCell ref="C74:H74"/>
  </mergeCells>
  <phoneticPr fontId="23" type="noConversion"/>
  <conditionalFormatting sqref="C4:I4 D5:L8 B51:E65 B14:E49">
    <cfRule type="cellIs" dxfId="15" priority="25" operator="equal">
      <formula>0</formula>
    </cfRule>
  </conditionalFormatting>
  <conditionalFormatting sqref="N9:O9 C2:I2 A14:A49 A51:A65">
    <cfRule type="cellIs" dxfId="14" priority="26" operator="equal">
      <formula>0</formula>
    </cfRule>
  </conditionalFormatting>
  <conditionalFormatting sqref="A9:F9">
    <cfRule type="containsText" dxfId="13" priority="27" operator="containsText" text="Tāme sastādīta  20__. gada tirgus cenās, pamatojoties uz ___ daļas rasējumiem"/>
  </conditionalFormatting>
  <conditionalFormatting sqref="O10">
    <cfRule type="cellIs" dxfId="12" priority="28" operator="equal">
      <formula>"20__. gada __. _________"</formula>
    </cfRule>
  </conditionalFormatting>
  <conditionalFormatting sqref="L66:P66">
    <cfRule type="cellIs" dxfId="11" priority="29" operator="equal">
      <formula>0</formula>
    </cfRule>
  </conditionalFormatting>
  <conditionalFormatting sqref="P10">
    <cfRule type="cellIs" dxfId="10" priority="31" operator="equal">
      <formula>"20__. gada __. _________"</formula>
    </cfRule>
  </conditionalFormatting>
  <conditionalFormatting sqref="D1">
    <cfRule type="cellIs" dxfId="9" priority="33" operator="equal">
      <formula>0</formula>
    </cfRule>
  </conditionalFormatting>
  <conditionalFormatting sqref="B50:E50">
    <cfRule type="cellIs" dxfId="8" priority="7" operator="equal">
      <formula>0</formula>
    </cfRule>
  </conditionalFormatting>
  <conditionalFormatting sqref="A50">
    <cfRule type="cellIs" dxfId="7" priority="8" operator="equal">
      <formula>0</formula>
    </cfRule>
  </conditionalFormatting>
  <conditionalFormatting sqref="I14:J65 F14:G65">
    <cfRule type="cellIs" dxfId="6" priority="6" operator="equal">
      <formula>0</formula>
    </cfRule>
  </conditionalFormatting>
  <conditionalFormatting sqref="H14:H65 K14:P65">
    <cfRule type="cellIs" dxfId="5" priority="5" operator="equal">
      <formula>0</formula>
    </cfRule>
  </conditionalFormatting>
  <conditionalFormatting sqref="A66:K66">
    <cfRule type="containsText" dxfId="4" priority="4" operator="containsText" text="Tāme sastādīta  20__. gada tirgus cenās, pamatojoties uz ___ daļas rasējumiem"/>
  </conditionalFormatting>
  <conditionalFormatting sqref="C74:H74">
    <cfRule type="cellIs" dxfId="3" priority="1" operator="equal">
      <formula>0</formula>
    </cfRule>
  </conditionalFormatting>
  <conditionalFormatting sqref="C69:H69">
    <cfRule type="cellIs" dxfId="2" priority="2" operator="equal">
      <formula>0</formula>
    </cfRule>
  </conditionalFormatting>
  <conditionalFormatting sqref="C77">
    <cfRule type="cellIs" dxfId="1" priority="3" operator="equal">
      <formula>0</formula>
    </cfRule>
  </conditionalFormatting>
  <pageMargins left="0.19685039370078741" right="0.19685039370078741" top="0.75196850393700787" bottom="0.39370078740157483" header="0.51181102362204722" footer="0.51181102362204722"/>
  <pageSetup paperSize="9" scale="55" firstPageNumber="0" orientation="landscape" horizontalDpi="300" verticalDpi="300" r:id="rId1"/>
  <rowBreaks count="1" manualBreakCount="1">
    <brk id="40" max="1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V34"/>
  <sheetViews>
    <sheetView view="pageBreakPreview" zoomScale="115" zoomScaleSheetLayoutView="115" workbookViewId="0">
      <selection activeCell="P80" sqref="P80"/>
    </sheetView>
  </sheetViews>
  <sheetFormatPr defaultColWidth="9.140625" defaultRowHeight="11.25" x14ac:dyDescent="0.25"/>
  <cols>
    <col min="1" max="1" width="9.140625" style="1"/>
    <col min="2" max="2" width="29.85546875" style="13" customWidth="1"/>
    <col min="3" max="3" width="6.85546875" style="1" bestFit="1" customWidth="1"/>
    <col min="4" max="4" width="8" style="2" bestFit="1" customWidth="1"/>
    <col min="5" max="5" width="4.85546875" style="1" customWidth="1"/>
    <col min="6" max="6" width="3.85546875" style="1" bestFit="1" customWidth="1"/>
    <col min="7" max="7" width="4.7109375" style="1" bestFit="1" customWidth="1"/>
    <col min="8" max="8" width="5.7109375" style="1" bestFit="1" customWidth="1"/>
    <col min="9" max="9" width="6.7109375" style="1" bestFit="1" customWidth="1"/>
    <col min="10" max="11" width="7.85546875" style="1" customWidth="1"/>
    <col min="12" max="12" width="10" style="1" customWidth="1"/>
    <col min="13" max="13" width="5.5703125" style="1" customWidth="1"/>
    <col min="14" max="16" width="7" style="1" customWidth="1"/>
    <col min="17" max="18" width="5" style="1" bestFit="1" customWidth="1"/>
    <col min="19" max="19" width="8.28515625" style="1" customWidth="1"/>
    <col min="20" max="20" width="7.5703125" style="1" bestFit="1" customWidth="1"/>
    <col min="21" max="21" width="7.7109375" style="1" customWidth="1"/>
    <col min="22" max="22" width="11" style="1" bestFit="1" customWidth="1"/>
    <col min="23" max="16384" width="9.140625" style="1"/>
  </cols>
  <sheetData>
    <row r="1" spans="1:22" x14ac:dyDescent="0.25">
      <c r="B1" s="14"/>
      <c r="C1" s="5"/>
      <c r="D1" s="5"/>
      <c r="E1" s="5"/>
      <c r="F1" s="5"/>
      <c r="G1" s="5"/>
      <c r="H1" s="5"/>
      <c r="I1" s="5"/>
      <c r="J1" s="5"/>
      <c r="K1" s="5"/>
      <c r="L1" s="327" t="s">
        <v>79</v>
      </c>
      <c r="M1" s="327"/>
      <c r="N1" s="327" t="s">
        <v>78</v>
      </c>
      <c r="O1" s="327"/>
      <c r="P1" s="327" t="s">
        <v>77</v>
      </c>
      <c r="Q1" s="327"/>
      <c r="R1" s="328" t="s">
        <v>76</v>
      </c>
      <c r="S1" s="328"/>
      <c r="T1" s="328"/>
      <c r="U1" s="328"/>
      <c r="V1" s="328"/>
    </row>
    <row r="2" spans="1:22" x14ac:dyDescent="0.25">
      <c r="B2" s="330" t="s">
        <v>75</v>
      </c>
      <c r="C2" s="327" t="s">
        <v>74</v>
      </c>
      <c r="D2" s="327"/>
      <c r="E2" s="327"/>
      <c r="F2" s="327" t="s">
        <v>73</v>
      </c>
      <c r="G2" s="327"/>
      <c r="H2" s="327" t="s">
        <v>72</v>
      </c>
      <c r="I2" s="327"/>
      <c r="J2" s="327"/>
      <c r="K2" s="5"/>
      <c r="L2" s="5"/>
      <c r="M2" s="5"/>
      <c r="N2" s="5" t="s">
        <v>71</v>
      </c>
      <c r="O2" s="5" t="s">
        <v>70</v>
      </c>
      <c r="P2" s="5" t="s">
        <v>69</v>
      </c>
      <c r="Q2" s="5" t="s">
        <v>70</v>
      </c>
      <c r="R2" s="326" t="s">
        <v>68</v>
      </c>
      <c r="S2" s="326" t="s">
        <v>67</v>
      </c>
      <c r="T2" s="326" t="s">
        <v>66</v>
      </c>
      <c r="U2" s="326" t="s">
        <v>65</v>
      </c>
      <c r="V2" s="329" t="s">
        <v>64</v>
      </c>
    </row>
    <row r="3" spans="1:22" ht="22.5" x14ac:dyDescent="0.25">
      <c r="B3" s="330"/>
      <c r="C3" s="10" t="s">
        <v>145</v>
      </c>
      <c r="D3" s="10" t="s">
        <v>63</v>
      </c>
      <c r="E3" s="5" t="s">
        <v>62</v>
      </c>
      <c r="F3" s="5" t="s">
        <v>61</v>
      </c>
      <c r="G3" s="5" t="s">
        <v>60</v>
      </c>
      <c r="H3" s="5" t="s">
        <v>59</v>
      </c>
      <c r="I3" s="10" t="str">
        <f>D3</f>
        <v>esošie PVC</v>
      </c>
      <c r="J3" s="11" t="str">
        <f>C3</f>
        <v>maināmie</v>
      </c>
      <c r="K3" s="10" t="s">
        <v>146</v>
      </c>
      <c r="L3" s="5" t="s">
        <v>58</v>
      </c>
      <c r="M3" s="5" t="s">
        <v>57</v>
      </c>
      <c r="N3" s="7">
        <v>0.25</v>
      </c>
      <c r="O3" s="7">
        <v>0.30000000000000004</v>
      </c>
      <c r="P3" s="5"/>
      <c r="Q3" s="5"/>
      <c r="R3" s="326"/>
      <c r="S3" s="326"/>
      <c r="T3" s="326"/>
      <c r="U3" s="326"/>
      <c r="V3" s="329"/>
    </row>
    <row r="4" spans="1:22" x14ac:dyDescent="0.25">
      <c r="B4" s="15" t="s">
        <v>192</v>
      </c>
      <c r="C4" s="4">
        <v>1</v>
      </c>
      <c r="D4" s="4">
        <v>7</v>
      </c>
      <c r="E4" s="6">
        <f>C4+D4</f>
        <v>8</v>
      </c>
      <c r="F4" s="4">
        <v>1.5</v>
      </c>
      <c r="G4" s="4">
        <v>1.4</v>
      </c>
      <c r="H4" s="6">
        <f t="shared" ref="H4:H7" si="0">F4*G4</f>
        <v>2.0999999999999996</v>
      </c>
      <c r="I4" s="6">
        <f t="shared" ref="I4:I7" si="1">H4*D4</f>
        <v>14.699999999999998</v>
      </c>
      <c r="J4" s="18">
        <f t="shared" ref="J4:J7" si="2">H4*C4</f>
        <v>2.0999999999999996</v>
      </c>
      <c r="K4" s="24">
        <f>(F4*2+G4*2)*E4</f>
        <v>46.4</v>
      </c>
      <c r="L4" s="6">
        <f t="shared" ref="L4:L7" si="3">(F4*2+G4*2)*E4</f>
        <v>46.4</v>
      </c>
      <c r="M4" s="6">
        <f t="shared" ref="M4:M7" si="4">(F4*2+G4*2)*C4</f>
        <v>5.8</v>
      </c>
      <c r="N4" s="6">
        <f t="shared" ref="N4:N7" si="5">L4*$N$3</f>
        <v>11.6</v>
      </c>
      <c r="O4" s="6">
        <f t="shared" ref="O4:O7" si="6">M4*$O$3</f>
        <v>1.7400000000000002</v>
      </c>
      <c r="P4" s="6">
        <f t="shared" ref="P4:P7" si="7">E4*F4*1.05</f>
        <v>12.600000000000001</v>
      </c>
      <c r="Q4" s="6">
        <f t="shared" ref="Q4:Q7" si="8">F4*C4</f>
        <v>1.5</v>
      </c>
      <c r="R4" s="6">
        <f t="shared" ref="R4:R7" si="9">E4*(F4+2*G4)</f>
        <v>34.4</v>
      </c>
      <c r="S4" s="6">
        <f t="shared" ref="S4:S7" si="10">R4</f>
        <v>34.4</v>
      </c>
      <c r="T4" s="6">
        <f t="shared" ref="T4:T7" si="11">E4*F4</f>
        <v>12</v>
      </c>
      <c r="U4" s="6">
        <f t="shared" ref="U4:U7" si="12">T4</f>
        <v>12</v>
      </c>
      <c r="V4" s="10"/>
    </row>
    <row r="5" spans="1:22" x14ac:dyDescent="0.25">
      <c r="B5" s="15" t="s">
        <v>193</v>
      </c>
      <c r="C5" s="4">
        <v>1</v>
      </c>
      <c r="D5" s="4">
        <v>9</v>
      </c>
      <c r="E5" s="6">
        <f t="shared" ref="E5:E6" si="13">C5+D5</f>
        <v>10</v>
      </c>
      <c r="F5" s="4">
        <v>2.4</v>
      </c>
      <c r="G5" s="4">
        <v>1.4</v>
      </c>
      <c r="H5" s="6">
        <f t="shared" si="0"/>
        <v>3.36</v>
      </c>
      <c r="I5" s="6">
        <f t="shared" si="1"/>
        <v>30.24</v>
      </c>
      <c r="J5" s="19">
        <f t="shared" si="2"/>
        <v>3.36</v>
      </c>
      <c r="K5" s="24">
        <f t="shared" ref="K5:K11" si="14">(F5*2+G5*2)*E5</f>
        <v>76</v>
      </c>
      <c r="L5" s="6">
        <f t="shared" si="3"/>
        <v>76</v>
      </c>
      <c r="M5" s="6">
        <f t="shared" si="4"/>
        <v>7.6</v>
      </c>
      <c r="N5" s="6">
        <f t="shared" si="5"/>
        <v>19</v>
      </c>
      <c r="O5" s="6">
        <f t="shared" si="6"/>
        <v>2.2800000000000002</v>
      </c>
      <c r="P5" s="6">
        <f t="shared" si="7"/>
        <v>25.200000000000003</v>
      </c>
      <c r="Q5" s="6">
        <f t="shared" si="8"/>
        <v>2.4</v>
      </c>
      <c r="R5" s="6">
        <f t="shared" si="9"/>
        <v>51.999999999999993</v>
      </c>
      <c r="S5" s="6">
        <f t="shared" si="10"/>
        <v>51.999999999999993</v>
      </c>
      <c r="T5" s="6">
        <f t="shared" si="11"/>
        <v>24</v>
      </c>
      <c r="U5" s="6">
        <f t="shared" si="12"/>
        <v>24</v>
      </c>
      <c r="V5" s="10"/>
    </row>
    <row r="6" spans="1:22" x14ac:dyDescent="0.25">
      <c r="B6" s="26" t="s">
        <v>194</v>
      </c>
      <c r="C6" s="4">
        <v>1</v>
      </c>
      <c r="D6" s="4">
        <v>5</v>
      </c>
      <c r="E6" s="6">
        <f t="shared" si="13"/>
        <v>6</v>
      </c>
      <c r="F6" s="4">
        <v>1.4</v>
      </c>
      <c r="G6" s="4">
        <v>1.4</v>
      </c>
      <c r="H6" s="6">
        <f t="shared" si="0"/>
        <v>1.9599999999999997</v>
      </c>
      <c r="I6" s="6">
        <f t="shared" si="1"/>
        <v>9.7999999999999989</v>
      </c>
      <c r="J6" s="19">
        <f t="shared" si="2"/>
        <v>1.9599999999999997</v>
      </c>
      <c r="K6" s="24">
        <f t="shared" si="14"/>
        <v>33.599999999999994</v>
      </c>
      <c r="L6" s="6">
        <f t="shared" si="3"/>
        <v>33.599999999999994</v>
      </c>
      <c r="M6" s="6">
        <f t="shared" si="4"/>
        <v>5.6</v>
      </c>
      <c r="N6" s="6">
        <f t="shared" si="5"/>
        <v>8.3999999999999986</v>
      </c>
      <c r="O6" s="6">
        <f t="shared" si="6"/>
        <v>1.6800000000000002</v>
      </c>
      <c r="P6" s="6">
        <f t="shared" si="7"/>
        <v>8.8199999999999985</v>
      </c>
      <c r="Q6" s="6">
        <f t="shared" si="8"/>
        <v>1.4</v>
      </c>
      <c r="R6" s="6">
        <f t="shared" si="9"/>
        <v>25.199999999999996</v>
      </c>
      <c r="S6" s="6">
        <f t="shared" si="10"/>
        <v>25.199999999999996</v>
      </c>
      <c r="T6" s="6">
        <f t="shared" si="11"/>
        <v>8.3999999999999986</v>
      </c>
      <c r="U6" s="6">
        <f t="shared" si="12"/>
        <v>8.3999999999999986</v>
      </c>
      <c r="V6" s="10"/>
    </row>
    <row r="7" spans="1:22" x14ac:dyDescent="0.25">
      <c r="B7" s="26" t="s">
        <v>195</v>
      </c>
      <c r="C7" s="4">
        <v>1</v>
      </c>
      <c r="D7" s="4">
        <v>0</v>
      </c>
      <c r="E7" s="6">
        <f>C7+D7</f>
        <v>1</v>
      </c>
      <c r="F7" s="4">
        <v>1.4</v>
      </c>
      <c r="G7" s="4">
        <v>1.4</v>
      </c>
      <c r="H7" s="6">
        <f t="shared" si="0"/>
        <v>1.9599999999999997</v>
      </c>
      <c r="I7" s="6">
        <f t="shared" si="1"/>
        <v>0</v>
      </c>
      <c r="J7" s="19">
        <f t="shared" si="2"/>
        <v>1.9599999999999997</v>
      </c>
      <c r="K7" s="24">
        <f t="shared" si="14"/>
        <v>5.6</v>
      </c>
      <c r="L7" s="6">
        <f t="shared" si="3"/>
        <v>5.6</v>
      </c>
      <c r="M7" s="6">
        <f t="shared" si="4"/>
        <v>5.6</v>
      </c>
      <c r="N7" s="6">
        <f t="shared" si="5"/>
        <v>1.4</v>
      </c>
      <c r="O7" s="6">
        <f t="shared" si="6"/>
        <v>1.6800000000000002</v>
      </c>
      <c r="P7" s="6">
        <f t="shared" si="7"/>
        <v>1.47</v>
      </c>
      <c r="Q7" s="6">
        <f t="shared" si="8"/>
        <v>1.4</v>
      </c>
      <c r="R7" s="6">
        <f t="shared" si="9"/>
        <v>4.1999999999999993</v>
      </c>
      <c r="S7" s="6">
        <f t="shared" si="10"/>
        <v>4.1999999999999993</v>
      </c>
      <c r="T7" s="6">
        <f t="shared" si="11"/>
        <v>1.4</v>
      </c>
      <c r="U7" s="6">
        <f t="shared" si="12"/>
        <v>1.4</v>
      </c>
      <c r="V7" s="10"/>
    </row>
    <row r="8" spans="1:22" x14ac:dyDescent="0.25">
      <c r="B8" s="15"/>
      <c r="C8" s="4"/>
      <c r="D8" s="6"/>
      <c r="E8" s="4"/>
      <c r="F8" s="4"/>
      <c r="G8" s="4"/>
      <c r="H8" s="6"/>
      <c r="I8" s="6"/>
      <c r="J8" s="19"/>
      <c r="K8" s="25">
        <f>SUM(K4:K7)</f>
        <v>161.6</v>
      </c>
      <c r="L8" s="6"/>
      <c r="M8" s="6"/>
      <c r="N8" s="6"/>
      <c r="O8" s="6"/>
      <c r="P8" s="6"/>
      <c r="Q8" s="6"/>
      <c r="R8" s="6"/>
      <c r="S8" s="6"/>
      <c r="T8" s="6"/>
      <c r="U8" s="6"/>
      <c r="V8" s="10"/>
    </row>
    <row r="9" spans="1:22" ht="49.5" x14ac:dyDescent="0.25">
      <c r="B9" s="27" t="s">
        <v>196</v>
      </c>
      <c r="C9" s="12">
        <v>1</v>
      </c>
      <c r="D9" s="12">
        <v>0</v>
      </c>
      <c r="E9" s="6">
        <f>C9+D9</f>
        <v>1</v>
      </c>
      <c r="F9" s="12">
        <v>1.35</v>
      </c>
      <c r="G9" s="12">
        <v>2.1</v>
      </c>
      <c r="H9" s="8">
        <f>F9*G9</f>
        <v>2.8350000000000004</v>
      </c>
      <c r="I9" s="8">
        <f>H9*C9</f>
        <v>2.8350000000000004</v>
      </c>
      <c r="J9" s="20">
        <f>H9*D9</f>
        <v>0</v>
      </c>
      <c r="K9" s="24">
        <f t="shared" si="14"/>
        <v>6.9</v>
      </c>
      <c r="L9" s="8">
        <f>(F9+G9*2)*E9</f>
        <v>5.5500000000000007</v>
      </c>
      <c r="M9" s="8">
        <f>(F9+G9*2)*D9</f>
        <v>0</v>
      </c>
      <c r="N9" s="8"/>
      <c r="O9" s="8">
        <f>M9*$O$3</f>
        <v>0</v>
      </c>
      <c r="P9" s="8"/>
      <c r="Q9" s="8"/>
      <c r="R9" s="8">
        <f>E9*(F9+2*G9)</f>
        <v>5.5500000000000007</v>
      </c>
      <c r="S9" s="8">
        <f>R9</f>
        <v>5.5500000000000007</v>
      </c>
      <c r="T9" s="8">
        <f>E9*F9</f>
        <v>1.35</v>
      </c>
      <c r="U9" s="8"/>
      <c r="V9" s="5"/>
    </row>
    <row r="10" spans="1:22" x14ac:dyDescent="0.25">
      <c r="B10" s="16"/>
      <c r="C10" s="9"/>
      <c r="D10" s="12"/>
      <c r="E10" s="12"/>
      <c r="F10" s="12"/>
      <c r="G10" s="12"/>
      <c r="H10" s="8"/>
      <c r="I10" s="8"/>
      <c r="J10" s="20"/>
      <c r="K10" s="25">
        <f>SUM(K9:K9)</f>
        <v>6.9</v>
      </c>
      <c r="L10" s="8"/>
      <c r="M10" s="8"/>
      <c r="N10" s="8"/>
      <c r="O10" s="8"/>
      <c r="P10" s="8"/>
      <c r="Q10" s="8"/>
      <c r="R10" s="8"/>
      <c r="S10" s="8"/>
      <c r="T10" s="8"/>
      <c r="U10" s="8"/>
      <c r="V10" s="5"/>
    </row>
    <row r="11" spans="1:22" x14ac:dyDescent="0.25">
      <c r="B11" s="15" t="s">
        <v>197</v>
      </c>
      <c r="C11" s="6">
        <v>2</v>
      </c>
      <c r="D11" s="4">
        <v>0</v>
      </c>
      <c r="E11" s="6">
        <f t="shared" ref="E11:E12" si="15">C11+D11</f>
        <v>2</v>
      </c>
      <c r="F11" s="4">
        <v>0.65</v>
      </c>
      <c r="G11" s="4">
        <v>0.6</v>
      </c>
      <c r="H11" s="6">
        <f>F11*G11</f>
        <v>0.39</v>
      </c>
      <c r="I11" s="6">
        <f>H11*C11</f>
        <v>0.78</v>
      </c>
      <c r="J11" s="19">
        <f>H11*D11</f>
        <v>0</v>
      </c>
      <c r="K11" s="24">
        <f t="shared" si="14"/>
        <v>5</v>
      </c>
      <c r="L11" s="6"/>
      <c r="M11" s="6"/>
      <c r="N11" s="6"/>
      <c r="O11" s="6">
        <f>M11*$O$3</f>
        <v>0</v>
      </c>
      <c r="P11" s="6"/>
      <c r="Q11" s="6"/>
      <c r="R11" s="6">
        <f>E11*(F11+2*G11)</f>
        <v>3.7</v>
      </c>
      <c r="S11" s="6">
        <f>R11</f>
        <v>3.7</v>
      </c>
      <c r="T11" s="6">
        <f>E11*F11</f>
        <v>1.3</v>
      </c>
      <c r="U11" s="6"/>
      <c r="V11" s="5"/>
    </row>
    <row r="12" spans="1:22" x14ac:dyDescent="0.25">
      <c r="B12" s="28" t="s">
        <v>198</v>
      </c>
      <c r="C12" s="6">
        <v>6</v>
      </c>
      <c r="D12" s="4">
        <v>0</v>
      </c>
      <c r="E12" s="6">
        <f t="shared" si="15"/>
        <v>6</v>
      </c>
      <c r="F12" s="4"/>
      <c r="G12" s="4"/>
      <c r="H12" s="6"/>
      <c r="I12" s="6"/>
      <c r="J12" s="21"/>
      <c r="K12" s="24"/>
      <c r="L12" s="6"/>
      <c r="M12" s="6"/>
      <c r="N12" s="6"/>
      <c r="O12" s="6"/>
      <c r="P12" s="6"/>
      <c r="Q12" s="6"/>
      <c r="R12" s="6"/>
      <c r="S12" s="6"/>
      <c r="T12" s="6"/>
      <c r="U12" s="6"/>
      <c r="V12" s="5"/>
    </row>
    <row r="13" spans="1:22" x14ac:dyDescent="0.25">
      <c r="B13" s="17"/>
      <c r="E13" s="22">
        <f>SUM(E4:E10)</f>
        <v>26</v>
      </c>
      <c r="F13" s="23"/>
      <c r="G13" s="23"/>
      <c r="H13" s="23"/>
      <c r="I13" s="22"/>
      <c r="J13" s="22">
        <f>SUM(J4:J12)</f>
        <v>9.379999999999999</v>
      </c>
      <c r="K13" s="22">
        <f>SUM(K11:K12)</f>
        <v>5</v>
      </c>
      <c r="L13" s="22">
        <f t="shared" ref="L13:U13" si="16">SUM(L4:L12)</f>
        <v>167.15</v>
      </c>
      <c r="M13" s="22">
        <f t="shared" si="16"/>
        <v>24.6</v>
      </c>
      <c r="N13" s="22">
        <f t="shared" si="16"/>
        <v>40.4</v>
      </c>
      <c r="O13" s="22">
        <f t="shared" si="16"/>
        <v>7.3800000000000008</v>
      </c>
      <c r="P13" s="22">
        <f t="shared" si="16"/>
        <v>48.09</v>
      </c>
      <c r="Q13" s="22">
        <f t="shared" si="16"/>
        <v>6.6999999999999993</v>
      </c>
      <c r="R13" s="22">
        <f t="shared" si="16"/>
        <v>125.05</v>
      </c>
      <c r="S13" s="22">
        <f t="shared" si="16"/>
        <v>125.05</v>
      </c>
      <c r="T13" s="22">
        <f t="shared" si="16"/>
        <v>48.449999999999996</v>
      </c>
      <c r="U13" s="22">
        <f t="shared" si="16"/>
        <v>45.8</v>
      </c>
      <c r="V13" s="3">
        <f>70-1.6</f>
        <v>68.400000000000006</v>
      </c>
    </row>
    <row r="16" spans="1:22" x14ac:dyDescent="0.25">
      <c r="A16" s="13"/>
      <c r="B16" s="1"/>
      <c r="C16" s="2"/>
      <c r="D16" s="1"/>
    </row>
    <row r="17" spans="1:8" x14ac:dyDescent="0.25">
      <c r="A17" s="33"/>
      <c r="B17" s="323" t="s">
        <v>260</v>
      </c>
      <c r="C17" s="323"/>
      <c r="D17" s="323"/>
      <c r="E17" s="323"/>
      <c r="F17" s="323"/>
      <c r="G17" s="34"/>
      <c r="H17" s="33"/>
    </row>
    <row r="18" spans="1:8" x14ac:dyDescent="0.25">
      <c r="A18" s="321" t="s">
        <v>261</v>
      </c>
      <c r="B18" s="321" t="s">
        <v>262</v>
      </c>
      <c r="C18" s="324" t="s">
        <v>263</v>
      </c>
      <c r="D18" s="325"/>
      <c r="E18" s="321" t="s">
        <v>264</v>
      </c>
      <c r="F18" s="321" t="s">
        <v>265</v>
      </c>
      <c r="G18" s="321" t="s">
        <v>43</v>
      </c>
      <c r="H18" s="321" t="s">
        <v>44</v>
      </c>
    </row>
    <row r="19" spans="1:8" x14ac:dyDescent="0.25">
      <c r="A19" s="322"/>
      <c r="B19" s="322"/>
      <c r="C19" s="35" t="s">
        <v>266</v>
      </c>
      <c r="D19" s="36" t="s">
        <v>267</v>
      </c>
      <c r="E19" s="322"/>
      <c r="F19" s="322"/>
      <c r="G19" s="322"/>
      <c r="H19" s="322"/>
    </row>
    <row r="20" spans="1:8" x14ac:dyDescent="0.25">
      <c r="A20" s="37">
        <v>1</v>
      </c>
      <c r="B20" s="38" t="s">
        <v>268</v>
      </c>
      <c r="C20" s="39">
        <f>20/1000</f>
        <v>0.02</v>
      </c>
      <c r="D20" s="39">
        <f>50/1000</f>
        <v>0.05</v>
      </c>
      <c r="E20" s="40">
        <f>ROUNDUP(F22/0.8*2,0)+1</f>
        <v>51</v>
      </c>
      <c r="F20" s="40">
        <v>5.6</v>
      </c>
      <c r="G20" s="40" t="s">
        <v>82</v>
      </c>
      <c r="H20" s="41">
        <f>C20*D20*(F20*E20)</f>
        <v>0.28559999999999997</v>
      </c>
    </row>
    <row r="21" spans="1:8" x14ac:dyDescent="0.25">
      <c r="A21" s="37">
        <v>1</v>
      </c>
      <c r="B21" s="42" t="s">
        <v>222</v>
      </c>
      <c r="C21" s="40">
        <v>5.6</v>
      </c>
      <c r="D21" s="40">
        <v>19.7</v>
      </c>
      <c r="E21" s="40">
        <v>1</v>
      </c>
      <c r="F21" s="40"/>
      <c r="G21" s="40" t="s">
        <v>55</v>
      </c>
      <c r="H21" s="43">
        <f>C21*2*D21*E21</f>
        <v>220.64</v>
      </c>
    </row>
    <row r="22" spans="1:8" ht="22.5" x14ac:dyDescent="0.25">
      <c r="A22" s="37">
        <f>A21+1</f>
        <v>2</v>
      </c>
      <c r="B22" s="38" t="s">
        <v>269</v>
      </c>
      <c r="C22" s="39">
        <f>20/1000</f>
        <v>0.02</v>
      </c>
      <c r="D22" s="39">
        <f>50/1000</f>
        <v>0.05</v>
      </c>
      <c r="E22" s="44">
        <f>F22/0.8*2*C21</f>
        <v>275.79999999999995</v>
      </c>
      <c r="F22" s="40">
        <f>D21</f>
        <v>19.7</v>
      </c>
      <c r="G22" s="40" t="str">
        <f>G20</f>
        <v>m³</v>
      </c>
      <c r="H22" s="41">
        <f>C22*D22*(E20*F20)</f>
        <v>0.28559999999999997</v>
      </c>
    </row>
    <row r="23" spans="1:8" ht="22.5" x14ac:dyDescent="0.25">
      <c r="A23" s="37">
        <f t="shared" ref="A23:A33" si="17">A22+1</f>
        <v>3</v>
      </c>
      <c r="B23" s="38" t="s">
        <v>270</v>
      </c>
      <c r="C23" s="39">
        <f>32/1000</f>
        <v>3.2000000000000001E-2</v>
      </c>
      <c r="D23" s="39">
        <f>100/1000</f>
        <v>0.1</v>
      </c>
      <c r="E23" s="40">
        <v>44</v>
      </c>
      <c r="F23" s="40">
        <f>F22</f>
        <v>19.7</v>
      </c>
      <c r="G23" s="40" t="s">
        <v>86</v>
      </c>
      <c r="H23" s="45">
        <f>C23*D23*(F23*E23)</f>
        <v>2.7737599999999998</v>
      </c>
    </row>
    <row r="24" spans="1:8" ht="33.75" x14ac:dyDescent="0.25">
      <c r="A24" s="37">
        <f t="shared" si="17"/>
        <v>4</v>
      </c>
      <c r="B24" s="38" t="s">
        <v>271</v>
      </c>
      <c r="C24" s="39"/>
      <c r="D24" s="39"/>
      <c r="E24" s="40"/>
      <c r="F24" s="40"/>
      <c r="G24" s="40" t="s">
        <v>55</v>
      </c>
      <c r="H24" s="43">
        <f>H21</f>
        <v>220.64</v>
      </c>
    </row>
    <row r="25" spans="1:8" x14ac:dyDescent="0.25">
      <c r="A25" s="37">
        <f t="shared" si="17"/>
        <v>5</v>
      </c>
      <c r="B25" s="38" t="s">
        <v>272</v>
      </c>
      <c r="C25" s="46"/>
      <c r="D25" s="46"/>
      <c r="E25" s="37">
        <v>2</v>
      </c>
      <c r="F25" s="33"/>
      <c r="G25" s="37" t="s">
        <v>86</v>
      </c>
      <c r="H25" s="47">
        <f>F22*E25</f>
        <v>39.4</v>
      </c>
    </row>
    <row r="26" spans="1:8" x14ac:dyDescent="0.25">
      <c r="A26" s="37">
        <f t="shared" si="17"/>
        <v>6</v>
      </c>
      <c r="B26" s="38" t="s">
        <v>273</v>
      </c>
      <c r="C26" s="46"/>
      <c r="D26" s="46"/>
      <c r="E26" s="37">
        <v>8</v>
      </c>
      <c r="F26" s="37">
        <v>6.6</v>
      </c>
      <c r="G26" s="37" t="s">
        <v>86</v>
      </c>
      <c r="H26" s="47">
        <f>E26*F26</f>
        <v>52.8</v>
      </c>
    </row>
    <row r="27" spans="1:8" x14ac:dyDescent="0.25">
      <c r="A27" s="37">
        <f t="shared" si="17"/>
        <v>7</v>
      </c>
      <c r="B27" s="38" t="s">
        <v>274</v>
      </c>
      <c r="C27" s="46"/>
      <c r="D27" s="46"/>
      <c r="E27" s="37">
        <v>2</v>
      </c>
      <c r="F27" s="37">
        <f>F22</f>
        <v>19.7</v>
      </c>
      <c r="G27" s="37" t="s">
        <v>86</v>
      </c>
      <c r="H27" s="47">
        <f>E27*F27</f>
        <v>39.4</v>
      </c>
    </row>
    <row r="28" spans="1:8" x14ac:dyDescent="0.25">
      <c r="A28" s="37">
        <f t="shared" si="17"/>
        <v>8</v>
      </c>
      <c r="B28" s="38" t="s">
        <v>275</v>
      </c>
      <c r="C28" s="46"/>
      <c r="D28" s="46"/>
      <c r="E28" s="37">
        <v>1</v>
      </c>
      <c r="F28" s="37">
        <f>F22</f>
        <v>19.7</v>
      </c>
      <c r="G28" s="37" t="s">
        <v>86</v>
      </c>
      <c r="H28" s="47">
        <f>E28*F28</f>
        <v>19.7</v>
      </c>
    </row>
    <row r="29" spans="1:8" ht="33.75" x14ac:dyDescent="0.25">
      <c r="A29" s="37">
        <f t="shared" si="17"/>
        <v>9</v>
      </c>
      <c r="B29" s="38" t="s">
        <v>276</v>
      </c>
      <c r="C29" s="46">
        <f>20/1000</f>
        <v>0.02</v>
      </c>
      <c r="D29" s="46">
        <f>80/1000</f>
        <v>0.08</v>
      </c>
      <c r="E29" s="37">
        <v>8</v>
      </c>
      <c r="F29" s="37">
        <f>F22</f>
        <v>19.7</v>
      </c>
      <c r="G29" s="37" t="s">
        <v>82</v>
      </c>
      <c r="H29" s="41">
        <f>C29*D29*(F29*E29)</f>
        <v>0.25216</v>
      </c>
    </row>
    <row r="30" spans="1:8" ht="22.5" x14ac:dyDescent="0.25">
      <c r="A30" s="37">
        <f t="shared" si="17"/>
        <v>10</v>
      </c>
      <c r="B30" s="38" t="s">
        <v>277</v>
      </c>
      <c r="C30" s="46">
        <f>20/1000</f>
        <v>0.02</v>
      </c>
      <c r="D30" s="46">
        <f>100/1000</f>
        <v>0.1</v>
      </c>
      <c r="E30" s="37">
        <v>2</v>
      </c>
      <c r="F30" s="37">
        <f>F29</f>
        <v>19.7</v>
      </c>
      <c r="G30" s="37" t="s">
        <v>82</v>
      </c>
      <c r="H30" s="41">
        <f>C30*D30*(E30*F30)</f>
        <v>7.8799999999999995E-2</v>
      </c>
    </row>
    <row r="31" spans="1:8" ht="22.5" x14ac:dyDescent="0.25">
      <c r="A31" s="37">
        <f t="shared" si="17"/>
        <v>11</v>
      </c>
      <c r="B31" s="38" t="s">
        <v>235</v>
      </c>
      <c r="C31" s="46"/>
      <c r="D31" s="46"/>
      <c r="E31" s="37">
        <v>4</v>
      </c>
      <c r="F31" s="37">
        <v>3.8</v>
      </c>
      <c r="G31" s="37" t="s">
        <v>86</v>
      </c>
      <c r="H31" s="47">
        <f>E31*F31</f>
        <v>15.2</v>
      </c>
    </row>
    <row r="32" spans="1:8" ht="22.5" x14ac:dyDescent="0.25">
      <c r="A32" s="37">
        <f t="shared" si="17"/>
        <v>12</v>
      </c>
      <c r="B32" s="38" t="s">
        <v>278</v>
      </c>
      <c r="C32" s="46"/>
      <c r="D32" s="46"/>
      <c r="E32" s="37">
        <v>2</v>
      </c>
      <c r="F32" s="37">
        <f>F22</f>
        <v>19.7</v>
      </c>
      <c r="G32" s="37" t="s">
        <v>86</v>
      </c>
      <c r="H32" s="47">
        <f>E32*F32</f>
        <v>39.4</v>
      </c>
    </row>
    <row r="33" spans="1:8" x14ac:dyDescent="0.25">
      <c r="A33" s="37">
        <f t="shared" si="17"/>
        <v>13</v>
      </c>
      <c r="B33" s="38" t="s">
        <v>279</v>
      </c>
      <c r="C33" s="46"/>
      <c r="D33" s="46"/>
      <c r="E33" s="37"/>
      <c r="F33" s="42"/>
      <c r="G33" s="37" t="s">
        <v>184</v>
      </c>
      <c r="H33" s="47">
        <v>1</v>
      </c>
    </row>
    <row r="34" spans="1:8" x14ac:dyDescent="0.25">
      <c r="A34" s="13"/>
      <c r="B34" s="1"/>
      <c r="C34" s="2"/>
      <c r="D34" s="1"/>
    </row>
  </sheetData>
  <mergeCells count="21">
    <mergeCell ref="B2:B3"/>
    <mergeCell ref="C2:E2"/>
    <mergeCell ref="F2:G2"/>
    <mergeCell ref="H2:J2"/>
    <mergeCell ref="S2:S3"/>
    <mergeCell ref="T2:T3"/>
    <mergeCell ref="L1:M1"/>
    <mergeCell ref="N1:O1"/>
    <mergeCell ref="R1:V1"/>
    <mergeCell ref="U2:U3"/>
    <mergeCell ref="V2:V3"/>
    <mergeCell ref="P1:Q1"/>
    <mergeCell ref="R2:R3"/>
    <mergeCell ref="G18:G19"/>
    <mergeCell ref="H18:H19"/>
    <mergeCell ref="B17:F17"/>
    <mergeCell ref="A18:A19"/>
    <mergeCell ref="B18:B19"/>
    <mergeCell ref="C18:D18"/>
    <mergeCell ref="E18:E19"/>
    <mergeCell ref="F18:F19"/>
  </mergeCells>
  <phoneticPr fontId="23" type="noConversion"/>
  <pageMargins left="0.19685039370078741" right="0.19685039370078741" top="0.75196850393700787" bottom="0.39370078740157483" header="0.51181102362204722" footer="0.51181102362204722"/>
  <pageSetup paperSize="9" scale="62" orientation="landscape" r:id="rId1"/>
  <ignoredErrors>
    <ignoredError sqref="T11 T4:T6 T9 K11 K9 K8 K10 T7 K13" formula="1"/>
  </ignoredError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Darblapas</vt:lpstr>
      </vt:variant>
      <vt:variant>
        <vt:i4>9</vt:i4>
      </vt:variant>
      <vt:variant>
        <vt:lpstr>Diapazoni ar nosaukumiem</vt:lpstr>
      </vt:variant>
      <vt:variant>
        <vt:i4>3</vt:i4>
      </vt:variant>
    </vt:vector>
  </HeadingPairs>
  <TitlesOfParts>
    <vt:vector size="12" baseType="lpstr">
      <vt:lpstr>Kopt a</vt:lpstr>
      <vt:lpstr>Kops a</vt:lpstr>
      <vt:lpstr>1a</vt:lpstr>
      <vt:lpstr>2a</vt:lpstr>
      <vt:lpstr>3a</vt:lpstr>
      <vt:lpstr>4a</vt:lpstr>
      <vt:lpstr>5a</vt:lpstr>
      <vt:lpstr>6a</vt:lpstr>
      <vt:lpstr>apjomi</vt:lpstr>
      <vt:lpstr>apjomi!Drukas_apgabals</vt:lpstr>
      <vt:lpstr>sas</vt:lpstr>
      <vt:lpstr>sert.nr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Armands Ūbelis</dc:creator>
  <dc:description/>
  <cp:lastModifiedBy>Prezenta</cp:lastModifiedBy>
  <cp:revision>1</cp:revision>
  <cp:lastPrinted>2019-08-11T18:43:08Z</cp:lastPrinted>
  <dcterms:created xsi:type="dcterms:W3CDTF">2019-03-11T11:42:22Z</dcterms:created>
  <dcterms:modified xsi:type="dcterms:W3CDTF">2021-03-23T08:07:09Z</dcterms:modified>
  <dc:language>de-CH</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