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192.168.2.20\docs\Pagaidu dokumenti\Renovācija_iepirkums\Altum_iepirkumi\65_Reinu_Meza_3\"/>
    </mc:Choice>
  </mc:AlternateContent>
  <xr:revisionPtr revIDLastSave="0" documentId="13_ncr:1_{5625D657-32A3-40A6-8CC1-D316F8AD802B}" xr6:coauthVersionLast="45" xr6:coauthVersionMax="45" xr10:uidLastSave="{00000000-0000-0000-0000-000000000000}"/>
  <bookViews>
    <workbookView xWindow="10935" yWindow="300" windowWidth="17700" windowHeight="15345" tabRatio="581" firstSheet="1" activeTab="4" xr2:uid="{00000000-000D-0000-FFFF-FFFF00000000}"/>
  </bookViews>
  <sheets>
    <sheet name="Kopt a" sheetId="1" r:id="rId1"/>
    <sheet name="Kops a" sheetId="2" r:id="rId2"/>
    <sheet name="1a" sheetId="3" r:id="rId3"/>
    <sheet name="2a" sheetId="4" r:id="rId4"/>
    <sheet name="3a" sheetId="6" r:id="rId5"/>
    <sheet name="apjomi" sheetId="33" state="hidden" r:id="rId6"/>
    <sheet name="4a" sheetId="7" r:id="rId7"/>
    <sheet name="5a" sheetId="8" r:id="rId8"/>
    <sheet name="6a" sheetId="34" r:id="rId9"/>
    <sheet name="7a" sheetId="35" r:id="rId10"/>
    <sheet name="8a" sheetId="36" r:id="rId11"/>
    <sheet name="9a" sheetId="45" r:id="rId12"/>
    <sheet name="10a" sheetId="40" r:id="rId13"/>
  </sheets>
  <definedNames>
    <definedName name="_xlnm._FilterDatabase" localSheetId="2" hidden="1">'1a'!$A$14:$AMJ$86</definedName>
    <definedName name="dat">'Kops a'!$A$37</definedName>
    <definedName name="_xlnm.Print_Area" localSheetId="12">'10a'!$A$1:$P$54</definedName>
    <definedName name="_xlnm.Print_Area" localSheetId="3">'2a'!$A$1:$P$90</definedName>
    <definedName name="_xlnm.Print_Area" localSheetId="7">'5a'!$A$1:$P$63</definedName>
    <definedName name="_xlnm.Print_Area" localSheetId="5">apjomi!$A$1:$V$55</definedName>
    <definedName name="sas">'Kopt a'!$B$25</definedName>
    <definedName name="sert.nr">'Kopt a'!$B$28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3" i="2" l="1"/>
  <c r="B24" i="2"/>
  <c r="A23" i="2"/>
  <c r="A24" i="2" s="1"/>
  <c r="A51" i="45"/>
  <c r="C19" i="1" l="1"/>
  <c r="O15" i="35" l="1"/>
  <c r="O16" i="35"/>
  <c r="O22" i="35"/>
  <c r="O28" i="35"/>
  <c r="O34" i="35"/>
  <c r="O37" i="35"/>
  <c r="O40" i="35"/>
  <c r="O41" i="35"/>
  <c r="O42" i="35"/>
  <c r="O43" i="35"/>
  <c r="O44" i="35"/>
  <c r="O45" i="35"/>
  <c r="O46" i="35"/>
  <c r="N15" i="35"/>
  <c r="N16" i="35"/>
  <c r="N22" i="35"/>
  <c r="N28" i="35"/>
  <c r="N34" i="35"/>
  <c r="N37" i="35"/>
  <c r="N40" i="35"/>
  <c r="N41" i="35"/>
  <c r="N42" i="35"/>
  <c r="N43" i="35"/>
  <c r="N44" i="35"/>
  <c r="N45" i="35"/>
  <c r="N46" i="35"/>
  <c r="M37" i="35"/>
  <c r="P37" i="35" s="1"/>
  <c r="M41" i="35"/>
  <c r="P41" i="35" s="1"/>
  <c r="M45" i="35"/>
  <c r="P45" i="35" s="1"/>
  <c r="L15" i="35"/>
  <c r="L16" i="35"/>
  <c r="L22" i="35"/>
  <c r="L28" i="35"/>
  <c r="L34" i="35"/>
  <c r="L37" i="35"/>
  <c r="L40" i="35"/>
  <c r="L41" i="35"/>
  <c r="L42" i="35"/>
  <c r="L43" i="35"/>
  <c r="L44" i="35"/>
  <c r="L45" i="35"/>
  <c r="L46" i="35"/>
  <c r="K16" i="35"/>
  <c r="K20" i="35"/>
  <c r="K24" i="35"/>
  <c r="K28" i="35"/>
  <c r="K32" i="35"/>
  <c r="K36" i="35"/>
  <c r="K40" i="35"/>
  <c r="K44" i="35"/>
  <c r="H15" i="35"/>
  <c r="M15" i="35" s="1"/>
  <c r="P15" i="35" s="1"/>
  <c r="H16" i="35"/>
  <c r="M16" i="35" s="1"/>
  <c r="P16" i="35" s="1"/>
  <c r="H17" i="35"/>
  <c r="K17" i="35" s="1"/>
  <c r="H18" i="35"/>
  <c r="K18" i="35" s="1"/>
  <c r="H19" i="35"/>
  <c r="K19" i="35" s="1"/>
  <c r="H20" i="35"/>
  <c r="H21" i="35"/>
  <c r="K21" i="35" s="1"/>
  <c r="H22" i="35"/>
  <c r="M22" i="35" s="1"/>
  <c r="P22" i="35" s="1"/>
  <c r="H23" i="35"/>
  <c r="K23" i="35" s="1"/>
  <c r="H24" i="35"/>
  <c r="H25" i="35"/>
  <c r="K25" i="35" s="1"/>
  <c r="H26" i="35"/>
  <c r="K26" i="35" s="1"/>
  <c r="H27" i="35"/>
  <c r="K27" i="35" s="1"/>
  <c r="H28" i="35"/>
  <c r="M28" i="35" s="1"/>
  <c r="P28" i="35" s="1"/>
  <c r="H29" i="35"/>
  <c r="K29" i="35" s="1"/>
  <c r="H30" i="35"/>
  <c r="K30" i="35" s="1"/>
  <c r="H31" i="35"/>
  <c r="K31" i="35" s="1"/>
  <c r="H32" i="35"/>
  <c r="H33" i="35"/>
  <c r="K33" i="35" s="1"/>
  <c r="H34" i="35"/>
  <c r="M34" i="35" s="1"/>
  <c r="P34" i="35" s="1"/>
  <c r="H35" i="35"/>
  <c r="K35" i="35" s="1"/>
  <c r="H36" i="35"/>
  <c r="H37" i="35"/>
  <c r="K37" i="35" s="1"/>
  <c r="H38" i="35"/>
  <c r="K38" i="35" s="1"/>
  <c r="H39" i="35"/>
  <c r="K39" i="35" s="1"/>
  <c r="H40" i="35"/>
  <c r="M40" i="35" s="1"/>
  <c r="P40" i="35" s="1"/>
  <c r="H41" i="35"/>
  <c r="K41" i="35" s="1"/>
  <c r="H42" i="35"/>
  <c r="M42" i="35" s="1"/>
  <c r="P42" i="35" s="1"/>
  <c r="H43" i="35"/>
  <c r="M43" i="35" s="1"/>
  <c r="P43" i="35" s="1"/>
  <c r="H44" i="35"/>
  <c r="M44" i="35" s="1"/>
  <c r="P44" i="35" s="1"/>
  <c r="H45" i="35"/>
  <c r="K45" i="35" s="1"/>
  <c r="H46" i="35"/>
  <c r="M46" i="35" s="1"/>
  <c r="P46" i="35" s="1"/>
  <c r="H47" i="35"/>
  <c r="K47" i="35" s="1"/>
  <c r="K43" i="35" l="1"/>
  <c r="K15" i="35"/>
  <c r="K46" i="35"/>
  <c r="K42" i="35"/>
  <c r="K34" i="35"/>
  <c r="K22" i="35"/>
  <c r="C53" i="40"/>
  <c r="C45" i="40"/>
  <c r="C50" i="40" s="1"/>
  <c r="C75" i="45"/>
  <c r="C67" i="45"/>
  <c r="C72" i="45" s="1"/>
  <c r="C134" i="36"/>
  <c r="C126" i="36"/>
  <c r="C131" i="36" s="1"/>
  <c r="C59" i="35"/>
  <c r="C51" i="35"/>
  <c r="C56" i="35" s="1"/>
  <c r="C127" i="34"/>
  <c r="C119" i="34"/>
  <c r="C124" i="34" s="1"/>
  <c r="O65" i="36" l="1"/>
  <c r="O66" i="36"/>
  <c r="O67" i="36"/>
  <c r="O68" i="36"/>
  <c r="O69" i="36"/>
  <c r="N65" i="36"/>
  <c r="N66" i="36"/>
  <c r="N67" i="36"/>
  <c r="N68" i="36"/>
  <c r="N69" i="36"/>
  <c r="M68" i="36"/>
  <c r="L65" i="36"/>
  <c r="L66" i="36"/>
  <c r="L67" i="36"/>
  <c r="L68" i="36"/>
  <c r="L69" i="36"/>
  <c r="K68" i="36"/>
  <c r="H65" i="36"/>
  <c r="K65" i="36" s="1"/>
  <c r="H66" i="36"/>
  <c r="M66" i="36" s="1"/>
  <c r="P66" i="36" s="1"/>
  <c r="H67" i="36"/>
  <c r="M67" i="36" s="1"/>
  <c r="P67" i="36" s="1"/>
  <c r="H68" i="36"/>
  <c r="H69" i="36"/>
  <c r="M69" i="36" s="1"/>
  <c r="P69" i="36" s="1"/>
  <c r="A65" i="36"/>
  <c r="A66" i="36"/>
  <c r="A67" i="36"/>
  <c r="A68" i="36"/>
  <c r="A69" i="36"/>
  <c r="A70" i="36"/>
  <c r="K66" i="36" l="1"/>
  <c r="K69" i="36"/>
  <c r="P68" i="36"/>
  <c r="M65" i="36"/>
  <c r="P65" i="36" s="1"/>
  <c r="K67" i="36"/>
  <c r="A33" i="6"/>
  <c r="E39" i="6"/>
  <c r="E41" i="6"/>
  <c r="E37" i="6"/>
  <c r="E40" i="6" s="1"/>
  <c r="A15" i="45" l="1"/>
  <c r="A16" i="45" s="1"/>
  <c r="A17" i="45" s="1"/>
  <c r="A18" i="45" s="1"/>
  <c r="A19" i="45" s="1"/>
  <c r="A20" i="45" s="1"/>
  <c r="A21" i="45" s="1"/>
  <c r="A22" i="45" s="1"/>
  <c r="A23" i="45" s="1"/>
  <c r="A24" i="45" s="1"/>
  <c r="A25" i="45" s="1"/>
  <c r="A26" i="45" s="1"/>
  <c r="A27" i="45" s="1"/>
  <c r="A28" i="45" s="1"/>
  <c r="A29" i="45" s="1"/>
  <c r="A30" i="45" s="1"/>
  <c r="A31" i="45" s="1"/>
  <c r="A32" i="45" s="1"/>
  <c r="A33" i="45" s="1"/>
  <c r="A34" i="45" s="1"/>
  <c r="A35" i="45" s="1"/>
  <c r="A36" i="45" s="1"/>
  <c r="A37" i="45" s="1"/>
  <c r="A38" i="45" s="1"/>
  <c r="A39" i="45" s="1"/>
  <c r="A40" i="45" s="1"/>
  <c r="A41" i="45" s="1"/>
  <c r="A42" i="45" s="1"/>
  <c r="A43" i="45" s="1"/>
  <c r="A44" i="45" s="1"/>
  <c r="A45" i="45" s="1"/>
  <c r="A46" i="45" s="1"/>
  <c r="A47" i="45" s="1"/>
  <c r="A48" i="45" s="1"/>
  <c r="A49" i="45" s="1"/>
  <c r="A50" i="45" s="1"/>
  <c r="A52" i="45" s="1"/>
  <c r="A53" i="45" s="1"/>
  <c r="A54" i="45" s="1"/>
  <c r="A55" i="45" s="1"/>
  <c r="A56" i="45" s="1"/>
  <c r="A57" i="45" s="1"/>
  <c r="A58" i="45" s="1"/>
  <c r="A59" i="45" s="1"/>
  <c r="A60" i="45" s="1"/>
  <c r="A61" i="45" s="1"/>
  <c r="A62" i="45" s="1"/>
  <c r="A63" i="45" s="1"/>
  <c r="O16" i="40" l="1"/>
  <c r="O17" i="40"/>
  <c r="O18" i="40"/>
  <c r="O19" i="40"/>
  <c r="O20" i="40"/>
  <c r="O21" i="40"/>
  <c r="O22" i="40"/>
  <c r="O23" i="40"/>
  <c r="O24" i="40"/>
  <c r="O25" i="40"/>
  <c r="O26" i="40"/>
  <c r="O27" i="40"/>
  <c r="O28" i="40"/>
  <c r="O29" i="40"/>
  <c r="O30" i="40"/>
  <c r="O31" i="40"/>
  <c r="O32" i="40"/>
  <c r="O33" i="40"/>
  <c r="O34" i="40"/>
  <c r="O35" i="40"/>
  <c r="O36" i="40"/>
  <c r="O37" i="40"/>
  <c r="O38" i="40"/>
  <c r="O39" i="40"/>
  <c r="O40" i="40"/>
  <c r="O41" i="40"/>
  <c r="N16" i="40"/>
  <c r="N17" i="40"/>
  <c r="N18" i="40"/>
  <c r="N19" i="40"/>
  <c r="N20" i="40"/>
  <c r="N21" i="40"/>
  <c r="N22" i="40"/>
  <c r="N23" i="40"/>
  <c r="N24" i="40"/>
  <c r="N25" i="40"/>
  <c r="N26" i="40"/>
  <c r="N27" i="40"/>
  <c r="N28" i="40"/>
  <c r="N29" i="40"/>
  <c r="N30" i="40"/>
  <c r="N31" i="40"/>
  <c r="N32" i="40"/>
  <c r="N33" i="40"/>
  <c r="N34" i="40"/>
  <c r="N35" i="40"/>
  <c r="N36" i="40"/>
  <c r="N37" i="40"/>
  <c r="N38" i="40"/>
  <c r="N39" i="40"/>
  <c r="N40" i="40"/>
  <c r="N41" i="40"/>
  <c r="L16" i="40"/>
  <c r="L17" i="40"/>
  <c r="L18" i="40"/>
  <c r="L19" i="40"/>
  <c r="L20" i="40"/>
  <c r="L21" i="40"/>
  <c r="L22" i="40"/>
  <c r="L23" i="40"/>
  <c r="L24" i="40"/>
  <c r="L25" i="40"/>
  <c r="L26" i="40"/>
  <c r="L27" i="40"/>
  <c r="L28" i="40"/>
  <c r="L29" i="40"/>
  <c r="L30" i="40"/>
  <c r="L31" i="40"/>
  <c r="L32" i="40"/>
  <c r="L33" i="40"/>
  <c r="L34" i="40"/>
  <c r="L35" i="40"/>
  <c r="L36" i="40"/>
  <c r="L37" i="40"/>
  <c r="L38" i="40"/>
  <c r="L39" i="40"/>
  <c r="L40" i="40"/>
  <c r="H16" i="40"/>
  <c r="K16" i="40" s="1"/>
  <c r="H17" i="40"/>
  <c r="M17" i="40" s="1"/>
  <c r="H18" i="40"/>
  <c r="K18" i="40" s="1"/>
  <c r="H19" i="40"/>
  <c r="M19" i="40" s="1"/>
  <c r="H20" i="40"/>
  <c r="K20" i="40" s="1"/>
  <c r="H21" i="40"/>
  <c r="M21" i="40" s="1"/>
  <c r="H22" i="40"/>
  <c r="M22" i="40" s="1"/>
  <c r="P22" i="40" s="1"/>
  <c r="H23" i="40"/>
  <c r="M23" i="40" s="1"/>
  <c r="P23" i="40" s="1"/>
  <c r="H24" i="40"/>
  <c r="K24" i="40" s="1"/>
  <c r="H25" i="40"/>
  <c r="K25" i="40" s="1"/>
  <c r="H26" i="40"/>
  <c r="K26" i="40" s="1"/>
  <c r="H27" i="40"/>
  <c r="M27" i="40" s="1"/>
  <c r="H28" i="40"/>
  <c r="K28" i="40" s="1"/>
  <c r="H29" i="40"/>
  <c r="M29" i="40" s="1"/>
  <c r="H30" i="40"/>
  <c r="M30" i="40" s="1"/>
  <c r="P30" i="40" s="1"/>
  <c r="H31" i="40"/>
  <c r="M31" i="40" s="1"/>
  <c r="P31" i="40" s="1"/>
  <c r="H32" i="40"/>
  <c r="K32" i="40" s="1"/>
  <c r="H33" i="40"/>
  <c r="M33" i="40" s="1"/>
  <c r="H34" i="40"/>
  <c r="K34" i="40" s="1"/>
  <c r="H35" i="40"/>
  <c r="M35" i="40" s="1"/>
  <c r="H36" i="40"/>
  <c r="M36" i="40" s="1"/>
  <c r="H37" i="40"/>
  <c r="M37" i="40" s="1"/>
  <c r="H38" i="40"/>
  <c r="M38" i="40" s="1"/>
  <c r="P38" i="40" s="1"/>
  <c r="H39" i="40"/>
  <c r="K39" i="40" s="1"/>
  <c r="H40" i="40"/>
  <c r="K40" i="40" s="1"/>
  <c r="A41" i="40"/>
  <c r="A16" i="40"/>
  <c r="A17" i="40"/>
  <c r="A18" i="40"/>
  <c r="A19" i="40"/>
  <c r="A20" i="40"/>
  <c r="A21" i="40"/>
  <c r="A22" i="40"/>
  <c r="A23" i="40"/>
  <c r="A24" i="40"/>
  <c r="A25" i="40"/>
  <c r="A26" i="40"/>
  <c r="A27" i="40"/>
  <c r="A28" i="40"/>
  <c r="A29" i="40"/>
  <c r="A30" i="40"/>
  <c r="A31" i="40"/>
  <c r="A32" i="40"/>
  <c r="A33" i="40"/>
  <c r="A34" i="40"/>
  <c r="A35" i="40"/>
  <c r="A36" i="40"/>
  <c r="A37" i="40"/>
  <c r="A38" i="40"/>
  <c r="A39" i="40"/>
  <c r="A40" i="40"/>
  <c r="O15" i="45"/>
  <c r="O16" i="45"/>
  <c r="O17" i="45"/>
  <c r="O18" i="45"/>
  <c r="O19" i="45"/>
  <c r="O20" i="45"/>
  <c r="O21" i="45"/>
  <c r="O22" i="45"/>
  <c r="O23" i="45"/>
  <c r="O24" i="45"/>
  <c r="O25" i="45"/>
  <c r="O26" i="45"/>
  <c r="O27" i="45"/>
  <c r="O28" i="45"/>
  <c r="O29" i="45"/>
  <c r="O30" i="45"/>
  <c r="O31" i="45"/>
  <c r="O32" i="45"/>
  <c r="O33" i="45"/>
  <c r="O34" i="45"/>
  <c r="O35" i="45"/>
  <c r="O36" i="45"/>
  <c r="O37" i="45"/>
  <c r="O38" i="45"/>
  <c r="O39" i="45"/>
  <c r="O40" i="45"/>
  <c r="O41" i="45"/>
  <c r="O42" i="45"/>
  <c r="O43" i="45"/>
  <c r="O44" i="45"/>
  <c r="O45" i="45"/>
  <c r="O46" i="45"/>
  <c r="O47" i="45"/>
  <c r="O48" i="45"/>
  <c r="O49" i="45"/>
  <c r="O50" i="45"/>
  <c r="O51" i="45"/>
  <c r="O52" i="45"/>
  <c r="O53" i="45"/>
  <c r="O54" i="45"/>
  <c r="O55" i="45"/>
  <c r="O56" i="45"/>
  <c r="O57" i="45"/>
  <c r="O58" i="45"/>
  <c r="O59" i="45"/>
  <c r="O60" i="45"/>
  <c r="O61" i="45"/>
  <c r="O62" i="45"/>
  <c r="O63" i="45"/>
  <c r="N15" i="45"/>
  <c r="N16" i="45"/>
  <c r="N17" i="45"/>
  <c r="N18" i="45"/>
  <c r="N19" i="45"/>
  <c r="N20" i="45"/>
  <c r="N21" i="45"/>
  <c r="N22" i="45"/>
  <c r="N23" i="45"/>
  <c r="N24" i="45"/>
  <c r="N25" i="45"/>
  <c r="N26" i="45"/>
  <c r="N27" i="45"/>
  <c r="N28" i="45"/>
  <c r="N29" i="45"/>
  <c r="N30" i="45"/>
  <c r="N31" i="45"/>
  <c r="N32" i="45"/>
  <c r="N33" i="45"/>
  <c r="N34" i="45"/>
  <c r="N35" i="45"/>
  <c r="N36" i="45"/>
  <c r="N37" i="45"/>
  <c r="N38" i="45"/>
  <c r="N39" i="45"/>
  <c r="N40" i="45"/>
  <c r="N41" i="45"/>
  <c r="N42" i="45"/>
  <c r="N43" i="45"/>
  <c r="N44" i="45"/>
  <c r="N45" i="45"/>
  <c r="N46" i="45"/>
  <c r="N47" i="45"/>
  <c r="N48" i="45"/>
  <c r="N49" i="45"/>
  <c r="N50" i="45"/>
  <c r="N51" i="45"/>
  <c r="N52" i="45"/>
  <c r="N53" i="45"/>
  <c r="N54" i="45"/>
  <c r="N55" i="45"/>
  <c r="N56" i="45"/>
  <c r="N57" i="45"/>
  <c r="N58" i="45"/>
  <c r="N59" i="45"/>
  <c r="N60" i="45"/>
  <c r="N61" i="45"/>
  <c r="N62" i="45"/>
  <c r="N63" i="45"/>
  <c r="L15" i="45"/>
  <c r="L16" i="45"/>
  <c r="L17" i="45"/>
  <c r="L18" i="45"/>
  <c r="L19" i="45"/>
  <c r="L20" i="45"/>
  <c r="L21" i="45"/>
  <c r="L22" i="45"/>
  <c r="L23" i="45"/>
  <c r="L24" i="45"/>
  <c r="L25" i="45"/>
  <c r="L26" i="45"/>
  <c r="L27" i="45"/>
  <c r="L28" i="45"/>
  <c r="L29" i="45"/>
  <c r="L30" i="45"/>
  <c r="L31" i="45"/>
  <c r="L32" i="45"/>
  <c r="L33" i="45"/>
  <c r="L34" i="45"/>
  <c r="L35" i="45"/>
  <c r="L36" i="45"/>
  <c r="L37" i="45"/>
  <c r="L38" i="45"/>
  <c r="L39" i="45"/>
  <c r="L40" i="45"/>
  <c r="L41" i="45"/>
  <c r="L42" i="45"/>
  <c r="L43" i="45"/>
  <c r="L44" i="45"/>
  <c r="L45" i="45"/>
  <c r="L46" i="45"/>
  <c r="L47" i="45"/>
  <c r="L48" i="45"/>
  <c r="L49" i="45"/>
  <c r="L50" i="45"/>
  <c r="L51" i="45"/>
  <c r="L52" i="45"/>
  <c r="L53" i="45"/>
  <c r="L54" i="45"/>
  <c r="L55" i="45"/>
  <c r="L56" i="45"/>
  <c r="L57" i="45"/>
  <c r="L58" i="45"/>
  <c r="L59" i="45"/>
  <c r="L60" i="45"/>
  <c r="L61" i="45"/>
  <c r="L62" i="45"/>
  <c r="L63" i="45"/>
  <c r="H15" i="45"/>
  <c r="M15" i="45" s="1"/>
  <c r="H16" i="45"/>
  <c r="K16" i="45" s="1"/>
  <c r="H17" i="45"/>
  <c r="K17" i="45" s="1"/>
  <c r="H18" i="45"/>
  <c r="K18" i="45" s="1"/>
  <c r="H19" i="45"/>
  <c r="K19" i="45" s="1"/>
  <c r="H20" i="45"/>
  <c r="M20" i="45" s="1"/>
  <c r="H21" i="45"/>
  <c r="M21" i="45" s="1"/>
  <c r="H22" i="45"/>
  <c r="M22" i="45" s="1"/>
  <c r="H23" i="45"/>
  <c r="M23" i="45" s="1"/>
  <c r="H24" i="45"/>
  <c r="K24" i="45" s="1"/>
  <c r="H25" i="45"/>
  <c r="K25" i="45" s="1"/>
  <c r="H26" i="45"/>
  <c r="K26" i="45" s="1"/>
  <c r="H27" i="45"/>
  <c r="K27" i="45" s="1"/>
  <c r="H28" i="45"/>
  <c r="M28" i="45" s="1"/>
  <c r="H29" i="45"/>
  <c r="M29" i="45" s="1"/>
  <c r="H30" i="45"/>
  <c r="M30" i="45" s="1"/>
  <c r="H31" i="45"/>
  <c r="M31" i="45" s="1"/>
  <c r="H32" i="45"/>
  <c r="K32" i="45" s="1"/>
  <c r="H33" i="45"/>
  <c r="K33" i="45" s="1"/>
  <c r="H34" i="45"/>
  <c r="K34" i="45" s="1"/>
  <c r="H35" i="45"/>
  <c r="K35" i="45" s="1"/>
  <c r="H36" i="45"/>
  <c r="M36" i="45" s="1"/>
  <c r="H37" i="45"/>
  <c r="M37" i="45" s="1"/>
  <c r="H38" i="45"/>
  <c r="M38" i="45" s="1"/>
  <c r="H39" i="45"/>
  <c r="M39" i="45" s="1"/>
  <c r="H40" i="45"/>
  <c r="K40" i="45" s="1"/>
  <c r="H41" i="45"/>
  <c r="K41" i="45" s="1"/>
  <c r="H42" i="45"/>
  <c r="K42" i="45" s="1"/>
  <c r="H43" i="45"/>
  <c r="K43" i="45" s="1"/>
  <c r="H44" i="45"/>
  <c r="M44" i="45" s="1"/>
  <c r="H45" i="45"/>
  <c r="M45" i="45" s="1"/>
  <c r="H46" i="45"/>
  <c r="M46" i="45" s="1"/>
  <c r="H47" i="45"/>
  <c r="M47" i="45" s="1"/>
  <c r="H48" i="45"/>
  <c r="K48" i="45" s="1"/>
  <c r="H49" i="45"/>
  <c r="K49" i="45" s="1"/>
  <c r="H50" i="45"/>
  <c r="K50" i="45" s="1"/>
  <c r="H51" i="45"/>
  <c r="M51" i="45" s="1"/>
  <c r="H52" i="45"/>
  <c r="M52" i="45" s="1"/>
  <c r="H53" i="45"/>
  <c r="M53" i="45" s="1"/>
  <c r="H54" i="45"/>
  <c r="M54" i="45" s="1"/>
  <c r="H55" i="45"/>
  <c r="K55" i="45" s="1"/>
  <c r="H56" i="45"/>
  <c r="K56" i="45" s="1"/>
  <c r="H57" i="45"/>
  <c r="K57" i="45" s="1"/>
  <c r="H58" i="45"/>
  <c r="K58" i="45" s="1"/>
  <c r="H59" i="45"/>
  <c r="M59" i="45" s="1"/>
  <c r="H60" i="45"/>
  <c r="M60" i="45" s="1"/>
  <c r="H61" i="45"/>
  <c r="M61" i="45" s="1"/>
  <c r="H62" i="45"/>
  <c r="M62" i="45" s="1"/>
  <c r="H63" i="45"/>
  <c r="K63" i="45" s="1"/>
  <c r="B17" i="2"/>
  <c r="A16" i="2"/>
  <c r="B16" i="2" s="1"/>
  <c r="A18" i="2"/>
  <c r="A19" i="2" s="1"/>
  <c r="A20" i="2" s="1"/>
  <c r="A21" i="2" s="1"/>
  <c r="A22" i="2" s="1"/>
  <c r="B22" i="2" s="1"/>
  <c r="C23" i="2"/>
  <c r="O14" i="45"/>
  <c r="N14" i="45"/>
  <c r="L14" i="45"/>
  <c r="H14" i="45"/>
  <c r="K14" i="45" s="1"/>
  <c r="K23" i="40" l="1"/>
  <c r="B21" i="2"/>
  <c r="P33" i="40"/>
  <c r="P17" i="40"/>
  <c r="M39" i="40"/>
  <c r="P39" i="40" s="1"/>
  <c r="B20" i="2"/>
  <c r="M34" i="40"/>
  <c r="P34" i="40" s="1"/>
  <c r="M18" i="40"/>
  <c r="K33" i="40"/>
  <c r="K31" i="40"/>
  <c r="P36" i="40"/>
  <c r="M20" i="40"/>
  <c r="P20" i="40" s="1"/>
  <c r="K36" i="40"/>
  <c r="M25" i="40"/>
  <c r="P25" i="40" s="1"/>
  <c r="P37" i="40"/>
  <c r="P29" i="40"/>
  <c r="P21" i="40"/>
  <c r="P19" i="40"/>
  <c r="P27" i="40"/>
  <c r="P18" i="40"/>
  <c r="M28" i="40"/>
  <c r="P28" i="40" s="1"/>
  <c r="P35" i="40"/>
  <c r="K17" i="40"/>
  <c r="M26" i="40"/>
  <c r="P26" i="40" s="1"/>
  <c r="K59" i="45"/>
  <c r="K36" i="45"/>
  <c r="K28" i="45"/>
  <c r="P60" i="45"/>
  <c r="P52" i="45"/>
  <c r="P45" i="45"/>
  <c r="P37" i="45"/>
  <c r="P29" i="45"/>
  <c r="P21" i="45"/>
  <c r="K51" i="45"/>
  <c r="K20" i="45"/>
  <c r="K37" i="45"/>
  <c r="M24" i="45"/>
  <c r="P24" i="45" s="1"/>
  <c r="M16" i="45"/>
  <c r="P16" i="45" s="1"/>
  <c r="K44" i="45"/>
  <c r="M63" i="45"/>
  <c r="P63" i="45" s="1"/>
  <c r="P62" i="45"/>
  <c r="P54" i="45"/>
  <c r="P47" i="45"/>
  <c r="P39" i="45"/>
  <c r="P31" i="45"/>
  <c r="P23" i="45"/>
  <c r="P15" i="45"/>
  <c r="M55" i="45"/>
  <c r="P55" i="45" s="1"/>
  <c r="P61" i="45"/>
  <c r="P53" i="45"/>
  <c r="P46" i="45"/>
  <c r="P38" i="45"/>
  <c r="P30" i="45"/>
  <c r="P22" i="45"/>
  <c r="K60" i="45"/>
  <c r="K29" i="45"/>
  <c r="M48" i="45"/>
  <c r="P48" i="45" s="1"/>
  <c r="M40" i="45"/>
  <c r="P40" i="45" s="1"/>
  <c r="P59" i="45"/>
  <c r="P51" i="45"/>
  <c r="P44" i="45"/>
  <c r="P36" i="45"/>
  <c r="P28" i="45"/>
  <c r="P20" i="45"/>
  <c r="K52" i="45"/>
  <c r="K21" i="45"/>
  <c r="M32" i="45"/>
  <c r="P32" i="45" s="1"/>
  <c r="K45" i="45"/>
  <c r="K62" i="45"/>
  <c r="K54" i="45"/>
  <c r="K47" i="45"/>
  <c r="K39" i="45"/>
  <c r="K31" i="45"/>
  <c r="K23" i="45"/>
  <c r="K15" i="45"/>
  <c r="M58" i="45"/>
  <c r="P58" i="45" s="1"/>
  <c r="M43" i="45"/>
  <c r="P43" i="45" s="1"/>
  <c r="M35" i="45"/>
  <c r="P35" i="45" s="1"/>
  <c r="M27" i="45"/>
  <c r="P27" i="45" s="1"/>
  <c r="M19" i="45"/>
  <c r="P19" i="45" s="1"/>
  <c r="K38" i="40"/>
  <c r="K30" i="40"/>
  <c r="K22" i="40"/>
  <c r="K61" i="45"/>
  <c r="K53" i="45"/>
  <c r="K46" i="45"/>
  <c r="K38" i="45"/>
  <c r="K30" i="45"/>
  <c r="K22" i="45"/>
  <c r="M57" i="45"/>
  <c r="P57" i="45" s="1"/>
  <c r="M50" i="45"/>
  <c r="P50" i="45" s="1"/>
  <c r="M42" i="45"/>
  <c r="P42" i="45" s="1"/>
  <c r="M34" i="45"/>
  <c r="P34" i="45" s="1"/>
  <c r="M26" i="45"/>
  <c r="P26" i="45" s="1"/>
  <c r="M18" i="45"/>
  <c r="P18" i="45" s="1"/>
  <c r="K37" i="40"/>
  <c r="K29" i="40"/>
  <c r="K21" i="40"/>
  <c r="M40" i="40"/>
  <c r="P40" i="40" s="1"/>
  <c r="M32" i="40"/>
  <c r="P32" i="40" s="1"/>
  <c r="M24" i="40"/>
  <c r="P24" i="40" s="1"/>
  <c r="M16" i="40"/>
  <c r="P16" i="40" s="1"/>
  <c r="M56" i="45"/>
  <c r="P56" i="45" s="1"/>
  <c r="M49" i="45"/>
  <c r="P49" i="45" s="1"/>
  <c r="M41" i="45"/>
  <c r="P41" i="45" s="1"/>
  <c r="M33" i="45"/>
  <c r="P33" i="45" s="1"/>
  <c r="M25" i="45"/>
  <c r="P25" i="45" s="1"/>
  <c r="M17" i="45"/>
  <c r="P17" i="45" s="1"/>
  <c r="K35" i="40"/>
  <c r="K27" i="40"/>
  <c r="K19" i="40"/>
  <c r="B19" i="2"/>
  <c r="B18" i="2"/>
  <c r="M14" i="45"/>
  <c r="P14" i="45" s="1"/>
  <c r="O64" i="45"/>
  <c r="N64" i="45"/>
  <c r="P64" i="45" l="1"/>
  <c r="N9" i="45" s="1"/>
  <c r="M64" i="45"/>
  <c r="O15" i="36" l="1"/>
  <c r="O16" i="36"/>
  <c r="O17" i="36"/>
  <c r="O18" i="36"/>
  <c r="O19" i="36"/>
  <c r="O20" i="36"/>
  <c r="O21" i="36"/>
  <c r="O22" i="36"/>
  <c r="O23" i="36"/>
  <c r="O24" i="36"/>
  <c r="O25" i="36"/>
  <c r="O26" i="36"/>
  <c r="O27" i="36"/>
  <c r="O28" i="36"/>
  <c r="O29" i="36"/>
  <c r="O30" i="36"/>
  <c r="O36" i="36"/>
  <c r="O37" i="36"/>
  <c r="O39" i="36"/>
  <c r="O40" i="36"/>
  <c r="O41" i="36"/>
  <c r="O42" i="36"/>
  <c r="O43" i="36"/>
  <c r="O45" i="36"/>
  <c r="O47" i="36"/>
  <c r="O49" i="36"/>
  <c r="O55" i="36"/>
  <c r="O56" i="36"/>
  <c r="O57" i="36"/>
  <c r="O59" i="36"/>
  <c r="O60" i="36"/>
  <c r="O64" i="36"/>
  <c r="O70" i="36"/>
  <c r="O71" i="36"/>
  <c r="O72" i="36"/>
  <c r="O73" i="36"/>
  <c r="O77" i="36"/>
  <c r="O78" i="36"/>
  <c r="O80" i="36"/>
  <c r="O81" i="36"/>
  <c r="O82" i="36"/>
  <c r="O83" i="36"/>
  <c r="O84" i="36"/>
  <c r="O85" i="36"/>
  <c r="O90" i="36"/>
  <c r="O91" i="36"/>
  <c r="O92" i="36"/>
  <c r="O93" i="36"/>
  <c r="O94" i="36"/>
  <c r="O95" i="36"/>
  <c r="O102" i="36"/>
  <c r="O103" i="36"/>
  <c r="O104" i="36"/>
  <c r="O109" i="36"/>
  <c r="O110" i="36"/>
  <c r="O111" i="36"/>
  <c r="O112" i="36"/>
  <c r="O113" i="36"/>
  <c r="O114" i="36"/>
  <c r="O115" i="36"/>
  <c r="O116" i="36"/>
  <c r="O117" i="36"/>
  <c r="O118" i="36"/>
  <c r="O119" i="36"/>
  <c r="O120" i="36"/>
  <c r="O121" i="36"/>
  <c r="N15" i="36"/>
  <c r="N16" i="36"/>
  <c r="N17" i="36"/>
  <c r="N18" i="36"/>
  <c r="N19" i="36"/>
  <c r="N20" i="36"/>
  <c r="N21" i="36"/>
  <c r="N22" i="36"/>
  <c r="N23" i="36"/>
  <c r="N24" i="36"/>
  <c r="N25" i="36"/>
  <c r="N26" i="36"/>
  <c r="N27" i="36"/>
  <c r="N28" i="36"/>
  <c r="N29" i="36"/>
  <c r="N30" i="36"/>
  <c r="N36" i="36"/>
  <c r="N37" i="36"/>
  <c r="N39" i="36"/>
  <c r="N40" i="36"/>
  <c r="N41" i="36"/>
  <c r="N42" i="36"/>
  <c r="N43" i="36"/>
  <c r="N45" i="36"/>
  <c r="N47" i="36"/>
  <c r="N49" i="36"/>
  <c r="N55" i="36"/>
  <c r="N56" i="36"/>
  <c r="N57" i="36"/>
  <c r="N59" i="36"/>
  <c r="N60" i="36"/>
  <c r="N64" i="36"/>
  <c r="N70" i="36"/>
  <c r="N71" i="36"/>
  <c r="N72" i="36"/>
  <c r="N73" i="36"/>
  <c r="N77" i="36"/>
  <c r="N78" i="36"/>
  <c r="N80" i="36"/>
  <c r="N81" i="36"/>
  <c r="N82" i="36"/>
  <c r="N83" i="36"/>
  <c r="N84" i="36"/>
  <c r="N85" i="36"/>
  <c r="N90" i="36"/>
  <c r="N91" i="36"/>
  <c r="N92" i="36"/>
  <c r="N93" i="36"/>
  <c r="N94" i="36"/>
  <c r="N95" i="36"/>
  <c r="N102" i="36"/>
  <c r="N103" i="36"/>
  <c r="N104" i="36"/>
  <c r="N109" i="36"/>
  <c r="N110" i="36"/>
  <c r="N111" i="36"/>
  <c r="N112" i="36"/>
  <c r="N113" i="36"/>
  <c r="N114" i="36"/>
  <c r="N115" i="36"/>
  <c r="N116" i="36"/>
  <c r="N117" i="36"/>
  <c r="N118" i="36"/>
  <c r="N119" i="36"/>
  <c r="N120" i="36"/>
  <c r="N121" i="36"/>
  <c r="L15" i="36"/>
  <c r="L16" i="36"/>
  <c r="L17" i="36"/>
  <c r="L18" i="36"/>
  <c r="L19" i="36"/>
  <c r="L20" i="36"/>
  <c r="L21" i="36"/>
  <c r="L22" i="36"/>
  <c r="L23" i="36"/>
  <c r="L24" i="36"/>
  <c r="L25" i="36"/>
  <c r="L26" i="36"/>
  <c r="L27" i="36"/>
  <c r="L28" i="36"/>
  <c r="L29" i="36"/>
  <c r="L30" i="36"/>
  <c r="L36" i="36"/>
  <c r="L37" i="36"/>
  <c r="L39" i="36"/>
  <c r="L40" i="36"/>
  <c r="L41" i="36"/>
  <c r="L42" i="36"/>
  <c r="L43" i="36"/>
  <c r="L45" i="36"/>
  <c r="L47" i="36"/>
  <c r="L49" i="36"/>
  <c r="L55" i="36"/>
  <c r="L56" i="36"/>
  <c r="L57" i="36"/>
  <c r="L59" i="36"/>
  <c r="L60" i="36"/>
  <c r="L64" i="36"/>
  <c r="L70" i="36"/>
  <c r="L71" i="36"/>
  <c r="L72" i="36"/>
  <c r="L73" i="36"/>
  <c r="L77" i="36"/>
  <c r="L78" i="36"/>
  <c r="L80" i="36"/>
  <c r="L81" i="36"/>
  <c r="L82" i="36"/>
  <c r="L83" i="36"/>
  <c r="L84" i="36"/>
  <c r="L85" i="36"/>
  <c r="L90" i="36"/>
  <c r="L91" i="36"/>
  <c r="L92" i="36"/>
  <c r="L93" i="36"/>
  <c r="L94" i="36"/>
  <c r="L95" i="36"/>
  <c r="L102" i="36"/>
  <c r="L103" i="36"/>
  <c r="L104" i="36"/>
  <c r="L109" i="36"/>
  <c r="L110" i="36"/>
  <c r="L111" i="36"/>
  <c r="L112" i="36"/>
  <c r="L113" i="36"/>
  <c r="L114" i="36"/>
  <c r="L115" i="36"/>
  <c r="L116" i="36"/>
  <c r="L117" i="36"/>
  <c r="L118" i="36"/>
  <c r="L119" i="36"/>
  <c r="L120" i="36"/>
  <c r="L121" i="36"/>
  <c r="H16" i="36"/>
  <c r="K16" i="36" s="1"/>
  <c r="H17" i="36"/>
  <c r="M17" i="36" s="1"/>
  <c r="H18" i="36"/>
  <c r="M18" i="36" s="1"/>
  <c r="P18" i="36" s="1"/>
  <c r="H19" i="36"/>
  <c r="K19" i="36" s="1"/>
  <c r="H20" i="36"/>
  <c r="H21" i="36"/>
  <c r="M21" i="36" s="1"/>
  <c r="P21" i="36" s="1"/>
  <c r="H22" i="36"/>
  <c r="K22" i="36" s="1"/>
  <c r="H23" i="36"/>
  <c r="K23" i="36" s="1"/>
  <c r="H24" i="36"/>
  <c r="K24" i="36" s="1"/>
  <c r="H25" i="36"/>
  <c r="M25" i="36" s="1"/>
  <c r="H26" i="36"/>
  <c r="M26" i="36" s="1"/>
  <c r="P26" i="36" s="1"/>
  <c r="H27" i="36"/>
  <c r="M27" i="36" s="1"/>
  <c r="P27" i="36" s="1"/>
  <c r="H28" i="36"/>
  <c r="H29" i="36"/>
  <c r="M29" i="36" s="1"/>
  <c r="P29" i="36" s="1"/>
  <c r="H30" i="36"/>
  <c r="K30" i="36" s="1"/>
  <c r="H31" i="36"/>
  <c r="K31" i="36" s="1"/>
  <c r="H32" i="36"/>
  <c r="K32" i="36" s="1"/>
  <c r="H33" i="36"/>
  <c r="K33" i="36" s="1"/>
  <c r="H34" i="36"/>
  <c r="K34" i="36" s="1"/>
  <c r="H35" i="36"/>
  <c r="K35" i="36" s="1"/>
  <c r="H36" i="36"/>
  <c r="H37" i="36"/>
  <c r="M37" i="36" s="1"/>
  <c r="P37" i="36" s="1"/>
  <c r="H38" i="36"/>
  <c r="K38" i="36" s="1"/>
  <c r="H39" i="36"/>
  <c r="K39" i="36" s="1"/>
  <c r="H40" i="36"/>
  <c r="K40" i="36" s="1"/>
  <c r="H41" i="36"/>
  <c r="M41" i="36" s="1"/>
  <c r="P41" i="36" s="1"/>
  <c r="H42" i="36"/>
  <c r="M42" i="36" s="1"/>
  <c r="P42" i="36" s="1"/>
  <c r="H43" i="36"/>
  <c r="K43" i="36" s="1"/>
  <c r="H44" i="36"/>
  <c r="K44" i="36" s="1"/>
  <c r="H45" i="36"/>
  <c r="M45" i="36" s="1"/>
  <c r="P45" i="36" s="1"/>
  <c r="H46" i="36"/>
  <c r="K46" i="36" s="1"/>
  <c r="H47" i="36"/>
  <c r="K47" i="36" s="1"/>
  <c r="H48" i="36"/>
  <c r="K48" i="36" s="1"/>
  <c r="H49" i="36"/>
  <c r="M49" i="36" s="1"/>
  <c r="H50" i="36"/>
  <c r="K50" i="36" s="1"/>
  <c r="H51" i="36"/>
  <c r="K51" i="36" s="1"/>
  <c r="H52" i="36"/>
  <c r="K52" i="36" s="1"/>
  <c r="H53" i="36"/>
  <c r="K53" i="36" s="1"/>
  <c r="H54" i="36"/>
  <c r="K54" i="36" s="1"/>
  <c r="H55" i="36"/>
  <c r="K55" i="36" s="1"/>
  <c r="H56" i="36"/>
  <c r="K56" i="36" s="1"/>
  <c r="H57" i="36"/>
  <c r="M57" i="36" s="1"/>
  <c r="P57" i="36" s="1"/>
  <c r="H58" i="36"/>
  <c r="K58" i="36" s="1"/>
  <c r="H59" i="36"/>
  <c r="K59" i="36" s="1"/>
  <c r="H60" i="36"/>
  <c r="H61" i="36"/>
  <c r="K61" i="36" s="1"/>
  <c r="H62" i="36"/>
  <c r="K62" i="36" s="1"/>
  <c r="H63" i="36"/>
  <c r="K63" i="36" s="1"/>
  <c r="H64" i="36"/>
  <c r="K64" i="36" s="1"/>
  <c r="H70" i="36"/>
  <c r="M70" i="36" s="1"/>
  <c r="H71" i="36"/>
  <c r="M71" i="36" s="1"/>
  <c r="H72" i="36"/>
  <c r="K72" i="36" s="1"/>
  <c r="H73" i="36"/>
  <c r="H74" i="36"/>
  <c r="K74" i="36" s="1"/>
  <c r="H75" i="36"/>
  <c r="K75" i="36" s="1"/>
  <c r="H76" i="36"/>
  <c r="K76" i="36" s="1"/>
  <c r="H77" i="36"/>
  <c r="K77" i="36" s="1"/>
  <c r="H78" i="36"/>
  <c r="M78" i="36" s="1"/>
  <c r="P78" i="36" s="1"/>
  <c r="H79" i="36"/>
  <c r="K79" i="36" s="1"/>
  <c r="H80" i="36"/>
  <c r="K80" i="36" s="1"/>
  <c r="H81" i="36"/>
  <c r="H82" i="36"/>
  <c r="M82" i="36" s="1"/>
  <c r="P82" i="36" s="1"/>
  <c r="H83" i="36"/>
  <c r="K83" i="36" s="1"/>
  <c r="H84" i="36"/>
  <c r="K84" i="36" s="1"/>
  <c r="H85" i="36"/>
  <c r="K85" i="36" s="1"/>
  <c r="H86" i="36"/>
  <c r="K86" i="36" s="1"/>
  <c r="H87" i="36"/>
  <c r="K87" i="36" s="1"/>
  <c r="H88" i="36"/>
  <c r="K88" i="36" s="1"/>
  <c r="H89" i="36"/>
  <c r="K89" i="36" s="1"/>
  <c r="H90" i="36"/>
  <c r="M90" i="36" s="1"/>
  <c r="P90" i="36" s="1"/>
  <c r="H91" i="36"/>
  <c r="K91" i="36" s="1"/>
  <c r="H92" i="36"/>
  <c r="K92" i="36" s="1"/>
  <c r="H93" i="36"/>
  <c r="K93" i="36" s="1"/>
  <c r="H94" i="36"/>
  <c r="M94" i="36" s="1"/>
  <c r="P94" i="36" s="1"/>
  <c r="H95" i="36"/>
  <c r="M95" i="36" s="1"/>
  <c r="H96" i="36"/>
  <c r="K96" i="36" s="1"/>
  <c r="H97" i="36"/>
  <c r="K97" i="36" s="1"/>
  <c r="H98" i="36"/>
  <c r="K98" i="36" s="1"/>
  <c r="H99" i="36"/>
  <c r="K99" i="36" s="1"/>
  <c r="H100" i="36"/>
  <c r="K100" i="36" s="1"/>
  <c r="H101" i="36"/>
  <c r="K101" i="36" s="1"/>
  <c r="H102" i="36"/>
  <c r="M102" i="36" s="1"/>
  <c r="P102" i="36" s="1"/>
  <c r="H103" i="36"/>
  <c r="M103" i="36" s="1"/>
  <c r="P103" i="36" s="1"/>
  <c r="H104" i="36"/>
  <c r="M104" i="36" s="1"/>
  <c r="P104" i="36" s="1"/>
  <c r="H105" i="36"/>
  <c r="K105" i="36" s="1"/>
  <c r="H106" i="36"/>
  <c r="K106" i="36" s="1"/>
  <c r="H107" i="36"/>
  <c r="K107" i="36" s="1"/>
  <c r="H108" i="36"/>
  <c r="K108" i="36" s="1"/>
  <c r="H109" i="36"/>
  <c r="K109" i="36" s="1"/>
  <c r="H110" i="36"/>
  <c r="M110" i="36" s="1"/>
  <c r="H111" i="36"/>
  <c r="M111" i="36" s="1"/>
  <c r="P111" i="36" s="1"/>
  <c r="H112" i="36"/>
  <c r="K112" i="36" s="1"/>
  <c r="H113" i="36"/>
  <c r="H114" i="36"/>
  <c r="M114" i="36" s="1"/>
  <c r="P114" i="36" s="1"/>
  <c r="H115" i="36"/>
  <c r="K115" i="36" s="1"/>
  <c r="H116" i="36"/>
  <c r="K116" i="36" s="1"/>
  <c r="H117" i="36"/>
  <c r="K117" i="36" s="1"/>
  <c r="H118" i="36"/>
  <c r="M118" i="36" s="1"/>
  <c r="H119" i="36"/>
  <c r="M119" i="36" s="1"/>
  <c r="P119" i="36" s="1"/>
  <c r="H120" i="36"/>
  <c r="M120" i="36" s="1"/>
  <c r="P120" i="36" s="1"/>
  <c r="H121" i="36"/>
  <c r="H122" i="36"/>
  <c r="K122" i="36" s="1"/>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104" i="36"/>
  <c r="A105" i="36"/>
  <c r="A106" i="36"/>
  <c r="A107" i="36"/>
  <c r="A108" i="36"/>
  <c r="A109" i="36"/>
  <c r="A110" i="36"/>
  <c r="A111" i="36"/>
  <c r="A112" i="36"/>
  <c r="A113" i="36"/>
  <c r="A114" i="36"/>
  <c r="A115" i="36"/>
  <c r="A116" i="36"/>
  <c r="A117" i="36"/>
  <c r="A118" i="36"/>
  <c r="A119" i="36"/>
  <c r="A120" i="36"/>
  <c r="A121" i="36"/>
  <c r="A122" i="36"/>
  <c r="E105" i="36"/>
  <c r="E101" i="36"/>
  <c r="N101" i="36" s="1"/>
  <c r="E100" i="36"/>
  <c r="O100" i="36" s="1"/>
  <c r="E99" i="36"/>
  <c r="E98" i="36"/>
  <c r="L98" i="36" s="1"/>
  <c r="E97" i="36"/>
  <c r="M97" i="36" s="1"/>
  <c r="E96" i="36"/>
  <c r="L96" i="36" s="1"/>
  <c r="E88" i="36"/>
  <c r="E89" i="36" s="1"/>
  <c r="L89" i="36" s="1"/>
  <c r="E87" i="36"/>
  <c r="E86" i="36"/>
  <c r="M86" i="36" s="1"/>
  <c r="E79" i="36"/>
  <c r="L79" i="36" s="1"/>
  <c r="E76" i="36"/>
  <c r="E75" i="36"/>
  <c r="L75" i="36" s="1"/>
  <c r="E74" i="36"/>
  <c r="L74" i="36" s="1"/>
  <c r="E63" i="36"/>
  <c r="O63" i="36" s="1"/>
  <c r="E62" i="36"/>
  <c r="L62" i="36" s="1"/>
  <c r="E61" i="36"/>
  <c r="E58" i="36"/>
  <c r="L58" i="36" s="1"/>
  <c r="E54" i="36"/>
  <c r="L54" i="36" s="1"/>
  <c r="E53" i="36"/>
  <c r="E52" i="36"/>
  <c r="L52" i="36" s="1"/>
  <c r="E50" i="36"/>
  <c r="E51" i="36" s="1"/>
  <c r="L51" i="36" s="1"/>
  <c r="E48" i="36"/>
  <c r="N48" i="36" s="1"/>
  <c r="E46" i="36"/>
  <c r="L46" i="36" s="1"/>
  <c r="E44" i="36"/>
  <c r="E35" i="36"/>
  <c r="L35" i="36" s="1"/>
  <c r="E34" i="36"/>
  <c r="L34" i="36" s="1"/>
  <c r="E33" i="36"/>
  <c r="E31" i="36"/>
  <c r="E32" i="36" s="1"/>
  <c r="N32" i="36" s="1"/>
  <c r="A15" i="36"/>
  <c r="H14" i="36"/>
  <c r="H15" i="36"/>
  <c r="K15" i="36" s="1"/>
  <c r="A15" i="35"/>
  <c r="A16" i="35"/>
  <c r="A17" i="35"/>
  <c r="A18" i="35"/>
  <c r="A19" i="35"/>
  <c r="A20" i="35"/>
  <c r="A21" i="35"/>
  <c r="A22" i="35"/>
  <c r="A23" i="35"/>
  <c r="A24" i="35"/>
  <c r="A25" i="35"/>
  <c r="A26" i="35"/>
  <c r="A27" i="35"/>
  <c r="A28" i="35"/>
  <c r="A29" i="35"/>
  <c r="A30" i="35"/>
  <c r="A31" i="35"/>
  <c r="A32" i="35"/>
  <c r="A33" i="35"/>
  <c r="A34" i="35"/>
  <c r="A35" i="35"/>
  <c r="A36" i="35"/>
  <c r="A37" i="35"/>
  <c r="A38" i="35"/>
  <c r="A39" i="35"/>
  <c r="A40" i="35"/>
  <c r="A41" i="35"/>
  <c r="A42" i="35"/>
  <c r="A43" i="35"/>
  <c r="A44" i="35"/>
  <c r="A45" i="35"/>
  <c r="A46" i="35"/>
  <c r="A47" i="35"/>
  <c r="E47" i="35"/>
  <c r="E39" i="35"/>
  <c r="E38" i="35"/>
  <c r="E36" i="35"/>
  <c r="E35" i="35"/>
  <c r="E33" i="35"/>
  <c r="E32" i="35"/>
  <c r="E30" i="35"/>
  <c r="E29" i="35"/>
  <c r="E26" i="35"/>
  <c r="E23" i="35"/>
  <c r="E21" i="35"/>
  <c r="E20" i="35"/>
  <c r="E19" i="35"/>
  <c r="E18" i="35"/>
  <c r="E17" i="35"/>
  <c r="O15" i="34"/>
  <c r="O20" i="34"/>
  <c r="O21" i="34"/>
  <c r="O24" i="34"/>
  <c r="O25" i="34"/>
  <c r="O29" i="34"/>
  <c r="O30" i="34"/>
  <c r="O31" i="34"/>
  <c r="O32" i="34"/>
  <c r="O33" i="34"/>
  <c r="O34" i="34"/>
  <c r="O35" i="34"/>
  <c r="O37" i="34"/>
  <c r="O38" i="34"/>
  <c r="O39" i="34"/>
  <c r="O40" i="34"/>
  <c r="O42" i="34"/>
  <c r="O44" i="34"/>
  <c r="O45" i="34"/>
  <c r="O46" i="34"/>
  <c r="O47" i="34"/>
  <c r="O48" i="34"/>
  <c r="O52" i="34"/>
  <c r="O53" i="34"/>
  <c r="O54" i="34"/>
  <c r="O64" i="34"/>
  <c r="O66" i="34"/>
  <c r="O67" i="34"/>
  <c r="O70" i="34"/>
  <c r="O71" i="34"/>
  <c r="O72" i="34"/>
  <c r="O73" i="34"/>
  <c r="O75" i="34"/>
  <c r="O78" i="34"/>
  <c r="O79" i="34"/>
  <c r="O80" i="34"/>
  <c r="O81" i="34"/>
  <c r="O84" i="34"/>
  <c r="O90" i="34"/>
  <c r="O91" i="34"/>
  <c r="O98" i="34"/>
  <c r="O103" i="34"/>
  <c r="O104" i="34"/>
  <c r="O105" i="34"/>
  <c r="O110" i="34"/>
  <c r="O114" i="34"/>
  <c r="N15" i="34"/>
  <c r="N20" i="34"/>
  <c r="N21" i="34"/>
  <c r="N24" i="34"/>
  <c r="N25" i="34"/>
  <c r="N29" i="34"/>
  <c r="N30" i="34"/>
  <c r="N31" i="34"/>
  <c r="N32" i="34"/>
  <c r="N33" i="34"/>
  <c r="N34" i="34"/>
  <c r="N35" i="34"/>
  <c r="N37" i="34"/>
  <c r="N38" i="34"/>
  <c r="N39" i="34"/>
  <c r="N40" i="34"/>
  <c r="N42" i="34"/>
  <c r="N44" i="34"/>
  <c r="N45" i="34"/>
  <c r="N46" i="34"/>
  <c r="N47" i="34"/>
  <c r="N48" i="34"/>
  <c r="N52" i="34"/>
  <c r="N53" i="34"/>
  <c r="N54" i="34"/>
  <c r="N64" i="34"/>
  <c r="N66" i="34"/>
  <c r="N67" i="34"/>
  <c r="N70" i="34"/>
  <c r="N71" i="34"/>
  <c r="N72" i="34"/>
  <c r="N73" i="34"/>
  <c r="N75" i="34"/>
  <c r="N78" i="34"/>
  <c r="N79" i="34"/>
  <c r="N80" i="34"/>
  <c r="N81" i="34"/>
  <c r="N84" i="34"/>
  <c r="N90" i="34"/>
  <c r="N91" i="34"/>
  <c r="N98" i="34"/>
  <c r="N103" i="34"/>
  <c r="N104" i="34"/>
  <c r="N105" i="34"/>
  <c r="N110" i="34"/>
  <c r="N114" i="34"/>
  <c r="L15" i="34"/>
  <c r="L20" i="34"/>
  <c r="L21" i="34"/>
  <c r="L24" i="34"/>
  <c r="L25" i="34"/>
  <c r="L29" i="34"/>
  <c r="L30" i="34"/>
  <c r="L31" i="34"/>
  <c r="L32" i="34"/>
  <c r="L33" i="34"/>
  <c r="L34" i="34"/>
  <c r="L35" i="34"/>
  <c r="L37" i="34"/>
  <c r="L38" i="34"/>
  <c r="L39" i="34"/>
  <c r="L40" i="34"/>
  <c r="L42" i="34"/>
  <c r="L44" i="34"/>
  <c r="L45" i="34"/>
  <c r="L46" i="34"/>
  <c r="L47" i="34"/>
  <c r="L48" i="34"/>
  <c r="L52" i="34"/>
  <c r="L53" i="34"/>
  <c r="L54" i="34"/>
  <c r="L64" i="34"/>
  <c r="L66" i="34"/>
  <c r="L67" i="34"/>
  <c r="L70" i="34"/>
  <c r="L71" i="34"/>
  <c r="L72" i="34"/>
  <c r="L73" i="34"/>
  <c r="L75" i="34"/>
  <c r="L78" i="34"/>
  <c r="L79" i="34"/>
  <c r="L80" i="34"/>
  <c r="L81" i="34"/>
  <c r="L84" i="34"/>
  <c r="L90" i="34"/>
  <c r="L91" i="34"/>
  <c r="L98" i="34"/>
  <c r="L103" i="34"/>
  <c r="L104" i="34"/>
  <c r="L105" i="34"/>
  <c r="L110" i="34"/>
  <c r="L114" i="34"/>
  <c r="H15" i="34"/>
  <c r="M15" i="34" s="1"/>
  <c r="P15" i="34" s="1"/>
  <c r="H16" i="34"/>
  <c r="K16" i="34" s="1"/>
  <c r="H17" i="34"/>
  <c r="K17" i="34" s="1"/>
  <c r="H18" i="34"/>
  <c r="K18" i="34" s="1"/>
  <c r="H19" i="34"/>
  <c r="K19" i="34" s="1"/>
  <c r="H20" i="34"/>
  <c r="K20" i="34" s="1"/>
  <c r="H21" i="34"/>
  <c r="M21" i="34" s="1"/>
  <c r="P21" i="34" s="1"/>
  <c r="H22" i="34"/>
  <c r="K22" i="34" s="1"/>
  <c r="H23" i="34"/>
  <c r="K23" i="34" s="1"/>
  <c r="H24" i="34"/>
  <c r="M24" i="34" s="1"/>
  <c r="P24" i="34" s="1"/>
  <c r="H25" i="34"/>
  <c r="M25" i="34" s="1"/>
  <c r="H26" i="34"/>
  <c r="K26" i="34" s="1"/>
  <c r="H27" i="34"/>
  <c r="K27" i="34" s="1"/>
  <c r="H28" i="34"/>
  <c r="K28" i="34" s="1"/>
  <c r="H29" i="34"/>
  <c r="K29" i="34" s="1"/>
  <c r="H30" i="34"/>
  <c r="M30" i="34" s="1"/>
  <c r="H31" i="34"/>
  <c r="M31" i="34" s="1"/>
  <c r="P31" i="34" s="1"/>
  <c r="H32" i="34"/>
  <c r="M32" i="34" s="1"/>
  <c r="P32" i="34" s="1"/>
  <c r="H33" i="34"/>
  <c r="M33" i="34" s="1"/>
  <c r="P33" i="34" s="1"/>
  <c r="H34" i="34"/>
  <c r="K34" i="34" s="1"/>
  <c r="H35" i="34"/>
  <c r="M35" i="34" s="1"/>
  <c r="P35" i="34" s="1"/>
  <c r="H36" i="34"/>
  <c r="K36" i="34" s="1"/>
  <c r="H37" i="34"/>
  <c r="M37" i="34" s="1"/>
  <c r="P37" i="34" s="1"/>
  <c r="H38" i="34"/>
  <c r="M38" i="34" s="1"/>
  <c r="P38" i="34" s="1"/>
  <c r="H39" i="34"/>
  <c r="M39" i="34" s="1"/>
  <c r="P39" i="34" s="1"/>
  <c r="H40" i="34"/>
  <c r="M40" i="34" s="1"/>
  <c r="P40" i="34" s="1"/>
  <c r="H41" i="34"/>
  <c r="K41" i="34" s="1"/>
  <c r="H42" i="34"/>
  <c r="K42" i="34" s="1"/>
  <c r="H43" i="34"/>
  <c r="K43" i="34" s="1"/>
  <c r="H44" i="34"/>
  <c r="K44" i="34" s="1"/>
  <c r="H45" i="34"/>
  <c r="K45" i="34" s="1"/>
  <c r="H46" i="34"/>
  <c r="M46" i="34" s="1"/>
  <c r="P46" i="34" s="1"/>
  <c r="H47" i="34"/>
  <c r="M47" i="34" s="1"/>
  <c r="P47" i="34" s="1"/>
  <c r="H48" i="34"/>
  <c r="M48" i="34" s="1"/>
  <c r="P48" i="34" s="1"/>
  <c r="H49" i="34"/>
  <c r="K49" i="34" s="1"/>
  <c r="H50" i="34"/>
  <c r="K50" i="34" s="1"/>
  <c r="H51" i="34"/>
  <c r="K51" i="34" s="1"/>
  <c r="H52" i="34"/>
  <c r="K52" i="34" s="1"/>
  <c r="H53" i="34"/>
  <c r="M53" i="34" s="1"/>
  <c r="P53" i="34" s="1"/>
  <c r="H54" i="34"/>
  <c r="M54" i="34" s="1"/>
  <c r="P54" i="34" s="1"/>
  <c r="H55" i="34"/>
  <c r="K55" i="34" s="1"/>
  <c r="H56" i="34"/>
  <c r="K56" i="34" s="1"/>
  <c r="H57" i="34"/>
  <c r="K57" i="34" s="1"/>
  <c r="H58" i="34"/>
  <c r="K58" i="34" s="1"/>
  <c r="H59" i="34"/>
  <c r="K59" i="34" s="1"/>
  <c r="H60" i="34"/>
  <c r="K60" i="34" s="1"/>
  <c r="H61" i="34"/>
  <c r="K61" i="34" s="1"/>
  <c r="H62" i="34"/>
  <c r="K62" i="34" s="1"/>
  <c r="H63" i="34"/>
  <c r="K63" i="34" s="1"/>
  <c r="H64" i="34"/>
  <c r="M64" i="34" s="1"/>
  <c r="P64" i="34" s="1"/>
  <c r="H65" i="34"/>
  <c r="K65" i="34" s="1"/>
  <c r="H66" i="34"/>
  <c r="K66" i="34" s="1"/>
  <c r="H67" i="34"/>
  <c r="M67" i="34" s="1"/>
  <c r="P67" i="34" s="1"/>
  <c r="H68" i="34"/>
  <c r="K68" i="34" s="1"/>
  <c r="H69" i="34"/>
  <c r="K69" i="34" s="1"/>
  <c r="H70" i="34"/>
  <c r="M70" i="34" s="1"/>
  <c r="H71" i="34"/>
  <c r="M71" i="34" s="1"/>
  <c r="P71" i="34" s="1"/>
  <c r="H72" i="34"/>
  <c r="M72" i="34" s="1"/>
  <c r="H73" i="34"/>
  <c r="M73" i="34" s="1"/>
  <c r="P73" i="34" s="1"/>
  <c r="H74" i="34"/>
  <c r="K74" i="34" s="1"/>
  <c r="H75" i="34"/>
  <c r="M75" i="34" s="1"/>
  <c r="P75" i="34" s="1"/>
  <c r="H76" i="34"/>
  <c r="K76" i="34" s="1"/>
  <c r="H77" i="34"/>
  <c r="K77" i="34" s="1"/>
  <c r="H78" i="34"/>
  <c r="M78" i="34" s="1"/>
  <c r="P78" i="34" s="1"/>
  <c r="H79" i="34"/>
  <c r="M79" i="34" s="1"/>
  <c r="P79" i="34" s="1"/>
  <c r="H80" i="34"/>
  <c r="M80" i="34" s="1"/>
  <c r="P80" i="34" s="1"/>
  <c r="H81" i="34"/>
  <c r="M81" i="34" s="1"/>
  <c r="H82" i="34"/>
  <c r="K82" i="34" s="1"/>
  <c r="H83" i="34"/>
  <c r="K83" i="34" s="1"/>
  <c r="H84" i="34"/>
  <c r="K84" i="34" s="1"/>
  <c r="H85" i="34"/>
  <c r="K85" i="34" s="1"/>
  <c r="H86" i="34"/>
  <c r="K86" i="34" s="1"/>
  <c r="H87" i="34"/>
  <c r="K87" i="34" s="1"/>
  <c r="H88" i="34"/>
  <c r="K88" i="34" s="1"/>
  <c r="H89" i="34"/>
  <c r="K89" i="34" s="1"/>
  <c r="H90" i="34"/>
  <c r="K90" i="34" s="1"/>
  <c r="H91" i="34"/>
  <c r="M91" i="34" s="1"/>
  <c r="P91" i="34" s="1"/>
  <c r="H92" i="34"/>
  <c r="K92" i="34" s="1"/>
  <c r="H93" i="34"/>
  <c r="K93" i="34" s="1"/>
  <c r="H94" i="34"/>
  <c r="K94" i="34" s="1"/>
  <c r="H95" i="34"/>
  <c r="K95" i="34" s="1"/>
  <c r="H96" i="34"/>
  <c r="K96" i="34" s="1"/>
  <c r="H97" i="34"/>
  <c r="K97" i="34" s="1"/>
  <c r="H98" i="34"/>
  <c r="K98" i="34" s="1"/>
  <c r="H99" i="34"/>
  <c r="K99" i="34" s="1"/>
  <c r="H100" i="34"/>
  <c r="K100" i="34" s="1"/>
  <c r="H101" i="34"/>
  <c r="K101" i="34" s="1"/>
  <c r="H102" i="34"/>
  <c r="K102" i="34" s="1"/>
  <c r="H103" i="34"/>
  <c r="M103" i="34" s="1"/>
  <c r="P103" i="34" s="1"/>
  <c r="H104" i="34"/>
  <c r="M104" i="34" s="1"/>
  <c r="P104" i="34" s="1"/>
  <c r="H105" i="34"/>
  <c r="M105" i="34" s="1"/>
  <c r="P105" i="34" s="1"/>
  <c r="H106" i="34"/>
  <c r="K106" i="34" s="1"/>
  <c r="H107" i="34"/>
  <c r="K107" i="34" s="1"/>
  <c r="H108" i="34"/>
  <c r="K108" i="34" s="1"/>
  <c r="H109" i="34"/>
  <c r="K109" i="34" s="1"/>
  <c r="H110" i="34"/>
  <c r="M110" i="34" s="1"/>
  <c r="H111" i="34"/>
  <c r="K111" i="34" s="1"/>
  <c r="H112" i="34"/>
  <c r="K112" i="34" s="1"/>
  <c r="H113" i="34"/>
  <c r="K113" i="34" s="1"/>
  <c r="H114" i="34"/>
  <c r="K114" i="34" s="1"/>
  <c r="H115" i="34"/>
  <c r="K115" i="34" s="1"/>
  <c r="A16" i="34"/>
  <c r="A17" i="34"/>
  <c r="A18" i="34"/>
  <c r="A19" i="34"/>
  <c r="A20" i="34"/>
  <c r="A21" i="34"/>
  <c r="A22" i="34"/>
  <c r="A23" i="34"/>
  <c r="A24" i="34"/>
  <c r="A25" i="34"/>
  <c r="A26" i="34"/>
  <c r="A27" i="34"/>
  <c r="A28" i="34"/>
  <c r="A29" i="34"/>
  <c r="A30" i="34"/>
  <c r="A31" i="34"/>
  <c r="A32" i="34"/>
  <c r="A33" i="34"/>
  <c r="A34" i="34"/>
  <c r="A35" i="34"/>
  <c r="A36" i="34"/>
  <c r="A37" i="34"/>
  <c r="A38" i="34"/>
  <c r="A39" i="34"/>
  <c r="A40" i="34"/>
  <c r="A41" i="34"/>
  <c r="A42" i="34"/>
  <c r="A43" i="34"/>
  <c r="A44" i="34"/>
  <c r="A45" i="34"/>
  <c r="A46" i="34"/>
  <c r="A47" i="34"/>
  <c r="A48" i="34"/>
  <c r="A49" i="34"/>
  <c r="A50" i="34"/>
  <c r="A51" i="34"/>
  <c r="A52" i="34"/>
  <c r="A53" i="34"/>
  <c r="A54" i="34"/>
  <c r="A55" i="34"/>
  <c r="A56" i="34"/>
  <c r="A57" i="34"/>
  <c r="A58" i="34"/>
  <c r="A59" i="34"/>
  <c r="A60" i="34"/>
  <c r="A61" i="34"/>
  <c r="A62" i="34"/>
  <c r="A63" i="34"/>
  <c r="A64" i="34"/>
  <c r="A65" i="34"/>
  <c r="A66" i="34"/>
  <c r="A67" i="34"/>
  <c r="A68" i="34"/>
  <c r="A69" i="34"/>
  <c r="A70" i="34"/>
  <c r="A71" i="34"/>
  <c r="A72" i="34"/>
  <c r="A73" i="34"/>
  <c r="A74" i="34"/>
  <c r="A75" i="34"/>
  <c r="A76" i="34"/>
  <c r="A77" i="34"/>
  <c r="A78" i="34"/>
  <c r="A79" i="34"/>
  <c r="A80" i="34"/>
  <c r="A81" i="34"/>
  <c r="A82" i="34"/>
  <c r="A83" i="34"/>
  <c r="A84" i="34"/>
  <c r="A85" i="34"/>
  <c r="A86" i="34"/>
  <c r="A87" i="34"/>
  <c r="A88" i="34"/>
  <c r="A89" i="34"/>
  <c r="A90" i="34"/>
  <c r="A91" i="34"/>
  <c r="A92" i="34"/>
  <c r="A93" i="34"/>
  <c r="A94" i="34"/>
  <c r="A95" i="34"/>
  <c r="A96" i="34"/>
  <c r="A97" i="34"/>
  <c r="A98" i="34"/>
  <c r="A99" i="34"/>
  <c r="A100" i="34"/>
  <c r="A101" i="34"/>
  <c r="A102" i="34"/>
  <c r="A103" i="34"/>
  <c r="A104" i="34"/>
  <c r="A105" i="34"/>
  <c r="A106" i="34"/>
  <c r="A107" i="34"/>
  <c r="A108" i="34"/>
  <c r="A109" i="34"/>
  <c r="A110" i="34"/>
  <c r="A111" i="34"/>
  <c r="A112" i="34"/>
  <c r="A113" i="34"/>
  <c r="A114" i="34"/>
  <c r="A115" i="34"/>
  <c r="E115" i="34"/>
  <c r="N115" i="34" s="1"/>
  <c r="E113" i="34"/>
  <c r="L113" i="34" s="1"/>
  <c r="E112" i="34"/>
  <c r="O112" i="34" s="1"/>
  <c r="E111" i="34"/>
  <c r="E107" i="34"/>
  <c r="E106" i="34"/>
  <c r="L106" i="34" s="1"/>
  <c r="E102" i="34"/>
  <c r="M102" i="34" s="1"/>
  <c r="E101" i="34"/>
  <c r="N101" i="34" s="1"/>
  <c r="E100" i="34"/>
  <c r="N100" i="34" s="1"/>
  <c r="E99" i="34"/>
  <c r="N99" i="34" s="1"/>
  <c r="E96" i="34"/>
  <c r="O96" i="34" s="1"/>
  <c r="E95" i="34"/>
  <c r="E94" i="34"/>
  <c r="E93" i="34"/>
  <c r="N93" i="34" s="1"/>
  <c r="E92" i="34"/>
  <c r="E97" i="34" s="1"/>
  <c r="L97" i="34" s="1"/>
  <c r="E88" i="34"/>
  <c r="E89" i="34" s="1"/>
  <c r="L89" i="34" s="1"/>
  <c r="E87" i="34"/>
  <c r="E86" i="34"/>
  <c r="M86" i="34" s="1"/>
  <c r="E85" i="34"/>
  <c r="N85" i="34" s="1"/>
  <c r="E83" i="34"/>
  <c r="N83" i="34" s="1"/>
  <c r="E82" i="34"/>
  <c r="E77" i="34"/>
  <c r="N77" i="34" s="1"/>
  <c r="E76" i="34"/>
  <c r="N76" i="34" s="1"/>
  <c r="E74" i="34"/>
  <c r="L74" i="34" s="1"/>
  <c r="E69" i="34"/>
  <c r="N69" i="34" s="1"/>
  <c r="E68" i="34"/>
  <c r="N68" i="34" s="1"/>
  <c r="E65" i="34"/>
  <c r="L65" i="34" s="1"/>
  <c r="E61" i="34"/>
  <c r="E63" i="34" s="1"/>
  <c r="E57" i="34"/>
  <c r="E55" i="34"/>
  <c r="E56" i="34" s="1"/>
  <c r="O56" i="34" s="1"/>
  <c r="E51" i="34"/>
  <c r="N51" i="34" s="1"/>
  <c r="E50" i="34"/>
  <c r="L50" i="34" s="1"/>
  <c r="E49" i="34"/>
  <c r="L49" i="34" s="1"/>
  <c r="E43" i="34"/>
  <c r="N43" i="34" s="1"/>
  <c r="E41" i="34"/>
  <c r="L41" i="34" s="1"/>
  <c r="E36" i="34"/>
  <c r="N36" i="34" s="1"/>
  <c r="E26" i="34"/>
  <c r="E22" i="34"/>
  <c r="E23" i="34" s="1"/>
  <c r="A14" i="34"/>
  <c r="A15" i="34"/>
  <c r="O14" i="34"/>
  <c r="N14" i="34"/>
  <c r="L14" i="34"/>
  <c r="H14" i="34"/>
  <c r="M14" i="34" s="1"/>
  <c r="E16" i="34"/>
  <c r="O19" i="8"/>
  <c r="O23" i="8"/>
  <c r="O24" i="8"/>
  <c r="O27" i="8"/>
  <c r="O30" i="8"/>
  <c r="O31" i="8"/>
  <c r="O37" i="8"/>
  <c r="O41" i="8"/>
  <c r="O42" i="8"/>
  <c r="O43" i="8"/>
  <c r="O44" i="8"/>
  <c r="O45" i="8"/>
  <c r="O46" i="8"/>
  <c r="O47" i="8"/>
  <c r="O48" i="8"/>
  <c r="O49" i="8"/>
  <c r="N19" i="8"/>
  <c r="N23" i="8"/>
  <c r="N24" i="8"/>
  <c r="N27" i="8"/>
  <c r="N30" i="8"/>
  <c r="N31" i="8"/>
  <c r="N37" i="8"/>
  <c r="N41" i="8"/>
  <c r="N42" i="8"/>
  <c r="N43" i="8"/>
  <c r="N44" i="8"/>
  <c r="N45" i="8"/>
  <c r="N46" i="8"/>
  <c r="N47" i="8"/>
  <c r="N48" i="8"/>
  <c r="N49" i="8"/>
  <c r="L19" i="8"/>
  <c r="L23" i="8"/>
  <c r="L24" i="8"/>
  <c r="L27" i="8"/>
  <c r="L30" i="8"/>
  <c r="L31" i="8"/>
  <c r="L37" i="8"/>
  <c r="L41" i="8"/>
  <c r="L42" i="8"/>
  <c r="L43" i="8"/>
  <c r="L44" i="8"/>
  <c r="L45" i="8"/>
  <c r="L46" i="8"/>
  <c r="L47" i="8"/>
  <c r="L48" i="8"/>
  <c r="L49" i="8"/>
  <c r="H16" i="8"/>
  <c r="K16" i="8" s="1"/>
  <c r="H17" i="8"/>
  <c r="K17" i="8" s="1"/>
  <c r="H18" i="8"/>
  <c r="K18" i="8" s="1"/>
  <c r="H19" i="8"/>
  <c r="K19" i="8" s="1"/>
  <c r="H20" i="8"/>
  <c r="K20" i="8" s="1"/>
  <c r="H21" i="8"/>
  <c r="K21" i="8" s="1"/>
  <c r="H22" i="8"/>
  <c r="K22" i="8" s="1"/>
  <c r="H23" i="8"/>
  <c r="K23" i="8" s="1"/>
  <c r="H24" i="8"/>
  <c r="K24" i="8" s="1"/>
  <c r="H25" i="8"/>
  <c r="K25" i="8" s="1"/>
  <c r="H26" i="8"/>
  <c r="K26" i="8" s="1"/>
  <c r="H27" i="8"/>
  <c r="K27" i="8" s="1"/>
  <c r="H28" i="8"/>
  <c r="K28" i="8" s="1"/>
  <c r="H29" i="8"/>
  <c r="K29" i="8" s="1"/>
  <c r="H30" i="8"/>
  <c r="K30" i="8" s="1"/>
  <c r="H31" i="8"/>
  <c r="K31" i="8" s="1"/>
  <c r="H32" i="8"/>
  <c r="K32" i="8" s="1"/>
  <c r="H33" i="8"/>
  <c r="K33" i="8" s="1"/>
  <c r="H34" i="8"/>
  <c r="K34" i="8" s="1"/>
  <c r="H35" i="8"/>
  <c r="K35" i="8" s="1"/>
  <c r="H36" i="8"/>
  <c r="K36" i="8" s="1"/>
  <c r="H37" i="8"/>
  <c r="M37" i="8" s="1"/>
  <c r="H38" i="8"/>
  <c r="K38" i="8" s="1"/>
  <c r="H39" i="8"/>
  <c r="K39" i="8" s="1"/>
  <c r="H40" i="8"/>
  <c r="K40" i="8" s="1"/>
  <c r="H41" i="8"/>
  <c r="K41" i="8" s="1"/>
  <c r="H42" i="8"/>
  <c r="K42" i="8" s="1"/>
  <c r="H43" i="8"/>
  <c r="K43" i="8" s="1"/>
  <c r="H44" i="8"/>
  <c r="M44" i="8" s="1"/>
  <c r="H45" i="8"/>
  <c r="K45" i="8" s="1"/>
  <c r="H46" i="8"/>
  <c r="K46" i="8" s="1"/>
  <c r="H47" i="8"/>
  <c r="K47" i="8" s="1"/>
  <c r="H48" i="8"/>
  <c r="M48" i="8" s="1"/>
  <c r="P48" i="8" s="1"/>
  <c r="H49" i="8"/>
  <c r="K49" i="8" s="1"/>
  <c r="H50" i="8"/>
  <c r="K50" i="8" s="1"/>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E22" i="8"/>
  <c r="L22" i="8" s="1"/>
  <c r="E21" i="8"/>
  <c r="O21" i="8" s="1"/>
  <c r="E20" i="8"/>
  <c r="E40" i="8"/>
  <c r="O40" i="8" s="1"/>
  <c r="E39" i="8"/>
  <c r="L39" i="8" s="1"/>
  <c r="E38" i="8"/>
  <c r="L38" i="8" s="1"/>
  <c r="E36" i="8"/>
  <c r="O36" i="8" s="1"/>
  <c r="E35" i="8"/>
  <c r="O35" i="8" s="1"/>
  <c r="E34" i="8"/>
  <c r="L34" i="8" s="1"/>
  <c r="E33" i="8"/>
  <c r="O33" i="8" s="1"/>
  <c r="E32" i="8"/>
  <c r="E29" i="8"/>
  <c r="O29" i="8" s="1"/>
  <c r="E28" i="8"/>
  <c r="O28" i="8" s="1"/>
  <c r="E26" i="8"/>
  <c r="L26" i="8" s="1"/>
  <c r="E25" i="8"/>
  <c r="O25" i="8" s="1"/>
  <c r="A15" i="7"/>
  <c r="A16" i="7"/>
  <c r="A17" i="7"/>
  <c r="A18" i="7"/>
  <c r="A19" i="7"/>
  <c r="A20" i="7"/>
  <c r="A21" i="7"/>
  <c r="A22" i="7"/>
  <c r="A23" i="7"/>
  <c r="A24" i="7"/>
  <c r="A25" i="7"/>
  <c r="O15" i="7"/>
  <c r="O17" i="7"/>
  <c r="O20" i="7"/>
  <c r="O24" i="7"/>
  <c r="N15" i="7"/>
  <c r="N17" i="7"/>
  <c r="N20" i="7"/>
  <c r="N24" i="7"/>
  <c r="L15" i="7"/>
  <c r="L17" i="7"/>
  <c r="L20" i="7"/>
  <c r="L24" i="7"/>
  <c r="H15" i="7"/>
  <c r="K15" i="7" s="1"/>
  <c r="H16" i="7"/>
  <c r="K16" i="7" s="1"/>
  <c r="H17" i="7"/>
  <c r="M17" i="7" s="1"/>
  <c r="H18" i="7"/>
  <c r="K18" i="7" s="1"/>
  <c r="H19" i="7"/>
  <c r="K19" i="7" s="1"/>
  <c r="H20" i="7"/>
  <c r="M20" i="7" s="1"/>
  <c r="H21" i="7"/>
  <c r="K21" i="7" s="1"/>
  <c r="H22" i="7"/>
  <c r="H23" i="7"/>
  <c r="K23" i="7" s="1"/>
  <c r="H24" i="7"/>
  <c r="M24" i="7" s="1"/>
  <c r="P24" i="7" s="1"/>
  <c r="H25" i="7"/>
  <c r="K25" i="7" s="1"/>
  <c r="E23" i="7"/>
  <c r="N23" i="7" s="1"/>
  <c r="E22" i="7"/>
  <c r="N22" i="7" s="1"/>
  <c r="E21" i="7"/>
  <c r="N21" i="7" s="1"/>
  <c r="E18" i="7"/>
  <c r="N18" i="7" s="1"/>
  <c r="E16" i="7"/>
  <c r="A15" i="6"/>
  <c r="A16" i="6"/>
  <c r="A17" i="6"/>
  <c r="A18" i="6"/>
  <c r="A19" i="6"/>
  <c r="A20" i="6"/>
  <c r="A21" i="6"/>
  <c r="A22" i="6"/>
  <c r="A23" i="6"/>
  <c r="A24" i="6"/>
  <c r="A25" i="6"/>
  <c r="A26" i="6"/>
  <c r="A27" i="6"/>
  <c r="A28" i="6"/>
  <c r="A29" i="6"/>
  <c r="A30" i="6"/>
  <c r="A31" i="6"/>
  <c r="A32"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O15" i="6"/>
  <c r="O16" i="6"/>
  <c r="O19" i="6"/>
  <c r="O20" i="6"/>
  <c r="O21" i="6"/>
  <c r="O22" i="6"/>
  <c r="O23" i="6"/>
  <c r="O24" i="6"/>
  <c r="O32" i="6"/>
  <c r="O34" i="6"/>
  <c r="O35" i="6"/>
  <c r="O36" i="6"/>
  <c r="O39" i="6"/>
  <c r="O42" i="6"/>
  <c r="O43" i="6"/>
  <c r="O44" i="6"/>
  <c r="O45" i="6"/>
  <c r="O46" i="6"/>
  <c r="O47" i="6"/>
  <c r="O48" i="6"/>
  <c r="O49" i="6"/>
  <c r="O50" i="6"/>
  <c r="O57" i="6"/>
  <c r="O61" i="6"/>
  <c r="O62" i="6"/>
  <c r="O66" i="6"/>
  <c r="O67" i="6"/>
  <c r="O68" i="6"/>
  <c r="O69" i="6"/>
  <c r="O70" i="6"/>
  <c r="O71" i="6"/>
  <c r="N15" i="6"/>
  <c r="N16" i="6"/>
  <c r="N19" i="6"/>
  <c r="N20" i="6"/>
  <c r="N21" i="6"/>
  <c r="N22" i="6"/>
  <c r="N23" i="6"/>
  <c r="N24" i="6"/>
  <c r="N32" i="6"/>
  <c r="N34" i="6"/>
  <c r="N35" i="6"/>
  <c r="N36" i="6"/>
  <c r="N39" i="6"/>
  <c r="N42" i="6"/>
  <c r="N43" i="6"/>
  <c r="N44" i="6"/>
  <c r="N45" i="6"/>
  <c r="N46" i="6"/>
  <c r="N47" i="6"/>
  <c r="N48" i="6"/>
  <c r="N49" i="6"/>
  <c r="N50" i="6"/>
  <c r="N57" i="6"/>
  <c r="N61" i="6"/>
  <c r="N62" i="6"/>
  <c r="N66" i="6"/>
  <c r="N67" i="6"/>
  <c r="N68" i="6"/>
  <c r="N69" i="6"/>
  <c r="N70" i="6"/>
  <c r="N71" i="6"/>
  <c r="L15" i="6"/>
  <c r="L16" i="6"/>
  <c r="L19" i="6"/>
  <c r="L20" i="6"/>
  <c r="L21" i="6"/>
  <c r="L22" i="6"/>
  <c r="L23" i="6"/>
  <c r="L24" i="6"/>
  <c r="L32" i="6"/>
  <c r="L34" i="6"/>
  <c r="L35" i="6"/>
  <c r="L36" i="6"/>
  <c r="L42" i="6"/>
  <c r="L43" i="6"/>
  <c r="L44" i="6"/>
  <c r="L45" i="6"/>
  <c r="L46" i="6"/>
  <c r="L47" i="6"/>
  <c r="L48" i="6"/>
  <c r="L49" i="6"/>
  <c r="L50" i="6"/>
  <c r="L57" i="6"/>
  <c r="L61" i="6"/>
  <c r="L62" i="6"/>
  <c r="L66" i="6"/>
  <c r="L67" i="6"/>
  <c r="L68" i="6"/>
  <c r="L69" i="6"/>
  <c r="L70" i="6"/>
  <c r="L71" i="6"/>
  <c r="H15" i="6"/>
  <c r="M15" i="6" s="1"/>
  <c r="H16" i="6"/>
  <c r="M16" i="6" s="1"/>
  <c r="H17" i="6"/>
  <c r="K17" i="6" s="1"/>
  <c r="H19" i="6"/>
  <c r="M19" i="6" s="1"/>
  <c r="P19" i="6" s="1"/>
  <c r="H20" i="6"/>
  <c r="M20" i="6" s="1"/>
  <c r="H21" i="6"/>
  <c r="M21" i="6" s="1"/>
  <c r="P21" i="6" s="1"/>
  <c r="H22" i="6"/>
  <c r="M22" i="6" s="1"/>
  <c r="H23" i="6"/>
  <c r="M23" i="6" s="1"/>
  <c r="H24" i="6"/>
  <c r="M24" i="6" s="1"/>
  <c r="H25" i="6"/>
  <c r="K25" i="6" s="1"/>
  <c r="H26" i="6"/>
  <c r="K26" i="6" s="1"/>
  <c r="H27" i="6"/>
  <c r="K27" i="6" s="1"/>
  <c r="H28" i="6"/>
  <c r="K28" i="6" s="1"/>
  <c r="H29" i="6"/>
  <c r="K29" i="6" s="1"/>
  <c r="H30" i="6"/>
  <c r="K30" i="6" s="1"/>
  <c r="H31" i="6"/>
  <c r="K31" i="6" s="1"/>
  <c r="H32" i="6"/>
  <c r="M32" i="6" s="1"/>
  <c r="H34" i="6"/>
  <c r="K34" i="6" s="1"/>
  <c r="H35" i="6"/>
  <c r="M35" i="6" s="1"/>
  <c r="H36" i="6"/>
  <c r="K36" i="6" s="1"/>
  <c r="H37" i="6"/>
  <c r="K37" i="6" s="1"/>
  <c r="H38" i="6"/>
  <c r="K38" i="6" s="1"/>
  <c r="H39" i="6"/>
  <c r="M39" i="6" s="1"/>
  <c r="H40" i="6"/>
  <c r="K40" i="6" s="1"/>
  <c r="H41" i="6"/>
  <c r="K41" i="6" s="1"/>
  <c r="H42" i="6"/>
  <c r="K42" i="6" s="1"/>
  <c r="H43" i="6"/>
  <c r="M43" i="6" s="1"/>
  <c r="H44" i="6"/>
  <c r="K44" i="6" s="1"/>
  <c r="H45" i="6"/>
  <c r="M45" i="6" s="1"/>
  <c r="H46" i="6"/>
  <c r="M46" i="6" s="1"/>
  <c r="H47" i="6"/>
  <c r="M47" i="6" s="1"/>
  <c r="H48" i="6"/>
  <c r="M48" i="6" s="1"/>
  <c r="H49" i="6"/>
  <c r="K49" i="6" s="1"/>
  <c r="H50" i="6"/>
  <c r="K50" i="6" s="1"/>
  <c r="H51" i="6"/>
  <c r="K51" i="6" s="1"/>
  <c r="H52" i="6"/>
  <c r="K52" i="6" s="1"/>
  <c r="H53" i="6"/>
  <c r="K53" i="6" s="1"/>
  <c r="H54" i="6"/>
  <c r="K54" i="6" s="1"/>
  <c r="H55" i="6"/>
  <c r="K55" i="6" s="1"/>
  <c r="H56" i="6"/>
  <c r="K56" i="6" s="1"/>
  <c r="H57" i="6"/>
  <c r="K57" i="6" s="1"/>
  <c r="H58" i="6"/>
  <c r="K58" i="6" s="1"/>
  <c r="H59" i="6"/>
  <c r="K59" i="6" s="1"/>
  <c r="H60" i="6"/>
  <c r="K60" i="6" s="1"/>
  <c r="H61" i="6"/>
  <c r="M61" i="6" s="1"/>
  <c r="H62" i="6"/>
  <c r="M62" i="6" s="1"/>
  <c r="H63" i="6"/>
  <c r="H64" i="6"/>
  <c r="K64" i="6" s="1"/>
  <c r="H65" i="6"/>
  <c r="K65" i="6" s="1"/>
  <c r="H66" i="6"/>
  <c r="K66" i="6" s="1"/>
  <c r="H67" i="6"/>
  <c r="M67" i="6" s="1"/>
  <c r="H68" i="6"/>
  <c r="K68" i="6" s="1"/>
  <c r="H69" i="6"/>
  <c r="M69" i="6" s="1"/>
  <c r="H70" i="6"/>
  <c r="M70" i="6" s="1"/>
  <c r="H71" i="6"/>
  <c r="M71" i="6" s="1"/>
  <c r="H72" i="6"/>
  <c r="K72" i="6" s="1"/>
  <c r="H73" i="6"/>
  <c r="K73" i="6" s="1"/>
  <c r="H74" i="6"/>
  <c r="K74" i="6" s="1"/>
  <c r="H75" i="6"/>
  <c r="K75" i="6" s="1"/>
  <c r="H76" i="6"/>
  <c r="K76" i="6" s="1"/>
  <c r="H77" i="6"/>
  <c r="K77" i="6" s="1"/>
  <c r="E77" i="6"/>
  <c r="O77" i="6" s="1"/>
  <c r="E65" i="6"/>
  <c r="L65" i="6" s="1"/>
  <c r="E64" i="6"/>
  <c r="O64" i="6" s="1"/>
  <c r="E63" i="6"/>
  <c r="L63" i="6" s="1"/>
  <c r="E60" i="6"/>
  <c r="O60" i="6" s="1"/>
  <c r="E59" i="6"/>
  <c r="N59" i="6" s="1"/>
  <c r="E58" i="6"/>
  <c r="N58" i="6" s="1"/>
  <c r="E51" i="6"/>
  <c r="N51" i="6" s="1"/>
  <c r="L39" i="6"/>
  <c r="O40" i="6"/>
  <c r="E17" i="6"/>
  <c r="N17" i="6" s="1"/>
  <c r="O68" i="4"/>
  <c r="O69" i="4"/>
  <c r="O71" i="4"/>
  <c r="O72" i="4"/>
  <c r="O74" i="4"/>
  <c r="O76" i="4"/>
  <c r="O78" i="4"/>
  <c r="N68" i="4"/>
  <c r="N69" i="4"/>
  <c r="N71" i="4"/>
  <c r="N72" i="4"/>
  <c r="N74" i="4"/>
  <c r="N76" i="4"/>
  <c r="N78" i="4"/>
  <c r="L68" i="4"/>
  <c r="L69" i="4"/>
  <c r="L71" i="4"/>
  <c r="L72" i="4"/>
  <c r="L74" i="4"/>
  <c r="L76" i="4"/>
  <c r="L78" i="4"/>
  <c r="H68" i="4"/>
  <c r="K68" i="4" s="1"/>
  <c r="H69" i="4"/>
  <c r="M69" i="4" s="1"/>
  <c r="P69" i="4" s="1"/>
  <c r="H70" i="4"/>
  <c r="K70" i="4" s="1"/>
  <c r="H71" i="4"/>
  <c r="K71" i="4" s="1"/>
  <c r="H72" i="4"/>
  <c r="K72" i="4" s="1"/>
  <c r="H73" i="4"/>
  <c r="K73" i="4" s="1"/>
  <c r="H74" i="4"/>
  <c r="K74" i="4" s="1"/>
  <c r="H75" i="4"/>
  <c r="K75" i="4" s="1"/>
  <c r="H76" i="4"/>
  <c r="K76" i="4" s="1"/>
  <c r="H77" i="4"/>
  <c r="K77" i="4" s="1"/>
  <c r="H78" i="4"/>
  <c r="M78" i="4" s="1"/>
  <c r="P78" i="4" s="1"/>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E77" i="4"/>
  <c r="M77" i="4" s="1"/>
  <c r="E75" i="4"/>
  <c r="O75" i="4" s="1"/>
  <c r="E73" i="4"/>
  <c r="N73" i="4" s="1"/>
  <c r="E70" i="4"/>
  <c r="M70" i="4" s="1"/>
  <c r="E67" i="4"/>
  <c r="E61" i="4"/>
  <c r="E47" i="4"/>
  <c r="M76" i="4" l="1"/>
  <c r="P76" i="4" s="1"/>
  <c r="K35" i="34"/>
  <c r="M106" i="34"/>
  <c r="N18" i="35"/>
  <c r="M18" i="35"/>
  <c r="L18" i="35"/>
  <c r="O18" i="35"/>
  <c r="O23" i="35"/>
  <c r="N23" i="35"/>
  <c r="M23" i="35"/>
  <c r="L23" i="35"/>
  <c r="L32" i="35"/>
  <c r="O32" i="35"/>
  <c r="N32" i="35"/>
  <c r="M32" i="35"/>
  <c r="N38" i="35"/>
  <c r="M38" i="35"/>
  <c r="L38" i="35"/>
  <c r="O38" i="35"/>
  <c r="L86" i="36"/>
  <c r="M68" i="4"/>
  <c r="P68" i="4" s="1"/>
  <c r="K91" i="34"/>
  <c r="K53" i="34"/>
  <c r="M61" i="34"/>
  <c r="O19" i="35"/>
  <c r="N19" i="35"/>
  <c r="M19" i="35"/>
  <c r="P19" i="35" s="1"/>
  <c r="L19" i="35"/>
  <c r="N26" i="35"/>
  <c r="M26" i="35"/>
  <c r="L26" i="35"/>
  <c r="O26" i="35"/>
  <c r="L33" i="35"/>
  <c r="O33" i="35"/>
  <c r="N33" i="35"/>
  <c r="M33" i="35"/>
  <c r="O39" i="35"/>
  <c r="N39" i="35"/>
  <c r="M39" i="35"/>
  <c r="P39" i="35" s="1"/>
  <c r="L39" i="35"/>
  <c r="K82" i="36"/>
  <c r="K27" i="36"/>
  <c r="M112" i="36"/>
  <c r="P112" i="36" s="1"/>
  <c r="K73" i="34"/>
  <c r="K48" i="34"/>
  <c r="M42" i="34"/>
  <c r="P42" i="34" s="1"/>
  <c r="O20" i="35"/>
  <c r="N20" i="35"/>
  <c r="M20" i="35"/>
  <c r="L20" i="35"/>
  <c r="L29" i="35"/>
  <c r="O29" i="35"/>
  <c r="N29" i="35"/>
  <c r="M29" i="35"/>
  <c r="O35" i="35"/>
  <c r="N35" i="35"/>
  <c r="M35" i="35"/>
  <c r="L35" i="35"/>
  <c r="O47" i="35"/>
  <c r="M47" i="35"/>
  <c r="M80" i="36"/>
  <c r="P80" i="36" s="1"/>
  <c r="K78" i="4"/>
  <c r="K24" i="7"/>
  <c r="K104" i="34"/>
  <c r="K40" i="34"/>
  <c r="L17" i="35"/>
  <c r="O17" i="35"/>
  <c r="N17" i="35"/>
  <c r="M17" i="35"/>
  <c r="L21" i="35"/>
  <c r="N21" i="35"/>
  <c r="M21" i="35"/>
  <c r="O21" i="35"/>
  <c r="E31" i="35"/>
  <c r="N30" i="35"/>
  <c r="M30" i="35"/>
  <c r="O30" i="35"/>
  <c r="L30" i="35"/>
  <c r="O36" i="35"/>
  <c r="L36" i="35"/>
  <c r="N36" i="35"/>
  <c r="M36" i="35"/>
  <c r="K104" i="36"/>
  <c r="M43" i="36"/>
  <c r="P43" i="36" s="1"/>
  <c r="M74" i="4"/>
  <c r="P15" i="6"/>
  <c r="M21" i="7"/>
  <c r="K20" i="7"/>
  <c r="P110" i="34"/>
  <c r="P70" i="34"/>
  <c r="P30" i="34"/>
  <c r="K103" i="34"/>
  <c r="K64" i="34"/>
  <c r="K39" i="34"/>
  <c r="K25" i="34"/>
  <c r="L96" i="34"/>
  <c r="M101" i="34"/>
  <c r="K103" i="36"/>
  <c r="M109" i="36"/>
  <c r="P109" i="36" s="1"/>
  <c r="M77" i="36"/>
  <c r="P77" i="36" s="1"/>
  <c r="M40" i="36"/>
  <c r="P40" i="36" s="1"/>
  <c r="N50" i="36"/>
  <c r="O62" i="36"/>
  <c r="L73" i="4"/>
  <c r="M71" i="4"/>
  <c r="P71" i="4" s="1"/>
  <c r="M49" i="8"/>
  <c r="P49" i="8" s="1"/>
  <c r="M23" i="34"/>
  <c r="K75" i="34"/>
  <c r="K37" i="34"/>
  <c r="K24" i="34"/>
  <c r="L112" i="34"/>
  <c r="L93" i="34"/>
  <c r="M98" i="34"/>
  <c r="P98" i="34" s="1"/>
  <c r="M45" i="34"/>
  <c r="P45" i="34" s="1"/>
  <c r="N106" i="34"/>
  <c r="K120" i="36"/>
  <c r="K29" i="36"/>
  <c r="M72" i="36"/>
  <c r="P72" i="36" s="1"/>
  <c r="M32" i="36"/>
  <c r="O46" i="36"/>
  <c r="M23" i="7"/>
  <c r="L77" i="34"/>
  <c r="M93" i="34"/>
  <c r="K119" i="36"/>
  <c r="M101" i="36"/>
  <c r="M64" i="36"/>
  <c r="P64" i="36" s="1"/>
  <c r="N63" i="36"/>
  <c r="O75" i="36"/>
  <c r="K15" i="34"/>
  <c r="L97" i="36"/>
  <c r="P23" i="6"/>
  <c r="K15" i="6"/>
  <c r="P17" i="7"/>
  <c r="M63" i="34"/>
  <c r="M95" i="34"/>
  <c r="M111" i="34"/>
  <c r="K72" i="34"/>
  <c r="K47" i="34"/>
  <c r="K33" i="34"/>
  <c r="K21" i="34"/>
  <c r="L61" i="34"/>
  <c r="M90" i="34"/>
  <c r="P90" i="34" s="1"/>
  <c r="K114" i="36"/>
  <c r="K95" i="36"/>
  <c r="K45" i="36"/>
  <c r="K26" i="36"/>
  <c r="M96" i="36"/>
  <c r="M59" i="36"/>
  <c r="P59" i="36" s="1"/>
  <c r="M24" i="36"/>
  <c r="P24" i="36" s="1"/>
  <c r="N31" i="36"/>
  <c r="K69" i="4"/>
  <c r="L70" i="4"/>
  <c r="N77" i="4"/>
  <c r="O77" i="4"/>
  <c r="P77" i="4" s="1"/>
  <c r="M63" i="6"/>
  <c r="L23" i="7"/>
  <c r="M15" i="7"/>
  <c r="P15" i="7" s="1"/>
  <c r="K71" i="34"/>
  <c r="K32" i="34"/>
  <c r="L88" i="34"/>
  <c r="L56" i="34"/>
  <c r="M77" i="34"/>
  <c r="M34" i="34"/>
  <c r="K90" i="36"/>
  <c r="K71" i="36"/>
  <c r="K21" i="36"/>
  <c r="M93" i="36"/>
  <c r="P93" i="36" s="1"/>
  <c r="M56" i="36"/>
  <c r="P56" i="36" s="1"/>
  <c r="M19" i="36"/>
  <c r="P19" i="36" s="1"/>
  <c r="P70" i="6"/>
  <c r="P62" i="6"/>
  <c r="L21" i="7"/>
  <c r="O23" i="7"/>
  <c r="P81" i="34"/>
  <c r="P25" i="34"/>
  <c r="K81" i="34"/>
  <c r="K31" i="34"/>
  <c r="M74" i="34"/>
  <c r="M29" i="34"/>
  <c r="P29" i="34" s="1"/>
  <c r="P95" i="36"/>
  <c r="P71" i="36"/>
  <c r="K111" i="36"/>
  <c r="K42" i="36"/>
  <c r="M88" i="36"/>
  <c r="M51" i="36"/>
  <c r="M16" i="36"/>
  <c r="P16" i="36" s="1"/>
  <c r="K79" i="34"/>
  <c r="P74" i="4"/>
  <c r="O21" i="7"/>
  <c r="M87" i="34"/>
  <c r="P72" i="34"/>
  <c r="K105" i="34"/>
  <c r="K80" i="34"/>
  <c r="K67" i="34"/>
  <c r="L101" i="34"/>
  <c r="M114" i="34"/>
  <c r="P114" i="34" s="1"/>
  <c r="M66" i="34"/>
  <c r="P66" i="34" s="1"/>
  <c r="P118" i="36"/>
  <c r="P110" i="36"/>
  <c r="P49" i="36"/>
  <c r="P25" i="36"/>
  <c r="P17" i="36"/>
  <c r="K37" i="36"/>
  <c r="K18" i="36"/>
  <c r="M117" i="36"/>
  <c r="P117" i="36" s="1"/>
  <c r="M85" i="36"/>
  <c r="P85" i="36" s="1"/>
  <c r="M48" i="36"/>
  <c r="N100" i="36"/>
  <c r="O54" i="36"/>
  <c r="P70" i="36"/>
  <c r="L36" i="8"/>
  <c r="M46" i="8"/>
  <c r="P46" i="8" s="1"/>
  <c r="M23" i="8"/>
  <c r="P23" i="8" s="1"/>
  <c r="M42" i="8"/>
  <c r="P42" i="8" s="1"/>
  <c r="M35" i="8"/>
  <c r="P35" i="8" s="1"/>
  <c r="M27" i="8"/>
  <c r="P27" i="8" s="1"/>
  <c r="N35" i="8"/>
  <c r="P71" i="6"/>
  <c r="P67" i="6"/>
  <c r="P47" i="6"/>
  <c r="P43" i="6"/>
  <c r="P39" i="6"/>
  <c r="P35" i="6"/>
  <c r="P22" i="6"/>
  <c r="K19" i="6"/>
  <c r="M49" i="6"/>
  <c r="P49" i="6" s="1"/>
  <c r="P46" i="6"/>
  <c r="P16" i="6"/>
  <c r="K48" i="6"/>
  <c r="M44" i="6"/>
  <c r="P44" i="6" s="1"/>
  <c r="K70" i="6"/>
  <c r="N77" i="6"/>
  <c r="P48" i="6"/>
  <c r="K43" i="6"/>
  <c r="K32" i="6"/>
  <c r="K22" i="6"/>
  <c r="L59" i="6"/>
  <c r="M57" i="6"/>
  <c r="P57" i="6" s="1"/>
  <c r="K62" i="6"/>
  <c r="O59" i="6"/>
  <c r="P69" i="6"/>
  <c r="P61" i="6"/>
  <c r="P45" i="6"/>
  <c r="P32" i="6"/>
  <c r="P24" i="6"/>
  <c r="K67" i="6"/>
  <c r="K46" i="6"/>
  <c r="K35" i="6"/>
  <c r="K24" i="6"/>
  <c r="L77" i="6"/>
  <c r="M68" i="6"/>
  <c r="P68" i="6" s="1"/>
  <c r="M36" i="6"/>
  <c r="P36" i="6" s="1"/>
  <c r="M60" i="6"/>
  <c r="N60" i="6"/>
  <c r="O16" i="7"/>
  <c r="L16" i="7"/>
  <c r="N16" i="7"/>
  <c r="M16" i="7"/>
  <c r="K22" i="7"/>
  <c r="M22" i="7"/>
  <c r="O32" i="8"/>
  <c r="L32" i="8"/>
  <c r="O20" i="8"/>
  <c r="L20" i="8"/>
  <c r="M75" i="4"/>
  <c r="N70" i="4"/>
  <c r="O73" i="4"/>
  <c r="K71" i="6"/>
  <c r="K63" i="6"/>
  <c r="K47" i="6"/>
  <c r="K39" i="6"/>
  <c r="K23" i="6"/>
  <c r="L37" i="6"/>
  <c r="M59" i="6"/>
  <c r="M51" i="6"/>
  <c r="O65" i="6"/>
  <c r="O18" i="7"/>
  <c r="L18" i="7"/>
  <c r="L60" i="6"/>
  <c r="M66" i="6"/>
  <c r="P66" i="6" s="1"/>
  <c r="M58" i="6"/>
  <c r="M50" i="6"/>
  <c r="P50" i="6" s="1"/>
  <c r="M42" i="6"/>
  <c r="P42" i="6" s="1"/>
  <c r="M34" i="6"/>
  <c r="P34" i="6" s="1"/>
  <c r="N40" i="6"/>
  <c r="O63" i="6"/>
  <c r="O51" i="6"/>
  <c r="P21" i="7"/>
  <c r="E17" i="34"/>
  <c r="O16" i="34"/>
  <c r="M16" i="34"/>
  <c r="N16" i="34"/>
  <c r="L16" i="34"/>
  <c r="E28" i="34"/>
  <c r="L26" i="34"/>
  <c r="O26" i="34"/>
  <c r="M26" i="34"/>
  <c r="N26" i="34"/>
  <c r="E59" i="34"/>
  <c r="L57" i="34"/>
  <c r="O57" i="34"/>
  <c r="M57" i="34"/>
  <c r="N57" i="34"/>
  <c r="L82" i="34"/>
  <c r="O82" i="34"/>
  <c r="M82" i="34"/>
  <c r="N82" i="34"/>
  <c r="M94" i="34"/>
  <c r="N94" i="34"/>
  <c r="L94" i="34"/>
  <c r="O94" i="34"/>
  <c r="N107" i="34"/>
  <c r="L107" i="34"/>
  <c r="O107" i="34"/>
  <c r="M107" i="34"/>
  <c r="E109" i="34"/>
  <c r="E108" i="34"/>
  <c r="K69" i="6"/>
  <c r="K61" i="6"/>
  <c r="K45" i="6"/>
  <c r="K21" i="6"/>
  <c r="L51" i="6"/>
  <c r="M65" i="6"/>
  <c r="N65" i="6"/>
  <c r="M73" i="4"/>
  <c r="P73" i="4" s="1"/>
  <c r="L77" i="4"/>
  <c r="M72" i="4"/>
  <c r="P72" i="4" s="1"/>
  <c r="N75" i="4"/>
  <c r="O70" i="4"/>
  <c r="K20" i="6"/>
  <c r="L58" i="6"/>
  <c r="L17" i="6"/>
  <c r="M64" i="6"/>
  <c r="M40" i="6"/>
  <c r="P40" i="6" s="1"/>
  <c r="N64" i="6"/>
  <c r="N37" i="6"/>
  <c r="K17" i="7"/>
  <c r="N63" i="6"/>
  <c r="L75" i="4"/>
  <c r="P20" i="6"/>
  <c r="L64" i="6"/>
  <c r="L40" i="6"/>
  <c r="M17" i="6"/>
  <c r="O58" i="6"/>
  <c r="O37" i="6"/>
  <c r="P20" i="7"/>
  <c r="K16" i="6"/>
  <c r="M77" i="6"/>
  <c r="M37" i="6"/>
  <c r="O17" i="6"/>
  <c r="M18" i="7"/>
  <c r="P18" i="7" s="1"/>
  <c r="M85" i="34"/>
  <c r="M69" i="34"/>
  <c r="N74" i="34"/>
  <c r="N50" i="34"/>
  <c r="O111" i="34"/>
  <c r="O95" i="34"/>
  <c r="O87" i="34"/>
  <c r="O63" i="34"/>
  <c r="O55" i="34"/>
  <c r="O23" i="34"/>
  <c r="E38" i="36"/>
  <c r="M33" i="36"/>
  <c r="N33" i="36"/>
  <c r="O33" i="36"/>
  <c r="L53" i="36"/>
  <c r="M53" i="36"/>
  <c r="N53" i="36"/>
  <c r="O53" i="36"/>
  <c r="O76" i="36"/>
  <c r="L76" i="36"/>
  <c r="M76" i="36"/>
  <c r="L99" i="36"/>
  <c r="M99" i="36"/>
  <c r="N99" i="36"/>
  <c r="O99" i="36"/>
  <c r="L22" i="7"/>
  <c r="O22" i="7"/>
  <c r="L35" i="8"/>
  <c r="M31" i="8"/>
  <c r="P31" i="8" s="1"/>
  <c r="L111" i="34"/>
  <c r="L95" i="34"/>
  <c r="L87" i="34"/>
  <c r="L63" i="34"/>
  <c r="L55" i="34"/>
  <c r="L23" i="34"/>
  <c r="M100" i="34"/>
  <c r="M92" i="34"/>
  <c r="M84" i="34"/>
  <c r="P84" i="34" s="1"/>
  <c r="M76" i="34"/>
  <c r="M68" i="34"/>
  <c r="M52" i="34"/>
  <c r="P52" i="34" s="1"/>
  <c r="M44" i="34"/>
  <c r="P44" i="34" s="1"/>
  <c r="M36" i="34"/>
  <c r="M20" i="34"/>
  <c r="P20" i="34" s="1"/>
  <c r="N113" i="34"/>
  <c r="N97" i="34"/>
  <c r="N89" i="34"/>
  <c r="N65" i="34"/>
  <c r="N49" i="34"/>
  <c r="N41" i="34"/>
  <c r="O102" i="34"/>
  <c r="O86" i="34"/>
  <c r="O22" i="34"/>
  <c r="M30" i="8"/>
  <c r="P30" i="8" s="1"/>
  <c r="L102" i="34"/>
  <c r="L86" i="34"/>
  <c r="L22" i="34"/>
  <c r="M115" i="34"/>
  <c r="M99" i="34"/>
  <c r="M83" i="34"/>
  <c r="M51" i="34"/>
  <c r="M43" i="34"/>
  <c r="N112" i="34"/>
  <c r="N96" i="34"/>
  <c r="N88" i="34"/>
  <c r="N56" i="34"/>
  <c r="O101" i="34"/>
  <c r="P101" i="34" s="1"/>
  <c r="O93" i="34"/>
  <c r="P93" i="34" s="1"/>
  <c r="O85" i="34"/>
  <c r="O77" i="34"/>
  <c r="O69" i="34"/>
  <c r="O61" i="34"/>
  <c r="L85" i="34"/>
  <c r="L69" i="34"/>
  <c r="M50" i="34"/>
  <c r="P34" i="34"/>
  <c r="N111" i="34"/>
  <c r="P111" i="34" s="1"/>
  <c r="N95" i="34"/>
  <c r="P95" i="34" s="1"/>
  <c r="N87" i="34"/>
  <c r="P87" i="34" s="1"/>
  <c r="N63" i="34"/>
  <c r="N55" i="34"/>
  <c r="N23" i="34"/>
  <c r="P23" i="34" s="1"/>
  <c r="O100" i="34"/>
  <c r="O92" i="34"/>
  <c r="O76" i="34"/>
  <c r="O68" i="34"/>
  <c r="O36" i="34"/>
  <c r="L44" i="36"/>
  <c r="M44" i="36"/>
  <c r="N44" i="36"/>
  <c r="O44" i="36"/>
  <c r="L61" i="36"/>
  <c r="M61" i="36"/>
  <c r="N61" i="36"/>
  <c r="O61" i="36"/>
  <c r="L87" i="36"/>
  <c r="M87" i="36"/>
  <c r="N87" i="36"/>
  <c r="O87" i="36"/>
  <c r="E106" i="36"/>
  <c r="L105" i="36"/>
  <c r="M105" i="36"/>
  <c r="N105" i="36"/>
  <c r="O105" i="36"/>
  <c r="K121" i="36"/>
  <c r="M121" i="36"/>
  <c r="P121" i="36" s="1"/>
  <c r="K113" i="36"/>
  <c r="M113" i="36"/>
  <c r="P113" i="36" s="1"/>
  <c r="K81" i="36"/>
  <c r="M81" i="36"/>
  <c r="P81" i="36" s="1"/>
  <c r="K73" i="36"/>
  <c r="M73" i="36"/>
  <c r="P73" i="36" s="1"/>
  <c r="K60" i="36"/>
  <c r="M60" i="36"/>
  <c r="P60" i="36" s="1"/>
  <c r="K36" i="36"/>
  <c r="M36" i="36"/>
  <c r="P36" i="36" s="1"/>
  <c r="K28" i="36"/>
  <c r="M28" i="36"/>
  <c r="P28" i="36" s="1"/>
  <c r="K20" i="36"/>
  <c r="M20" i="36"/>
  <c r="P20" i="36" s="1"/>
  <c r="L100" i="34"/>
  <c r="L92" i="34"/>
  <c r="L76" i="34"/>
  <c r="L68" i="34"/>
  <c r="L36" i="34"/>
  <c r="M113" i="34"/>
  <c r="M97" i="34"/>
  <c r="M89" i="34"/>
  <c r="M65" i="34"/>
  <c r="M49" i="34"/>
  <c r="M41" i="34"/>
  <c r="N102" i="34"/>
  <c r="N86" i="34"/>
  <c r="P86" i="34" s="1"/>
  <c r="N22" i="34"/>
  <c r="O115" i="34"/>
  <c r="O99" i="34"/>
  <c r="O83" i="34"/>
  <c r="O51" i="34"/>
  <c r="O43" i="34"/>
  <c r="M89" i="36"/>
  <c r="L28" i="8"/>
  <c r="M45" i="8"/>
  <c r="P45" i="8" s="1"/>
  <c r="M19" i="8"/>
  <c r="P19" i="8" s="1"/>
  <c r="K110" i="34"/>
  <c r="K78" i="34"/>
  <c r="K70" i="34"/>
  <c r="K54" i="34"/>
  <c r="K46" i="34"/>
  <c r="K38" i="34"/>
  <c r="K30" i="34"/>
  <c r="L115" i="34"/>
  <c r="L99" i="34"/>
  <c r="L83" i="34"/>
  <c r="L51" i="34"/>
  <c r="L43" i="34"/>
  <c r="M112" i="34"/>
  <c r="P112" i="34" s="1"/>
  <c r="M96" i="34"/>
  <c r="P96" i="34" s="1"/>
  <c r="M88" i="34"/>
  <c r="M56" i="34"/>
  <c r="P56" i="34" s="1"/>
  <c r="N61" i="34"/>
  <c r="P61" i="34" s="1"/>
  <c r="O106" i="34"/>
  <c r="P106" i="34" s="1"/>
  <c r="O74" i="34"/>
  <c r="O50" i="34"/>
  <c r="L33" i="36"/>
  <c r="L40" i="8"/>
  <c r="M55" i="34"/>
  <c r="N92" i="34"/>
  <c r="O113" i="34"/>
  <c r="O97" i="34"/>
  <c r="O89" i="34"/>
  <c r="O65" i="34"/>
  <c r="O49" i="34"/>
  <c r="O41" i="34"/>
  <c r="P44" i="8"/>
  <c r="P37" i="8"/>
  <c r="M41" i="8"/>
  <c r="P41" i="8" s="1"/>
  <c r="M22" i="34"/>
  <c r="O88" i="34"/>
  <c r="M52" i="36"/>
  <c r="N76" i="36"/>
  <c r="K118" i="36"/>
  <c r="K110" i="36"/>
  <c r="K102" i="36"/>
  <c r="K94" i="36"/>
  <c r="K78" i="36"/>
  <c r="K70" i="36"/>
  <c r="K57" i="36"/>
  <c r="K49" i="36"/>
  <c r="K41" i="36"/>
  <c r="K25" i="36"/>
  <c r="K17" i="36"/>
  <c r="L101" i="36"/>
  <c r="L48" i="36"/>
  <c r="L32" i="36"/>
  <c r="M116" i="36"/>
  <c r="P116" i="36" s="1"/>
  <c r="M100" i="36"/>
  <c r="P100" i="36" s="1"/>
  <c r="M92" i="36"/>
  <c r="P92" i="36" s="1"/>
  <c r="M84" i="36"/>
  <c r="P84" i="36" s="1"/>
  <c r="M63" i="36"/>
  <c r="P63" i="36" s="1"/>
  <c r="M55" i="36"/>
  <c r="P55" i="36" s="1"/>
  <c r="M47" i="36"/>
  <c r="P47" i="36" s="1"/>
  <c r="M39" i="36"/>
  <c r="P39" i="36" s="1"/>
  <c r="M31" i="36"/>
  <c r="M23" i="36"/>
  <c r="P23" i="36" s="1"/>
  <c r="M15" i="36"/>
  <c r="P15" i="36" s="1"/>
  <c r="N75" i="36"/>
  <c r="N62" i="36"/>
  <c r="N54" i="36"/>
  <c r="N46" i="36"/>
  <c r="O98" i="36"/>
  <c r="O74" i="36"/>
  <c r="L100" i="36"/>
  <c r="L63" i="36"/>
  <c r="L31" i="36"/>
  <c r="M115" i="36"/>
  <c r="P115" i="36" s="1"/>
  <c r="M91" i="36"/>
  <c r="P91" i="36" s="1"/>
  <c r="M83" i="36"/>
  <c r="P83" i="36" s="1"/>
  <c r="M75" i="36"/>
  <c r="M62" i="36"/>
  <c r="M54" i="36"/>
  <c r="M46" i="36"/>
  <c r="M30" i="36"/>
  <c r="P30" i="36" s="1"/>
  <c r="M22" i="36"/>
  <c r="P22" i="36" s="1"/>
  <c r="N98" i="36"/>
  <c r="N74" i="36"/>
  <c r="O97" i="36"/>
  <c r="O89" i="36"/>
  <c r="O52" i="36"/>
  <c r="M98" i="36"/>
  <c r="M74" i="36"/>
  <c r="N97" i="36"/>
  <c r="P97" i="36" s="1"/>
  <c r="N89" i="36"/>
  <c r="N52" i="36"/>
  <c r="O96" i="36"/>
  <c r="O88" i="36"/>
  <c r="O51" i="36"/>
  <c r="O35" i="36"/>
  <c r="N96" i="36"/>
  <c r="P96" i="36" s="1"/>
  <c r="N88" i="36"/>
  <c r="P88" i="36" s="1"/>
  <c r="N51" i="36"/>
  <c r="N35" i="36"/>
  <c r="O79" i="36"/>
  <c r="O58" i="36"/>
  <c r="O50" i="36"/>
  <c r="O34" i="36"/>
  <c r="M35" i="36"/>
  <c r="N79" i="36"/>
  <c r="N58" i="36"/>
  <c r="N34" i="36"/>
  <c r="O86" i="36"/>
  <c r="L88" i="36"/>
  <c r="M79" i="36"/>
  <c r="M58" i="36"/>
  <c r="M50" i="36"/>
  <c r="M34" i="36"/>
  <c r="N86" i="36"/>
  <c r="O101" i="36"/>
  <c r="P101" i="36" s="1"/>
  <c r="O48" i="36"/>
  <c r="P48" i="36" s="1"/>
  <c r="O32" i="36"/>
  <c r="P32" i="36" s="1"/>
  <c r="L50" i="36"/>
  <c r="O31" i="36"/>
  <c r="M22" i="8"/>
  <c r="N34" i="8"/>
  <c r="K48" i="8"/>
  <c r="K44" i="8"/>
  <c r="K37" i="8"/>
  <c r="L33" i="8"/>
  <c r="L29" i="8"/>
  <c r="L25" i="8"/>
  <c r="L21" i="8"/>
  <c r="M47" i="8"/>
  <c r="P47" i="8" s="1"/>
  <c r="M43" i="8"/>
  <c r="P43" i="8" s="1"/>
  <c r="M40" i="8"/>
  <c r="M36" i="8"/>
  <c r="M32" i="8"/>
  <c r="M28" i="8"/>
  <c r="M24" i="8"/>
  <c r="P24" i="8" s="1"/>
  <c r="M20" i="8"/>
  <c r="N40" i="8"/>
  <c r="N36" i="8"/>
  <c r="N32" i="8"/>
  <c r="N28" i="8"/>
  <c r="N20" i="8"/>
  <c r="M39" i="8"/>
  <c r="N39" i="8"/>
  <c r="O39" i="8"/>
  <c r="M34" i="8"/>
  <c r="O38" i="8"/>
  <c r="O34" i="8"/>
  <c r="O22" i="8"/>
  <c r="M38" i="8"/>
  <c r="M26" i="8"/>
  <c r="N38" i="8"/>
  <c r="N26" i="8"/>
  <c r="N22" i="8"/>
  <c r="O26" i="8"/>
  <c r="M33" i="8"/>
  <c r="M29" i="8"/>
  <c r="M25" i="8"/>
  <c r="M21" i="8"/>
  <c r="N33" i="8"/>
  <c r="N29" i="8"/>
  <c r="N25" i="8"/>
  <c r="N21" i="8"/>
  <c r="E62" i="34"/>
  <c r="E58" i="34"/>
  <c r="K14" i="34"/>
  <c r="E27" i="34"/>
  <c r="P14" i="34"/>
  <c r="E46" i="4"/>
  <c r="E39" i="4"/>
  <c r="E41" i="4"/>
  <c r="N41" i="4" s="1"/>
  <c r="E37" i="4"/>
  <c r="N37" i="4" s="1"/>
  <c r="E36" i="4"/>
  <c r="N36" i="4" s="1"/>
  <c r="E35" i="4"/>
  <c r="E34" i="4"/>
  <c r="N34" i="4" s="1"/>
  <c r="O18" i="3"/>
  <c r="O20" i="3"/>
  <c r="O21" i="3"/>
  <c r="O22" i="3"/>
  <c r="O23" i="3"/>
  <c r="O24" i="3"/>
  <c r="O25" i="3"/>
  <c r="O27" i="3"/>
  <c r="O30" i="3"/>
  <c r="O31" i="3"/>
  <c r="O32" i="3"/>
  <c r="O33" i="3"/>
  <c r="O34" i="3"/>
  <c r="O35" i="3"/>
  <c r="O38" i="3"/>
  <c r="O39" i="3"/>
  <c r="O40" i="3"/>
  <c r="O41" i="3"/>
  <c r="O47" i="3"/>
  <c r="O48" i="3"/>
  <c r="O54" i="3"/>
  <c r="O55" i="3"/>
  <c r="O60" i="3"/>
  <c r="O63" i="3"/>
  <c r="O66" i="3"/>
  <c r="O67" i="3"/>
  <c r="O70" i="3"/>
  <c r="O71" i="3"/>
  <c r="O72" i="3"/>
  <c r="O74" i="3"/>
  <c r="O75" i="3"/>
  <c r="O76" i="3"/>
  <c r="O77" i="3"/>
  <c r="N18" i="3"/>
  <c r="N20" i="3"/>
  <c r="N21" i="3"/>
  <c r="N22" i="3"/>
  <c r="N23" i="3"/>
  <c r="N24" i="3"/>
  <c r="N25" i="3"/>
  <c r="N27" i="3"/>
  <c r="N30" i="3"/>
  <c r="N31" i="3"/>
  <c r="N32" i="3"/>
  <c r="N33" i="3"/>
  <c r="N34" i="3"/>
  <c r="N35" i="3"/>
  <c r="N38" i="3"/>
  <c r="N39" i="3"/>
  <c r="N40" i="3"/>
  <c r="N41" i="3"/>
  <c r="N47" i="3"/>
  <c r="N48" i="3"/>
  <c r="N54" i="3"/>
  <c r="N55" i="3"/>
  <c r="N60" i="3"/>
  <c r="N63" i="3"/>
  <c r="N66" i="3"/>
  <c r="N67" i="3"/>
  <c r="N70" i="3"/>
  <c r="N71" i="3"/>
  <c r="N72" i="3"/>
  <c r="N74" i="3"/>
  <c r="N75" i="3"/>
  <c r="N76" i="3"/>
  <c r="N77" i="3"/>
  <c r="L18" i="3"/>
  <c r="L20" i="3"/>
  <c r="L21" i="3"/>
  <c r="L22" i="3"/>
  <c r="L23" i="3"/>
  <c r="L24" i="3"/>
  <c r="L25" i="3"/>
  <c r="L27" i="3"/>
  <c r="L30" i="3"/>
  <c r="L31" i="3"/>
  <c r="L32" i="3"/>
  <c r="L33" i="3"/>
  <c r="L34" i="3"/>
  <c r="L35" i="3"/>
  <c r="L38" i="3"/>
  <c r="L39" i="3"/>
  <c r="L40" i="3"/>
  <c r="L41" i="3"/>
  <c r="L47" i="3"/>
  <c r="L48" i="3"/>
  <c r="L54" i="3"/>
  <c r="L55" i="3"/>
  <c r="L60" i="3"/>
  <c r="L63" i="3"/>
  <c r="L66" i="3"/>
  <c r="L67" i="3"/>
  <c r="L70" i="3"/>
  <c r="L71" i="3"/>
  <c r="L72" i="3"/>
  <c r="L74" i="3"/>
  <c r="L75" i="3"/>
  <c r="L76" i="3"/>
  <c r="L77" i="3"/>
  <c r="H15" i="3"/>
  <c r="K15" i="3" s="1"/>
  <c r="H16" i="3"/>
  <c r="K16" i="3" s="1"/>
  <c r="H17" i="3"/>
  <c r="K17" i="3" s="1"/>
  <c r="H18" i="3"/>
  <c r="M18" i="3" s="1"/>
  <c r="H19" i="3"/>
  <c r="K19" i="3" s="1"/>
  <c r="H20" i="3"/>
  <c r="M20" i="3" s="1"/>
  <c r="P20" i="3" s="1"/>
  <c r="H21" i="3"/>
  <c r="M21" i="3" s="1"/>
  <c r="H22" i="3"/>
  <c r="K22" i="3" s="1"/>
  <c r="H23" i="3"/>
  <c r="M23" i="3" s="1"/>
  <c r="H24" i="3"/>
  <c r="M24" i="3" s="1"/>
  <c r="P24" i="3" s="1"/>
  <c r="H25" i="3"/>
  <c r="M25" i="3" s="1"/>
  <c r="H26" i="3"/>
  <c r="K26" i="3" s="1"/>
  <c r="H27" i="3"/>
  <c r="M27" i="3" s="1"/>
  <c r="P27" i="3" s="1"/>
  <c r="H28" i="3"/>
  <c r="K28" i="3" s="1"/>
  <c r="H29" i="3"/>
  <c r="K29" i="3" s="1"/>
  <c r="H30" i="3"/>
  <c r="M30" i="3" s="1"/>
  <c r="H31" i="3"/>
  <c r="M31" i="3" s="1"/>
  <c r="H32" i="3"/>
  <c r="M32" i="3" s="1"/>
  <c r="H33" i="3"/>
  <c r="M33" i="3" s="1"/>
  <c r="P33" i="3" s="1"/>
  <c r="H34" i="3"/>
  <c r="M34" i="3" s="1"/>
  <c r="H35" i="3"/>
  <c r="M35" i="3" s="1"/>
  <c r="P35" i="3" s="1"/>
  <c r="H36" i="3"/>
  <c r="H37" i="3"/>
  <c r="K37" i="3" s="1"/>
  <c r="H38" i="3"/>
  <c r="K38" i="3" s="1"/>
  <c r="H39" i="3"/>
  <c r="M39" i="3" s="1"/>
  <c r="P39" i="3" s="1"/>
  <c r="H40" i="3"/>
  <c r="M40" i="3" s="1"/>
  <c r="H41" i="3"/>
  <c r="M41" i="3" s="1"/>
  <c r="H42" i="3"/>
  <c r="K42" i="3" s="1"/>
  <c r="H43" i="3"/>
  <c r="K43" i="3" s="1"/>
  <c r="H44" i="3"/>
  <c r="K44" i="3" s="1"/>
  <c r="H45" i="3"/>
  <c r="K45" i="3" s="1"/>
  <c r="H46" i="3"/>
  <c r="K46" i="3" s="1"/>
  <c r="H47" i="3"/>
  <c r="M47" i="3" s="1"/>
  <c r="H48" i="3"/>
  <c r="M48" i="3" s="1"/>
  <c r="P48" i="3" s="1"/>
  <c r="H49" i="3"/>
  <c r="K49" i="3" s="1"/>
  <c r="H50" i="3"/>
  <c r="K50" i="3" s="1"/>
  <c r="H51" i="3"/>
  <c r="K51" i="3" s="1"/>
  <c r="H52" i="3"/>
  <c r="K52" i="3" s="1"/>
  <c r="H53" i="3"/>
  <c r="K53" i="3" s="1"/>
  <c r="H54" i="3"/>
  <c r="K54" i="3" s="1"/>
  <c r="H55" i="3"/>
  <c r="M55" i="3" s="1"/>
  <c r="H56" i="3"/>
  <c r="K56" i="3" s="1"/>
  <c r="H57" i="3"/>
  <c r="K57" i="3" s="1"/>
  <c r="H58" i="3"/>
  <c r="K58" i="3" s="1"/>
  <c r="H59" i="3"/>
  <c r="H60" i="3"/>
  <c r="K60" i="3" s="1"/>
  <c r="H61" i="3"/>
  <c r="K61" i="3" s="1"/>
  <c r="H62" i="3"/>
  <c r="K62" i="3" s="1"/>
  <c r="H63" i="3"/>
  <c r="M63" i="3" s="1"/>
  <c r="H64" i="3"/>
  <c r="K64" i="3" s="1"/>
  <c r="H65" i="3"/>
  <c r="K65" i="3" s="1"/>
  <c r="H66" i="3"/>
  <c r="K66" i="3" s="1"/>
  <c r="H67" i="3"/>
  <c r="K67" i="3" s="1"/>
  <c r="H68" i="3"/>
  <c r="K68" i="3" s="1"/>
  <c r="H69" i="3"/>
  <c r="K69" i="3" s="1"/>
  <c r="H70" i="3"/>
  <c r="M70" i="3" s="1"/>
  <c r="P70" i="3" s="1"/>
  <c r="H71" i="3"/>
  <c r="M71" i="3" s="1"/>
  <c r="H72" i="3"/>
  <c r="M72" i="3" s="1"/>
  <c r="H73" i="3"/>
  <c r="K73" i="3" s="1"/>
  <c r="H74" i="3"/>
  <c r="M74" i="3" s="1"/>
  <c r="H75" i="3"/>
  <c r="M75" i="3" s="1"/>
  <c r="H76" i="3"/>
  <c r="M76" i="3" s="1"/>
  <c r="H77" i="3"/>
  <c r="M77" i="3" s="1"/>
  <c r="P77" i="3" s="1"/>
  <c r="H78" i="3"/>
  <c r="K78" i="3" s="1"/>
  <c r="O17" i="4"/>
  <c r="O18" i="4"/>
  <c r="O19" i="4"/>
  <c r="O20" i="4"/>
  <c r="O24" i="4"/>
  <c r="O25" i="4"/>
  <c r="O26" i="4"/>
  <c r="O27" i="4"/>
  <c r="O31" i="4"/>
  <c r="O32" i="4"/>
  <c r="O33" i="4"/>
  <c r="N17" i="4"/>
  <c r="N18" i="4"/>
  <c r="N19" i="4"/>
  <c r="N20" i="4"/>
  <c r="N24" i="4"/>
  <c r="N25" i="4"/>
  <c r="N26" i="4"/>
  <c r="N27" i="4"/>
  <c r="N31" i="4"/>
  <c r="N32" i="4"/>
  <c r="N33" i="4"/>
  <c r="N38" i="4"/>
  <c r="N42" i="4"/>
  <c r="N43" i="4"/>
  <c r="N44" i="4"/>
  <c r="L17" i="4"/>
  <c r="L18" i="4"/>
  <c r="L19" i="4"/>
  <c r="L20" i="4"/>
  <c r="L24" i="4"/>
  <c r="L25" i="4"/>
  <c r="L26" i="4"/>
  <c r="L27" i="4"/>
  <c r="L31" i="4"/>
  <c r="L32" i="4"/>
  <c r="L33" i="4"/>
  <c r="L14" i="4"/>
  <c r="N14" i="4"/>
  <c r="O14" i="4"/>
  <c r="H15" i="4"/>
  <c r="K15" i="4" s="1"/>
  <c r="H16" i="4"/>
  <c r="K16" i="4" s="1"/>
  <c r="H17" i="4"/>
  <c r="M17" i="4" s="1"/>
  <c r="P17" i="4" s="1"/>
  <c r="H18" i="4"/>
  <c r="M18" i="4" s="1"/>
  <c r="H19" i="4"/>
  <c r="M19" i="4" s="1"/>
  <c r="H20" i="4"/>
  <c r="K20" i="4" s="1"/>
  <c r="H21" i="4"/>
  <c r="K21" i="4" s="1"/>
  <c r="H22" i="4"/>
  <c r="K22" i="4" s="1"/>
  <c r="H23" i="4"/>
  <c r="K23" i="4" s="1"/>
  <c r="H24" i="4"/>
  <c r="K24" i="4" s="1"/>
  <c r="H25" i="4"/>
  <c r="K25" i="4" s="1"/>
  <c r="H26" i="4"/>
  <c r="M26" i="4" s="1"/>
  <c r="H27" i="4"/>
  <c r="M27" i="4" s="1"/>
  <c r="H28" i="4"/>
  <c r="K28" i="4" s="1"/>
  <c r="H29" i="4"/>
  <c r="K29" i="4" s="1"/>
  <c r="H30" i="4"/>
  <c r="K30" i="4" s="1"/>
  <c r="H31" i="4"/>
  <c r="M31" i="4" s="1"/>
  <c r="H32" i="4"/>
  <c r="K32" i="4" s="1"/>
  <c r="H33" i="4"/>
  <c r="M33" i="4" s="1"/>
  <c r="H34" i="4"/>
  <c r="K34" i="4" s="1"/>
  <c r="H35" i="4"/>
  <c r="K35" i="4" s="1"/>
  <c r="H36" i="4"/>
  <c r="K36" i="4" s="1"/>
  <c r="H37" i="4"/>
  <c r="K37" i="4" s="1"/>
  <c r="E23" i="4"/>
  <c r="O23" i="4" s="1"/>
  <c r="E22" i="4"/>
  <c r="O22" i="4" s="1"/>
  <c r="E21" i="4"/>
  <c r="O21" i="4" s="1"/>
  <c r="A57" i="3"/>
  <c r="A58" i="3"/>
  <c r="A56" i="3"/>
  <c r="E59" i="3"/>
  <c r="N59" i="3" s="1"/>
  <c r="E58" i="3"/>
  <c r="E57" i="3"/>
  <c r="M57" i="3" s="1"/>
  <c r="E56" i="3"/>
  <c r="M56" i="3" s="1"/>
  <c r="A54" i="3"/>
  <c r="E52" i="3"/>
  <c r="O52" i="3" s="1"/>
  <c r="A45" i="3"/>
  <c r="E45" i="3"/>
  <c r="A39" i="3"/>
  <c r="A38" i="3"/>
  <c r="E37" i="3"/>
  <c r="E36" i="3"/>
  <c r="O36" i="3" s="1"/>
  <c r="A30" i="3"/>
  <c r="A31" i="3"/>
  <c r="A32" i="3"/>
  <c r="A33" i="3"/>
  <c r="A34" i="3"/>
  <c r="A35" i="3"/>
  <c r="E29" i="3"/>
  <c r="M29" i="3" s="1"/>
  <c r="A15" i="3"/>
  <c r="A16" i="3"/>
  <c r="A17" i="3"/>
  <c r="A18" i="3"/>
  <c r="A19" i="3"/>
  <c r="A20" i="3"/>
  <c r="A21" i="3"/>
  <c r="A22" i="3"/>
  <c r="A23" i="3"/>
  <c r="A24" i="3"/>
  <c r="A25" i="3"/>
  <c r="A26" i="3"/>
  <c r="E26" i="3"/>
  <c r="L26" i="3" s="1"/>
  <c r="P31" i="4" l="1"/>
  <c r="P27" i="4"/>
  <c r="O59" i="3"/>
  <c r="P61" i="36"/>
  <c r="P74" i="34"/>
  <c r="P77" i="34"/>
  <c r="P75" i="3"/>
  <c r="M59" i="3"/>
  <c r="P59" i="3" s="1"/>
  <c r="L59" i="3"/>
  <c r="P36" i="35"/>
  <c r="O31" i="35"/>
  <c r="N31" i="35"/>
  <c r="M31" i="35"/>
  <c r="L31" i="35"/>
  <c r="P29" i="35"/>
  <c r="P26" i="35"/>
  <c r="P32" i="35"/>
  <c r="P16" i="7"/>
  <c r="P17" i="35"/>
  <c r="P35" i="35"/>
  <c r="P20" i="35"/>
  <c r="P23" i="35"/>
  <c r="P21" i="3"/>
  <c r="P30" i="35"/>
  <c r="P21" i="35"/>
  <c r="P33" i="35"/>
  <c r="P38" i="35"/>
  <c r="P18" i="35"/>
  <c r="P34" i="3"/>
  <c r="P18" i="3"/>
  <c r="O26" i="3"/>
  <c r="P77" i="6"/>
  <c r="M58" i="3"/>
  <c r="P41" i="3"/>
  <c r="P25" i="3"/>
  <c r="L36" i="3"/>
  <c r="P62" i="36"/>
  <c r="P65" i="34"/>
  <c r="P115" i="34"/>
  <c r="P69" i="34"/>
  <c r="P100" i="34"/>
  <c r="P74" i="3"/>
  <c r="P72" i="3"/>
  <c r="P40" i="3"/>
  <c r="P32" i="3"/>
  <c r="L52" i="3"/>
  <c r="N29" i="3"/>
  <c r="P89" i="34"/>
  <c r="P23" i="7"/>
  <c r="M45" i="3"/>
  <c r="P19" i="4"/>
  <c r="P71" i="3"/>
  <c r="P63" i="3"/>
  <c r="P55" i="3"/>
  <c r="P47" i="3"/>
  <c r="P31" i="3"/>
  <c r="P23" i="3"/>
  <c r="P68" i="34"/>
  <c r="P53" i="36"/>
  <c r="P63" i="34"/>
  <c r="P107" i="34"/>
  <c r="P16" i="34"/>
  <c r="M37" i="3"/>
  <c r="P26" i="4"/>
  <c r="K33" i="4"/>
  <c r="P30" i="3"/>
  <c r="N26" i="3"/>
  <c r="P86" i="36"/>
  <c r="P51" i="36"/>
  <c r="P70" i="4"/>
  <c r="K17" i="4"/>
  <c r="P76" i="3"/>
  <c r="M36" i="3"/>
  <c r="O29" i="3"/>
  <c r="P52" i="36"/>
  <c r="P102" i="34"/>
  <c r="P51" i="34"/>
  <c r="P92" i="34"/>
  <c r="P76" i="36"/>
  <c r="P59" i="6"/>
  <c r="P63" i="6"/>
  <c r="K75" i="3"/>
  <c r="K35" i="3"/>
  <c r="M67" i="3"/>
  <c r="P67" i="3" s="1"/>
  <c r="K76" i="3"/>
  <c r="K36" i="3"/>
  <c r="M62" i="34"/>
  <c r="N62" i="34"/>
  <c r="L62" i="34"/>
  <c r="O62" i="34"/>
  <c r="K59" i="3"/>
  <c r="K27" i="3"/>
  <c r="O58" i="3"/>
  <c r="P33" i="4"/>
  <c r="K27" i="4"/>
  <c r="K74" i="3"/>
  <c r="K34" i="3"/>
  <c r="M66" i="3"/>
  <c r="P66" i="3" s="1"/>
  <c r="M26" i="3"/>
  <c r="P26" i="3" s="1"/>
  <c r="N57" i="3"/>
  <c r="O57" i="3"/>
  <c r="P34" i="36"/>
  <c r="P87" i="36"/>
  <c r="P44" i="36"/>
  <c r="P83" i="34"/>
  <c r="P33" i="36"/>
  <c r="P57" i="34"/>
  <c r="N28" i="34"/>
  <c r="L28" i="34"/>
  <c r="O28" i="34"/>
  <c r="M28" i="34"/>
  <c r="N58" i="3"/>
  <c r="P58" i="3" s="1"/>
  <c r="M25" i="4"/>
  <c r="K18" i="3"/>
  <c r="L58" i="3"/>
  <c r="K26" i="4"/>
  <c r="K41" i="3"/>
  <c r="K33" i="3"/>
  <c r="K25" i="3"/>
  <c r="L57" i="3"/>
  <c r="N56" i="3"/>
  <c r="O56" i="3"/>
  <c r="P20" i="8"/>
  <c r="P50" i="36"/>
  <c r="P35" i="36"/>
  <c r="P74" i="36"/>
  <c r="P55" i="34"/>
  <c r="P88" i="34"/>
  <c r="P97" i="34"/>
  <c r="P99" i="34"/>
  <c r="P36" i="34"/>
  <c r="L38" i="36"/>
  <c r="M38" i="36"/>
  <c r="N38" i="36"/>
  <c r="O38" i="36"/>
  <c r="N108" i="34"/>
  <c r="L108" i="34"/>
  <c r="O108" i="34"/>
  <c r="M108" i="34"/>
  <c r="M60" i="3"/>
  <c r="P60" i="3" s="1"/>
  <c r="K72" i="3"/>
  <c r="K48" i="3"/>
  <c r="K40" i="3"/>
  <c r="K32" i="3"/>
  <c r="K24" i="3"/>
  <c r="L56" i="3"/>
  <c r="P58" i="36"/>
  <c r="P98" i="36"/>
  <c r="P46" i="36"/>
  <c r="P113" i="34"/>
  <c r="P37" i="6"/>
  <c r="P17" i="6"/>
  <c r="P65" i="6"/>
  <c r="N109" i="34"/>
  <c r="L109" i="34"/>
  <c r="O109" i="34"/>
  <c r="M109" i="34"/>
  <c r="P94" i="34"/>
  <c r="K71" i="3"/>
  <c r="K63" i="3"/>
  <c r="K55" i="3"/>
  <c r="K47" i="3"/>
  <c r="K39" i="3"/>
  <c r="K31" i="3"/>
  <c r="K23" i="3"/>
  <c r="N27" i="34"/>
  <c r="L27" i="34"/>
  <c r="O27" i="34"/>
  <c r="M27" i="34"/>
  <c r="P79" i="36"/>
  <c r="P54" i="36"/>
  <c r="P105" i="36"/>
  <c r="E60" i="34"/>
  <c r="N59" i="34"/>
  <c r="L59" i="34"/>
  <c r="O59" i="34"/>
  <c r="M59" i="34"/>
  <c r="K20" i="3"/>
  <c r="M52" i="3"/>
  <c r="K70" i="3"/>
  <c r="K30" i="3"/>
  <c r="M54" i="3"/>
  <c r="P54" i="3" s="1"/>
  <c r="M38" i="3"/>
  <c r="P38" i="3" s="1"/>
  <c r="M22" i="3"/>
  <c r="P22" i="3" s="1"/>
  <c r="N45" i="3"/>
  <c r="N37" i="3"/>
  <c r="P37" i="3" s="1"/>
  <c r="P22" i="34"/>
  <c r="P89" i="36"/>
  <c r="P82" i="34"/>
  <c r="P51" i="6"/>
  <c r="P60" i="6"/>
  <c r="O45" i="3"/>
  <c r="O37" i="3"/>
  <c r="K77" i="3"/>
  <c r="K21" i="3"/>
  <c r="L45" i="3"/>
  <c r="L37" i="3"/>
  <c r="L29" i="3"/>
  <c r="N52" i="3"/>
  <c r="N36" i="3"/>
  <c r="P36" i="3" s="1"/>
  <c r="L58" i="34"/>
  <c r="O58" i="34"/>
  <c r="M58" i="34"/>
  <c r="N58" i="34"/>
  <c r="P29" i="8"/>
  <c r="P36" i="8"/>
  <c r="P75" i="36"/>
  <c r="P31" i="36"/>
  <c r="P41" i="34"/>
  <c r="E107" i="36"/>
  <c r="L106" i="36"/>
  <c r="M106" i="36"/>
  <c r="N106" i="36"/>
  <c r="O106" i="36"/>
  <c r="P76" i="34"/>
  <c r="P99" i="36"/>
  <c r="P85" i="34"/>
  <c r="P64" i="6"/>
  <c r="P26" i="34"/>
  <c r="E18" i="34"/>
  <c r="L17" i="34"/>
  <c r="O17" i="34"/>
  <c r="M17" i="34"/>
  <c r="P17" i="34" s="1"/>
  <c r="N17" i="34"/>
  <c r="P58" i="6"/>
  <c r="P22" i="7"/>
  <c r="P40" i="8"/>
  <c r="P49" i="34"/>
  <c r="P50" i="34"/>
  <c r="P43" i="34"/>
  <c r="P75" i="4"/>
  <c r="P22" i="8"/>
  <c r="P33" i="8"/>
  <c r="P21" i="8"/>
  <c r="P26" i="8"/>
  <c r="P39" i="8"/>
  <c r="P28" i="8"/>
  <c r="P25" i="8"/>
  <c r="P38" i="8"/>
  <c r="P34" i="8"/>
  <c r="P32" i="8"/>
  <c r="P25" i="4"/>
  <c r="K31" i="4"/>
  <c r="P18" i="4"/>
  <c r="K19" i="4"/>
  <c r="L37" i="4"/>
  <c r="L23" i="4"/>
  <c r="O34" i="4"/>
  <c r="K18" i="4"/>
  <c r="L22" i="4"/>
  <c r="M32" i="4"/>
  <c r="P32" i="4" s="1"/>
  <c r="M24" i="4"/>
  <c r="P24" i="4" s="1"/>
  <c r="M20" i="4"/>
  <c r="P20" i="4" s="1"/>
  <c r="L21" i="4"/>
  <c r="M23" i="4"/>
  <c r="N23" i="4"/>
  <c r="M22" i="4"/>
  <c r="N22" i="4"/>
  <c r="M37" i="4"/>
  <c r="M21" i="4"/>
  <c r="N21" i="4"/>
  <c r="M36" i="4"/>
  <c r="O36" i="4"/>
  <c r="L36" i="4"/>
  <c r="L34" i="4"/>
  <c r="M34" i="4"/>
  <c r="P34" i="4" s="1"/>
  <c r="E28" i="3"/>
  <c r="H15" i="40"/>
  <c r="K15" i="40" s="1"/>
  <c r="H41" i="40"/>
  <c r="P29" i="3" l="1"/>
  <c r="P59" i="34"/>
  <c r="P27" i="34"/>
  <c r="P31" i="35"/>
  <c r="P45" i="3"/>
  <c r="P56" i="3"/>
  <c r="P28" i="34"/>
  <c r="P57" i="3"/>
  <c r="O28" i="3"/>
  <c r="N28" i="3"/>
  <c r="M28" i="3"/>
  <c r="L28" i="3"/>
  <c r="P58" i="34"/>
  <c r="P52" i="3"/>
  <c r="P108" i="34"/>
  <c r="E108" i="36"/>
  <c r="L107" i="36"/>
  <c r="M107" i="36"/>
  <c r="N107" i="36"/>
  <c r="O107" i="36"/>
  <c r="P62" i="34"/>
  <c r="K41" i="40"/>
  <c r="M41" i="40"/>
  <c r="P41" i="40" s="1"/>
  <c r="N60" i="34"/>
  <c r="L60" i="34"/>
  <c r="O60" i="34"/>
  <c r="M60" i="34"/>
  <c r="P109" i="34"/>
  <c r="P38" i="36"/>
  <c r="E19" i="34"/>
  <c r="L18" i="34"/>
  <c r="O18" i="34"/>
  <c r="M18" i="34"/>
  <c r="N18" i="34"/>
  <c r="P106" i="36"/>
  <c r="P21" i="4"/>
  <c r="P23" i="4"/>
  <c r="P22" i="4"/>
  <c r="H14" i="35"/>
  <c r="A14" i="7"/>
  <c r="A15" i="8"/>
  <c r="H15" i="8"/>
  <c r="A50" i="8"/>
  <c r="H14" i="7"/>
  <c r="H38" i="4"/>
  <c r="M38" i="4" s="1"/>
  <c r="H39" i="4"/>
  <c r="H40" i="4"/>
  <c r="H41" i="4"/>
  <c r="M41" i="4" s="1"/>
  <c r="H42" i="4"/>
  <c r="M42" i="4" s="1"/>
  <c r="H43" i="4"/>
  <c r="M43" i="4" s="1"/>
  <c r="H44" i="4"/>
  <c r="H45" i="4"/>
  <c r="H46" i="4"/>
  <c r="H47" i="4"/>
  <c r="H48" i="4"/>
  <c r="H49" i="4"/>
  <c r="H50" i="4"/>
  <c r="H51" i="4"/>
  <c r="H52" i="4"/>
  <c r="H53" i="4"/>
  <c r="H54" i="4"/>
  <c r="H55" i="4"/>
  <c r="H56" i="4"/>
  <c r="H57" i="4"/>
  <c r="H58" i="4"/>
  <c r="H59" i="4"/>
  <c r="H60" i="4"/>
  <c r="H61" i="4"/>
  <c r="H62" i="4"/>
  <c r="H63" i="4"/>
  <c r="H64" i="4"/>
  <c r="H65" i="4"/>
  <c r="H66" i="4"/>
  <c r="H67" i="4"/>
  <c r="A27" i="3"/>
  <c r="A28" i="3"/>
  <c r="A29" i="3"/>
  <c r="A36" i="3"/>
  <c r="A37" i="3"/>
  <c r="A40" i="3"/>
  <c r="A41" i="3"/>
  <c r="A42" i="3"/>
  <c r="A43" i="3"/>
  <c r="A44" i="3"/>
  <c r="A46" i="3"/>
  <c r="A47" i="3"/>
  <c r="A48" i="3"/>
  <c r="A49" i="3"/>
  <c r="A50" i="3"/>
  <c r="A51" i="3"/>
  <c r="A52" i="3"/>
  <c r="A53" i="3"/>
  <c r="A55" i="3"/>
  <c r="A59" i="3"/>
  <c r="A60" i="3"/>
  <c r="A61" i="3"/>
  <c r="A62" i="3"/>
  <c r="A63" i="3"/>
  <c r="A64" i="3"/>
  <c r="A65" i="3"/>
  <c r="A66" i="3"/>
  <c r="A67" i="3"/>
  <c r="A68" i="3"/>
  <c r="A69" i="3"/>
  <c r="A70" i="3"/>
  <c r="A71" i="3"/>
  <c r="A72" i="3"/>
  <c r="A73" i="3"/>
  <c r="A74" i="3"/>
  <c r="A75" i="3"/>
  <c r="A76" i="3"/>
  <c r="A77" i="3"/>
  <c r="A78" i="3"/>
  <c r="P28" i="3" l="1"/>
  <c r="O108" i="36"/>
  <c r="L108" i="36"/>
  <c r="M108" i="36"/>
  <c r="N108" i="36"/>
  <c r="N19" i="34"/>
  <c r="L19" i="34"/>
  <c r="O19" i="34"/>
  <c r="M19" i="34"/>
  <c r="P60" i="34"/>
  <c r="P107" i="36"/>
  <c r="P18" i="34"/>
  <c r="A14" i="4"/>
  <c r="P19" i="34" l="1"/>
  <c r="P108" i="36"/>
  <c r="A15" i="40"/>
  <c r="L41" i="40"/>
  <c r="O14" i="35"/>
  <c r="N14" i="35"/>
  <c r="M14" i="35"/>
  <c r="L14" i="35"/>
  <c r="K14" i="35"/>
  <c r="K38" i="4"/>
  <c r="L38" i="4"/>
  <c r="O38" i="4"/>
  <c r="P38" i="4" s="1"/>
  <c r="K39" i="4"/>
  <c r="K40" i="4"/>
  <c r="K41" i="4"/>
  <c r="K42" i="4"/>
  <c r="L42" i="4"/>
  <c r="O42" i="4"/>
  <c r="K43" i="4"/>
  <c r="L43" i="4"/>
  <c r="O43" i="4"/>
  <c r="K44" i="4"/>
  <c r="L44" i="4"/>
  <c r="M44" i="4"/>
  <c r="O44" i="4"/>
  <c r="K45" i="4"/>
  <c r="K46" i="4"/>
  <c r="K47" i="4"/>
  <c r="K48" i="4"/>
  <c r="K49" i="4"/>
  <c r="L49" i="4"/>
  <c r="M49" i="4"/>
  <c r="N49" i="4"/>
  <c r="O49" i="4"/>
  <c r="K50" i="4"/>
  <c r="L50" i="4"/>
  <c r="M50" i="4"/>
  <c r="N50" i="4"/>
  <c r="O50" i="4"/>
  <c r="K51" i="4"/>
  <c r="K52" i="4"/>
  <c r="K53" i="4"/>
  <c r="K54" i="4"/>
  <c r="K55" i="4"/>
  <c r="K56" i="4"/>
  <c r="K57" i="4"/>
  <c r="K58" i="4"/>
  <c r="K59" i="4"/>
  <c r="K60" i="4"/>
  <c r="L60" i="4"/>
  <c r="M60" i="4"/>
  <c r="N60" i="4"/>
  <c r="O60" i="4"/>
  <c r="K61" i="4"/>
  <c r="K62" i="4"/>
  <c r="L62" i="4"/>
  <c r="M62" i="4"/>
  <c r="N62" i="4"/>
  <c r="O62" i="4"/>
  <c r="K63" i="4"/>
  <c r="L63" i="4"/>
  <c r="M63" i="4"/>
  <c r="N63" i="4"/>
  <c r="O63" i="4"/>
  <c r="K64" i="4"/>
  <c r="K65" i="4"/>
  <c r="K66" i="4"/>
  <c r="L66" i="4"/>
  <c r="M66" i="4"/>
  <c r="N66" i="4"/>
  <c r="O66" i="4"/>
  <c r="K67" i="4"/>
  <c r="P14" i="35" l="1"/>
  <c r="P63" i="4"/>
  <c r="P43" i="4"/>
  <c r="P62" i="4"/>
  <c r="P60" i="4"/>
  <c r="P49" i="4"/>
  <c r="P66" i="4"/>
  <c r="P44" i="4"/>
  <c r="P50" i="4"/>
  <c r="P42" i="4"/>
  <c r="E122" i="36" l="1"/>
  <c r="L122" i="36" l="1"/>
  <c r="M122" i="36"/>
  <c r="N122" i="36"/>
  <c r="O122" i="36"/>
  <c r="E50" i="8"/>
  <c r="P122" i="36" l="1"/>
  <c r="L50" i="8"/>
  <c r="O50" i="8"/>
  <c r="N50" i="8"/>
  <c r="E27" i="35"/>
  <c r="E25" i="35"/>
  <c r="E24" i="35"/>
  <c r="O24" i="35" l="1"/>
  <c r="L24" i="35"/>
  <c r="N24" i="35"/>
  <c r="M24" i="35"/>
  <c r="P24" i="35" s="1"/>
  <c r="L25" i="35"/>
  <c r="N25" i="35"/>
  <c r="M25" i="35"/>
  <c r="O25" i="35"/>
  <c r="O27" i="35"/>
  <c r="N27" i="35"/>
  <c r="M27" i="35"/>
  <c r="P27" i="35" s="1"/>
  <c r="L27" i="35"/>
  <c r="N47" i="35"/>
  <c r="L47" i="35"/>
  <c r="D19" i="7"/>
  <c r="E31" i="6"/>
  <c r="E25" i="6"/>
  <c r="E64" i="4"/>
  <c r="E48" i="4"/>
  <c r="E45" i="4"/>
  <c r="E40" i="4"/>
  <c r="E16" i="4"/>
  <c r="E15" i="4"/>
  <c r="P25" i="35" l="1"/>
  <c r="L41" i="6"/>
  <c r="O41" i="6"/>
  <c r="M41" i="6"/>
  <c r="N41" i="6"/>
  <c r="L31" i="6"/>
  <c r="O31" i="6"/>
  <c r="M31" i="6"/>
  <c r="N31" i="6"/>
  <c r="N25" i="6"/>
  <c r="L25" i="6"/>
  <c r="M25" i="6"/>
  <c r="O25" i="6"/>
  <c r="P47" i="35"/>
  <c r="E38" i="6"/>
  <c r="L15" i="4"/>
  <c r="O15" i="4"/>
  <c r="N15" i="4"/>
  <c r="M15" i="4"/>
  <c r="L16" i="4"/>
  <c r="O16" i="4"/>
  <c r="N16" i="4"/>
  <c r="M16" i="4"/>
  <c r="N39" i="4"/>
  <c r="M39" i="4"/>
  <c r="M40" i="4"/>
  <c r="N40" i="4"/>
  <c r="L35" i="4"/>
  <c r="M35" i="4"/>
  <c r="N35" i="4"/>
  <c r="O35" i="4"/>
  <c r="O40" i="4"/>
  <c r="L40" i="4"/>
  <c r="O41" i="4"/>
  <c r="L41" i="4"/>
  <c r="L47" i="4"/>
  <c r="M47" i="4"/>
  <c r="N47" i="4"/>
  <c r="O47" i="4"/>
  <c r="E65" i="4"/>
  <c r="M64" i="4"/>
  <c r="N64" i="4"/>
  <c r="O64" i="4"/>
  <c r="L64" i="4"/>
  <c r="N45" i="4"/>
  <c r="O45" i="4"/>
  <c r="L45" i="4"/>
  <c r="M45" i="4"/>
  <c r="L39" i="4"/>
  <c r="O39" i="4"/>
  <c r="M46" i="4"/>
  <c r="N46" i="4"/>
  <c r="O46" i="4"/>
  <c r="L46" i="4"/>
  <c r="N67" i="4"/>
  <c r="O67" i="4"/>
  <c r="L67" i="4"/>
  <c r="M67" i="4"/>
  <c r="O48" i="4"/>
  <c r="L48" i="4"/>
  <c r="M48" i="4"/>
  <c r="N48" i="4"/>
  <c r="E78" i="3"/>
  <c r="E73" i="3"/>
  <c r="E69" i="3"/>
  <c r="E68" i="3"/>
  <c r="E65" i="3"/>
  <c r="E64" i="3"/>
  <c r="E62" i="3"/>
  <c r="E61" i="3"/>
  <c r="E53" i="3"/>
  <c r="E51" i="3"/>
  <c r="E50" i="3"/>
  <c r="E49" i="3"/>
  <c r="E46" i="3"/>
  <c r="E44" i="3"/>
  <c r="E43" i="3"/>
  <c r="E42" i="3"/>
  <c r="E15" i="3"/>
  <c r="P41" i="6" l="1"/>
  <c r="P31" i="6"/>
  <c r="P25" i="6"/>
  <c r="M62" i="3"/>
  <c r="L62" i="3"/>
  <c r="O62" i="3"/>
  <c r="N62" i="3"/>
  <c r="M64" i="3"/>
  <c r="L64" i="3"/>
  <c r="O64" i="3"/>
  <c r="N64" i="3"/>
  <c r="M46" i="3"/>
  <c r="L46" i="3"/>
  <c r="O46" i="3"/>
  <c r="N46" i="3"/>
  <c r="M65" i="3"/>
  <c r="L65" i="3"/>
  <c r="O65" i="3"/>
  <c r="N65" i="3"/>
  <c r="O44" i="3"/>
  <c r="N44" i="3"/>
  <c r="L44" i="3"/>
  <c r="M44" i="3"/>
  <c r="M69" i="3"/>
  <c r="L69" i="3"/>
  <c r="O69" i="3"/>
  <c r="N69" i="3"/>
  <c r="O68" i="3"/>
  <c r="N68" i="3"/>
  <c r="M68" i="3"/>
  <c r="L68" i="3"/>
  <c r="O50" i="3"/>
  <c r="M50" i="3"/>
  <c r="L50" i="3"/>
  <c r="N50" i="3"/>
  <c r="O51" i="3"/>
  <c r="N51" i="3"/>
  <c r="M51" i="3"/>
  <c r="L51" i="3"/>
  <c r="M73" i="3"/>
  <c r="L73" i="3"/>
  <c r="O73" i="3"/>
  <c r="N73" i="3"/>
  <c r="M15" i="3"/>
  <c r="L15" i="3"/>
  <c r="O15" i="3"/>
  <c r="N15" i="3"/>
  <c r="M53" i="3"/>
  <c r="L53" i="3"/>
  <c r="N53" i="3"/>
  <c r="O53" i="3"/>
  <c r="M78" i="3"/>
  <c r="L78" i="3"/>
  <c r="O78" i="3"/>
  <c r="O38" i="6"/>
  <c r="N38" i="6"/>
  <c r="M38" i="6"/>
  <c r="L38" i="6"/>
  <c r="O43" i="3"/>
  <c r="N43" i="3"/>
  <c r="L43" i="3"/>
  <c r="M43" i="3"/>
  <c r="M49" i="3"/>
  <c r="L49" i="3"/>
  <c r="O49" i="3"/>
  <c r="N49" i="3"/>
  <c r="N42" i="3"/>
  <c r="L42" i="3"/>
  <c r="M42" i="3"/>
  <c r="O42" i="3"/>
  <c r="M61" i="3"/>
  <c r="L61" i="3"/>
  <c r="O61" i="3"/>
  <c r="N61" i="3"/>
  <c r="P16" i="4"/>
  <c r="P15" i="4"/>
  <c r="P67" i="4"/>
  <c r="P45" i="4"/>
  <c r="P35" i="4"/>
  <c r="P48" i="4"/>
  <c r="P41" i="4"/>
  <c r="P39" i="4"/>
  <c r="P40" i="4"/>
  <c r="L65" i="4"/>
  <c r="M65" i="4"/>
  <c r="N65" i="4"/>
  <c r="O65" i="4"/>
  <c r="P46" i="4"/>
  <c r="P64" i="4"/>
  <c r="P47" i="4"/>
  <c r="N78" i="3"/>
  <c r="P44" i="3" l="1"/>
  <c r="P51" i="3"/>
  <c r="P68" i="3"/>
  <c r="P38" i="6"/>
  <c r="P50" i="3"/>
  <c r="P69" i="3"/>
  <c r="P65" i="3"/>
  <c r="P64" i="3"/>
  <c r="P49" i="3"/>
  <c r="P53" i="3"/>
  <c r="P61" i="3"/>
  <c r="P43" i="3"/>
  <c r="P42" i="3"/>
  <c r="P73" i="3"/>
  <c r="P78" i="3"/>
  <c r="P15" i="3"/>
  <c r="P46" i="3"/>
  <c r="P62" i="3"/>
  <c r="P65" i="4"/>
  <c r="C24" i="2"/>
  <c r="O14" i="3" l="1"/>
  <c r="N14" i="3"/>
  <c r="L14" i="3"/>
  <c r="H14" i="3"/>
  <c r="K14" i="3" s="1"/>
  <c r="H14" i="4"/>
  <c r="K14" i="4" l="1"/>
  <c r="M14" i="4"/>
  <c r="P14" i="4" s="1"/>
  <c r="M14" i="3"/>
  <c r="P14" i="3" s="1"/>
  <c r="O14" i="36" l="1"/>
  <c r="N14" i="36"/>
  <c r="M14" i="36"/>
  <c r="L14" i="36"/>
  <c r="K14" i="36"/>
  <c r="P14" i="36" l="1"/>
  <c r="J41" i="33"/>
  <c r="E42" i="33"/>
  <c r="J42" i="33" s="1"/>
  <c r="E48" i="33"/>
  <c r="J48" i="33" s="1"/>
  <c r="E46" i="33"/>
  <c r="J46" i="33" s="1"/>
  <c r="E45" i="33"/>
  <c r="J45" i="33" s="1"/>
  <c r="E44" i="33"/>
  <c r="J44" i="33" s="1"/>
  <c r="I43" i="33"/>
  <c r="E43" i="33"/>
  <c r="G43" i="33" s="1"/>
  <c r="J43" i="33" s="1"/>
  <c r="E47" i="33" l="1"/>
  <c r="J47" i="33" s="1"/>
  <c r="E20" i="33"/>
  <c r="E21" i="33"/>
  <c r="E22" i="33"/>
  <c r="E23" i="33"/>
  <c r="E24" i="33"/>
  <c r="E19" i="33"/>
  <c r="E4" i="33"/>
  <c r="E5" i="33"/>
  <c r="E6" i="33"/>
  <c r="E8" i="33"/>
  <c r="E10" i="33"/>
  <c r="E11" i="33"/>
  <c r="E12" i="33"/>
  <c r="E13" i="33"/>
  <c r="E14" i="33"/>
  <c r="E15" i="33"/>
  <c r="E16" i="33"/>
  <c r="E17" i="33"/>
  <c r="A14" i="36" l="1"/>
  <c r="C7" i="33" l="1"/>
  <c r="C9" i="33"/>
  <c r="D9" i="33"/>
  <c r="D7" i="33"/>
  <c r="H21" i="33"/>
  <c r="J21" i="33" s="1"/>
  <c r="K21" i="33"/>
  <c r="L21" i="33"/>
  <c r="M21" i="33"/>
  <c r="O21" i="33" s="1"/>
  <c r="R21" i="33"/>
  <c r="S21" i="33" s="1"/>
  <c r="T21" i="33"/>
  <c r="H22" i="33"/>
  <c r="K22" i="33"/>
  <c r="L22" i="33"/>
  <c r="M22" i="33"/>
  <c r="O22" i="33" s="1"/>
  <c r="R22" i="33"/>
  <c r="S22" i="33" s="1"/>
  <c r="T22" i="33"/>
  <c r="H23" i="33"/>
  <c r="I23" i="33" s="1"/>
  <c r="K23" i="33"/>
  <c r="L23" i="33"/>
  <c r="M23" i="33"/>
  <c r="O23" i="33" s="1"/>
  <c r="R23" i="33"/>
  <c r="S23" i="33" s="1"/>
  <c r="T23" i="33"/>
  <c r="H14" i="33"/>
  <c r="K14" i="33"/>
  <c r="L14" i="33"/>
  <c r="N14" i="33" s="1"/>
  <c r="M14" i="33"/>
  <c r="O14" i="33" s="1"/>
  <c r="P14" i="33"/>
  <c r="Q14" i="33"/>
  <c r="R14" i="33"/>
  <c r="S14" i="33" s="1"/>
  <c r="T14" i="33"/>
  <c r="U14" i="33" s="1"/>
  <c r="H15" i="33"/>
  <c r="J15" i="33" s="1"/>
  <c r="K15" i="33"/>
  <c r="L15" i="33"/>
  <c r="N15" i="33" s="1"/>
  <c r="M15" i="33"/>
  <c r="O15" i="33" s="1"/>
  <c r="P15" i="33"/>
  <c r="Q15" i="33"/>
  <c r="R15" i="33"/>
  <c r="S15" i="33" s="1"/>
  <c r="T15" i="33"/>
  <c r="U15" i="33" s="1"/>
  <c r="H16" i="33"/>
  <c r="K16" i="33"/>
  <c r="L16" i="33"/>
  <c r="N16" i="33" s="1"/>
  <c r="M16" i="33"/>
  <c r="O16" i="33" s="1"/>
  <c r="P16" i="33"/>
  <c r="Q16" i="33"/>
  <c r="R16" i="33"/>
  <c r="S16" i="33" s="1"/>
  <c r="T16" i="33"/>
  <c r="U16" i="33" s="1"/>
  <c r="H17" i="33"/>
  <c r="J17" i="33" s="1"/>
  <c r="K17" i="33"/>
  <c r="L17" i="33"/>
  <c r="N17" i="33" s="1"/>
  <c r="M17" i="33"/>
  <c r="O17" i="33" s="1"/>
  <c r="P17" i="33"/>
  <c r="Q17" i="33"/>
  <c r="R17" i="33"/>
  <c r="S17" i="33" s="1"/>
  <c r="T17" i="33"/>
  <c r="U17" i="33" s="1"/>
  <c r="E9" i="33" l="1"/>
  <c r="E7" i="33"/>
  <c r="I22" i="33"/>
  <c r="J22" i="33"/>
  <c r="I21" i="33"/>
  <c r="J23" i="33"/>
  <c r="I17" i="33"/>
  <c r="I16" i="33"/>
  <c r="I15" i="33"/>
  <c r="I14" i="33"/>
  <c r="J14" i="33"/>
  <c r="J16" i="33"/>
  <c r="N15" i="40" l="1"/>
  <c r="L15" i="40"/>
  <c r="C22" i="2"/>
  <c r="A14" i="35"/>
  <c r="C21" i="2"/>
  <c r="A14" i="6"/>
  <c r="D47" i="8"/>
  <c r="D48" i="8" s="1"/>
  <c r="E17" i="8"/>
  <c r="E16" i="8"/>
  <c r="O15" i="8"/>
  <c r="L15" i="8"/>
  <c r="N15" i="8"/>
  <c r="O14" i="7"/>
  <c r="N14" i="7"/>
  <c r="L14" i="7"/>
  <c r="H14" i="6"/>
  <c r="E28" i="4"/>
  <c r="E19" i="3"/>
  <c r="E17" i="3"/>
  <c r="A14" i="3"/>
  <c r="M17" i="3" l="1"/>
  <c r="L17" i="3"/>
  <c r="O17" i="3"/>
  <c r="N17" i="3"/>
  <c r="N19" i="3"/>
  <c r="O19" i="3"/>
  <c r="M19" i="3"/>
  <c r="P19" i="3" s="1"/>
  <c r="L19" i="3"/>
  <c r="L16" i="8"/>
  <c r="O16" i="8"/>
  <c r="N16" i="8"/>
  <c r="M16" i="8"/>
  <c r="O17" i="8"/>
  <c r="N17" i="8"/>
  <c r="M17" i="8"/>
  <c r="L17" i="8"/>
  <c r="L28" i="4"/>
  <c r="O28" i="4"/>
  <c r="N28" i="4"/>
  <c r="M28" i="4"/>
  <c r="E18" i="8"/>
  <c r="E19" i="7"/>
  <c r="E29" i="4"/>
  <c r="L42" i="40"/>
  <c r="I24" i="2" s="1"/>
  <c r="N42" i="40"/>
  <c r="G24" i="2" s="1"/>
  <c r="O15" i="40"/>
  <c r="M15" i="40"/>
  <c r="K15" i="8"/>
  <c r="M15" i="8"/>
  <c r="P15" i="8" s="1"/>
  <c r="M14" i="7"/>
  <c r="P14" i="7" s="1"/>
  <c r="E25" i="7"/>
  <c r="K14" i="6"/>
  <c r="E55" i="6"/>
  <c r="E52" i="6"/>
  <c r="E56" i="6"/>
  <c r="P28" i="4" l="1"/>
  <c r="P16" i="8"/>
  <c r="O25" i="7"/>
  <c r="L25" i="7"/>
  <c r="N25" i="7"/>
  <c r="M25" i="7"/>
  <c r="P17" i="8"/>
  <c r="O56" i="6"/>
  <c r="L56" i="6"/>
  <c r="M56" i="6"/>
  <c r="N56" i="6"/>
  <c r="M19" i="7"/>
  <c r="O19" i="7"/>
  <c r="L19" i="7"/>
  <c r="N19" i="7"/>
  <c r="O52" i="6"/>
  <c r="N52" i="6"/>
  <c r="L52" i="6"/>
  <c r="M52" i="6"/>
  <c r="L55" i="6"/>
  <c r="M55" i="6"/>
  <c r="N55" i="6"/>
  <c r="O55" i="6"/>
  <c r="P17" i="3"/>
  <c r="L18" i="8"/>
  <c r="O18" i="8"/>
  <c r="N18" i="8"/>
  <c r="M18" i="8"/>
  <c r="O29" i="4"/>
  <c r="N29" i="4"/>
  <c r="M29" i="4"/>
  <c r="L29" i="4"/>
  <c r="E30" i="4"/>
  <c r="M61" i="4"/>
  <c r="N61" i="4"/>
  <c r="O61" i="4"/>
  <c r="L61" i="4"/>
  <c r="O37" i="4"/>
  <c r="E16" i="3"/>
  <c r="P15" i="40"/>
  <c r="K14" i="7"/>
  <c r="E53" i="6"/>
  <c r="E54" i="6"/>
  <c r="E30" i="6"/>
  <c r="E26" i="6"/>
  <c r="E27" i="6" s="1"/>
  <c r="E29" i="6"/>
  <c r="E51" i="4"/>
  <c r="E57" i="4"/>
  <c r="E59" i="4" s="1"/>
  <c r="E53" i="4"/>
  <c r="C19" i="2"/>
  <c r="P25" i="7" l="1"/>
  <c r="P52" i="6"/>
  <c r="P55" i="6"/>
  <c r="M53" i="6"/>
  <c r="N53" i="6"/>
  <c r="O53" i="6"/>
  <c r="L53" i="6"/>
  <c r="N26" i="6"/>
  <c r="O26" i="6"/>
  <c r="L26" i="6"/>
  <c r="M26" i="6"/>
  <c r="P19" i="7"/>
  <c r="M16" i="3"/>
  <c r="L16" i="3"/>
  <c r="O16" i="3"/>
  <c r="N16" i="3"/>
  <c r="M29" i="6"/>
  <c r="O29" i="6"/>
  <c r="N29" i="6"/>
  <c r="L29" i="6"/>
  <c r="O30" i="6"/>
  <c r="N30" i="6"/>
  <c r="M30" i="6"/>
  <c r="L30" i="6"/>
  <c r="O54" i="6"/>
  <c r="N54" i="6"/>
  <c r="M54" i="6"/>
  <c r="L54" i="6"/>
  <c r="P56" i="6"/>
  <c r="P18" i="8"/>
  <c r="P29" i="4"/>
  <c r="O30" i="4"/>
  <c r="N30" i="4"/>
  <c r="M30" i="4"/>
  <c r="L30" i="4"/>
  <c r="M57" i="4"/>
  <c r="N57" i="4"/>
  <c r="O57" i="4"/>
  <c r="L57" i="4"/>
  <c r="L51" i="4"/>
  <c r="M51" i="4"/>
  <c r="N51" i="4"/>
  <c r="O51" i="4"/>
  <c r="P36" i="4"/>
  <c r="M53" i="4"/>
  <c r="N53" i="4"/>
  <c r="O53" i="4"/>
  <c r="L53" i="4"/>
  <c r="P37" i="4"/>
  <c r="P61" i="4"/>
  <c r="E28" i="6"/>
  <c r="O14" i="6"/>
  <c r="N14" i="6"/>
  <c r="M14" i="6"/>
  <c r="L14" i="6"/>
  <c r="E52" i="4"/>
  <c r="E55" i="4"/>
  <c r="E54" i="4"/>
  <c r="E58" i="4"/>
  <c r="G31" i="33"/>
  <c r="G32" i="33" s="1"/>
  <c r="G33" i="33" s="1"/>
  <c r="C31" i="33"/>
  <c r="C32" i="33" s="1"/>
  <c r="J31" i="33" l="1"/>
  <c r="P26" i="6"/>
  <c r="M28" i="6"/>
  <c r="O28" i="6"/>
  <c r="N28" i="6"/>
  <c r="L28" i="6"/>
  <c r="P16" i="3"/>
  <c r="M27" i="6"/>
  <c r="O27" i="6"/>
  <c r="N27" i="6"/>
  <c r="L27" i="6"/>
  <c r="P30" i="4"/>
  <c r="P54" i="6"/>
  <c r="P29" i="6"/>
  <c r="P53" i="6"/>
  <c r="P30" i="6"/>
  <c r="P57" i="4"/>
  <c r="L54" i="4"/>
  <c r="M54" i="4"/>
  <c r="N54" i="4"/>
  <c r="O54" i="4"/>
  <c r="O55" i="4"/>
  <c r="L55" i="4"/>
  <c r="M55" i="4"/>
  <c r="N55" i="4"/>
  <c r="N52" i="4"/>
  <c r="O52" i="4"/>
  <c r="L52" i="4"/>
  <c r="M52" i="4"/>
  <c r="P53" i="4"/>
  <c r="L58" i="4"/>
  <c r="M58" i="4"/>
  <c r="N58" i="4"/>
  <c r="O58" i="4"/>
  <c r="O59" i="4"/>
  <c r="L59" i="4"/>
  <c r="M59" i="4"/>
  <c r="N59" i="4"/>
  <c r="P51" i="4"/>
  <c r="P14" i="6"/>
  <c r="F31" i="33"/>
  <c r="O48" i="35"/>
  <c r="H21" i="2" s="1"/>
  <c r="N48" i="35"/>
  <c r="G21" i="2" s="1"/>
  <c r="L123" i="36"/>
  <c r="I22" i="2" s="1"/>
  <c r="N123" i="36"/>
  <c r="G22" i="2" s="1"/>
  <c r="O123" i="36"/>
  <c r="H22" i="2" s="1"/>
  <c r="E56" i="4"/>
  <c r="G34" i="33"/>
  <c r="J33" i="33"/>
  <c r="J32" i="33"/>
  <c r="F32" i="33"/>
  <c r="C33" i="33"/>
  <c r="P55" i="4" l="1"/>
  <c r="P27" i="6"/>
  <c r="P28" i="6"/>
  <c r="P58" i="4"/>
  <c r="P52" i="4"/>
  <c r="P54" i="4"/>
  <c r="N56" i="4"/>
  <c r="O56" i="4"/>
  <c r="L56" i="4"/>
  <c r="M56" i="4"/>
  <c r="P59" i="4"/>
  <c r="G35" i="33"/>
  <c r="J34" i="33"/>
  <c r="C34" i="33"/>
  <c r="F33" i="33"/>
  <c r="P56" i="4" l="1"/>
  <c r="J35" i="33"/>
  <c r="G36" i="33"/>
  <c r="C35" i="33"/>
  <c r="F34" i="33"/>
  <c r="L116" i="34" l="1"/>
  <c r="N116" i="34"/>
  <c r="G37" i="33"/>
  <c r="J36" i="33"/>
  <c r="C36" i="33"/>
  <c r="F35" i="33"/>
  <c r="M50" i="8" l="1"/>
  <c r="P50" i="8" s="1"/>
  <c r="G38" i="33"/>
  <c r="J38" i="33" s="1"/>
  <c r="J37" i="33"/>
  <c r="C37" i="33"/>
  <c r="F36" i="33"/>
  <c r="C20" i="2"/>
  <c r="J39" i="33" l="1"/>
  <c r="C38" i="33"/>
  <c r="F38" i="33" s="1"/>
  <c r="F37" i="33"/>
  <c r="F39" i="33" l="1"/>
  <c r="L48" i="35" l="1"/>
  <c r="I21" i="2" s="1"/>
  <c r="K5" i="33" l="1"/>
  <c r="K6" i="33"/>
  <c r="K8" i="33"/>
  <c r="K10" i="33"/>
  <c r="K11" i="33"/>
  <c r="K12" i="33"/>
  <c r="K13" i="33"/>
  <c r="K19" i="33"/>
  <c r="K20" i="33"/>
  <c r="K24" i="33"/>
  <c r="K26" i="33"/>
  <c r="K27" i="33"/>
  <c r="J3" i="33"/>
  <c r="L24" i="33"/>
  <c r="M20" i="33"/>
  <c r="M24" i="33"/>
  <c r="M19" i="33"/>
  <c r="L20" i="33"/>
  <c r="L19" i="33"/>
  <c r="K25" i="33" l="1"/>
  <c r="G20" i="2"/>
  <c r="I20" i="2"/>
  <c r="K28" i="33"/>
  <c r="C90" i="3" l="1"/>
  <c r="C82" i="3"/>
  <c r="C87" i="3" s="1"/>
  <c r="C42" i="2"/>
  <c r="C34" i="2"/>
  <c r="I3" i="33"/>
  <c r="H4" i="33"/>
  <c r="J4" i="33" s="1"/>
  <c r="M4" i="33"/>
  <c r="O4" i="33" s="1"/>
  <c r="Q4" i="33"/>
  <c r="H5" i="33"/>
  <c r="L5" i="33"/>
  <c r="N5" i="33" s="1"/>
  <c r="M5" i="33"/>
  <c r="O5" i="33" s="1"/>
  <c r="Q5" i="33"/>
  <c r="P5" i="33"/>
  <c r="R5" i="33"/>
  <c r="S5" i="33" s="1"/>
  <c r="T5" i="33"/>
  <c r="U5" i="33" s="1"/>
  <c r="H6" i="33"/>
  <c r="J6" i="33" s="1"/>
  <c r="L6" i="33"/>
  <c r="N6" i="33" s="1"/>
  <c r="M6" i="33"/>
  <c r="O6" i="33" s="1"/>
  <c r="Q6" i="33"/>
  <c r="P6" i="33"/>
  <c r="R6" i="33"/>
  <c r="S6" i="33" s="1"/>
  <c r="T6" i="33"/>
  <c r="U6" i="33" s="1"/>
  <c r="H7" i="33"/>
  <c r="H8" i="33"/>
  <c r="L8" i="33"/>
  <c r="N8" i="33" s="1"/>
  <c r="M8" i="33"/>
  <c r="O8" i="33" s="1"/>
  <c r="Q8" i="33"/>
  <c r="P8" i="33"/>
  <c r="R8" i="33"/>
  <c r="S8" i="33" s="1"/>
  <c r="T8" i="33"/>
  <c r="U8" i="33" s="1"/>
  <c r="T9" i="33"/>
  <c r="U9" i="33" s="1"/>
  <c r="H9" i="33"/>
  <c r="H10" i="33"/>
  <c r="L10" i="33"/>
  <c r="N10" i="33" s="1"/>
  <c r="M10" i="33"/>
  <c r="O10" i="33" s="1"/>
  <c r="Q10" i="33"/>
  <c r="P10" i="33"/>
  <c r="R10" i="33"/>
  <c r="S10" i="33" s="1"/>
  <c r="T10" i="33"/>
  <c r="U10" i="33" s="1"/>
  <c r="H11" i="33"/>
  <c r="L11" i="33"/>
  <c r="N11" i="33" s="1"/>
  <c r="M11" i="33"/>
  <c r="O11" i="33" s="1"/>
  <c r="Q11" i="33"/>
  <c r="P11" i="33"/>
  <c r="R11" i="33"/>
  <c r="S11" i="33" s="1"/>
  <c r="T11" i="33"/>
  <c r="U11" i="33" s="1"/>
  <c r="H12" i="33"/>
  <c r="L12" i="33"/>
  <c r="N12" i="33" s="1"/>
  <c r="M12" i="33"/>
  <c r="O12" i="33" s="1"/>
  <c r="Q12" i="33"/>
  <c r="P12" i="33"/>
  <c r="R12" i="33"/>
  <c r="S12" i="33" s="1"/>
  <c r="T12" i="33"/>
  <c r="U12" i="33" s="1"/>
  <c r="H13" i="33"/>
  <c r="L13" i="33"/>
  <c r="N13" i="33" s="1"/>
  <c r="M13" i="33"/>
  <c r="O13" i="33" s="1"/>
  <c r="Q13" i="33"/>
  <c r="P13" i="33"/>
  <c r="R13" i="33"/>
  <c r="S13" i="33" s="1"/>
  <c r="T13" i="33"/>
  <c r="U13" i="33" s="1"/>
  <c r="H19" i="33"/>
  <c r="O19" i="33"/>
  <c r="R19" i="33"/>
  <c r="S19" i="33" s="1"/>
  <c r="T19" i="33"/>
  <c r="H20" i="33"/>
  <c r="O20" i="33"/>
  <c r="R20" i="33"/>
  <c r="S20" i="33" s="1"/>
  <c r="T20" i="33"/>
  <c r="H24" i="33"/>
  <c r="J24" i="33" s="1"/>
  <c r="O24" i="33"/>
  <c r="R24" i="33"/>
  <c r="S24" i="33" s="1"/>
  <c r="T24" i="33"/>
  <c r="C26" i="33"/>
  <c r="H26" i="33"/>
  <c r="J26" i="33" s="1"/>
  <c r="O26" i="33"/>
  <c r="R26" i="33"/>
  <c r="S26" i="33" s="1"/>
  <c r="T26" i="33"/>
  <c r="C27" i="33"/>
  <c r="H27" i="33"/>
  <c r="J27" i="33" s="1"/>
  <c r="O27" i="33"/>
  <c r="R27" i="33"/>
  <c r="S27" i="33" s="1"/>
  <c r="T27" i="33"/>
  <c r="I19" i="33" l="1"/>
  <c r="J19" i="33"/>
  <c r="C62" i="8"/>
  <c r="C54" i="8"/>
  <c r="P7" i="33"/>
  <c r="C39" i="2"/>
  <c r="I12" i="33"/>
  <c r="I10" i="33"/>
  <c r="M7" i="33"/>
  <c r="O7" i="33" s="1"/>
  <c r="L7" i="33"/>
  <c r="K7" i="33"/>
  <c r="R9" i="33"/>
  <c r="S9" i="33" s="1"/>
  <c r="K9" i="33"/>
  <c r="Q9" i="33"/>
  <c r="I5" i="33"/>
  <c r="P9" i="33"/>
  <c r="J7" i="33"/>
  <c r="I11" i="33"/>
  <c r="I8" i="33"/>
  <c r="I13" i="33"/>
  <c r="R7" i="33"/>
  <c r="S7" i="33" s="1"/>
  <c r="I6" i="33"/>
  <c r="I24" i="33"/>
  <c r="J12" i="33"/>
  <c r="Q7" i="33"/>
  <c r="L9" i="33"/>
  <c r="N9" i="33" s="1"/>
  <c r="J13" i="33"/>
  <c r="I20" i="33"/>
  <c r="I27" i="33"/>
  <c r="I26" i="33"/>
  <c r="I9" i="33"/>
  <c r="M9" i="33"/>
  <c r="O9" i="33" s="1"/>
  <c r="J10" i="33"/>
  <c r="J9" i="33"/>
  <c r="J8" i="33"/>
  <c r="J5" i="33"/>
  <c r="I7" i="33"/>
  <c r="J20" i="33"/>
  <c r="J11" i="33"/>
  <c r="T7" i="33"/>
  <c r="A37" i="2"/>
  <c r="D9" i="2"/>
  <c r="D8" i="2"/>
  <c r="D7" i="2"/>
  <c r="D6" i="2"/>
  <c r="C37" i="7"/>
  <c r="C29" i="7"/>
  <c r="C89" i="6"/>
  <c r="C81" i="6"/>
  <c r="C90" i="4"/>
  <c r="C82" i="4"/>
  <c r="C18" i="2"/>
  <c r="C17" i="2"/>
  <c r="C16" i="2"/>
  <c r="C15" i="2"/>
  <c r="D6" i="45" l="1"/>
  <c r="D6" i="40"/>
  <c r="D7" i="45"/>
  <c r="D7" i="40"/>
  <c r="D8" i="45"/>
  <c r="D8" i="40"/>
  <c r="D5" i="45"/>
  <c r="D5" i="40"/>
  <c r="P10" i="45"/>
  <c r="A129" i="36"/>
  <c r="P10" i="36" s="1"/>
  <c r="A85" i="3"/>
  <c r="A70" i="45"/>
  <c r="A122" i="34"/>
  <c r="P10" i="34" s="1"/>
  <c r="A48" i="40"/>
  <c r="P10" i="40" s="1"/>
  <c r="A54" i="35"/>
  <c r="P10" i="35" s="1"/>
  <c r="D7" i="36"/>
  <c r="D8" i="36"/>
  <c r="D6" i="36"/>
  <c r="C86" i="6"/>
  <c r="A57" i="8"/>
  <c r="P10" i="8" s="1"/>
  <c r="D5" i="3"/>
  <c r="D5" i="36"/>
  <c r="C59" i="8"/>
  <c r="C34" i="7"/>
  <c r="C87" i="4"/>
  <c r="D5" i="35"/>
  <c r="D5" i="34"/>
  <c r="D7" i="4"/>
  <c r="D7" i="35"/>
  <c r="D7" i="34"/>
  <c r="D8" i="6"/>
  <c r="D8" i="35"/>
  <c r="D8" i="34"/>
  <c r="D6" i="35"/>
  <c r="D6" i="34"/>
  <c r="D5" i="7"/>
  <c r="A85" i="4"/>
  <c r="P10" i="4" s="1"/>
  <c r="A32" i="7"/>
  <c r="P10" i="7" s="1"/>
  <c r="O28" i="33"/>
  <c r="N7" i="33"/>
  <c r="D5" i="4"/>
  <c r="D8" i="4"/>
  <c r="D6" i="8"/>
  <c r="D6" i="4"/>
  <c r="D8" i="7"/>
  <c r="D8" i="3"/>
  <c r="D8" i="8"/>
  <c r="D7" i="6"/>
  <c r="D5" i="6"/>
  <c r="D7" i="7"/>
  <c r="D7" i="8"/>
  <c r="D7" i="3"/>
  <c r="P10" i="3"/>
  <c r="A84" i="6"/>
  <c r="P10" i="6" s="1"/>
  <c r="D5" i="8"/>
  <c r="Q28" i="33"/>
  <c r="J28" i="33"/>
  <c r="M28" i="33"/>
  <c r="U7" i="33"/>
  <c r="D6" i="3"/>
  <c r="D6" i="6"/>
  <c r="D6" i="7"/>
  <c r="E73" i="6" l="1"/>
  <c r="E75" i="6"/>
  <c r="E72" i="6"/>
  <c r="E76" i="6"/>
  <c r="E74" i="6"/>
  <c r="L26" i="7"/>
  <c r="I18" i="2" s="1"/>
  <c r="N26" i="7"/>
  <c r="G18" i="2" s="1"/>
  <c r="O26" i="7"/>
  <c r="H18" i="2" s="1"/>
  <c r="M26" i="7"/>
  <c r="O72" i="6" l="1"/>
  <c r="L72" i="6"/>
  <c r="N72" i="6"/>
  <c r="M72" i="6"/>
  <c r="P72" i="6" s="1"/>
  <c r="N74" i="6"/>
  <c r="L74" i="6"/>
  <c r="M74" i="6"/>
  <c r="O74" i="6"/>
  <c r="L75" i="6"/>
  <c r="N75" i="6"/>
  <c r="M75" i="6"/>
  <c r="O75" i="6"/>
  <c r="O76" i="6"/>
  <c r="L76" i="6"/>
  <c r="N76" i="6"/>
  <c r="M76" i="6"/>
  <c r="P76" i="6" s="1"/>
  <c r="L73" i="6"/>
  <c r="N73" i="6"/>
  <c r="M73" i="6"/>
  <c r="O73" i="6"/>
  <c r="P26" i="7"/>
  <c r="N9" i="7" s="1"/>
  <c r="F18" i="2"/>
  <c r="P74" i="6" l="1"/>
  <c r="P75" i="6"/>
  <c r="P73" i="6"/>
  <c r="O78" i="6"/>
  <c r="H17" i="2" s="1"/>
  <c r="L78" i="6"/>
  <c r="I17" i="2" s="1"/>
  <c r="N78" i="6"/>
  <c r="G17" i="2" s="1"/>
  <c r="E18" i="2"/>
  <c r="L51" i="8"/>
  <c r="N51" i="8"/>
  <c r="G19" i="2" s="1"/>
  <c r="I19" i="2" l="1"/>
  <c r="L79" i="4"/>
  <c r="I16" i="2" s="1"/>
  <c r="N79" i="4"/>
  <c r="G16" i="2" s="1"/>
  <c r="O79" i="4"/>
  <c r="H16" i="2" s="1"/>
  <c r="O51" i="8"/>
  <c r="H19" i="2" s="1"/>
  <c r="O116" i="34" l="1"/>
  <c r="H20" i="2" s="1"/>
  <c r="P116" i="34" l="1"/>
  <c r="M116" i="34"/>
  <c r="F20" i="2" l="1"/>
  <c r="N9" i="34" l="1"/>
  <c r="E20" i="2"/>
  <c r="M48" i="35" l="1"/>
  <c r="F21" i="2" s="1"/>
  <c r="P48" i="35"/>
  <c r="E21" i="2" s="1"/>
  <c r="N9" i="35" l="1"/>
  <c r="P78" i="6" l="1"/>
  <c r="M78" i="6"/>
  <c r="F17" i="2" s="1"/>
  <c r="N9" i="6" l="1"/>
  <c r="E17" i="2"/>
  <c r="P79" i="4" l="1"/>
  <c r="M79" i="4"/>
  <c r="F16" i="2" s="1"/>
  <c r="E16" i="2" l="1"/>
  <c r="N9" i="4"/>
  <c r="P51" i="8" l="1"/>
  <c r="E19" i="2" s="1"/>
  <c r="M51" i="8"/>
  <c r="F19" i="2" l="1"/>
  <c r="N9" i="8"/>
  <c r="O42" i="40" l="1"/>
  <c r="H24" i="2" s="1"/>
  <c r="P42" i="40"/>
  <c r="M42" i="40"/>
  <c r="F24" i="2" s="1"/>
  <c r="N9" i="40" l="1"/>
  <c r="E24" i="2"/>
  <c r="B15" i="2" l="1"/>
  <c r="D1" i="3"/>
  <c r="D1" i="4"/>
  <c r="D1" i="8" l="1"/>
  <c r="D1" i="6" l="1"/>
  <c r="D1" i="35" l="1"/>
  <c r="D1" i="34"/>
  <c r="D1" i="7"/>
  <c r="P4" i="33"/>
  <c r="P28" i="33" s="1"/>
  <c r="I4" i="33"/>
  <c r="T4" i="33" l="1"/>
  <c r="E28" i="33"/>
  <c r="R4" i="33"/>
  <c r="L4" i="33"/>
  <c r="K4" i="33"/>
  <c r="K18" i="33" s="1"/>
  <c r="D1" i="36" l="1"/>
  <c r="R28" i="33"/>
  <c r="S4" i="33"/>
  <c r="S28" i="33" s="1"/>
  <c r="N4" i="33"/>
  <c r="N28" i="33" s="1"/>
  <c r="L28" i="33"/>
  <c r="U4" i="33"/>
  <c r="U28" i="33" s="1"/>
  <c r="T28" i="33"/>
  <c r="D1" i="40" l="1"/>
  <c r="G15" i="2" l="1"/>
  <c r="G25" i="2" s="1"/>
  <c r="F15" i="2"/>
  <c r="I15" i="2"/>
  <c r="H15" i="2"/>
  <c r="H25" i="2" s="1"/>
  <c r="I25" i="2" l="1"/>
  <c r="D11" i="2" s="1"/>
  <c r="N9" i="3"/>
  <c r="E15" i="2" l="1"/>
  <c r="P123" i="36" l="1"/>
  <c r="M123" i="36"/>
  <c r="F22" i="2" s="1"/>
  <c r="F25" i="2" s="1"/>
  <c r="N9" i="36" l="1"/>
  <c r="E22" i="2"/>
  <c r="E25" i="2" s="1"/>
  <c r="E28" i="2" l="1"/>
  <c r="E26" i="2"/>
  <c r="E27" i="2" s="1"/>
  <c r="E29" i="2" l="1"/>
  <c r="D10" i="2" s="1"/>
  <c r="C20" i="1" l="1"/>
  <c r="C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6" authorId="0" shapeId="0" xr:uid="{00000000-0006-0000-0100-000001000000}">
      <text>
        <r>
          <rPr>
            <b/>
            <sz val="9"/>
            <color rgb="FF000000"/>
            <rFont val="Tahoma"/>
            <family val="2"/>
            <charset val="186"/>
          </rPr>
          <t xml:space="preserve">ALTUM Kompetentces centrs:
</t>
        </r>
        <r>
          <rPr>
            <sz val="9"/>
            <color rgb="FF000000"/>
            <rFont val="Tahoma"/>
            <family val="2"/>
            <charset val="186"/>
          </rPr>
          <t>Excel šūnu krāsas:
Zaļa- aizpildāmas šūnas
Dzeltena- šūnas automātiski aizpildās
Liekos excel sheet, darba grāmatas, izdēts.
Liekās excel rindas izdzēst
Ar detalizēta informācija, par tāmju aizpildīšanu var iepazīties altum.lv
ALTUM Forma 2 sistēma atpazīst un darbojas tikai ar altum.lv publicētajām tāmju sagatavēm.
Tel. 67774064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0200-000001000000}">
      <text>
        <r>
          <rPr>
            <b/>
            <sz val="9"/>
            <color rgb="FF000000"/>
            <rFont val="Tahoma"/>
            <family val="2"/>
            <charset val="186"/>
          </rPr>
          <t xml:space="preserve">ALTUM Kompetentces centrs:
</t>
        </r>
        <r>
          <rPr>
            <sz val="9"/>
            <color rgb="FF000000"/>
            <rFont val="Tahoma"/>
            <family val="2"/>
            <charset val="186"/>
          </rPr>
          <t>Excel šūnu krāsas:
Zaļa- aizpildāmas šūnas
Dzeltena- šūnas automātiski aizpildās
Liekos excel sheet, darba grāmatas, izdēts.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sharedStrings.xml><?xml version="1.0" encoding="utf-8"?>
<sst xmlns="http://schemas.openxmlformats.org/spreadsheetml/2006/main" count="2080" uniqueCount="660">
  <si>
    <t>APSTIPRINU</t>
  </si>
  <si>
    <t>(pasūtītāja paraksts un tā atsifrējums)</t>
  </si>
  <si>
    <t>Z.v.</t>
  </si>
  <si>
    <t>Būvniecības koptāme</t>
  </si>
  <si>
    <t>Attiecināmās izmaksas</t>
  </si>
  <si>
    <t xml:space="preserve">Būves nosaukums: </t>
  </si>
  <si>
    <t xml:space="preserve">Objekta nosaukums: </t>
  </si>
  <si>
    <t xml:space="preserve">Objekta adrese: </t>
  </si>
  <si>
    <t xml:space="preserve">Pasūtījuma Nr: </t>
  </si>
  <si>
    <t>Nr. P.k.</t>
  </si>
  <si>
    <t>Objekta nosaukums</t>
  </si>
  <si>
    <t>Objekta izmaksas (EUR)</t>
  </si>
  <si>
    <t>Kopā:</t>
  </si>
  <si>
    <t>PVN (21%)</t>
  </si>
  <si>
    <t>Sastādīja</t>
  </si>
  <si>
    <t>(paraksts un tā atšifrējums, datums)</t>
  </si>
  <si>
    <t>Sertifikāta Nr.</t>
  </si>
  <si>
    <t>Kopsavilkuma aprēķini pa darbu veidiem vai konstruktīvo elementu veidiem</t>
  </si>
  <si>
    <t>(darba veids vai konstruktīvā elementa nosaukums)</t>
  </si>
  <si>
    <t>Būves nosaukums:</t>
  </si>
  <si>
    <t>Objekta adrese:</t>
  </si>
  <si>
    <t>Pasūtījuma Nr.</t>
  </si>
  <si>
    <t>Par kopejo summu, EUR</t>
  </si>
  <si>
    <t>Kopējā darbietilpība, c/h</t>
  </si>
  <si>
    <t>Nr.p.k.</t>
  </si>
  <si>
    <t>kods; tāmes Nr:</t>
  </si>
  <si>
    <t>Darba veids vai konstruktīvā elementa nosaukums</t>
  </si>
  <si>
    <t>Tāmes izmaksas (EUR)</t>
  </si>
  <si>
    <t>Tai skaitā</t>
  </si>
  <si>
    <t>Darbietilpība (c/h)</t>
  </si>
  <si>
    <t>darba alga (EUR)</t>
  </si>
  <si>
    <t>materiāli (EUR)</t>
  </si>
  <si>
    <t>mehānismi (EUR)</t>
  </si>
  <si>
    <t>Kopā</t>
  </si>
  <si>
    <t xml:space="preserve">Virsizdevumi </t>
  </si>
  <si>
    <t>t.sk.darba aizsardzība</t>
  </si>
  <si>
    <t xml:space="preserve">Peļņa </t>
  </si>
  <si>
    <t>Pavisam kopā</t>
  </si>
  <si>
    <t>Pārbaudīja</t>
  </si>
  <si>
    <t xml:space="preserve">Lokālā tāme Nr. </t>
  </si>
  <si>
    <t>Tāmes  izmaksas  EUR</t>
  </si>
  <si>
    <t>Kods</t>
  </si>
  <si>
    <t>Darba nosaukums</t>
  </si>
  <si>
    <t>Mērvienība</t>
  </si>
  <si>
    <t>Daudzums</t>
  </si>
  <si>
    <t>Vienības izmaksas</t>
  </si>
  <si>
    <t>Kopā uz visu apjomu</t>
  </si>
  <si>
    <t>Laika norma (c/h)</t>
  </si>
  <si>
    <t>Darba samaksas likme (EUR/h)</t>
  </si>
  <si>
    <t>Darba alga (EUR)</t>
  </si>
  <si>
    <t>Būvizstrādājumi (EUR)</t>
  </si>
  <si>
    <t>Mehānismi (EUR)</t>
  </si>
  <si>
    <t>Kopā (EUR)</t>
  </si>
  <si>
    <t xml:space="preserve">Tiešās izmaksas kopā, t. sk. darba devēja sociālais nodoklis __.__% </t>
  </si>
  <si>
    <t>Sertifikāta Nr</t>
  </si>
  <si>
    <t>Daudzīvokļu dzīvojamā māja</t>
  </si>
  <si>
    <t>fasādes vienkāršotā atjaunošana</t>
  </si>
  <si>
    <t>m²</t>
  </si>
  <si>
    <t>gb.</t>
  </si>
  <si>
    <t>SILTINĀJUMS</t>
  </si>
  <si>
    <t>difūzijas</t>
  </si>
  <si>
    <t>hidroizolācijas</t>
  </si>
  <si>
    <t xml:space="preserve">1.gb. </t>
  </si>
  <si>
    <t>h</t>
  </si>
  <si>
    <t xml:space="preserve">L </t>
  </si>
  <si>
    <t>kopā</t>
  </si>
  <si>
    <t>esošie PVC</t>
  </si>
  <si>
    <t>Cokola profils EB PVC VARIO 220</t>
  </si>
  <si>
    <t>Palodzes montāžas profils EW US01</t>
  </si>
  <si>
    <t>Stūra lāsenis ED CO2</t>
  </si>
  <si>
    <t>Loga pielaiduma profils EW</t>
  </si>
  <si>
    <t>Stūra profils  EC S</t>
  </si>
  <si>
    <t>ārējās</t>
  </si>
  <si>
    <t>iekšējās</t>
  </si>
  <si>
    <t xml:space="preserve">ārējās </t>
  </si>
  <si>
    <t>Logu platība m²</t>
  </si>
  <si>
    <t>Loga izmērs, m</t>
  </si>
  <si>
    <t>skaits</t>
  </si>
  <si>
    <t>tips</t>
  </si>
  <si>
    <t>Profili, m</t>
  </si>
  <si>
    <t>palodzes, m</t>
  </si>
  <si>
    <t>aiļu platums apdares m²</t>
  </si>
  <si>
    <t>Perimetrs lentei, m</t>
  </si>
  <si>
    <t>gb</t>
  </si>
  <si>
    <t>Gružu konteiners</t>
  </si>
  <si>
    <t>m³</t>
  </si>
  <si>
    <t>Būvgružu savākšana un aizvešana</t>
  </si>
  <si>
    <t>līg.c.</t>
  </si>
  <si>
    <t>Metāla karoga kāta turētāja montāža</t>
  </si>
  <si>
    <t>m</t>
  </si>
  <si>
    <t>kg</t>
  </si>
  <si>
    <t>gab</t>
  </si>
  <si>
    <t>l</t>
  </si>
  <si>
    <t>Paligmateriāli</t>
  </si>
  <si>
    <t>Atkritumu konteineru izvietošana.</t>
  </si>
  <si>
    <t>Moduļu mājas uzstādīšana. Paredzēts 24 cilvēkiem.</t>
  </si>
  <si>
    <t>reizes</t>
  </si>
  <si>
    <t>Tualetes izvešana</t>
  </si>
  <si>
    <t xml:space="preserve">Sastatņu montēšana </t>
  </si>
  <si>
    <t>Signāllentes novilkšana.</t>
  </si>
  <si>
    <t>Pēda</t>
  </si>
  <si>
    <t>Žogs 3,5×2m</t>
  </si>
  <si>
    <t>Metāla nožogojuma montāža, h=2,0 m</t>
  </si>
  <si>
    <t>Līmlente</t>
  </si>
  <si>
    <t>krāsa</t>
  </si>
  <si>
    <t>perfix</t>
  </si>
  <si>
    <t>reģipsis</t>
  </si>
  <si>
    <t>šinas</t>
  </si>
  <si>
    <t>skrūves</t>
  </si>
  <si>
    <t>dibeļi</t>
  </si>
  <si>
    <t>montāžas skavas</t>
  </si>
  <si>
    <t>kmpl.</t>
  </si>
  <si>
    <t>palodzes profils</t>
  </si>
  <si>
    <t>Esošo skārda āra palodžu demontāža, b=0,25.</t>
  </si>
  <si>
    <t>šķembas</t>
  </si>
  <si>
    <t xml:space="preserve"> Šķembas (fr.40-70mm) kārtas ieklāšana 100mm </t>
  </si>
  <si>
    <t xml:space="preserve"> Ģeotekstila plēves ieklāšana</t>
  </si>
  <si>
    <t>Jaunu bruģakmens lietusūdens novadīšanas apmaļu ierīkošana:</t>
  </si>
  <si>
    <t>Atrakto vietu aizbēršana ar esošo minerālgrunti</t>
  </si>
  <si>
    <t>Jaunas šķidrās hidroizolācijas uzklāšana  visā siltinājuma augstumā</t>
  </si>
  <si>
    <t>Cokola sienas sagatavošana siltināšanai - virsmu notīrīšana un gruntēšana,</t>
  </si>
  <si>
    <t xml:space="preserve">Grunts rakšanas darbi 1,2m dziļumā,1000 mm platumā </t>
  </si>
  <si>
    <t>Fasādes atjaunošanas darbi</t>
  </si>
  <si>
    <t>Pagraba siltināšana</t>
  </si>
  <si>
    <t>Bēniņu siltināšana</t>
  </si>
  <si>
    <t xml:space="preserve"> Siltumizolācija</t>
  </si>
  <si>
    <t xml:space="preserve">Tvaika izolācijas plēves ieklāšana uz esošā seguma </t>
  </si>
  <si>
    <t>Plēve 200 mk</t>
  </si>
  <si>
    <t>Siltumizolācija</t>
  </si>
  <si>
    <t>m2</t>
  </si>
  <si>
    <t>vietas</t>
  </si>
  <si>
    <t>Jumta atjaunošana</t>
  </si>
  <si>
    <t>maināmie</t>
  </si>
  <si>
    <t>briestošā lenta</t>
  </si>
  <si>
    <t>R1 0,3×0,3m</t>
  </si>
  <si>
    <t>R2 0,7×0,35m</t>
  </si>
  <si>
    <t>Koka brusas ar prettrupes un pretuguns apstrādi 75×125(h)</t>
  </si>
  <si>
    <t>Dēļi ar prettrupes un pretuguns apstrādi130×25(h)</t>
  </si>
  <si>
    <t>imposti</t>
  </si>
  <si>
    <t>garums</t>
  </si>
  <si>
    <t>izmēri m²</t>
  </si>
  <si>
    <t>Imp-1</t>
  </si>
  <si>
    <t>Imp-2</t>
  </si>
  <si>
    <t>Imp-3</t>
  </si>
  <si>
    <t>Imp-4</t>
  </si>
  <si>
    <t>Imp-5</t>
  </si>
  <si>
    <t>Imp-6</t>
  </si>
  <si>
    <t>Imp-7</t>
  </si>
  <si>
    <t>apjoms m³</t>
  </si>
  <si>
    <t>Imp-8</t>
  </si>
  <si>
    <t>pamatkarkass</t>
  </si>
  <si>
    <t>līstes</t>
  </si>
  <si>
    <t>Moduļu tualetes uzstādīšana</t>
  </si>
  <si>
    <t>Būvtāfeles uzstādīšana</t>
  </si>
  <si>
    <t xml:space="preserve">Grunts </t>
  </si>
  <si>
    <t xml:space="preserve">Līmjava </t>
  </si>
  <si>
    <t>Līmjava</t>
  </si>
  <si>
    <r>
      <t>m</t>
    </r>
    <r>
      <rPr>
        <sz val="8"/>
        <rFont val="Calibri"/>
        <family val="2"/>
        <charset val="186"/>
      </rPr>
      <t>²</t>
    </r>
  </si>
  <si>
    <t>Dībeli virsmas klasifikācija ETA A,B,C,D,E, galvas Ø60, nagla tērauda Ø8/10, Punkta siltumatdeves koeficients 0,001 W/K, min iestrādes dziļums &gt;35mm, vai ekvivalents 135mm</t>
  </si>
  <si>
    <t xml:space="preserve"> Šķembas (fr.0-40mm) kārtas ieklāšana 50mm </t>
  </si>
  <si>
    <t xml:space="preserve"> Grants kārtas ieklāšana 50mm</t>
  </si>
  <si>
    <t>grants</t>
  </si>
  <si>
    <t xml:space="preserve"> Bruģakmens 700mm biez.likšana 26gb./m²</t>
  </si>
  <si>
    <t>Betona bruģis b=50</t>
  </si>
  <si>
    <t>Izsijas -50mm</t>
  </si>
  <si>
    <t>betons klase C16/20</t>
  </si>
  <si>
    <t>Melnzeme</t>
  </si>
  <si>
    <t>zālāju sēklas</t>
  </si>
  <si>
    <t>Cokola siltināšana</t>
  </si>
  <si>
    <t>Logu montāžas palīgmateriāli uz  apjomu</t>
  </si>
  <si>
    <t>Durvju montāžas palīgmateriāli uz  apjomu</t>
  </si>
  <si>
    <t xml:space="preserve">Špaktels </t>
  </si>
  <si>
    <t>Dzelzsbetona pārsegumu notīrīšana, izlīdzināšana, sagatavošana siltināšanai</t>
  </si>
  <si>
    <t xml:space="preserve">Gružu konteiners </t>
  </si>
  <si>
    <t>Koka laipu izvietošana (skatīt bēniņu plāna lapā specifikāciju) astrādātas ar pretrupes un pretuguns sastāvu</t>
  </si>
  <si>
    <t>betons</t>
  </si>
  <si>
    <t>bal</t>
  </si>
  <si>
    <t xml:space="preserve">teknes </t>
  </si>
  <si>
    <t>teknes gals</t>
  </si>
  <si>
    <t xml:space="preserve">skrūves </t>
  </si>
  <si>
    <t>kniedes</t>
  </si>
  <si>
    <t xml:space="preserve">notekcaurules </t>
  </si>
  <si>
    <t>caurules stiprinājums  ar dībeli</t>
  </si>
  <si>
    <t>piltuves</t>
  </si>
  <si>
    <t xml:space="preserve">veidgabali, līkums </t>
  </si>
  <si>
    <t xml:space="preserve">Jumta dzegas izbūve pie garensienu siltināšanas. </t>
  </si>
  <si>
    <t>Antisēptizēts dēlis 40x150 gar jumta paneļu ārmalu fasādē</t>
  </si>
  <si>
    <t xml:space="preserve">Antisēptizēts dēlis 40x150 </t>
  </si>
  <si>
    <t>Pašenkurojošas bultas M12x110  dēļa enkurošanai pie paneļa, s=0,5 m</t>
  </si>
  <si>
    <t>Cementa javas b=20x100  izlīdzinošā kārta uz paneļu galiem (garenvirzienā pie dzegas)</t>
  </si>
  <si>
    <t>m3</t>
  </si>
  <si>
    <t xml:space="preserve">skārds </t>
  </si>
  <si>
    <t>Riboto paneļu saduru nosedzošo jumtiņu virsmas remonts</t>
  </si>
  <si>
    <t>Jumtiņu pilnas virsmas mehāniska attīrīšana ar smilšpapīru</t>
  </si>
  <si>
    <t>Jumta seguma atjaunošana</t>
  </si>
  <si>
    <t>kompl.</t>
  </si>
  <si>
    <t>L75x50x5</t>
  </si>
  <si>
    <t>Enkuri M12x80</t>
  </si>
  <si>
    <t xml:space="preserve">Siets ∅8 AI, 100x100 </t>
  </si>
  <si>
    <t xml:space="preserve">Siets ∅6 AI, 100x100 </t>
  </si>
  <si>
    <t>Tērauda profilu apstrāde ar pretkorozijas sastāvu</t>
  </si>
  <si>
    <t>Betons B15 F50</t>
  </si>
  <si>
    <t>L1 1,2×1,4m</t>
  </si>
  <si>
    <t>L2 2,4×1,1m</t>
  </si>
  <si>
    <t>L3 logs 1,2×1,4m</t>
  </si>
  <si>
    <t>L3 durvis 0,7×2m</t>
  </si>
  <si>
    <t>L4 logs 1,2×1,4m</t>
  </si>
  <si>
    <t>L4 durvis 0,7×2m</t>
  </si>
  <si>
    <t>L5  2,9×0,555</t>
  </si>
  <si>
    <t>L5a 2,9×0,555</t>
  </si>
  <si>
    <t>L6 1,45×0,555</t>
  </si>
  <si>
    <t>L7 2,9×0,8</t>
  </si>
  <si>
    <t>L8 1,2×1,1</t>
  </si>
  <si>
    <t>L9 3×1,5</t>
  </si>
  <si>
    <t>L10 1,58×0,675</t>
  </si>
  <si>
    <t>L11 1,47×1,4</t>
  </si>
  <si>
    <t>D5 esošās durvis 1×2,1</t>
  </si>
  <si>
    <t>Alumīnija konstrukcijas durvju bloks. Ar rokturi un enģēm, ar pašaizvēršanās mehānismu, ar speciālām blīvgumijām un piedurlīstēm, vienpunktu slēdzeni, kodatslēgu. Stikla paketes siltumcaurlaidības koef.:1.0w/m²*K.  Uw=1,6w/m²*K 
Krāsa - pēc krāsu pases,  D1 1,3×2</t>
  </si>
  <si>
    <t>Projektētas cinkotas tērauda (ar karsto cinkošanu 80mm)  ārdurvis ar siltinājumu, rokturi, eņģēm, ar  speciālām  blīvgumijām un piedurlīstēm. 
Tonis: skatīt krāsu pasē  D2 1,22×2</t>
  </si>
  <si>
    <t>Projektētas cinkotas tērauda (ar karsto cinkošanu 80mm)  ārdurvis ar siltinājumu, rokturi, eņģēm, ar  speciālām  blīvgumijām un piedurlīstēm. 
Tonis: skatīt krāsu pasē.  D3 0,9×1,84</t>
  </si>
  <si>
    <t>Alumīnija konstrukcijas ārdurvis.
Ārdurvis ar rokturi un eņģēm, ar pašaizvēršanās mehānismu, speciālām  blīvgumijām un piedurlīstēm, elektronisko slēdzeni ar iespējamību aprīkot ar domofona sistēmu ar nodrošinājumu visas kāpņu telpas dzīvokļiem.
Stikla paketes siltumcaurlaidības koef.:1.1w/m*K
Uw = 1.6w/m*K. Krāsu tonis RAL 7037.  D4 1,4×2,8</t>
  </si>
  <si>
    <t>Cinkotas krāsotas 80mm metāla durvis ar ugunsizturību EI30, automātisko pašaizvēršanās mehānismu. Ugunsdrošo durvju vienpunkta slēdzene un viras izgatavo no materiāla, kas nodrošina ugunsizturīgām konstrukcijām izvirzīto prasību minimālāko pakāpi. Nepieciešamo hermētiskumu nodrošina speciālas ugunsizturīgas blīvgumijas, kas izvietotas pa durvju kārbas perimetru. Uw=1.6w/m²*K,  D6 0,9×1,9</t>
  </si>
  <si>
    <t xml:space="preserve"> plaisas jāattīra, jāpaplatina ÷5mm, neskarot stiegrojumu</t>
  </si>
  <si>
    <t>Demontējams izvads starp 1.-5. starpstāvu paneli un jumtu, ∅500</t>
  </si>
  <si>
    <t>Poz.
 Nr</t>
  </si>
  <si>
    <t>Nosaukums</t>
  </si>
  <si>
    <t>Mērv.</t>
  </si>
  <si>
    <t xml:space="preserve">Daudzums 
</t>
  </si>
  <si>
    <t>Viena elementa garums (mm)</t>
  </si>
  <si>
    <t>Kopējais  garums (m)</t>
  </si>
  <si>
    <t>Elementa 1 metra 
 svars  (kg)</t>
  </si>
  <si>
    <t>1 elementa
 masa (kg)</t>
  </si>
  <si>
    <t>Kopējā
 masa (kg)</t>
  </si>
  <si>
    <t>Jumta daļas aizbetonējums</t>
  </si>
  <si>
    <r>
      <t>m</t>
    </r>
    <r>
      <rPr>
        <vertAlign val="superscript"/>
        <sz val="6"/>
        <rFont val="Arial"/>
        <family val="2"/>
        <charset val="186"/>
      </rPr>
      <t>3</t>
    </r>
  </si>
  <si>
    <t>Zībens aizsardzības sistēmas zibuve</t>
  </si>
  <si>
    <t>kompl</t>
  </si>
  <si>
    <t>Tranšejas rakšana un aizbēršana zemējuma kontūram</t>
  </si>
  <si>
    <t>Grunts blietēšana, virskārtas atjaunošana</t>
  </si>
  <si>
    <t>Sistēmas montāža, palaišana</t>
  </si>
  <si>
    <t>Sistēmas nodošana ekspluatācijā</t>
  </si>
  <si>
    <t>Materiāli</t>
  </si>
  <si>
    <r>
      <t>m</t>
    </r>
    <r>
      <rPr>
        <sz val="8"/>
        <rFont val="Calibri"/>
        <family val="2"/>
        <charset val="186"/>
      </rPr>
      <t>³</t>
    </r>
  </si>
  <si>
    <t xml:space="preserve">Ārsienu  siltināšana ar akmensvati līmējot un piestiprinot to pie ārsienas ar mehāniskajiem stiprinājumiem </t>
  </si>
  <si>
    <t>Grunts</t>
  </si>
  <si>
    <r>
      <t>m</t>
    </r>
    <r>
      <rPr>
        <sz val="8"/>
        <color theme="1"/>
        <rFont val="Calibri"/>
        <family val="2"/>
        <charset val="186"/>
      </rPr>
      <t>²</t>
    </r>
  </si>
  <si>
    <t>gab.</t>
  </si>
  <si>
    <t>Cokola profila līstes montēšana</t>
  </si>
  <si>
    <t>Līmjava 4mm</t>
  </si>
  <si>
    <t>Armējošais stiklšķiedras siets - 160g/m², 2 kārtas</t>
  </si>
  <si>
    <t>Stūra profils</t>
  </si>
  <si>
    <t xml:space="preserve">m </t>
  </si>
  <si>
    <t xml:space="preserve"> dekoratīvais apmetums</t>
  </si>
  <si>
    <t>kpl</t>
  </si>
  <si>
    <t>Armējošais stiklšķiedras siets - 160g/m², 1 kārta</t>
  </si>
  <si>
    <t>Siliktā-silikona homogēnais apmetums, 2 mm graudu lielums</t>
  </si>
  <si>
    <t>Dziļumgrunts</t>
  </si>
  <si>
    <t>Siltumizolācija sienām</t>
  </si>
  <si>
    <t>Dībeli virsmas klasifikācija ETA A,B,C,D,E, galvas Ø60, nagla tērauda Ø8/10, Punkta siltumatdeves koeficients 0,001 W/K, min iestrādes dziļums &gt;35mm, vai ekvivalents 95mm</t>
  </si>
  <si>
    <t>Armējošais stiklšķiedras siets - 160g/m², 2kārtas</t>
  </si>
  <si>
    <t>Pielaiduma profils</t>
  </si>
  <si>
    <t>Profils ar lāsēni</t>
  </si>
  <si>
    <t xml:space="preserve">Java </t>
  </si>
  <si>
    <t xml:space="preserve">Bloki </t>
  </si>
  <si>
    <r>
      <rPr>
        <b/>
        <sz val="8"/>
        <color theme="1"/>
        <rFont val="Arial"/>
        <family val="2"/>
        <charset val="186"/>
      </rPr>
      <t>S4</t>
    </r>
    <r>
      <rPr>
        <sz val="8"/>
        <color theme="1"/>
        <rFont val="Arial"/>
        <family val="2"/>
        <charset val="186"/>
      </rPr>
      <t xml:space="preserve"> apmetuma sistēma virs siltinājuma- AS2 (b=7mm), putupolistirola plāksne</t>
    </r>
    <r>
      <rPr>
        <b/>
        <sz val="8"/>
        <color theme="1"/>
        <rFont val="Arial"/>
        <family val="2"/>
        <charset val="186"/>
      </rPr>
      <t>,</t>
    </r>
    <r>
      <rPr>
        <sz val="8"/>
        <color theme="1"/>
        <rFont val="Arial"/>
        <family val="2"/>
        <charset val="186"/>
      </rPr>
      <t xml:space="preserve"> λ=0,031 W/mK, </t>
    </r>
    <r>
      <rPr>
        <b/>
        <sz val="8"/>
        <color theme="1"/>
        <rFont val="Arial"/>
        <family val="2"/>
        <charset val="186"/>
      </rPr>
      <t>b=150mm</t>
    </r>
    <r>
      <rPr>
        <sz val="8"/>
        <color theme="1"/>
        <rFont val="Arial"/>
        <family val="2"/>
        <charset val="186"/>
      </rPr>
      <t>, līmjava, vertikāla hidroizolācija, grunts, esoša betona  siena (b=400*mm), 1,0m dzīļumā no zemes atzīmes</t>
    </r>
  </si>
  <si>
    <t>Putupolistirola siltumizolācija, λ=0,031W/mK, b=150mm</t>
  </si>
  <si>
    <t>Dībeli virsmas klasifikācija ETA A,B,C,D,E, galvas Ø60, nagla tērauda Ø8/10, Punkta siltumatdeves koeficients 0,001 W/K, min iestrādes dziļums &gt;35mm, vai ekvivalents 195mm</t>
  </si>
  <si>
    <r>
      <rPr>
        <b/>
        <sz val="8"/>
        <color theme="1"/>
        <rFont val="Arial"/>
        <family val="2"/>
        <charset val="186"/>
      </rPr>
      <t>S5</t>
    </r>
    <r>
      <rPr>
        <sz val="8"/>
        <color theme="1"/>
        <rFont val="Arial"/>
        <family val="2"/>
        <charset val="186"/>
      </rPr>
      <t xml:space="preserve"> apmetuma sistēma virs siltinājuma- AS2 (b=7mm), putupolistirola plāksne</t>
    </r>
    <r>
      <rPr>
        <b/>
        <sz val="8"/>
        <color theme="1"/>
        <rFont val="Arial"/>
        <family val="2"/>
        <charset val="186"/>
      </rPr>
      <t>,</t>
    </r>
    <r>
      <rPr>
        <sz val="8"/>
        <color theme="1"/>
        <rFont val="Arial"/>
        <family val="2"/>
        <charset val="186"/>
      </rPr>
      <t xml:space="preserve"> λ=0,031W/mK,</t>
    </r>
    <r>
      <rPr>
        <b/>
        <sz val="8"/>
        <color theme="1"/>
        <rFont val="Arial"/>
        <family val="2"/>
        <charset val="186"/>
      </rPr>
      <t xml:space="preserve"> b=50mm</t>
    </r>
    <r>
      <rPr>
        <sz val="8"/>
        <color theme="1"/>
        <rFont val="Arial"/>
        <family val="2"/>
        <charset val="186"/>
      </rPr>
      <t>, līmjava, vertikāla hidroizolācija, grunts, esošs betona panelis- pilastrs cokola līmenī (b=150mm), 1 m dziļumā no zemes atzīmes</t>
    </r>
  </si>
  <si>
    <t>Putupolistirola siltumizolācija, λ=0,031 W/mK, b=50mm</t>
  </si>
  <si>
    <t>Apmetums:</t>
  </si>
  <si>
    <t>Cokola daļas siltināšana atbilstoši tehnoloģijai:</t>
  </si>
  <si>
    <t>Cokola sagatavošana:</t>
  </si>
  <si>
    <t>Dībeli virsmas klasifikācija ETA A,B,C,D,E, galvas Ø60, nagla tērauda Ø8/10, Punkta siltumatdeves koeficients 0,001 W/K, min iestrādes dziļums &gt;35mm, vai ekvivalents 255mm</t>
  </si>
  <si>
    <r>
      <t>1. meh. klases</t>
    </r>
    <r>
      <rPr>
        <b/>
        <sz val="8"/>
        <color theme="1"/>
        <rFont val="Arial"/>
        <family val="2"/>
        <charset val="186"/>
      </rPr>
      <t xml:space="preserve"> (AS2) </t>
    </r>
    <r>
      <rPr>
        <sz val="8"/>
        <color theme="1"/>
        <rFont val="Arial"/>
        <family val="2"/>
        <charset val="186"/>
      </rPr>
      <t>apmetuma izveidošana: 2 kārtas armējošās javas un armējošā stikla šķiedras sieta uzklāšana, zemapmetuma grunts uzklāšana, drupināta granīta un akrila dispersijas saistvielas dekoratīvais apmetums pēc krāsu pases</t>
    </r>
  </si>
  <si>
    <t>Armējošā līmjava</t>
  </si>
  <si>
    <t>Šķembu pārklājums zem lodžijām:</t>
  </si>
  <si>
    <t>Ģeotekstila plēves ieklāšana</t>
  </si>
  <si>
    <t xml:space="preserve">Šķembas (fr.20-60mm) kārtas ieklāšana 200mm </t>
  </si>
  <si>
    <t>Bortakmens 80x200x1000  malas likšana 1gb/t.m</t>
  </si>
  <si>
    <t>Logu un durvju nomaiņa</t>
  </si>
  <si>
    <t>Jaunu iekštelpu MDF palodžu montēšana iekštelpās , b=300mm. (profilu sk.pie logu montāžas)</t>
  </si>
  <si>
    <t>Lodžiju aizstiklojums:</t>
  </si>
  <si>
    <t>silikona hermētiķis</t>
  </si>
  <si>
    <t>Durvis:</t>
  </si>
  <si>
    <t>Hidroizolācijas lentas montēšana logos ( arī lodžijās iestiklojumam)</t>
  </si>
  <si>
    <t>Apmetuma atjaunošana pēc logu nomaiņas telpu iekšpusē, remonts ap logu ailu, b=0,3m</t>
  </si>
  <si>
    <t xml:space="preserve">stūra profils </t>
  </si>
  <si>
    <t xml:space="preserve"> Līmjava</t>
  </si>
  <si>
    <t>Lodžiju margas atjaunošana</t>
  </si>
  <si>
    <t>Enkurplātne 10x200(h)x100 (pa vienai katrā pusē)</t>
  </si>
  <si>
    <t>ķīlenkuri M12x80, s=500</t>
  </si>
  <si>
    <t>Skārds lodžijas pārseguma malas apšuvumam b=0,45*</t>
  </si>
  <si>
    <t>java</t>
  </si>
  <si>
    <t>špaktele</t>
  </si>
  <si>
    <r>
      <rPr>
        <b/>
        <sz val="8"/>
        <rFont val="Arial"/>
        <family val="2"/>
        <charset val="186"/>
      </rPr>
      <t xml:space="preserve"> P2</t>
    </r>
    <r>
      <rPr>
        <sz val="8"/>
        <rFont val="Arial"/>
        <family val="2"/>
        <charset val="186"/>
      </rPr>
      <t xml:space="preserve"> - Siltumizolācijas ieklāšana - beramā akmensvate , λ=0,041W/m²K, b=400mm</t>
    </r>
  </si>
  <si>
    <t>Koka laipas:</t>
  </si>
  <si>
    <t>Papes loksne</t>
  </si>
  <si>
    <t>Ieejas atjaunošana</t>
  </si>
  <si>
    <t xml:space="preserve"> Ieejas jumtiņu atjaunošana</t>
  </si>
  <si>
    <t xml:space="preserve">līg.c. </t>
  </si>
  <si>
    <t>Jumtiņa apakšvirsmas remonts:</t>
  </si>
  <si>
    <t>Marga:</t>
  </si>
  <si>
    <t>Ventilācijas izvadu jumtiņi:</t>
  </si>
  <si>
    <t>Līg.c.</t>
  </si>
  <si>
    <t>EA-45-17</t>
  </si>
  <si>
    <t>Daudzdzīvokļu dzīvojamās mājas fasādes vienkāršota atjaunošana 
Reiņu meža 3, Liepājā</t>
  </si>
  <si>
    <t>līste</t>
  </si>
  <si>
    <t>S1, S2,S6,S7 P5,P6</t>
  </si>
  <si>
    <r>
      <rPr>
        <b/>
        <sz val="8"/>
        <rFont val="Arial"/>
        <family val="2"/>
        <charset val="186"/>
      </rPr>
      <t>S1</t>
    </r>
    <r>
      <rPr>
        <sz val="8"/>
        <rFont val="Arial"/>
        <family val="2"/>
        <charset val="186"/>
      </rPr>
      <t xml:space="preserve"> - Apmetuma sistēma virs siltinājuma - AS1 (b=7mm), grunts, siltinājums-akmensvate, λ=0,036W/m</t>
    </r>
    <r>
      <rPr>
        <sz val="8"/>
        <rFont val="Calibri"/>
        <family val="2"/>
        <charset val="186"/>
      </rPr>
      <t>²</t>
    </r>
    <r>
      <rPr>
        <sz val="8"/>
        <rFont val="Arial"/>
        <family val="2"/>
        <charset val="186"/>
      </rPr>
      <t>K</t>
    </r>
    <r>
      <rPr>
        <b/>
        <sz val="8"/>
        <rFont val="Arial"/>
        <family val="2"/>
        <charset val="186"/>
      </rPr>
      <t>, b=150mm</t>
    </r>
    <r>
      <rPr>
        <sz val="8"/>
        <rFont val="Arial"/>
        <family val="2"/>
        <charset val="186"/>
      </rPr>
      <t>, līmjava grunts, esošā siena - betona panelis (b=250mm)</t>
    </r>
  </si>
  <si>
    <r>
      <rPr>
        <b/>
        <sz val="8"/>
        <rFont val="Arial"/>
        <family val="2"/>
        <charset val="186"/>
      </rPr>
      <t>S2</t>
    </r>
    <r>
      <rPr>
        <sz val="8"/>
        <rFont val="Arial"/>
        <family val="2"/>
        <charset val="186"/>
      </rPr>
      <t xml:space="preserve"> - Apmetuma sistēma virs siltinājuma - AS1 (b=7mm), grunts, siltinājums-akmensvate, λ=0,036W/m</t>
    </r>
    <r>
      <rPr>
        <sz val="8"/>
        <rFont val="Calibri"/>
        <family val="2"/>
        <charset val="186"/>
      </rPr>
      <t>²</t>
    </r>
    <r>
      <rPr>
        <sz val="8"/>
        <rFont val="Arial"/>
        <family val="2"/>
        <charset val="186"/>
      </rPr>
      <t>K,</t>
    </r>
    <r>
      <rPr>
        <b/>
        <sz val="8"/>
        <rFont val="Arial"/>
        <family val="2"/>
        <charset val="186"/>
      </rPr>
      <t xml:space="preserve"> b=180mm</t>
    </r>
    <r>
      <rPr>
        <sz val="8"/>
        <rFont val="Arial"/>
        <family val="2"/>
        <charset val="186"/>
      </rPr>
      <t>, līmjava grunts, esošā siena - betona paneļi (b=410mm)</t>
    </r>
  </si>
  <si>
    <r>
      <rPr>
        <b/>
        <sz val="8"/>
        <rFont val="Arial"/>
        <family val="2"/>
        <charset val="186"/>
      </rPr>
      <t>S6</t>
    </r>
    <r>
      <rPr>
        <sz val="8"/>
        <rFont val="Arial"/>
        <family val="2"/>
        <charset val="186"/>
      </rPr>
      <t xml:space="preserve"> - Apmetuma sistēma virs siltinājuma -AS1 (b=7mm), siltinājums putupolistirola plāksne</t>
    </r>
    <r>
      <rPr>
        <b/>
        <sz val="8"/>
        <rFont val="Arial"/>
        <family val="2"/>
        <charset val="186"/>
      </rPr>
      <t xml:space="preserve"> </t>
    </r>
    <r>
      <rPr>
        <sz val="8"/>
        <rFont val="Arial"/>
        <family val="2"/>
        <charset val="186"/>
      </rPr>
      <t>λ=0,034W/mK,</t>
    </r>
    <r>
      <rPr>
        <b/>
        <sz val="8"/>
        <rFont val="Arial"/>
        <family val="2"/>
        <charset val="186"/>
      </rPr>
      <t xml:space="preserve"> b=50mm</t>
    </r>
    <r>
      <rPr>
        <sz val="8"/>
        <rFont val="Arial"/>
        <family val="2"/>
        <charset val="186"/>
      </rPr>
      <t>, līmjava , grunts, esoša siena betona panelis (b=250mm)</t>
    </r>
  </si>
  <si>
    <r>
      <rPr>
        <b/>
        <sz val="8"/>
        <rFont val="Arial"/>
        <family val="2"/>
        <charset val="186"/>
      </rPr>
      <t>S7</t>
    </r>
    <r>
      <rPr>
        <sz val="8"/>
        <rFont val="Arial"/>
        <family val="2"/>
        <charset val="186"/>
      </rPr>
      <t xml:space="preserve"> - Apmetuma sistēma virs siltinājuma -AS1, AS2 (b=7mm), siltinājums λ=0,021W/mK, </t>
    </r>
    <r>
      <rPr>
        <b/>
        <sz val="8"/>
        <rFont val="Arial"/>
        <family val="2"/>
        <charset val="186"/>
      </rPr>
      <t>b=50mm</t>
    </r>
    <r>
      <rPr>
        <sz val="8"/>
        <rFont val="Arial"/>
        <family val="2"/>
        <charset val="186"/>
      </rPr>
      <t>, līmjava , grunts, esoša siena -betona panelis (b=150/250mm)</t>
    </r>
  </si>
  <si>
    <r>
      <rPr>
        <b/>
        <sz val="8"/>
        <rFont val="Arial"/>
        <family val="2"/>
        <charset val="186"/>
      </rPr>
      <t>P5</t>
    </r>
    <r>
      <rPr>
        <sz val="8"/>
        <rFont val="Arial"/>
        <family val="2"/>
        <charset val="186"/>
      </rPr>
      <t xml:space="preserve"> - Apmetuma sistēma virs siltinājuma -AS1 (b=7mm), siltinājums, </t>
    </r>
    <r>
      <rPr>
        <b/>
        <sz val="8"/>
        <rFont val="Arial"/>
        <family val="2"/>
        <charset val="186"/>
      </rPr>
      <t>b=150mm</t>
    </r>
    <r>
      <rPr>
        <sz val="8"/>
        <rFont val="Arial"/>
        <family val="2"/>
        <charset val="186"/>
      </rPr>
      <t xml:space="preserve">  λ=0,036W/m²K, līmjava, grunts, esošs dz-betona pārsegums, b=220mm</t>
    </r>
  </si>
  <si>
    <r>
      <rPr>
        <b/>
        <sz val="8"/>
        <rFont val="Arial"/>
        <family val="2"/>
        <charset val="186"/>
      </rPr>
      <t>P6</t>
    </r>
    <r>
      <rPr>
        <sz val="8"/>
        <rFont val="Arial"/>
        <family val="2"/>
        <charset val="186"/>
      </rPr>
      <t xml:space="preserve"> - Apmetums silikona, siltinājums putupolistirols, λ=0,031W/mK </t>
    </r>
    <r>
      <rPr>
        <b/>
        <sz val="8"/>
        <rFont val="Arial"/>
        <family val="2"/>
        <charset val="186"/>
      </rPr>
      <t>b=120mm</t>
    </r>
    <r>
      <rPr>
        <sz val="8"/>
        <rFont val="Arial"/>
        <family val="2"/>
        <charset val="186"/>
      </rPr>
      <t>, līmjava, grunts, esošs dz-betona pārsegums, b=220mm</t>
    </r>
  </si>
  <si>
    <r>
      <t xml:space="preserve">Siets </t>
    </r>
    <r>
      <rPr>
        <sz val="8"/>
        <rFont val="Calibri"/>
        <family val="2"/>
        <charset val="186"/>
      </rPr>
      <t>Ø</t>
    </r>
    <r>
      <rPr>
        <sz val="8"/>
        <rFont val="Arial"/>
        <family val="2"/>
        <charset val="186"/>
      </rPr>
      <t>3, 50x50 dekorātivo elementu siltināšanai (sk.AR-13 lapā)</t>
    </r>
  </si>
  <si>
    <t xml:space="preserve">Dekoratīvas joslas dobumu aizpildījums ar akmensvati </t>
  </si>
  <si>
    <t>Stiprākas klases apmetums fasādē saskaņa ar shēmu  AR-4  lapā (ieejas mezgli un tam pieder. elementi)</t>
  </si>
  <si>
    <t>Sintētisko sveķu dekoratīvais apmetums</t>
  </si>
  <si>
    <t>Vajākas klases apmetums fasādē saskaņā ar shēmu AR-4 lapā (t.sk. nesiltināto lodžiju pamatsienu virsmu)</t>
  </si>
  <si>
    <t>Logu un durvju ailas nosiltināšana:</t>
  </si>
  <si>
    <t>Logu, durvju  aiļu apdare ar akmensvates plātnēm, λ=0,037 W/m²K  platums~0.15*m, b=0,03m</t>
  </si>
  <si>
    <t>Skārda palodžu montāža (bez lodžijām) , b=250*-350*mm</t>
  </si>
  <si>
    <t>palodzes  profils (ārpusē)</t>
  </si>
  <si>
    <t>Pagraba ieejas rekonstrukcijas darbi:</t>
  </si>
  <si>
    <t>Durvju ailas aizmūrēšana D fasādes pusē ar 150mm biezuma keramzītbetona bloku mūri</t>
  </si>
  <si>
    <t>lig.c.</t>
  </si>
  <si>
    <t>Grunts pieberšana</t>
  </si>
  <si>
    <r>
      <rPr>
        <b/>
        <sz val="8"/>
        <rFont val="Arial"/>
        <family val="2"/>
        <charset val="186"/>
      </rPr>
      <t>S3</t>
    </r>
    <r>
      <rPr>
        <sz val="8"/>
        <rFont val="Arial"/>
        <family val="2"/>
        <charset val="186"/>
      </rPr>
      <t xml:space="preserve"> apmetuma sistēma virs siltinājuma- AS2 (b=7mm), putupolistirola plāksne, λ=0,031W/mK, b=120mm, līmjava, vertikāla hidroizolācija, grunts, esoša siena ribotais panelis (b=350/140mm), 1,0m dzīļumā no zemes atzīmes</t>
    </r>
  </si>
  <si>
    <t>Putupolistirola siltumizolācija, λ=0,031W/mK, b=120mm</t>
  </si>
  <si>
    <t>Gaismas lūku atjaunošana:</t>
  </si>
  <si>
    <t>Gaismas lūkas sieniņu apmešana ar cementa javu</t>
  </si>
  <si>
    <r>
      <t>m</t>
    </r>
    <r>
      <rPr>
        <vertAlign val="superscript"/>
        <sz val="8"/>
        <rFont val="Arial"/>
        <family val="2"/>
        <charset val="204"/>
      </rPr>
      <t>2</t>
    </r>
  </si>
  <si>
    <t>jaukta java</t>
  </si>
  <si>
    <t>Drenāžas caurules Ø50, l=0,25m</t>
  </si>
  <si>
    <r>
      <t>Slīpuma izveide no cementa javas M200 kārtas b=20</t>
    </r>
    <r>
      <rPr>
        <sz val="8"/>
        <rFont val="Calibri"/>
        <family val="2"/>
        <charset val="186"/>
      </rPr>
      <t>÷</t>
    </r>
    <r>
      <rPr>
        <sz val="8"/>
        <rFont val="Arial"/>
        <family val="2"/>
        <charset val="186"/>
      </rPr>
      <t>40* mm uznešanas</t>
    </r>
  </si>
  <si>
    <t>java M200</t>
  </si>
  <si>
    <t>Drenējoša - šķembu pildījuma izbūve 0,5m³ uz vienu vietu</t>
  </si>
  <si>
    <t>Betona ārmalu hidroizolācijas izveide</t>
  </si>
  <si>
    <t>Hidroizolācija</t>
  </si>
  <si>
    <t>Tērauda režģa pretkorozijas apstrāde un krāsošana</t>
  </si>
  <si>
    <t>Esošo koka logu (90gb), tsk.koka ārdurvju demontāža (1gb)</t>
  </si>
  <si>
    <t>Esošo metāla durvju demontāža (2gb)</t>
  </si>
  <si>
    <t>Esošo koka lodžiju demontāža</t>
  </si>
  <si>
    <t>PVC loga  bloks ar  stikla paketi krāsa - balta Stikla paketes 
1. Stikla paketes siltuma caurlaidības koef.: Ug0,9 w/m²×K .      Uw 1.1 W/m² K.
2. PVC profilu ekspluatēšanas klimatiskā zona -zona S.
3. PVC profila montāžas dziļums ( profila biezums ) ≤ 80 mm
4. PVC profiili nedīkst saturēt svinu un kadmiju, ko apliecina PVC profilu sistēmu ražotāja deklarācija un LR valsts veselības inspekcijas apliecinājums</t>
  </si>
  <si>
    <r>
      <t>PVC logu montāža  L1  (b×h=2,21×1,5m, t.sk. durvis 0,7×2,20m); kopā 126,1m</t>
    </r>
    <r>
      <rPr>
        <sz val="8"/>
        <rFont val="Calibri"/>
        <family val="2"/>
        <charset val="186"/>
      </rPr>
      <t>²</t>
    </r>
    <r>
      <rPr>
        <sz val="8"/>
        <rFont val="Arial"/>
        <family val="2"/>
        <charset val="186"/>
      </rPr>
      <t xml:space="preserve"> </t>
    </r>
  </si>
  <si>
    <r>
      <t>PVC logu montāža  L2  (b×h=2,21×1,5m, t.sk. durvis 0,7×2,20m); kopā 77,6 m</t>
    </r>
    <r>
      <rPr>
        <sz val="8"/>
        <rFont val="Calibri"/>
        <family val="2"/>
        <charset val="186"/>
      </rPr>
      <t>²</t>
    </r>
  </si>
  <si>
    <r>
      <t>PVC logu montāža  L3  (b×h=1,1×1,5m); kopā 72,6m</t>
    </r>
    <r>
      <rPr>
        <sz val="8"/>
        <rFont val="Calibri"/>
        <family val="2"/>
        <charset val="186"/>
      </rPr>
      <t>²</t>
    </r>
  </si>
  <si>
    <r>
      <t>PVC logu montāža  L4  (b×h=1,5x1,5m); 6,75m</t>
    </r>
    <r>
      <rPr>
        <sz val="8"/>
        <rFont val="Calibri"/>
        <family val="2"/>
        <charset val="186"/>
      </rPr>
      <t>²</t>
    </r>
  </si>
  <si>
    <r>
      <t>PVC logu montāža  L5  (b×h=2,7x2,4); kopā 6,48m</t>
    </r>
    <r>
      <rPr>
        <sz val="8"/>
        <rFont val="Calibri"/>
        <family val="2"/>
        <charset val="186"/>
      </rPr>
      <t>²</t>
    </r>
  </si>
  <si>
    <r>
      <t>PVC stiklota konstrukcija</t>
    </r>
    <r>
      <rPr>
        <b/>
        <sz val="8"/>
        <rFont val="Arial"/>
        <family val="2"/>
        <charset val="186"/>
      </rPr>
      <t xml:space="preserve"> lodžijām L6 </t>
    </r>
    <r>
      <rPr>
        <sz val="8"/>
        <rFont val="Arial"/>
        <family val="2"/>
        <charset val="186"/>
      </rPr>
      <t>bxh=6300*x1550*mm, kopā 617,4m</t>
    </r>
    <r>
      <rPr>
        <sz val="8"/>
        <rFont val="Calibri"/>
        <family val="2"/>
        <charset val="186"/>
      </rPr>
      <t>² (9,8*m²/lodž)</t>
    </r>
  </si>
  <si>
    <t>PVC palodzes stiklotām lodžijām sk. Pie lodžijas margas izbūves</t>
  </si>
  <si>
    <t xml:space="preserve">Alumīnija konstrukcijas durvju bloks. Ar rokturi un enģēm, ar pašaizvēršanās mehānismu, ar speciālām blīvgumijām un piedurlīstēm, vienpunktu slēdzeni, kodatslēgu. Stikla paketes siltumcaurlaidības koef.:1.1w/m²*K.  UW=1,6w/m²*K </t>
  </si>
  <si>
    <r>
      <t>ALU durvju montāža D1 (b×h=1,2×2,2); 2,86m</t>
    </r>
    <r>
      <rPr>
        <sz val="8"/>
        <rFont val="Calibri"/>
        <family val="2"/>
        <charset val="186"/>
      </rPr>
      <t>²</t>
    </r>
  </si>
  <si>
    <r>
      <t>ALU durvju montāža D2 (b×h=1,25×2,2); 2,75m</t>
    </r>
    <r>
      <rPr>
        <sz val="8"/>
        <rFont val="Calibri"/>
        <family val="2"/>
        <charset val="186"/>
      </rPr>
      <t>²</t>
    </r>
  </si>
  <si>
    <r>
      <t>ALU  durvju montāža D3 (b×h=1,5×2,9); 4,20m</t>
    </r>
    <r>
      <rPr>
        <sz val="8"/>
        <rFont val="Calibri"/>
        <family val="2"/>
        <charset val="186"/>
      </rPr>
      <t>²</t>
    </r>
  </si>
  <si>
    <t xml:space="preserve">D4 esošas durvis, pākrāsotas,  krāsa-RAL 9006 </t>
  </si>
  <si>
    <t>montāžas putas</t>
  </si>
  <si>
    <t>Difūzujas lentas montēšana nomaināmajos logos , t.sk lodžijas stiklojumam</t>
  </si>
  <si>
    <t>Gaisa pieplūdes vārsts logu ramjos (gan dzīvokļos-sk.AR-9 lapā, gan lodžijās- sk.AR-3 lapā)</t>
  </si>
  <si>
    <t>Logi:</t>
  </si>
  <si>
    <t>Esošo koku k-cijas šķūnišus demontāža</t>
  </si>
  <si>
    <r>
      <t xml:space="preserve"> </t>
    </r>
    <r>
      <rPr>
        <b/>
        <sz val="8"/>
        <rFont val="Arial"/>
        <family val="2"/>
        <charset val="186"/>
      </rPr>
      <t>P1</t>
    </r>
    <r>
      <rPr>
        <sz val="8"/>
        <rFont val="Arial"/>
        <family val="2"/>
        <charset val="186"/>
      </rPr>
      <t xml:space="preserve"> - Pagraba pārseguma siltinājums,  esošs grīdas sastāvs, Esošais pārsegums -betona pārsegums b=220mm.Līmjava. Siltinājums – akmensvates lameles , gruntētās; λ=0,037W/mK,  b=150mm. </t>
    </r>
  </si>
  <si>
    <t>Dībeļi 215mm</t>
  </si>
  <si>
    <r>
      <rPr>
        <b/>
        <sz val="8"/>
        <rFont val="Arial"/>
        <family val="2"/>
        <charset val="186"/>
      </rPr>
      <t xml:space="preserve"> S8</t>
    </r>
    <r>
      <rPr>
        <sz val="8"/>
        <rFont val="Arial"/>
        <family val="2"/>
        <charset val="186"/>
      </rPr>
      <t xml:space="preserve"> - Siltinājums putupolistirola plāksne</t>
    </r>
    <r>
      <rPr>
        <b/>
        <sz val="8"/>
        <rFont val="Arial"/>
        <family val="2"/>
        <charset val="186"/>
      </rPr>
      <t>, λ=0,031W/mK, b=120mm</t>
    </r>
    <r>
      <rPr>
        <sz val="8"/>
        <rFont val="Arial"/>
        <family val="2"/>
        <charset val="186"/>
      </rPr>
      <t>, līmjava, vertikāla hidroizolācija, grunts, esoša betona bloku siena (b=400mm)</t>
    </r>
  </si>
  <si>
    <t>Vedināšanas kanālu siltināšana</t>
  </si>
  <si>
    <r>
      <t>Horizontālo vēdināšanas kanālu siltināšana ar lamelēm, λ=0,038W/m</t>
    </r>
    <r>
      <rPr>
        <sz val="8"/>
        <rFont val="Calibri"/>
        <family val="2"/>
        <charset val="186"/>
      </rPr>
      <t>²</t>
    </r>
    <r>
      <rPr>
        <sz val="8"/>
        <rFont val="Arial"/>
        <family val="2"/>
        <charset val="186"/>
      </rPr>
      <t>K, b=150mm</t>
    </r>
  </si>
  <si>
    <t xml:space="preserve">Siltumizolācija </t>
  </si>
  <si>
    <t>Vertikālo ventilāciju izvadus bēniņos siltināšana ar ruļļu izolāciju ar alumīnija folijas pārklājumu, λ=0,039W/mK, b=50mm</t>
  </si>
  <si>
    <t xml:space="preserve"> Kāpņu telpas griestu un sienu siltināšana no bēniņiem</t>
  </si>
  <si>
    <r>
      <rPr>
        <b/>
        <sz val="10"/>
        <rFont val="Arial"/>
        <family val="2"/>
        <charset val="186"/>
      </rPr>
      <t>P7</t>
    </r>
    <r>
      <rPr>
        <sz val="8"/>
        <rFont val="Arial"/>
        <family val="2"/>
        <charset val="186"/>
      </rPr>
      <t xml:space="preserve"> Kāpņu telpas pārseguma siltinājums akmensvate, b=30mm  λ=0,033W/mK; b=100mm, b=150mm λ=0,036W/mK, tvaika izolācijas plēve, esošs pārklajošs sastāvs, esošs dz-betona pārsegums</t>
    </r>
  </si>
  <si>
    <t>siltumizolācija, λ=0,033 W/mK b=30mm</t>
  </si>
  <si>
    <t>siltumizolācija, λ=0,036W/mK b=100mm</t>
  </si>
  <si>
    <t>siltumizolācija, λ=0,036W/mK b=150mm</t>
  </si>
  <si>
    <r>
      <rPr>
        <b/>
        <sz val="10"/>
        <rFont val="Arial"/>
        <family val="2"/>
        <charset val="186"/>
      </rPr>
      <t>S9</t>
    </r>
    <r>
      <rPr>
        <sz val="8"/>
        <rFont val="Arial"/>
        <family val="2"/>
        <charset val="186"/>
      </rPr>
      <t xml:space="preserve"> Kāpņu telpas sienu vertikālā siltumizolācija no bēniņu puses, λ=0,036W/m²K, b=120mm</t>
    </r>
  </si>
  <si>
    <t>Dībeli 195mm</t>
  </si>
  <si>
    <t>Ārsienas siltināšana no bēniņu puses ar akmensvati, λ=0,037W/m²K, b=50mm, h=500, piestiprinot to pie ārsienas ar līmi</t>
  </si>
  <si>
    <t>Dībeli 135mm</t>
  </si>
  <si>
    <t>Atvērumi ārsienā svaiga gaisa pieplūdei:</t>
  </si>
  <si>
    <t>Atvērumu izfrizēšana ārsienā bēniņu restu montāžai 200×200</t>
  </si>
  <si>
    <t>R2 cinkota metāla žalūzija bēniņu vedināšanai sk. Pie "Logi"</t>
  </si>
  <si>
    <t>Naglas d=2,5x50mm</t>
  </si>
  <si>
    <t>Āra apgaismojuma ierīkošana ieejas mezgliem</t>
  </si>
  <si>
    <t>Esošo āra apgaismojuma lampu demontāža</t>
  </si>
  <si>
    <t>Vienpola slēdža montēšana.</t>
  </si>
  <si>
    <t>Kustību sensoru ar krēslas slēdža f-ju montēšana.</t>
  </si>
  <si>
    <t>Elektrības kabelis 3x1,5mm² ar kopējo garumu 10m.</t>
  </si>
  <si>
    <t>Āra apgaismojuma sienas lampas montēšana</t>
  </si>
  <si>
    <t>Ieejas mezgls "I"</t>
  </si>
  <si>
    <r>
      <t xml:space="preserve">Lieveņa un esoša pakāpiena virsslaņa noņemšana </t>
    </r>
    <r>
      <rPr>
        <sz val="8"/>
        <rFont val="Calibri"/>
        <family val="2"/>
        <charset val="186"/>
      </rPr>
      <t>≈</t>
    </r>
    <r>
      <rPr>
        <sz val="8"/>
        <rFont val="Arial"/>
        <family val="2"/>
        <charset val="186"/>
      </rPr>
      <t>30mm</t>
    </r>
  </si>
  <si>
    <t>Lieveņa un esoša pakāpiena virsslaņa atjaunošana  no betona B20, F50,ar metāla skaldu piejaukumu ,b=30mm</t>
  </si>
  <si>
    <t>3Bpl siets 100x100</t>
  </si>
  <si>
    <t>Betona plaukta virslaņa atjaunošana</t>
  </si>
  <si>
    <r>
      <t>Deļu klājums soliņai  50mm biez., krāsots l</t>
    </r>
    <r>
      <rPr>
        <sz val="8"/>
        <rFont val="Calibri"/>
        <family val="2"/>
        <charset val="186"/>
      </rPr>
      <t>≈</t>
    </r>
    <r>
      <rPr>
        <sz val="8"/>
        <rFont val="Arial"/>
        <family val="2"/>
        <charset val="186"/>
      </rPr>
      <t>1,8m, b=0,4m</t>
    </r>
  </si>
  <si>
    <t xml:space="preserve">  kokmateriāli</t>
  </si>
  <si>
    <t xml:space="preserve">  metāla stiprinājumi</t>
  </si>
  <si>
    <t>Ieejas mezgls "II"</t>
  </si>
  <si>
    <t xml:space="preserve">Puķu kastes demontāža </t>
  </si>
  <si>
    <t>Esoša vējtvera koka konstrukicijas, t.sk. koka iekšdurvju demontāža ( iekštelpā)</t>
  </si>
  <si>
    <t>Lieveņu  atjaunošana:</t>
  </si>
  <si>
    <t>Esošo betona pakāpienu un pamatnītes demontāža</t>
  </si>
  <si>
    <t>Betona laukuma virsslāņa nokalšana ≈30*mm, l=6,2m, b=1,15m</t>
  </si>
  <si>
    <t>Betons B20 F50 - 30*mm ar sietu ∅3BpI, 100x100 
(ar abrazīvu virsmu) laukuma atjaunošanai</t>
  </si>
  <si>
    <t>Rakšanas darbi jauno pakāpienu izbūvei</t>
  </si>
  <si>
    <t>Esošās grunts noblietēšana</t>
  </si>
  <si>
    <t>Vidēji rupjas smilts sagatavojuma kārtas un pildījuma izveidošana, b=200mm</t>
  </si>
  <si>
    <t>smilts</t>
  </si>
  <si>
    <t>Pamatnes izveidošana zem pakāpieniem no betona B20, F50</t>
  </si>
  <si>
    <t>6Bpl siets 100x100</t>
  </si>
  <si>
    <t>Sausā betona pākāpienu montāža 300×150(h) m l=3,05m</t>
  </si>
  <si>
    <t>Projektēta nerūsējošā tērauda marga, h=1000, ar stirpinājuma pēdām uz betona pamatnes atbilstoši rasējumam, t.sk. līkumi pārejas leņķi</t>
  </si>
  <si>
    <t>sieniņas remonts un špaktelēšana pēc puķu kastes demontāžas</t>
  </si>
  <si>
    <t>grunts</t>
  </si>
  <si>
    <t xml:space="preserve">Krāsa </t>
  </si>
  <si>
    <t>apmetums AS-2  pie AR</t>
  </si>
  <si>
    <t>Jaunu bruģakmens laukuma ierīkošana:</t>
  </si>
  <si>
    <t xml:space="preserve">Šķembas (fr.40-70mm) kārtas ieklāšana 100mm </t>
  </si>
  <si>
    <t xml:space="preserve">Šķembas (fr.0-40mm) kārtas ieklāšana 50mm </t>
  </si>
  <si>
    <t>Grants kārtas ieklāšana 50mm</t>
  </si>
  <si>
    <t>Bruģakmens 600mm biez.likšana 26gb/m²</t>
  </si>
  <si>
    <t>Betona bruģis</t>
  </si>
  <si>
    <t>Bortakmens 80x200x1000 malas likšana 1gb/t.m</t>
  </si>
  <si>
    <t>Betona pamatne bortakmens ierīkošanai</t>
  </si>
  <si>
    <t xml:space="preserve">Grunts piebēršana </t>
  </si>
  <si>
    <t>Zalāja ierīkošana</t>
  </si>
  <si>
    <t>Jumtiņa skārda loksnes pieslēguma pie ārsienas demontāža, b=0,3m</t>
  </si>
  <si>
    <t>Esošās jumtiņa skārda apmales demontāža, b=0,3m</t>
  </si>
  <si>
    <t>Esošās jumtiņa plātnes virsmas notīrīšana</t>
  </si>
  <si>
    <t>Putupolistirola plāksnes, λ=0,034W/mK, liekamas b=100mm  pie jumta plāknes</t>
  </si>
  <si>
    <t>Putupolistirola plāksnes</t>
  </si>
  <si>
    <t>cokola profils</t>
  </si>
  <si>
    <t xml:space="preserve">Izfrīzēt gropi </t>
  </si>
  <si>
    <t>zemapmetuma PVC profils ar lāseni</t>
  </si>
  <si>
    <t>Blīvējoša mastika šuvēm</t>
  </si>
  <si>
    <t>Jumtiņa virsma</t>
  </si>
  <si>
    <t>Cementa javas izlīdzinošās kārtas uzklāšana, b=20÷30 mm</t>
  </si>
  <si>
    <t>Divas kārtas bitumena mastikas uz cementa javas</t>
  </si>
  <si>
    <t>Divkārtu ruberoīda seguma ieklāšana</t>
  </si>
  <si>
    <t xml:space="preserve">Apakš.kārta b=2.5mm </t>
  </si>
  <si>
    <t>Augš.kārta b=4mm,</t>
  </si>
  <si>
    <t>propāns -butāns</t>
  </si>
  <si>
    <t>Papildus jumta seguma kārta, b=400mm</t>
  </si>
  <si>
    <t>segums</t>
  </si>
  <si>
    <t>Skārda lāsenis</t>
  </si>
  <si>
    <t>Jaunu rūpnieciski krāsotu skārda tekņu ar izsargpārklājumu montēšana, dn 100×100, t.sk. savienojumi pārejas līkumi, gala noslēgi</t>
  </si>
  <si>
    <t xml:space="preserve">teknes āķis  </t>
  </si>
  <si>
    <t>silikons 420ml</t>
  </si>
  <si>
    <t>Jaunu rūpnieciski krāsotu skārda noteku ar aizsargpārklājumu
 montēšana, 100x100. l=2,8m, 1 gb</t>
  </si>
  <si>
    <t>Plātnes apakšējās un sānu betona virsmas izdrupumu mehāniska attīrīšana</t>
  </si>
  <si>
    <t>Stiegru apstrāde ar suspensiju</t>
  </si>
  <si>
    <t>Java patēriņš aptuveni 1,7 kg/m2</t>
  </si>
  <si>
    <t>Plātnes apakšas un sānu apstrāde ar suspensiju</t>
  </si>
  <si>
    <t>Izlīdzinošā java patēriņš aptuveni 2,0 kg/m2/mm</t>
  </si>
  <si>
    <t>Betona aizsargkārtas atjaunošana ar remontjavu 15 mm biezumā</t>
  </si>
  <si>
    <t>Plātnes apakšējās virsmas špaktelēšana un krāsošana</t>
  </si>
  <si>
    <t>Lodžiju margas demontāža 74gb ( metāla + dekor.betona paneļi)</t>
  </si>
  <si>
    <r>
      <t>Esošu lodžijas stiklojumu PVC ramjos demontāža un likšana atpakaļ pēc proj. margu izbūves (axb=6300*x1550*) 107,8m</t>
    </r>
    <r>
      <rPr>
        <sz val="8"/>
        <rFont val="Calibri"/>
        <family val="2"/>
        <charset val="186"/>
      </rPr>
      <t>²</t>
    </r>
  </si>
  <si>
    <t xml:space="preserve"> Sendvičpaneļu konstrukcijas montēšana pie lodžijas pārseguma  :</t>
  </si>
  <si>
    <t>Cauruļveida metāla profila sija 100(h)x60x4; l=6,3*m</t>
  </si>
  <si>
    <t>Cauruļveida metāla stats 60x60x4; h=0,9* m</t>
  </si>
  <si>
    <t>Mitruma izturīgas OSB plātnes josla, b=30*(h)x110</t>
  </si>
  <si>
    <t>ķīļekuri M10x80, s=500</t>
  </si>
  <si>
    <t>enkurdetaļa 4x40x370*, s=500 (933gb)</t>
  </si>
  <si>
    <t>Leņķveida stiprinājumi  L 100x100x10 4 gb/lodž</t>
  </si>
  <si>
    <t xml:space="preserve">ķīļenkuri M12x80, 8 gab uz detaļu </t>
  </si>
  <si>
    <t>Leņķprofils L110x70x6,5 Sendvičpaneļa enkurošanai pie lodžijas paneļa; l=6,3*</t>
  </si>
  <si>
    <t>ķīļenkuri M12x80, s=5009 (13 gb/lodž)</t>
  </si>
  <si>
    <t>Sendvičpaneļa siena</t>
  </si>
  <si>
    <t>Sienas paneļa montāža b=120mm Siltumizolācijas ķim sastāvs PUR poliuretāns Bs2 do. Metāla biezums iekšējā/ārējā mm 0,4/0,5. Tērauda marka S280 GD. Cinks tēraudam gr/m² 225-275. Ārējais pārklājums: PES/RAL atbilstoši krāsu pasei 25 mikr (PES RAL 1015). Siltumvadītspējas koeficients 0,023w/m×k . Ārējā ugunsizturība: Bs2-do. Uguns noturība EI15. h=1000mm l=6300*mm, 22 gb</t>
  </si>
  <si>
    <t>Sienas paneļa montāža  b=120mm Siltumizolācijas ķim sastāvs PUR poliuretāns Bs2 do. Metāla biezums iekšējā/ārējā mm 0,4/0,5. Tērauda marka S280 GD.  Cinks tēraudam gr/m² 225-275. Ārējais pārklājums: PES/RAL atbilstoši krāsu pasei 25 mikr.  ( PES RAL 9007). Siltumvadītspējas koeficients w/m×k 0,023. Ārējā ugunsizturība: Bs2-do. Uguns noturība EI15. h=1000mm l=6300*mm, 38 gb</t>
  </si>
  <si>
    <t>Sienas paneļa montāža  b=120mm Siltumizolācijas ķim sastāvs PUR poliuretāns Bs2 do. Metāla biezums iekšējā/ārējā mm 0,4/0,5. Tērauda marka S280 GD.  Cinks tēraudam gr/m² 225-275. Ārējais pārklājums: PES/RAL atbilstoši krāsu pasei 25 mikr.  ( PES RAL 7035).  Siltumvadītspējas koeficients w/m×k 0,023. Ārējā ugunsizturība:  Bs2-do. Uguns noturība EI15. h=1000mm l=6300*mm, 14 gb</t>
  </si>
  <si>
    <t>Termoprofils 6,33*x74gb</t>
  </si>
  <si>
    <t>PVC palodze b=0,15*m</t>
  </si>
  <si>
    <t>Demontāža</t>
  </si>
  <si>
    <t>Vecās jumta margas demontāža</t>
  </si>
  <si>
    <t>Veco skārda jumtiņu ventilācijas izvadiem demontāža</t>
  </si>
  <si>
    <t>Veca ruberoīda noņemšana (apt.10% no kop.plat.)</t>
  </si>
  <si>
    <t>Siltināmo lodžiju jumtiņu atjaunošana</t>
  </si>
  <si>
    <t>Skārda apšuvuma noņemšana no lodžijas jumtiņiem, b=0,45</t>
  </si>
  <si>
    <t>Virsmas attīrīšana no nogulšņu nosēdumiem un sūnu apaugumiem</t>
  </si>
  <si>
    <t xml:space="preserve">Spāru 50x150(h) S = 900, l=1500*mm likšana </t>
  </si>
  <si>
    <t xml:space="preserve">Mūrlata 100x100 abos spāru galos </t>
  </si>
  <si>
    <r>
      <t xml:space="preserve">Putupoliuretāna, λ=0,021W/m²K  ielikšana starp spārēm , b=200mm (mezgls </t>
    </r>
    <r>
      <rPr>
        <b/>
        <sz val="8"/>
        <rFont val="Arial"/>
        <family val="2"/>
        <charset val="186"/>
      </rPr>
      <t>P3</t>
    </r>
    <r>
      <rPr>
        <sz val="8"/>
        <rFont val="Arial"/>
        <family val="2"/>
        <charset val="186"/>
      </rPr>
      <t>)</t>
    </r>
  </si>
  <si>
    <t>Mitruma iztūrīga OSB plātne - 22</t>
  </si>
  <si>
    <t>Lentveida mitruma iztūrīga OSB loksne 15x150(h) spāru galu apšuvumam</t>
  </si>
  <si>
    <r>
      <t>Apakš. segums uzkausējams ruberoīds (3,5 kg/m</t>
    </r>
    <r>
      <rPr>
        <sz val="8"/>
        <rFont val="Calibri"/>
        <family val="2"/>
        <charset val="186"/>
      </rPr>
      <t>²</t>
    </r>
    <r>
      <rPr>
        <sz val="8"/>
        <rFont val="Arial"/>
        <family val="2"/>
        <charset val="186"/>
      </rPr>
      <t xml:space="preserve">) </t>
    </r>
  </si>
  <si>
    <r>
      <t>Augš.segums uzkausējams ruberoīds ( 4,5kg/m</t>
    </r>
    <r>
      <rPr>
        <sz val="8"/>
        <rFont val="Calibri"/>
        <family val="2"/>
        <charset val="186"/>
      </rPr>
      <t>²)</t>
    </r>
  </si>
  <si>
    <t>Ārsienas un jumtiņa mezgla izbūve</t>
  </si>
  <si>
    <t>akmensvates stūra elements, λ=0,037W/mK gar ārsienu</t>
  </si>
  <si>
    <t xml:space="preserve">Vertikālas hidroizolācijas uznešana uz ārsienu , h=300mm no jumtiņa virsmas                                                                                                                        </t>
  </si>
  <si>
    <t>Siltinājuma putupolistirola plāksnes,  λ=0,034 W/mK b=30mm, h=300mm no jumtiņa virsmas</t>
  </si>
  <si>
    <t>Zemapmetuma PVC  profils</t>
  </si>
  <si>
    <r>
      <t xml:space="preserve">papildus seguma kārta  </t>
    </r>
    <r>
      <rPr>
        <sz val="8"/>
        <rFont val="Calibri"/>
        <family val="2"/>
        <charset val="186"/>
      </rPr>
      <t>̴ 800mm</t>
    </r>
  </si>
  <si>
    <t>Skārda karnīzes stiprināšana pie ārsienas, b=0,15m</t>
  </si>
  <si>
    <t>Lodžijas jumtiņa parseguma malas nosegšana ar skārdu, b=0,45m*</t>
  </si>
  <si>
    <t>Metāla enkuri -4x40, l=200, s=700, jumtiņa dzegas skārda aplocīšanai</t>
  </si>
  <si>
    <t>Jumta un sienu pieslēgumu šuves hermetizēšana</t>
  </si>
  <si>
    <t xml:space="preserve">Jumta deflektoru Ø100 uzstadīšana </t>
  </si>
  <si>
    <t>Tekņu Ø100 uzstādīšana pie lodžiju plātnēm</t>
  </si>
  <si>
    <t xml:space="preserve">Noteku Ø100 uzstādīšana nokrišņu novadīšanai </t>
  </si>
  <si>
    <t>Saduršuvju attīrīšana no vecās javas, mastikas fasādē</t>
  </si>
  <si>
    <t xml:space="preserve">Ģeotekstils+hidroizolācija vienā kārtā gar dzegu fasadē, b=300 </t>
  </si>
  <si>
    <t>Jumta skārda  apšuvums gar dzegu pēc ārsienu siltināšanas, kop. b=0,5 m (pēc krāsu pases)</t>
  </si>
  <si>
    <t xml:space="preserve">Enkuri -4x40x300 jumta skārda apšuvumam, s=500; 210* gb </t>
  </si>
  <si>
    <t>Dībeļi Ø8x100 enkuru stiprināšanai pie paneļa un dēļa (2 gb uz enkuru)</t>
  </si>
  <si>
    <t xml:space="preserve">Galasienu parapeta apšuvums pie galasienu siltināšanas </t>
  </si>
  <si>
    <t>Saduršuvju attīrīšana no vecās javas , mastikas fasādē un jumta pusē</t>
  </si>
  <si>
    <t>Cementa javas b=20÷40  izlīdzinošā kārta uz parapeta plātnes, b=790*, un gar paneļu pieslēgumu</t>
  </si>
  <si>
    <t xml:space="preserve">Ģeotekstils+hidroizolācija vienā kārtā gar parapeta plātni un galasienām (no abām pusēm), b=300 </t>
  </si>
  <si>
    <t>Jumta skārda RR23 parapeta apšuvums  pēc ārsienu siltināšanas, kop.b=1 m</t>
  </si>
  <si>
    <t>Enkuri -4x40x750 jumta parapeta skārda apšuvumam, s=500 64*gb</t>
  </si>
  <si>
    <t>Dībeļi Ø8x100 enkuru stiprināšanai pie parapeta plātnes, 2 gab uz det.</t>
  </si>
  <si>
    <t>Saduršuvju gar parapetu fasādē un galasienām no jumta puses hermetizēšana</t>
  </si>
  <si>
    <t xml:space="preserve"> Plaisu un nepilnu šuvju aizdarināšana ar hermētiķi</t>
  </si>
  <si>
    <t>Attīrītās virsmas samitrināšana un gruntēšana ar virsmas saķeres uzlabotāju, poliuretāna gruntējums</t>
  </si>
  <si>
    <t xml:space="preserve"> Hidroizolācijas membrānas uzklāšana 2 kārtās</t>
  </si>
  <si>
    <t xml:space="preserve"> Hidroizolācijas aizsargslāņa ieklāšana 1 kārtā</t>
  </si>
  <si>
    <t xml:space="preserve">Betona aizsargkārtas atjaunošana ar remontjavu R=0,5m </t>
  </si>
  <si>
    <t>Virsmas apstrāde ar grunti</t>
  </si>
  <si>
    <t>Speciālā apstrāde savācējpiltuves pieslegumu vietām- 0,5m plata joslā apkārt elementu (0,79m² uz vien.): ar izolējošu materiālu savācējpiltuves  piesleguma vietu pārklāšana</t>
  </si>
  <si>
    <t>ģeotekstila ieklāšana</t>
  </si>
  <si>
    <t>Izolējošs materiāls, dublejoša kārta piesl.vietām</t>
  </si>
  <si>
    <t>Betona paneļu virsmas remonts (jā nepieciešams):</t>
  </si>
  <si>
    <t xml:space="preserve">   *atsegto stiegrojumu attīrīšana lidz kl.Sa, pretkorozijas pastrāde (apt.20% no visas platības)</t>
  </si>
  <si>
    <t>Java, patēriņš aptuveni 1,7 kg/m2</t>
  </si>
  <si>
    <t xml:space="preserve">   *virsmas samitrināšana un apstrāde ar pielipšanas uzlabotāju (apt.20% no visas platības)</t>
  </si>
  <si>
    <t xml:space="preserve">   *remotjavas uzklāšana</t>
  </si>
  <si>
    <t>Plaisu remonts:</t>
  </si>
  <si>
    <t xml:space="preserve">     plaisas jāaizpilda ar fiksotropisku (biezu) remontjavu  </t>
  </si>
  <si>
    <t>Virsmas notīrīšana, apstrāde ar smilšpapīru, attīrīt no nestingrām daļiņām</t>
  </si>
  <si>
    <t>šuvju starp paneļiem, gar sienām, gar tekni attirīšana no vacas javas</t>
  </si>
  <si>
    <t xml:space="preserve"> Atsegto stiegrojumu attīrīt līdz kl. Sa (min St 2), pārklāt ar suspensiju vienā kārtā</t>
  </si>
  <si>
    <t>Remontējamo betona virsmu samitrināt un apstrādāt ar sasaistes uzlabotāju</t>
  </si>
  <si>
    <t>uzklāt remontjavu</t>
  </si>
  <si>
    <t>Iztīrīto šuvju malas gruntēt</t>
  </si>
  <si>
    <t>ielikt atduru diam.25</t>
  </si>
  <si>
    <t>šuvi aizpildīt ar mastiku (elastīgā)</t>
  </si>
  <si>
    <r>
      <t>Jumta apakšējas virsmas remonts</t>
    </r>
    <r>
      <rPr>
        <i/>
        <u/>
        <sz val="8"/>
        <rFont val="Arial"/>
        <family val="2"/>
        <charset val="186"/>
      </rPr>
      <t xml:space="preserve"> (60% bojatas virsmas no kop.plat. Pēc vizuālas apskates):</t>
    </r>
  </si>
  <si>
    <t>Gruntējuma-saķeres uzlabotāja, uzklāšana uz tīras, samitrinātas virsmas</t>
  </si>
  <si>
    <t>Hidroizolācijas, uzklāšana ar augstspied. uzsmidzināšanas iekārtu</t>
  </si>
  <si>
    <t>Virsmas armēšana ar ģeotekstilu</t>
  </si>
  <si>
    <t>Aizsargslāņa, ieklāšana 1 kārtā ar augstspied. uzsmidzināšanas iekārtu</t>
  </si>
  <si>
    <t xml:space="preserve">  Jumta lūkas un vent. izvadu piesleguma pie jumta  papildus apstrāde.</t>
  </si>
  <si>
    <r>
      <t>Ruberoīda noņemšana pie vent. Izvadiem (1m</t>
    </r>
    <r>
      <rPr>
        <sz val="8"/>
        <rFont val="Calibri"/>
        <family val="2"/>
        <charset val="186"/>
      </rPr>
      <t>²</t>
    </r>
    <r>
      <rPr>
        <sz val="8"/>
        <rFont val="Arial"/>
        <family val="2"/>
        <charset val="186"/>
      </rPr>
      <t>/gb)</t>
    </r>
  </si>
  <si>
    <t xml:space="preserve">speciālā apstrāde  pieslegumu vietām- 0,25m plata joslā apkārt     elementu (0,6m² uz vien.vent izv.): ar izolējošu materiālu </t>
  </si>
  <si>
    <t>armējums, b=0,25m joslā*</t>
  </si>
  <si>
    <t>Izolējošs materiāls dublejoša kārta piesl.vietām</t>
  </si>
  <si>
    <t>hidroizolācijas pārklājums, pa elementa perimetru b=0,25m joslā*</t>
  </si>
  <si>
    <t xml:space="preserve">Cinkotā skārda ventilācijas izvadu jumtiņu ar sietu montāža </t>
  </si>
  <si>
    <t xml:space="preserve">jumta marga </t>
  </si>
  <si>
    <t>Jumta lūka</t>
  </si>
  <si>
    <t>Mehāniski verama jumta lūka ar stiklplasta virsmu 
(axb=700*x800*)</t>
  </si>
  <si>
    <t>Dn15</t>
  </si>
  <si>
    <t>Dn50</t>
  </si>
  <si>
    <t>Dn40</t>
  </si>
  <si>
    <t>Dn20</t>
  </si>
  <si>
    <t>Dn25</t>
  </si>
  <si>
    <t>Dn32</t>
  </si>
  <si>
    <t>Dn40→Dn32</t>
  </si>
  <si>
    <t>Dn20→Dn15</t>
  </si>
  <si>
    <t>Apkures sistēmas atjaunošana</t>
  </si>
  <si>
    <t>Esošās apkures sistēmas demontāža</t>
  </si>
  <si>
    <t>Polipropilēna caurule apkurei , montāža, stiprināšana pie sienas/griestiem</t>
  </si>
  <si>
    <t>PPR caurules, pagrieziens 90°, Dn15÷Dn25, montāža</t>
  </si>
  <si>
    <t>Dn32→Dn25</t>
  </si>
  <si>
    <t>Dn25→Dn20</t>
  </si>
  <si>
    <t xml:space="preserve">gb </t>
  </si>
  <si>
    <t>PPR caurules, DN 15 pagrieziens, 90°, montāža</t>
  </si>
  <si>
    <t>Ventilis lodveida; t=110°C; P=8 Bar</t>
  </si>
  <si>
    <t>Cauruļvada siltumizolācijas čaula, b=&gt;50 mm, l= 0.040 W/K×m², caurules siltumizolēšana</t>
  </si>
  <si>
    <t>Cauruļvadu un pievienojumu fasondetaļas un veidgabali</t>
  </si>
  <si>
    <t>Montāžas palīgmateriāli</t>
  </si>
  <si>
    <t>Siltuma maksas sadalītājs "Doprimo 3 radio net" firmas ISTA vai ekvivalents,   2-sensoru, starta temperatūra &lt;23°C; alumīnija plāksne F22, saskaņā ar Eiropas standartu DIN EN 834, jādarbojas sistēmā "ISTA Symphonic sensor net", uzstādāms uz katra radiatora, uzstādīšana, ieregulēšana</t>
  </si>
  <si>
    <t>Apkures sistēmas nopresēšana,  ieregulēšana, pārbaude un nodošana ekspluatācijā</t>
  </si>
  <si>
    <t>Ventilācijas sistēma</t>
  </si>
  <si>
    <t>Esošo ventilācijas kanālu (skursteņu, cuku) apskate, tīrīšana, remonts (ts.sk. aizgruvumu)</t>
  </si>
  <si>
    <t>Polipropilēna caurules trejgabals , montāža</t>
  </si>
  <si>
    <t>Pasīvs zibens uztvērējs Al vai St/Zn, l-1500 mm, ø 16 mm, montāža, uzstādīšana</t>
  </si>
  <si>
    <t>Pasīvs, izolēts (PE), zibens uztvērējs Al vai St/Zn, l-4000 mm, ø 1o mm, montāža, uzstādīšana</t>
  </si>
  <si>
    <t>Zibens uztvērēja pamatne ar adapteri, uzstādīšana</t>
  </si>
  <si>
    <t xml:space="preserve">Stieple Al, ø 8 mm, </t>
  </si>
  <si>
    <t xml:space="preserve">Stieple Al ø10mm, ievilkšana PE izolācijā </t>
  </si>
  <si>
    <t xml:space="preserve">Lenta St/Zn, 3,0×30 mm, </t>
  </si>
  <si>
    <r>
      <t>Kabelis Cu 1x25mm</t>
    </r>
    <r>
      <rPr>
        <sz val="8"/>
        <rFont val="Calibri"/>
        <family val="2"/>
        <charset val="186"/>
      </rPr>
      <t>²</t>
    </r>
  </si>
  <si>
    <t xml:space="preserve">Kronšteins stieples montāžai uz jumta </t>
  </si>
  <si>
    <t xml:space="preserve">Kronšteins PE caurules montāžai uz sienas </t>
  </si>
  <si>
    <t>Zemēšanas elektrods ø 20 mm, l-1,5 m, apaļdzelzs</t>
  </si>
  <si>
    <t>Kontūra pievienojuma klemme JAB 5</t>
  </si>
  <si>
    <t>Elektrodu uzmava</t>
  </si>
  <si>
    <t>Kontūra mērklemme ar kasti</t>
  </si>
  <si>
    <t xml:space="preserve">Savienotāj klemme, universāla </t>
  </si>
  <si>
    <t>Savienotāj klemme ar barjeru</t>
  </si>
  <si>
    <t>Savienotāj klemme ar notekreni</t>
  </si>
  <si>
    <t>PE lenta iezīmēšanai</t>
  </si>
  <si>
    <t>Elektrodu ø 20 mm, l= 1,5 m iedzīšana zemē</t>
  </si>
  <si>
    <t>Zemāšanas kontūra guldīšana tranšejā, montāža pie elektrodiem</t>
  </si>
  <si>
    <t>Zemējuma kontūra ierīkošana, mērījumi</t>
  </si>
  <si>
    <t>Šķērsojums ar inženiertehniskajiem tīkliem</t>
  </si>
  <si>
    <r>
      <t xml:space="preserve">Aizsargčaulas </t>
    </r>
    <r>
      <rPr>
        <sz val="8"/>
        <rFont val="Calibri"/>
        <family val="2"/>
        <charset val="186"/>
      </rPr>
      <t>Ø</t>
    </r>
    <r>
      <rPr>
        <sz val="8"/>
        <rFont val="Arial"/>
        <family val="2"/>
        <charset val="186"/>
      </rPr>
      <t>110, l=1,5m</t>
    </r>
  </si>
  <si>
    <t>Bruģa seguma noņemšana in likšana atpakaļ</t>
  </si>
  <si>
    <t>Skārda palodzes.sk pie AR</t>
  </si>
  <si>
    <t xml:space="preserve">Dzelzsbetona tekņu augšējās  virsmas remonts </t>
  </si>
  <si>
    <t>Tekņu augšējās virsmas mehāniska attīrīšana ar smilšpapīru. Nestingru betona daļiņu un putekļu notīrīšana</t>
  </si>
  <si>
    <t>Saduršuvju iztīrīšana starp tekņu elementiem un sadurvietās ar jumta paneļiem</t>
  </si>
  <si>
    <t>Plaisu un nepilnu šuvju aizdarināšana ar hermētiķi</t>
  </si>
  <si>
    <t>Jaunas lietusūdens savācējpiltuves Ø110*, uzstādīšana ar čuguna aizsargrežģi pamatni un aizsargrežģi montāža</t>
  </si>
  <si>
    <t>Tekņu virsslaņa uznešanu sk. pie Jumta seguma atjaunošanas</t>
  </si>
  <si>
    <t xml:space="preserve">Tekņu  virsmas papildus apstrāde apkārt piltuvēm </t>
  </si>
  <si>
    <t>Jumta paneļu  pilnas virsmas mehāniska attīrīšana ar smilšpapīru (teknes n.47)</t>
  </si>
  <si>
    <r>
      <t xml:space="preserve">1. meh. klases </t>
    </r>
    <r>
      <rPr>
        <b/>
        <sz val="8"/>
        <rFont val="Arial"/>
        <family val="2"/>
        <charset val="186"/>
      </rPr>
      <t>(AS2)</t>
    </r>
    <r>
      <rPr>
        <sz val="8"/>
        <rFont val="Arial"/>
        <family val="2"/>
        <charset val="186"/>
      </rPr>
      <t xml:space="preserve"> apmetuma izveidošana: 2 kārtas armējošās javas un armējošā stikla šķiedras sieta uzklāšana, zemapmetuma grunts uzklāšana,drupināta granīta un akrila dispersijas saistvielas dekoratīvais apmetums pēc krāsu pases</t>
    </r>
  </si>
  <si>
    <r>
      <t xml:space="preserve">2. meh. klases </t>
    </r>
    <r>
      <rPr>
        <b/>
        <sz val="8"/>
        <rFont val="Arial"/>
        <family val="2"/>
        <charset val="186"/>
      </rPr>
      <t>(AS1)</t>
    </r>
    <r>
      <rPr>
        <sz val="8"/>
        <rFont val="Arial"/>
        <family val="2"/>
        <charset val="186"/>
      </rPr>
      <t xml:space="preserve"> apmetuma izveidošana: 1 kārta armējošās javas un armējošā stikla šķiedras sieta uzklāšana, zemapmetuma grunts uzklāšana,silikona sveķu bāzes maisījuma , ārmēto ar sintētisko šķiedru uznešana.Tonis pēc krāsu pases.</t>
    </r>
  </si>
  <si>
    <r>
      <t xml:space="preserve">Loga armēšana ar stikla šķiedras loksnēm  axb=500x300mm stūros; marķējums </t>
    </r>
    <r>
      <rPr>
        <b/>
        <sz val="8"/>
        <rFont val="Arial"/>
        <family val="2"/>
        <charset val="186"/>
      </rPr>
      <t>(1)</t>
    </r>
    <r>
      <rPr>
        <sz val="8"/>
        <rFont val="Arial"/>
        <family val="2"/>
        <charset val="186"/>
      </rPr>
      <t xml:space="preserve"> sk.AR-13 lapā</t>
    </r>
  </si>
  <si>
    <r>
      <t xml:space="preserve">Loga armēšana ar stikla šķiedras loksnēm stūros iekšpusē          axb=  200*x300; marķējums </t>
    </r>
    <r>
      <rPr>
        <b/>
        <sz val="8"/>
        <rFont val="Arial"/>
        <family val="2"/>
        <charset val="186"/>
      </rPr>
      <t>(2)</t>
    </r>
    <r>
      <rPr>
        <sz val="8"/>
        <rFont val="Arial"/>
        <family val="2"/>
        <charset val="186"/>
      </rPr>
      <t xml:space="preserve"> sk.AR-13 lapā</t>
    </r>
  </si>
  <si>
    <r>
      <t xml:space="preserve">Loga armēšana ar stikla šķiedras loksnēm pa ailu perimetru, b=150mm; marķējums </t>
    </r>
    <r>
      <rPr>
        <b/>
        <sz val="8"/>
        <rFont val="Arial"/>
        <family val="2"/>
        <charset val="186"/>
      </rPr>
      <t>(3)</t>
    </r>
    <r>
      <rPr>
        <sz val="8"/>
        <rFont val="Arial"/>
        <family val="2"/>
        <charset val="186"/>
      </rPr>
      <t xml:space="preserve"> sk.AR-13 lapā </t>
    </r>
  </si>
  <si>
    <r>
      <t>Logu montāžas palīgmateriāli uz  apjomu ( m</t>
    </r>
    <r>
      <rPr>
        <sz val="8"/>
        <rFont val="Calibri"/>
        <family val="2"/>
        <charset val="186"/>
      </rPr>
      <t>²</t>
    </r>
    <r>
      <rPr>
        <sz val="7.6"/>
        <rFont val="Arial"/>
        <family val="2"/>
        <charset val="186"/>
      </rPr>
      <t xml:space="preserve"> )</t>
    </r>
  </si>
  <si>
    <r>
      <t xml:space="preserve">120 mikroni cinkotas tērauda bēniņu durvis ugunsdrošās (ar EI 30) ar siltinājumu, rokturi, eņģēm, speciālām blīvgumijām un piedurlīstēm, vienpuktu slēdzeni, siltuma caurlaidības koef.: 1.6 w/m²×K, durvju montāža </t>
    </r>
    <r>
      <rPr>
        <b/>
        <sz val="8"/>
        <rFont val="Arial"/>
        <family val="2"/>
        <charset val="186"/>
      </rPr>
      <t>UD-1</t>
    </r>
    <r>
      <rPr>
        <sz val="8"/>
        <rFont val="Arial"/>
        <family val="2"/>
        <charset val="186"/>
      </rPr>
      <t xml:space="preserve"> (b×h=0,95×1,8); 1,71m</t>
    </r>
    <r>
      <rPr>
        <sz val="8"/>
        <rFont val="Calibri"/>
        <family val="2"/>
        <charset val="186"/>
      </rPr>
      <t>²</t>
    </r>
  </si>
  <si>
    <t>Tāme sastādīta  2019. gada tirgus cenās, pamatojoties uz ELT daļas rasējumiem</t>
  </si>
  <si>
    <t>Ievērībai!</t>
  </si>
  <si>
    <t>Pretendents ir tiesīgs izmantot tikai Pasūtītāja pievienoto būvizmaksu noteikšanas tāmes veidni.</t>
  </si>
  <si>
    <t>Tāme sastādīta 20__. gada __. _________</t>
  </si>
  <si>
    <t>____________.gada____.____________</t>
  </si>
  <si>
    <t>Reiņu meža iela 3, Liepāja</t>
  </si>
  <si>
    <t>Finanšu rezerve</t>
  </si>
  <si>
    <t>Kopā ar finanšu rezervi</t>
  </si>
  <si>
    <t>Piezīme:</t>
  </si>
  <si>
    <t xml:space="preserve">• Siltināšanas un apmešanas darbi veicami saskaņā ar ETAG 004 „Eiropas tehniskā apstiprinājuma pamatnostādne ārējās siltumizolācijas sistēmām un apmetumam” </t>
  </si>
  <si>
    <t>• Visiem būvmateriāliem jābūt marķētiem ar CE zīmi.</t>
  </si>
  <si>
    <t xml:space="preserve">Tiešās izmaksas kopā, t. sk. darba devēja sociālais nodoklis 24.09% </t>
  </si>
  <si>
    <t>Tāme sastādīta 2020. gada tirgus cenās, pamatojoties uz AR un BK daļas rasējumiem</t>
  </si>
  <si>
    <t>Tāme sastādīta 2020. gada tirgus cenās, pamatojoties uz AVK daļas rasējumiem</t>
  </si>
  <si>
    <t xml:space="preserve">Piekarāķu uzstādišana un kābeļu pārmontēšana. Piekarāķa parametri (paredzētas  3 vietas):
Piekarāķis M20, L=450*mm cauri balstam -  esošai bēniņu sienai 250+ 180mm siltinājums. Piekarāķi izmanto izolētiem gaisvadiem, servisa  kabeļiem, kā arī XLP - izolētiem kabeļiem. pagrieziena vai enkurbalstos. Piekarāķis ir aprīkots ar  noslēgplāksni un izgatavots no karsti cinkota  tērauda.Svars: 1.8 kg. Pārbaudes slodze: 30.6 Fx/kN.  Pārbaudes slodze: 6.7 Fy/kN </t>
  </si>
  <si>
    <t xml:space="preserve">Piekarāķu uzstādišana un kābeļu pārmontēšana. Piekarāķa parametri (paredzētas  4 vietas):
Piekarāķis M20, L=320*mm cauri balstam -  esošai bēniņu sienai 250+50mm siltinājums . Piekarāķi izmanto izolētiem gaisvadiem, servisa  kabeļiem, kā arī XLP - izolētiem kabeļiem. pagrieziena vai enkurbalstos. Piekarāķis ir aprīkots ar  noslēgplāksni un izgatavots no karsti cinkota  tērauda.Svars: 1.8 kg. Pārbaudes slodze: 30.6 Fx/kN.  Pārbaudes slodze: 6.7 Fy/kN </t>
  </si>
  <si>
    <t>Ailu aiztaisīšana Z fasādes pusēs ar 150mm biez keramzītbetona bloku mūri</t>
  </si>
  <si>
    <t>Kāpņu un atbalstsienu pie nelietojamas pagraba ieejas dienvidu pusē demontāža</t>
  </si>
  <si>
    <t>Grunts hidroizolācijai (patēriņš aptuveni 0,5kg/m²)</t>
  </si>
  <si>
    <t>hidroizolācija (patēriņš aptuveni 1,0kg/m²)</t>
  </si>
  <si>
    <r>
      <t xml:space="preserve">120 mikroni cinkotas tērauda kāpņu telpas durvis ugunsdrošās (ar EI 30) ar siltinājumu, rokturi, eņģēm, speciālām blīvgumijām un piedurlīstēm, vienpuktu slēdzeni, siltuma caurlaidības koef.: 1.6 w/m²×K, durvju montāža </t>
    </r>
    <r>
      <rPr>
        <b/>
        <sz val="8"/>
        <rFont val="Arial"/>
        <family val="2"/>
        <charset val="186"/>
      </rPr>
      <t>UD-2</t>
    </r>
    <r>
      <rPr>
        <sz val="8"/>
        <rFont val="Arial"/>
        <family val="2"/>
        <charset val="186"/>
      </rPr>
      <t xml:space="preserve"> (b×h=1,5×2,1m  ); 15,75m</t>
    </r>
    <r>
      <rPr>
        <sz val="8"/>
        <rFont val="Calibri"/>
        <family val="2"/>
        <charset val="186"/>
      </rPr>
      <t>²</t>
    </r>
  </si>
  <si>
    <t xml:space="preserve">tēr.konstrukcijas </t>
  </si>
  <si>
    <t>tēr. konstrukcijas</t>
  </si>
  <si>
    <t>Saduršuves gar dzegu fasādē  hermetizēšana, hermētiķis</t>
  </si>
  <si>
    <t>Java līdzināšanai patēriņš aptuveni 2,0 kg/m2/mm</t>
  </si>
  <si>
    <t>Sildķermeņa pievienojuma krāns komplektā ar tukšošanas krānu  t=110°C; P=8 bar; Dn15</t>
  </si>
  <si>
    <t>Divcauruļu sistēmu radiatoru termostatiskais vārsts komplektā ar savienojumu  t=110°C; P=8 bar; Dn15</t>
  </si>
  <si>
    <t>Termostata galva, uzstādīšana, ieregulēšana</t>
  </si>
  <si>
    <t>Vēdināšanas komplekts, montāža ārsienā</t>
  </si>
  <si>
    <t>PPR caurules, diametru maiņa, montāža</t>
  </si>
  <si>
    <t>Automātiskais balansējošais vārsts,  Dn15; t=110°C; P=8 bar, uzstādīšana, ieregulēšana</t>
  </si>
  <si>
    <t>Automātiskais balansējošais vārsts Dn15; t=110°C; P=8 bar, uzstādīšana, ieregulēšana</t>
  </si>
  <si>
    <t>Cauruļvada  slīdošais balsts (termokompensācijas čaula), izbūve caur griestiem, hermetizācija, apmetuma un krāsojuma atjaunošana</t>
  </si>
  <si>
    <t>Tērauda radiatori ar sānu pieslēgumu; h=400mm, N=307 W; l=400;70/50/23 °C; komplektā ar atgaisotāju un uzstādīšanas mezglu, uzstādīšana</t>
  </si>
  <si>
    <t>Tērauda radiatori ar sānu pieslēgumu; h=400mm, N=461 W; l=600;70/50/23 °C; komplektā ar atgaisotāju un uzstādīšanas mezglu, uzstādīšana</t>
  </si>
  <si>
    <t>Tērauda radiatori ar sānu pieslēgumu; h=400mm, N=384 W; l=500;70/50/23°C; komplektā ar atgaisotāju un uzstādīšanas mezglu, uzstādīšana</t>
  </si>
  <si>
    <t>Tērauda radiatori ar sānu pieslēgumu; h=400mm, N=614 W; l=800;70/50/23°C; komplektā ar atgaisotāju un uzstādīšanas mezglu, uzstādīšana</t>
  </si>
  <si>
    <t>Tērauda radiatori ar sānu pieslēgumu; h=400mm, N=1279 W; l=1200;70/50/23°C; komplektā ar atgaisotāju un uzstādīšanas mezglu, uzstādīšana</t>
  </si>
  <si>
    <t>Tērauda radiatori ar sānu pieslēgumu; h=400mm, N=225W; l=500;70/50/23°C; komplektā ar atgaisotāju un uzstādīšanas mezglu, uzstādīšana</t>
  </si>
  <si>
    <t>Gāzbetona bloks (200x300x600). 
(Piezāģēts pēc gabarītiem 200x300x300)</t>
  </si>
  <si>
    <t>Sastatnes un aizsargsiets</t>
  </si>
  <si>
    <t>Metāla žalūziju, R1 montēšana, axb=0,2×0,2m</t>
  </si>
  <si>
    <t xml:space="preserve">Cinkotā (120 mikroni) metāla žalūzija 200x200 </t>
  </si>
  <si>
    <t>Metāla žalūziju, R2 montēšana, axb=0,2×0,2m, gab-34</t>
  </si>
  <si>
    <t xml:space="preserve">Cinkotā (120mikroni) metāla žalūzija 200x200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</si>
</sst>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0;;;"/>
    <numFmt numFmtId="165" formatCode="0;;;"/>
    <numFmt numFmtId="166" formatCode="0.0%"/>
    <numFmt numFmtId="167" formatCode="_-* #,##0.00_-;\-* #,##0.00_-;_-* \-??_-;_-@_-"/>
    <numFmt numFmtId="168" formatCode="0.0"/>
    <numFmt numFmtId="169" formatCode="_(* #,##0.00_);_(* \(#,##0.00\);_(* &quot;-&quot;??_);_(@_)"/>
    <numFmt numFmtId="170" formatCode="0;;"/>
    <numFmt numFmtId="171" formatCode="0.000"/>
    <numFmt numFmtId="172" formatCode="_-* #,##0.00_р_._-;\-* #,##0.00_р_._-;_-* &quot;-&quot;??_р_._-;_-@_-"/>
    <numFmt numFmtId="173" formatCode="_-* #,##0.00_-;\-* #,##0.00_-;_-* &quot;-&quot;_-;_-@_-"/>
    <numFmt numFmtId="174" formatCode="0.00;;"/>
  </numFmts>
  <fonts count="53" x14ac:knownFonts="1">
    <font>
      <sz val="11"/>
      <color rgb="FF000000"/>
      <name val="Calibri"/>
      <family val="2"/>
      <charset val="186"/>
    </font>
    <font>
      <sz val="11"/>
      <color theme="1"/>
      <name val="Calibri"/>
      <family val="2"/>
      <charset val="186"/>
      <scheme val="minor"/>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10"/>
      <name val="Arial"/>
      <family val="2"/>
      <charset val="204"/>
    </font>
    <font>
      <sz val="8"/>
      <name val="Arial"/>
      <family val="2"/>
      <charset val="186"/>
    </font>
    <font>
      <b/>
      <sz val="8"/>
      <name val="Arial"/>
      <family val="2"/>
      <charset val="186"/>
    </font>
    <font>
      <b/>
      <sz val="9"/>
      <color rgb="FF000000"/>
      <name val="Tahoma"/>
      <family val="2"/>
      <charset val="186"/>
    </font>
    <font>
      <sz val="9"/>
      <color rgb="FF000000"/>
      <name val="Tahoma"/>
      <family val="2"/>
      <charset val="186"/>
    </font>
    <font>
      <sz val="11"/>
      <color rgb="FF000000"/>
      <name val="Calibri"/>
      <family val="2"/>
      <charset val="186"/>
    </font>
    <font>
      <sz val="8"/>
      <color rgb="FFFF0000"/>
      <name val="Arial"/>
      <family val="2"/>
      <charset val="186"/>
    </font>
    <font>
      <b/>
      <sz val="8"/>
      <color rgb="FFFF0000"/>
      <name val="Arial"/>
      <family val="2"/>
      <charset val="186"/>
    </font>
    <font>
      <b/>
      <sz val="8"/>
      <color indexed="8"/>
      <name val="Arial"/>
      <family val="2"/>
      <charset val="186"/>
    </font>
    <font>
      <sz val="8"/>
      <color indexed="8"/>
      <name val="Arial"/>
      <family val="2"/>
      <charset val="186"/>
    </font>
    <font>
      <sz val="8"/>
      <color rgb="FF00B050"/>
      <name val="Arial"/>
      <family val="2"/>
      <charset val="186"/>
    </font>
    <font>
      <b/>
      <sz val="8"/>
      <color rgb="FF00B050"/>
      <name val="Arial"/>
      <family val="2"/>
      <charset val="186"/>
    </font>
    <font>
      <sz val="8"/>
      <color indexed="10"/>
      <name val="Arial"/>
      <family val="2"/>
      <charset val="186"/>
    </font>
    <font>
      <sz val="11"/>
      <color indexed="8"/>
      <name val="Calibri"/>
      <family val="2"/>
      <charset val="186"/>
    </font>
    <font>
      <sz val="12"/>
      <color theme="1"/>
      <name val="Calibri"/>
      <family val="2"/>
      <scheme val="minor"/>
    </font>
    <font>
      <sz val="8"/>
      <color rgb="FF000000"/>
      <name val="Arial"/>
      <family val="2"/>
      <charset val="186"/>
    </font>
    <font>
      <sz val="10"/>
      <name val="Helv"/>
    </font>
    <font>
      <sz val="11"/>
      <color indexed="8"/>
      <name val="Calibri"/>
      <family val="2"/>
      <charset val="204"/>
    </font>
    <font>
      <sz val="8"/>
      <name val="Arial"/>
      <family val="2"/>
      <charset val="204"/>
    </font>
    <font>
      <sz val="10"/>
      <name val="Arial"/>
      <family val="2"/>
      <charset val="186"/>
    </font>
    <font>
      <i/>
      <sz val="8"/>
      <name val="Arial"/>
      <family val="2"/>
      <charset val="186"/>
    </font>
    <font>
      <b/>
      <i/>
      <sz val="8"/>
      <name val="Arial"/>
      <family val="2"/>
      <charset val="186"/>
    </font>
    <font>
      <sz val="8"/>
      <name val="Calibri"/>
      <family val="2"/>
      <charset val="186"/>
    </font>
    <font>
      <sz val="6"/>
      <color theme="1"/>
      <name val="Arial"/>
      <family val="2"/>
      <charset val="186"/>
    </font>
    <font>
      <sz val="6"/>
      <color indexed="8"/>
      <name val="Arial"/>
      <family val="2"/>
      <charset val="186"/>
    </font>
    <font>
      <b/>
      <i/>
      <sz val="6"/>
      <color theme="1"/>
      <name val="Arial"/>
      <family val="2"/>
      <charset val="186"/>
    </font>
    <font>
      <b/>
      <sz val="8"/>
      <color rgb="FF0070C0"/>
      <name val="Arial"/>
      <family val="2"/>
      <charset val="186"/>
    </font>
    <font>
      <sz val="8"/>
      <color rgb="FF0070C0"/>
      <name val="Arial"/>
      <family val="2"/>
      <charset val="186"/>
    </font>
    <font>
      <sz val="10"/>
      <name val="Arial"/>
      <family val="2"/>
      <charset val="1"/>
    </font>
    <font>
      <i/>
      <sz val="8"/>
      <color indexed="23"/>
      <name val="Arial"/>
      <family val="2"/>
      <charset val="186"/>
    </font>
    <font>
      <b/>
      <i/>
      <u/>
      <sz val="8"/>
      <name val="Arial"/>
      <family val="2"/>
      <charset val="186"/>
    </font>
    <font>
      <b/>
      <sz val="6"/>
      <color indexed="8"/>
      <name val="Arial"/>
      <family val="2"/>
      <charset val="186"/>
    </font>
    <font>
      <i/>
      <sz val="6"/>
      <color theme="1"/>
      <name val="Arial"/>
      <family val="2"/>
      <charset val="186"/>
    </font>
    <font>
      <sz val="6"/>
      <name val="Arial"/>
      <family val="2"/>
      <charset val="186"/>
    </font>
    <font>
      <vertAlign val="superscript"/>
      <sz val="6"/>
      <name val="Arial"/>
      <family val="2"/>
      <charset val="186"/>
    </font>
    <font>
      <b/>
      <sz val="8"/>
      <color theme="1"/>
      <name val="Arial"/>
      <family val="2"/>
      <charset val="186"/>
    </font>
    <font>
      <sz val="8"/>
      <color theme="1"/>
      <name val="Calibri"/>
      <family val="2"/>
      <charset val="186"/>
    </font>
    <font>
      <b/>
      <i/>
      <u/>
      <sz val="8"/>
      <color theme="1"/>
      <name val="Arial"/>
      <family val="2"/>
      <charset val="186"/>
    </font>
    <font>
      <vertAlign val="superscript"/>
      <sz val="8"/>
      <name val="Arial"/>
      <family val="2"/>
      <charset val="204"/>
    </font>
    <font>
      <b/>
      <sz val="10"/>
      <name val="Arial"/>
      <family val="2"/>
      <charset val="186"/>
    </font>
    <font>
      <i/>
      <u/>
      <sz val="8"/>
      <name val="Arial"/>
      <family val="2"/>
      <charset val="186"/>
    </font>
    <font>
      <sz val="7.6"/>
      <name val="Arial"/>
      <family val="2"/>
      <charset val="186"/>
    </font>
    <font>
      <b/>
      <sz val="9"/>
      <name val="Arial Narrow"/>
      <family val="2"/>
      <charset val="186"/>
    </font>
    <font>
      <b/>
      <sz val="9"/>
      <name val="Arial"/>
      <family val="2"/>
      <charset val="186"/>
    </font>
    <font>
      <i/>
      <sz val="11"/>
      <color indexed="23"/>
      <name val="Calibri"/>
      <family val="2"/>
      <charset val="186"/>
    </font>
    <font>
      <sz val="10"/>
      <name val="Arial"/>
      <charset val="186"/>
    </font>
    <font>
      <sz val="11"/>
      <color indexed="17"/>
      <name val="Calibri"/>
      <family val="2"/>
      <charset val="186"/>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42"/>
        <bgColor indexed="27"/>
      </patternFill>
    </fill>
  </fills>
  <borders count="163">
    <border>
      <left/>
      <right/>
      <top/>
      <bottom/>
      <diagonal/>
    </border>
    <border>
      <left/>
      <right/>
      <top/>
      <bottom style="thin">
        <color auto="1"/>
      </bottom>
      <diagonal/>
    </border>
    <border>
      <left/>
      <right/>
      <top/>
      <bottom style="hair">
        <color auto="1"/>
      </bottom>
      <diagonal/>
    </border>
    <border>
      <left/>
      <right/>
      <top style="hair">
        <color auto="1"/>
      </top>
      <bottom style="hair">
        <color auto="1"/>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auto="1"/>
      </left>
      <right/>
      <top style="medium">
        <color auto="1"/>
      </top>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medium">
        <color auto="1"/>
      </left>
      <right style="thin">
        <color auto="1"/>
      </right>
      <top/>
      <bottom style="medium">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top style="thin">
        <color indexed="64"/>
      </top>
      <bottom style="medium">
        <color indexed="64"/>
      </bottom>
      <diagonal/>
    </border>
    <border>
      <left style="thin">
        <color indexed="8"/>
      </left>
      <right style="thin">
        <color indexed="8"/>
      </right>
      <top/>
      <bottom/>
      <diagonal/>
    </border>
    <border>
      <left style="thin">
        <color indexed="64"/>
      </left>
      <right style="thin">
        <color indexed="64"/>
      </right>
      <top style="thin">
        <color indexed="8"/>
      </top>
      <bottom/>
      <diagonal/>
    </border>
    <border>
      <left/>
      <right style="thin">
        <color indexed="64"/>
      </right>
      <top style="thin">
        <color indexed="64"/>
      </top>
      <bottom/>
      <diagonal/>
    </border>
    <border>
      <left style="thin">
        <color indexed="8"/>
      </left>
      <right style="thin">
        <color indexed="8"/>
      </right>
      <top/>
      <bottom style="medium">
        <color indexed="64"/>
      </bottom>
      <diagonal/>
    </border>
    <border>
      <left style="thin">
        <color indexed="64"/>
      </left>
      <right/>
      <top style="thin">
        <color indexed="64"/>
      </top>
      <bottom style="medium">
        <color indexed="64"/>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auto="1"/>
      </left>
      <right/>
      <top style="thin">
        <color auto="1"/>
      </top>
      <bottom style="medium">
        <color auto="1"/>
      </bottom>
      <diagonal/>
    </border>
    <border>
      <left style="thin">
        <color indexed="64"/>
      </left>
      <right/>
      <top style="thin">
        <color indexed="64"/>
      </top>
      <bottom style="thin">
        <color indexed="64"/>
      </bottom>
      <diagonal/>
    </border>
    <border>
      <left style="thin">
        <color auto="1"/>
      </left>
      <right/>
      <top style="medium">
        <color auto="1"/>
      </top>
      <bottom style="medium">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64"/>
      </top>
      <bottom style="medium">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style="medium">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bottom/>
      <diagonal/>
    </border>
    <border>
      <left style="thin">
        <color indexed="8"/>
      </left>
      <right style="thin">
        <color indexed="64"/>
      </right>
      <top style="thin">
        <color indexed="64"/>
      </top>
      <bottom style="medium">
        <color indexed="64"/>
      </bottom>
      <diagonal/>
    </border>
    <border>
      <left style="thin">
        <color indexed="8"/>
      </left>
      <right style="thin">
        <color indexed="64"/>
      </right>
      <top style="thin">
        <color indexed="64"/>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diagonal/>
    </border>
  </borders>
  <cellStyleXfs count="42">
    <xf numFmtId="0" fontId="0" fillId="0" borderId="0"/>
    <xf numFmtId="0" fontId="6" fillId="0" borderId="0"/>
    <xf numFmtId="43" fontId="11" fillId="0" borderId="0" applyFont="0" applyFill="0" applyBorder="0" applyAlignment="0" applyProtection="0"/>
    <xf numFmtId="0" fontId="19" fillId="0" borderId="0"/>
    <xf numFmtId="0" fontId="20" fillId="0" borderId="0"/>
    <xf numFmtId="0" fontId="22" fillId="0" borderId="0"/>
    <xf numFmtId="0" fontId="22" fillId="0" borderId="0"/>
    <xf numFmtId="0" fontId="22" fillId="0" borderId="0"/>
    <xf numFmtId="0" fontId="22" fillId="0" borderId="0"/>
    <xf numFmtId="0" fontId="6" fillId="0" borderId="0"/>
    <xf numFmtId="0" fontId="19" fillId="0" borderId="0"/>
    <xf numFmtId="0" fontId="23" fillId="0" borderId="0"/>
    <xf numFmtId="0" fontId="25" fillId="0" borderId="0"/>
    <xf numFmtId="0" fontId="23" fillId="0" borderId="0"/>
    <xf numFmtId="0" fontId="25" fillId="0" borderId="0"/>
    <xf numFmtId="0" fontId="25" fillId="0" borderId="0"/>
    <xf numFmtId="0" fontId="34" fillId="0" borderId="0"/>
    <xf numFmtId="0" fontId="34" fillId="0" borderId="0"/>
    <xf numFmtId="172" fontId="6" fillId="0" borderId="0" applyFont="0" applyFill="0" applyBorder="0" applyAlignment="0" applyProtection="0"/>
    <xf numFmtId="0" fontId="34" fillId="0" borderId="0"/>
    <xf numFmtId="167" fontId="25" fillId="0" borderId="0" applyFill="0" applyBorder="0" applyAlignment="0" applyProtection="0"/>
    <xf numFmtId="0" fontId="35" fillId="0" borderId="0" applyNumberFormat="0" applyFill="0" applyBorder="0" applyAlignment="0" applyProtection="0"/>
    <xf numFmtId="0" fontId="22" fillId="0" borderId="0"/>
    <xf numFmtId="0" fontId="35" fillId="0" borderId="0" applyNumberFormat="0" applyFill="0" applyBorder="0" applyAlignment="0" applyProtection="0"/>
    <xf numFmtId="0" fontId="1" fillId="0" borderId="0"/>
    <xf numFmtId="0" fontId="25" fillId="0" borderId="0"/>
    <xf numFmtId="0" fontId="25" fillId="0" borderId="0"/>
    <xf numFmtId="0" fontId="6" fillId="0" borderId="0"/>
    <xf numFmtId="0" fontId="50" fillId="0" borderId="0" applyNumberFormat="0" applyFill="0" applyBorder="0" applyAlignment="0" applyProtection="0"/>
    <xf numFmtId="167" fontId="19" fillId="0" borderId="0" applyFill="0" applyBorder="0" applyAlignment="0" applyProtection="0"/>
    <xf numFmtId="0" fontId="19" fillId="0" borderId="0"/>
    <xf numFmtId="0" fontId="19" fillId="0" borderId="0"/>
    <xf numFmtId="167" fontId="19" fillId="0" borderId="0" applyFill="0" applyBorder="0" applyAlignment="0" applyProtection="0"/>
    <xf numFmtId="0" fontId="52" fillId="4" borderId="0" applyNumberFormat="0" applyBorder="0" applyAlignment="0" applyProtection="0"/>
    <xf numFmtId="0" fontId="25" fillId="0" borderId="0">
      <alignment textRotation="90"/>
    </xf>
    <xf numFmtId="0" fontId="25" fillId="0" borderId="0"/>
    <xf numFmtId="0" fontId="25" fillId="0" borderId="0"/>
    <xf numFmtId="0" fontId="19" fillId="0" borderId="0"/>
    <xf numFmtId="9" fontId="19" fillId="0" borderId="0" applyFill="0" applyBorder="0" applyAlignment="0" applyProtection="0"/>
    <xf numFmtId="0" fontId="51" fillId="0" borderId="0"/>
    <xf numFmtId="0" fontId="51" fillId="0" borderId="0"/>
    <xf numFmtId="0" fontId="22" fillId="0" borderId="0"/>
  </cellStyleXfs>
  <cellXfs count="1045">
    <xf numFmtId="0" fontId="0" fillId="0" borderId="0" xfId="0"/>
    <xf numFmtId="0" fontId="7" fillId="0" borderId="0" xfId="0" applyFont="1"/>
    <xf numFmtId="0" fontId="8" fillId="0" borderId="0" xfId="0" applyFont="1" applyAlignment="1">
      <alignment horizontal="center"/>
    </xf>
    <xf numFmtId="0" fontId="8" fillId="0" borderId="1" xfId="0" applyFont="1" applyBorder="1" applyAlignment="1">
      <alignment horizontal="center"/>
    </xf>
    <xf numFmtId="0" fontId="7" fillId="0" borderId="0" xfId="0" applyFont="1" applyAlignment="1">
      <alignment horizontal="right"/>
    </xf>
    <xf numFmtId="0" fontId="7" fillId="0" borderId="0" xfId="0" applyFont="1" applyAlignment="1">
      <alignment horizontal="center"/>
    </xf>
    <xf numFmtId="0" fontId="8" fillId="0" borderId="2" xfId="0" applyFont="1" applyBorder="1" applyAlignment="1">
      <alignment wrapText="1"/>
    </xf>
    <xf numFmtId="0" fontId="8" fillId="0" borderId="3" xfId="0" applyFont="1" applyBorder="1" applyAlignment="1">
      <alignment wrapText="1"/>
    </xf>
    <xf numFmtId="0" fontId="7" fillId="0" borderId="3" xfId="0" applyFont="1" applyBorder="1" applyAlignment="1">
      <alignment wrapText="1"/>
    </xf>
    <xf numFmtId="0" fontId="8" fillId="0" borderId="4" xfId="0" applyFont="1" applyBorder="1" applyAlignment="1">
      <alignment horizontal="center"/>
    </xf>
    <xf numFmtId="0" fontId="8" fillId="0" borderId="5" xfId="0" applyFont="1" applyBorder="1" applyAlignment="1">
      <alignment horizontal="center"/>
    </xf>
    <xf numFmtId="0" fontId="8" fillId="0" borderId="0" xfId="0" applyFont="1" applyAlignment="1">
      <alignment horizontal="right"/>
    </xf>
    <xf numFmtId="2" fontId="8" fillId="0" borderId="0" xfId="0" applyNumberFormat="1" applyFont="1" applyAlignment="1">
      <alignment horizontal="center" vertical="center"/>
    </xf>
    <xf numFmtId="2" fontId="7" fillId="0" borderId="12" xfId="0" applyNumberFormat="1" applyFont="1" applyBorder="1" applyAlignment="1">
      <alignment horizontal="center" vertical="center"/>
    </xf>
    <xf numFmtId="0" fontId="7" fillId="0" borderId="0" xfId="0" applyFont="1" applyAlignment="1">
      <alignment wrapText="1"/>
    </xf>
    <xf numFmtId="164" fontId="7" fillId="0" borderId="0" xfId="0" applyNumberFormat="1" applyFont="1" applyAlignment="1">
      <alignment horizontal="center" wrapText="1"/>
    </xf>
    <xf numFmtId="0" fontId="7" fillId="0" borderId="0" xfId="0" applyFont="1" applyAlignment="1">
      <alignment horizont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165" fontId="7" fillId="0" borderId="4" xfId="0" applyNumberFormat="1" applyFont="1" applyBorder="1" applyAlignment="1">
      <alignment horizontal="center" vertical="center" wrapText="1"/>
    </xf>
    <xf numFmtId="164" fontId="7" fillId="0" borderId="23" xfId="0" applyNumberFormat="1" applyFont="1" applyBorder="1" applyAlignment="1">
      <alignment horizontal="center" vertical="center" wrapText="1"/>
    </xf>
    <xf numFmtId="164" fontId="7" fillId="0" borderId="4" xfId="0" applyNumberFormat="1" applyFont="1" applyBorder="1" applyAlignment="1">
      <alignment horizontal="center" vertical="center"/>
    </xf>
    <xf numFmtId="164" fontId="7" fillId="0" borderId="21" xfId="0" applyNumberFormat="1" applyFont="1" applyBorder="1" applyAlignment="1">
      <alignment horizontal="center" vertical="center"/>
    </xf>
    <xf numFmtId="164" fontId="7" fillId="0" borderId="22" xfId="0" applyNumberFormat="1" applyFont="1" applyBorder="1" applyAlignment="1">
      <alignment horizontal="center" vertical="center" wrapText="1"/>
    </xf>
    <xf numFmtId="165" fontId="7" fillId="0" borderId="6" xfId="0" applyNumberFormat="1" applyFont="1" applyBorder="1" applyAlignment="1">
      <alignment horizontal="center" vertical="center" wrapText="1"/>
    </xf>
    <xf numFmtId="164" fontId="7" fillId="0" borderId="26" xfId="0" applyNumberFormat="1" applyFont="1" applyBorder="1" applyAlignment="1">
      <alignment horizontal="center"/>
    </xf>
    <xf numFmtId="164" fontId="8" fillId="0" borderId="11" xfId="0" applyNumberFormat="1" applyFont="1" applyBorder="1" applyAlignment="1">
      <alignment horizontal="center"/>
    </xf>
    <xf numFmtId="166" fontId="8" fillId="0" borderId="5" xfId="0" applyNumberFormat="1" applyFont="1" applyBorder="1" applyAlignment="1">
      <alignment horizontal="center"/>
    </xf>
    <xf numFmtId="164" fontId="7" fillId="0" borderId="5" xfId="0" applyNumberFormat="1" applyFont="1" applyBorder="1" applyAlignment="1">
      <alignment horizontal="center"/>
    </xf>
    <xf numFmtId="164" fontId="7" fillId="0" borderId="0" xfId="0" applyNumberFormat="1" applyFont="1"/>
    <xf numFmtId="166" fontId="7" fillId="0" borderId="7" xfId="0" applyNumberFormat="1" applyFont="1" applyBorder="1" applyAlignment="1">
      <alignment horizontal="center"/>
    </xf>
    <xf numFmtId="164" fontId="7" fillId="0" borderId="30" xfId="0" applyNumberFormat="1" applyFont="1" applyBorder="1" applyAlignment="1">
      <alignment horizontal="center"/>
    </xf>
    <xf numFmtId="166" fontId="8" fillId="0" borderId="7" xfId="0" applyNumberFormat="1" applyFont="1" applyBorder="1" applyAlignment="1">
      <alignment horizontal="center"/>
    </xf>
    <xf numFmtId="0" fontId="7" fillId="0" borderId="0" xfId="0" applyFont="1" applyAlignment="1">
      <alignment vertical="center"/>
    </xf>
    <xf numFmtId="9" fontId="7" fillId="0" borderId="32" xfId="0" applyNumberFormat="1" applyFont="1" applyBorder="1" applyAlignment="1"/>
    <xf numFmtId="9" fontId="7" fillId="0" borderId="0" xfId="0" applyNumberFormat="1" applyFont="1" applyAlignment="1"/>
    <xf numFmtId="1" fontId="7" fillId="0" borderId="0" xfId="0" applyNumberFormat="1" applyFont="1" applyAlignment="1"/>
    <xf numFmtId="0" fontId="7" fillId="0" borderId="0" xfId="0" applyFont="1" applyAlignment="1">
      <alignment horizontal="right" vertical="center"/>
    </xf>
    <xf numFmtId="165" fontId="7" fillId="0" borderId="0" xfId="0" applyNumberFormat="1" applyFont="1" applyAlignment="1">
      <alignment vertical="center"/>
    </xf>
    <xf numFmtId="0" fontId="7" fillId="0" borderId="0" xfId="0" applyFont="1" applyAlignment="1">
      <alignment horizontal="left"/>
    </xf>
    <xf numFmtId="0" fontId="7"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0" fontId="7" fillId="0" borderId="0" xfId="0" applyFont="1" applyAlignment="1">
      <alignment vertical="center" wrapText="1"/>
    </xf>
    <xf numFmtId="2" fontId="7" fillId="0" borderId="0" xfId="0" applyNumberFormat="1" applyFont="1" applyAlignment="1">
      <alignment horizontal="center" vertical="center"/>
    </xf>
    <xf numFmtId="2" fontId="7" fillId="0" borderId="0" xfId="0" applyNumberFormat="1" applyFont="1" applyAlignment="1">
      <alignment vertical="center"/>
    </xf>
    <xf numFmtId="14" fontId="7" fillId="0" borderId="0" xfId="0" applyNumberFormat="1" applyFont="1" applyAlignment="1"/>
    <xf numFmtId="9" fontId="7" fillId="0" borderId="0" xfId="0" applyNumberFormat="1" applyFont="1" applyAlignment="1">
      <alignment horizontal="right"/>
    </xf>
    <xf numFmtId="0" fontId="8" fillId="0" borderId="0" xfId="0" applyFont="1" applyAlignment="1">
      <alignment horizontal="right" vertical="center"/>
    </xf>
    <xf numFmtId="14" fontId="7" fillId="0" borderId="0" xfId="0" applyNumberFormat="1" applyFont="1" applyAlignment="1">
      <alignment horizontal="left"/>
    </xf>
    <xf numFmtId="0" fontId="7" fillId="0" borderId="8" xfId="0" applyFont="1" applyBorder="1" applyAlignment="1">
      <alignment horizontal="center" vertical="center" textRotation="90" wrapText="1"/>
    </xf>
    <xf numFmtId="0" fontId="7" fillId="0" borderId="27" xfId="0" applyFont="1" applyBorder="1" applyAlignment="1">
      <alignment horizontal="center" vertical="center" textRotation="90" wrapText="1"/>
    </xf>
    <xf numFmtId="0" fontId="8" fillId="0" borderId="28" xfId="0" applyFont="1" applyBorder="1" applyAlignment="1">
      <alignment horizontal="center" vertical="center" textRotation="90" wrapText="1"/>
    </xf>
    <xf numFmtId="164" fontId="8" fillId="0" borderId="10" xfId="1" applyNumberFormat="1" applyFont="1" applyBorder="1" applyAlignment="1">
      <alignment horizontal="center" vertical="center"/>
    </xf>
    <xf numFmtId="164" fontId="8" fillId="0" borderId="33" xfId="1" applyNumberFormat="1" applyFont="1" applyBorder="1" applyAlignment="1">
      <alignment horizontal="center" vertical="center"/>
    </xf>
    <xf numFmtId="164" fontId="8" fillId="0" borderId="12" xfId="1" applyNumberFormat="1" applyFont="1" applyBorder="1" applyAlignment="1">
      <alignment horizontal="center" vertical="center"/>
    </xf>
    <xf numFmtId="9" fontId="7" fillId="0" borderId="0" xfId="0" applyNumberFormat="1" applyFont="1"/>
    <xf numFmtId="14" fontId="7" fillId="0" borderId="0" xfId="0" applyNumberFormat="1" applyFont="1" applyAlignment="1">
      <alignment horizontal="right"/>
    </xf>
    <xf numFmtId="0" fontId="5" fillId="0" borderId="0" xfId="0" applyFont="1" applyAlignment="1">
      <alignment vertical="center"/>
    </xf>
    <xf numFmtId="0" fontId="5"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5" fillId="0" borderId="0" xfId="3" applyFont="1" applyAlignment="1">
      <alignment horizontal="center" vertical="center"/>
    </xf>
    <xf numFmtId="0" fontId="18" fillId="0" borderId="0" xfId="4" applyFont="1" applyAlignment="1">
      <alignment horizontal="center" vertical="center"/>
    </xf>
    <xf numFmtId="0" fontId="15" fillId="0" borderId="0" xfId="0" applyFont="1" applyAlignment="1">
      <alignment horizontal="center" vertical="center" wrapText="1"/>
    </xf>
    <xf numFmtId="0" fontId="14" fillId="0" borderId="0" xfId="0" applyFont="1" applyAlignment="1">
      <alignment horizontal="center" vertical="center" wrapText="1"/>
    </xf>
    <xf numFmtId="2" fontId="7" fillId="0" borderId="34" xfId="6" applyNumberFormat="1" applyFont="1" applyBorder="1" applyAlignment="1">
      <alignment horizontal="center" vertical="center" wrapText="1"/>
    </xf>
    <xf numFmtId="169" fontId="7" fillId="0" borderId="34" xfId="9" applyNumberFormat="1" applyFont="1" applyBorder="1" applyAlignment="1">
      <alignment horizontal="center" vertical="center" wrapText="1"/>
    </xf>
    <xf numFmtId="170" fontId="7" fillId="0" borderId="15" xfId="0" applyNumberFormat="1" applyFont="1" applyBorder="1" applyAlignment="1">
      <alignment horizontal="center" vertical="center" wrapText="1"/>
    </xf>
    <xf numFmtId="170" fontId="7" fillId="0" borderId="34" xfId="0" applyNumberFormat="1" applyFont="1" applyBorder="1" applyAlignment="1">
      <alignment horizontal="center" vertical="center" wrapText="1"/>
    </xf>
    <xf numFmtId="49" fontId="7" fillId="0" borderId="35" xfId="6" applyNumberFormat="1" applyFont="1" applyBorder="1" applyAlignment="1">
      <alignment horizontal="center" vertical="center" wrapText="1"/>
    </xf>
    <xf numFmtId="43" fontId="7" fillId="0" borderId="1" xfId="0" applyNumberFormat="1" applyFont="1" applyBorder="1" applyAlignment="1"/>
    <xf numFmtId="43" fontId="7" fillId="0" borderId="0" xfId="0" applyNumberFormat="1" applyFont="1" applyAlignment="1">
      <alignment wrapText="1"/>
    </xf>
    <xf numFmtId="43" fontId="7" fillId="0" borderId="0" xfId="0" applyNumberFormat="1" applyFont="1"/>
    <xf numFmtId="43" fontId="7" fillId="0" borderId="0" xfId="0" applyNumberFormat="1" applyFont="1" applyAlignment="1">
      <alignment horizontal="center" wrapText="1"/>
    </xf>
    <xf numFmtId="43" fontId="7" fillId="0" borderId="0" xfId="0" applyNumberFormat="1" applyFont="1" applyAlignment="1">
      <alignment horizontal="center"/>
    </xf>
    <xf numFmtId="2" fontId="24" fillId="0" borderId="34" xfId="6" applyNumberFormat="1" applyFont="1" applyBorder="1" applyAlignment="1">
      <alignment horizontal="center" vertical="center" wrapText="1"/>
    </xf>
    <xf numFmtId="0" fontId="12" fillId="0" borderId="0" xfId="4" applyFont="1" applyAlignment="1">
      <alignment horizontal="center" vertical="center"/>
    </xf>
    <xf numFmtId="0" fontId="29" fillId="0" borderId="0" xfId="0" applyFont="1" applyAlignment="1">
      <alignment vertical="center"/>
    </xf>
    <xf numFmtId="0" fontId="30" fillId="0" borderId="0" xfId="0" applyFont="1" applyAlignment="1">
      <alignment vertical="center"/>
    </xf>
    <xf numFmtId="0" fontId="30" fillId="0" borderId="0" xfId="0" applyFont="1" applyAlignment="1">
      <alignment horizontal="right" vertical="center"/>
    </xf>
    <xf numFmtId="0" fontId="30" fillId="0" borderId="0" xfId="4" applyFont="1" applyAlignment="1">
      <alignment horizontal="right" vertical="center"/>
    </xf>
    <xf numFmtId="0" fontId="31" fillId="0" borderId="0" xfId="0" applyFont="1" applyAlignment="1">
      <alignment vertical="center" wrapText="1"/>
    </xf>
    <xf numFmtId="0" fontId="29" fillId="0" borderId="0" xfId="0" applyFont="1" applyAlignment="1">
      <alignment vertical="center" wrapText="1"/>
    </xf>
    <xf numFmtId="0" fontId="8" fillId="0" borderId="37" xfId="0" applyFont="1" applyBorder="1" applyAlignment="1">
      <alignment horizontal="center"/>
    </xf>
    <xf numFmtId="0" fontId="8" fillId="0" borderId="38" xfId="0" applyFont="1" applyBorder="1" applyAlignment="1">
      <alignment horizontal="right"/>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7" fillId="0" borderId="41" xfId="3" applyFont="1" applyBorder="1" applyAlignment="1">
      <alignment horizontal="center" vertical="center"/>
    </xf>
    <xf numFmtId="0" fontId="17" fillId="0" borderId="42" xfId="0" applyFont="1" applyBorder="1" applyAlignment="1">
      <alignment horizontal="center" vertical="center"/>
    </xf>
    <xf numFmtId="1" fontId="32" fillId="0" borderId="0" xfId="0" applyNumberFormat="1" applyFont="1" applyAlignment="1">
      <alignment horizontal="center" vertical="center"/>
    </xf>
    <xf numFmtId="1" fontId="33" fillId="0" borderId="0" xfId="0" applyNumberFormat="1" applyFont="1" applyAlignment="1">
      <alignment horizontal="center" vertical="center"/>
    </xf>
    <xf numFmtId="0" fontId="17" fillId="0" borderId="0" xfId="0" applyFont="1" applyBorder="1" applyAlignment="1">
      <alignment horizontal="center" vertical="center"/>
    </xf>
    <xf numFmtId="0" fontId="32" fillId="0" borderId="0" xfId="0" applyFont="1" applyBorder="1" applyAlignment="1">
      <alignment horizontal="center" vertical="center"/>
    </xf>
    <xf numFmtId="0" fontId="7" fillId="0" borderId="45" xfId="0" applyFont="1" applyBorder="1"/>
    <xf numFmtId="2" fontId="8" fillId="0" borderId="31" xfId="0" applyNumberFormat="1" applyFont="1" applyBorder="1" applyAlignment="1">
      <alignment horizontal="center" vertical="center"/>
    </xf>
    <xf numFmtId="1" fontId="7" fillId="0" borderId="39" xfId="0" applyNumberFormat="1" applyFont="1" applyBorder="1" applyAlignment="1">
      <alignment horizontal="center" vertical="center" wrapText="1"/>
    </xf>
    <xf numFmtId="4" fontId="7" fillId="0" borderId="39" xfId="0" applyNumberFormat="1" applyFont="1" applyBorder="1" applyAlignment="1">
      <alignment horizontal="center" vertical="center"/>
    </xf>
    <xf numFmtId="168" fontId="7" fillId="0" borderId="48" xfId="17" applyNumberFormat="1" applyFont="1" applyBorder="1" applyAlignment="1">
      <alignment horizontal="center" vertical="center" wrapText="1"/>
    </xf>
    <xf numFmtId="0" fontId="7" fillId="0" borderId="47" xfId="0" applyFont="1" applyBorder="1" applyAlignment="1">
      <alignment horizontal="center" vertical="center" wrapText="1"/>
    </xf>
    <xf numFmtId="2" fontId="7" fillId="0" borderId="47" xfId="0" applyNumberFormat="1" applyFont="1" applyBorder="1" applyAlignment="1">
      <alignment horizontal="center" vertical="center" wrapText="1"/>
    </xf>
    <xf numFmtId="0" fontId="7" fillId="2" borderId="0" xfId="0" applyFont="1" applyFill="1" applyAlignment="1">
      <alignment vertical="center"/>
    </xf>
    <xf numFmtId="0" fontId="7" fillId="2" borderId="0" xfId="0" applyFont="1" applyFill="1" applyAlignment="1">
      <alignment horizontal="right" vertical="center"/>
    </xf>
    <xf numFmtId="165" fontId="7" fillId="2" borderId="0" xfId="0" applyNumberFormat="1" applyFont="1" applyFill="1" applyAlignment="1">
      <alignment vertical="center"/>
    </xf>
    <xf numFmtId="0" fontId="7" fillId="2" borderId="0" xfId="0" applyFont="1" applyFill="1"/>
    <xf numFmtId="0" fontId="7" fillId="2" borderId="0" xfId="0" applyFont="1" applyFill="1" applyAlignment="1">
      <alignment horizontal="left"/>
    </xf>
    <xf numFmtId="0" fontId="7" fillId="2" borderId="0" xfId="0" applyFont="1" applyFill="1" applyAlignment="1">
      <alignment horizontal="left" vertical="center"/>
    </xf>
    <xf numFmtId="0" fontId="0" fillId="2" borderId="0" xfId="0" applyFill="1"/>
    <xf numFmtId="0" fontId="8" fillId="2" borderId="0" xfId="0" applyFont="1" applyFill="1" applyAlignment="1">
      <alignment vertical="center"/>
    </xf>
    <xf numFmtId="0" fontId="8" fillId="2" borderId="0" xfId="0" applyFont="1" applyFill="1" applyAlignment="1">
      <alignment horizontal="center" vertical="center"/>
    </xf>
    <xf numFmtId="0" fontId="7" fillId="2" borderId="0" xfId="0" applyFont="1" applyFill="1" applyAlignment="1">
      <alignment wrapText="1"/>
    </xf>
    <xf numFmtId="0" fontId="7" fillId="2" borderId="0" xfId="0" applyFont="1" applyFill="1" applyAlignment="1">
      <alignment horizontal="right"/>
    </xf>
    <xf numFmtId="0" fontId="7" fillId="2" borderId="0" xfId="0" applyFont="1" applyFill="1" applyAlignment="1">
      <alignment vertical="center" wrapText="1"/>
    </xf>
    <xf numFmtId="2" fontId="7" fillId="2" borderId="0" xfId="0" applyNumberFormat="1" applyFont="1" applyFill="1" applyAlignment="1">
      <alignment horizontal="center" vertical="center"/>
    </xf>
    <xf numFmtId="2" fontId="7" fillId="2" borderId="0" xfId="0" applyNumberFormat="1" applyFont="1" applyFill="1" applyAlignment="1">
      <alignment vertical="center"/>
    </xf>
    <xf numFmtId="14" fontId="7" fillId="2" borderId="0" xfId="0" applyNumberFormat="1" applyFont="1" applyFill="1" applyAlignment="1">
      <alignment horizontal="right"/>
    </xf>
    <xf numFmtId="9" fontId="7" fillId="2" borderId="0" xfId="0" applyNumberFormat="1" applyFont="1" applyFill="1" applyAlignment="1">
      <alignment horizontal="right"/>
    </xf>
    <xf numFmtId="0" fontId="8" fillId="2" borderId="0" xfId="0" applyFont="1" applyFill="1" applyAlignment="1">
      <alignment horizontal="right" vertical="center"/>
    </xf>
    <xf numFmtId="14" fontId="7" fillId="2" borderId="0" xfId="0" applyNumberFormat="1" applyFont="1" applyFill="1" applyAlignment="1">
      <alignment horizontal="left"/>
    </xf>
    <xf numFmtId="167" fontId="7" fillId="2" borderId="34" xfId="2" applyNumberFormat="1" applyFont="1" applyFill="1" applyBorder="1" applyAlignment="1">
      <alignment horizontal="center" vertical="center" wrapText="1"/>
    </xf>
    <xf numFmtId="0" fontId="7" fillId="2" borderId="47" xfId="6" applyFont="1" applyFill="1" applyBorder="1" applyAlignment="1">
      <alignment horizontal="center" vertical="center" wrapText="1"/>
    </xf>
    <xf numFmtId="2" fontId="7" fillId="2" borderId="47" xfId="6" applyNumberFormat="1" applyFont="1" applyFill="1" applyBorder="1" applyAlignment="1">
      <alignment horizontal="center" vertical="center" wrapText="1"/>
    </xf>
    <xf numFmtId="164" fontId="8" fillId="2" borderId="10" xfId="1" applyNumberFormat="1" applyFont="1" applyFill="1" applyBorder="1" applyAlignment="1">
      <alignment horizontal="center" vertical="center"/>
    </xf>
    <xf numFmtId="164" fontId="8" fillId="2" borderId="33" xfId="1" applyNumberFormat="1" applyFont="1" applyFill="1" applyBorder="1" applyAlignment="1">
      <alignment horizontal="center" vertical="center"/>
    </xf>
    <xf numFmtId="164" fontId="8" fillId="2" borderId="12" xfId="1" applyNumberFormat="1" applyFont="1" applyFill="1" applyBorder="1" applyAlignment="1">
      <alignment horizontal="center" vertical="center"/>
    </xf>
    <xf numFmtId="0" fontId="7" fillId="3" borderId="0" xfId="0" applyFont="1" applyFill="1" applyAlignment="1">
      <alignment vertical="center"/>
    </xf>
    <xf numFmtId="0" fontId="7" fillId="3" borderId="0" xfId="0" applyFont="1" applyFill="1" applyAlignment="1">
      <alignment vertical="center" wrapText="1"/>
    </xf>
    <xf numFmtId="2" fontId="7" fillId="3" borderId="0" xfId="0" applyNumberFormat="1" applyFont="1" applyFill="1" applyAlignment="1">
      <alignment vertical="center"/>
    </xf>
    <xf numFmtId="0" fontId="7" fillId="3" borderId="0" xfId="0" applyFont="1" applyFill="1" applyAlignment="1">
      <alignment wrapText="1"/>
    </xf>
    <xf numFmtId="9" fontId="7" fillId="3" borderId="32" xfId="0" applyNumberFormat="1" applyFont="1" applyFill="1" applyBorder="1" applyAlignment="1"/>
    <xf numFmtId="9" fontId="7" fillId="3" borderId="0" xfId="0" applyNumberFormat="1" applyFont="1" applyFill="1" applyAlignment="1"/>
    <xf numFmtId="0" fontId="7" fillId="3" borderId="0" xfId="0" applyFont="1" applyFill="1" applyAlignment="1"/>
    <xf numFmtId="0" fontId="0" fillId="3" borderId="0" xfId="0" applyFont="1" applyFill="1" applyAlignment="1"/>
    <xf numFmtId="14" fontId="7" fillId="3" borderId="0" xfId="0" applyNumberFormat="1" applyFont="1" applyFill="1" applyAlignment="1"/>
    <xf numFmtId="0" fontId="7" fillId="3" borderId="8" xfId="0" applyFont="1" applyFill="1" applyBorder="1" applyAlignment="1">
      <alignment vertical="center" textRotation="90" wrapText="1"/>
    </xf>
    <xf numFmtId="0" fontId="7" fillId="3" borderId="27" xfId="0" applyFont="1" applyFill="1" applyBorder="1" applyAlignment="1">
      <alignment vertical="center" textRotation="90" wrapText="1"/>
    </xf>
    <xf numFmtId="0" fontId="7" fillId="3" borderId="28" xfId="0" applyFont="1" applyFill="1" applyBorder="1" applyAlignment="1">
      <alignment vertical="center" textRotation="90" wrapText="1"/>
    </xf>
    <xf numFmtId="164" fontId="7" fillId="3" borderId="10" xfId="1" applyNumberFormat="1" applyFont="1" applyFill="1" applyBorder="1" applyAlignment="1">
      <alignment vertical="center"/>
    </xf>
    <xf numFmtId="164" fontId="7" fillId="3" borderId="33" xfId="1" applyNumberFormat="1" applyFont="1" applyFill="1" applyBorder="1" applyAlignment="1">
      <alignment vertical="center"/>
    </xf>
    <xf numFmtId="164" fontId="7" fillId="3" borderId="12" xfId="1" applyNumberFormat="1" applyFont="1" applyFill="1" applyBorder="1" applyAlignment="1">
      <alignment vertical="center"/>
    </xf>
    <xf numFmtId="43" fontId="7" fillId="3" borderId="0" xfId="0" applyNumberFormat="1" applyFont="1" applyFill="1" applyAlignment="1">
      <alignment wrapText="1"/>
    </xf>
    <xf numFmtId="43" fontId="7" fillId="3" borderId="0" xfId="0" applyNumberFormat="1" applyFont="1" applyFill="1" applyAlignment="1"/>
    <xf numFmtId="43" fontId="7" fillId="3" borderId="1" xfId="0" applyNumberFormat="1" applyFont="1" applyFill="1" applyBorder="1" applyAlignment="1"/>
    <xf numFmtId="0" fontId="4" fillId="0" borderId="0" xfId="0" applyFont="1" applyAlignment="1">
      <alignment vertical="center"/>
    </xf>
    <xf numFmtId="0" fontId="4" fillId="0" borderId="0" xfId="0" applyFont="1" applyAlignment="1">
      <alignment horizontal="center" vertical="center"/>
    </xf>
    <xf numFmtId="0" fontId="29" fillId="0" borderId="0" xfId="0" applyFont="1" applyAlignment="1">
      <alignment horizontal="right" vertical="center"/>
    </xf>
    <xf numFmtId="0" fontId="4" fillId="0" borderId="0" xfId="0" applyFont="1" applyAlignment="1">
      <alignment horizontal="right" vertical="center"/>
    </xf>
    <xf numFmtId="171" fontId="17" fillId="0" borderId="0" xfId="0" applyNumberFormat="1" applyFont="1" applyAlignment="1">
      <alignment horizontal="center" vertical="center"/>
    </xf>
    <xf numFmtId="0" fontId="30" fillId="0" borderId="0" xfId="0" applyFont="1" applyAlignment="1">
      <alignment horizontal="right" vertical="center"/>
    </xf>
    <xf numFmtId="0" fontId="15" fillId="0" borderId="0" xfId="0" applyFont="1" applyAlignment="1">
      <alignment horizontal="center" vertical="center"/>
    </xf>
    <xf numFmtId="0" fontId="7" fillId="0" borderId="47" xfId="12" applyFont="1" applyBorder="1" applyAlignment="1">
      <alignment horizontal="center" vertical="center" wrapText="1"/>
    </xf>
    <xf numFmtId="49" fontId="7" fillId="0" borderId="46" xfId="17" applyNumberFormat="1" applyFont="1" applyBorder="1" applyAlignment="1">
      <alignment horizontal="center" vertical="center" wrapText="1"/>
    </xf>
    <xf numFmtId="0" fontId="7" fillId="0" borderId="46" xfId="12" applyFont="1" applyBorder="1" applyAlignment="1">
      <alignment horizontal="left" vertical="center" wrapText="1"/>
    </xf>
    <xf numFmtId="0" fontId="7" fillId="0" borderId="46" xfId="12" applyFont="1" applyBorder="1" applyAlignment="1">
      <alignment horizontal="center" vertical="center" wrapText="1"/>
    </xf>
    <xf numFmtId="168" fontId="8" fillId="0" borderId="46" xfId="12" applyNumberFormat="1" applyFont="1" applyBorder="1" applyAlignment="1">
      <alignment horizontal="center" vertical="center" wrapText="1"/>
    </xf>
    <xf numFmtId="172" fontId="7" fillId="0" borderId="48" xfId="6" applyNumberFormat="1" applyFont="1" applyBorder="1" applyAlignment="1">
      <alignment horizontal="center" vertical="center"/>
    </xf>
    <xf numFmtId="167" fontId="7" fillId="0" borderId="48" xfId="18" applyNumberFormat="1" applyFont="1" applyBorder="1" applyAlignment="1">
      <alignment horizontal="center" vertical="center"/>
    </xf>
    <xf numFmtId="49" fontId="7" fillId="0" borderId="47" xfId="17" applyNumberFormat="1" applyFont="1" applyBorder="1" applyAlignment="1">
      <alignment horizontal="center" vertical="center" wrapText="1"/>
    </xf>
    <xf numFmtId="0" fontId="7" fillId="0" borderId="47" xfId="12" applyFont="1" applyBorder="1" applyAlignment="1">
      <alignment horizontal="left" vertical="center" wrapText="1"/>
    </xf>
    <xf numFmtId="168" fontId="7" fillId="0" borderId="47" xfId="17" applyNumberFormat="1" applyFont="1" applyBorder="1" applyAlignment="1">
      <alignment horizontal="center" vertical="center" wrapText="1"/>
    </xf>
    <xf numFmtId="2" fontId="7" fillId="0" borderId="47" xfId="17" applyNumberFormat="1" applyFont="1" applyBorder="1" applyAlignment="1">
      <alignment horizontal="center" vertical="center" wrapText="1"/>
    </xf>
    <xf numFmtId="0" fontId="7" fillId="0" borderId="44" xfId="12" applyFont="1" applyBorder="1" applyAlignment="1">
      <alignment horizontal="center" vertical="center" wrapText="1"/>
    </xf>
    <xf numFmtId="168" fontId="7" fillId="0" borderId="47" xfId="12" applyNumberFormat="1" applyFont="1" applyBorder="1" applyAlignment="1">
      <alignment horizontal="center" vertical="center" wrapText="1"/>
    </xf>
    <xf numFmtId="168" fontId="7" fillId="0" borderId="47" xfId="19" applyNumberFormat="1" applyFont="1" applyBorder="1" applyAlignment="1">
      <alignment horizontal="center" vertical="center" wrapText="1"/>
    </xf>
    <xf numFmtId="0" fontId="7" fillId="0" borderId="47" xfId="12" applyFont="1" applyBorder="1" applyAlignment="1">
      <alignment horizontal="center" vertical="center"/>
    </xf>
    <xf numFmtId="168" fontId="7" fillId="0" borderId="47" xfId="12" applyNumberFormat="1" applyFont="1" applyBorder="1" applyAlignment="1">
      <alignment horizontal="center" vertical="center"/>
    </xf>
    <xf numFmtId="0" fontId="7" fillId="2" borderId="47" xfId="0" applyFont="1" applyFill="1" applyBorder="1" applyAlignment="1">
      <alignment horizontal="center" vertical="center" wrapText="1"/>
    </xf>
    <xf numFmtId="0" fontId="7" fillId="2" borderId="47" xfId="0" applyFont="1" applyFill="1" applyBorder="1" applyAlignment="1">
      <alignment horizontal="left" vertical="center" wrapText="1"/>
    </xf>
    <xf numFmtId="0" fontId="7" fillId="2" borderId="47" xfId="6" applyFont="1" applyFill="1" applyBorder="1" applyAlignment="1">
      <alignment horizontal="left" vertical="center" wrapText="1"/>
    </xf>
    <xf numFmtId="49" fontId="7" fillId="0" borderId="48" xfId="6" applyNumberFormat="1" applyFont="1" applyBorder="1" applyAlignment="1">
      <alignment horizontal="center" vertical="center" wrapText="1"/>
    </xf>
    <xf numFmtId="2" fontId="7" fillId="0" borderId="48" xfId="0" applyNumberFormat="1" applyFont="1" applyBorder="1" applyAlignment="1">
      <alignment horizontal="center" vertical="center" wrapText="1"/>
    </xf>
    <xf numFmtId="2" fontId="7" fillId="0" borderId="48" xfId="6" applyNumberFormat="1" applyFont="1" applyBorder="1" applyAlignment="1">
      <alignment horizontal="center" vertical="center" wrapText="1"/>
    </xf>
    <xf numFmtId="169" fontId="7" fillId="0" borderId="48" xfId="9" applyNumberFormat="1" applyFont="1" applyBorder="1" applyAlignment="1">
      <alignment horizontal="center" vertical="center" wrapText="1"/>
    </xf>
    <xf numFmtId="0" fontId="7" fillId="0" borderId="47" xfId="0" applyFont="1" applyBorder="1" applyAlignment="1">
      <alignment horizontal="center" vertical="center"/>
    </xf>
    <xf numFmtId="2" fontId="7" fillId="2" borderId="48" xfId="0" applyNumberFormat="1" applyFont="1" applyFill="1" applyBorder="1" applyAlignment="1">
      <alignment horizontal="center" vertical="center" wrapText="1"/>
    </xf>
    <xf numFmtId="0" fontId="7" fillId="0" borderId="44" xfId="17" applyFont="1" applyBorder="1" applyAlignment="1">
      <alignment horizontal="center" vertical="center" wrapText="1"/>
    </xf>
    <xf numFmtId="0" fontId="7" fillId="0" borderId="47" xfId="0" applyFont="1" applyBorder="1" applyAlignment="1">
      <alignment horizontal="left" vertical="center" wrapText="1"/>
    </xf>
    <xf numFmtId="168" fontId="7" fillId="0" borderId="47" xfId="0" applyNumberFormat="1" applyFont="1" applyBorder="1" applyAlignment="1">
      <alignment horizontal="center" vertical="center"/>
    </xf>
    <xf numFmtId="0" fontId="7" fillId="0" borderId="47" xfId="17" applyFont="1" applyBorder="1" applyAlignment="1">
      <alignment horizontal="center" vertical="center" wrapText="1"/>
    </xf>
    <xf numFmtId="0" fontId="7" fillId="0" borderId="47" xfId="17" applyFont="1" applyBorder="1" applyAlignment="1">
      <alignment horizontal="left" vertical="center" wrapText="1"/>
    </xf>
    <xf numFmtId="0" fontId="7" fillId="2" borderId="48" xfId="6" applyFont="1" applyFill="1" applyBorder="1" applyAlignment="1">
      <alignment horizontal="center" vertical="center" wrapText="1"/>
    </xf>
    <xf numFmtId="49" fontId="7" fillId="2" borderId="48" xfId="6" applyNumberFormat="1" applyFont="1" applyFill="1" applyBorder="1" applyAlignment="1">
      <alignment horizontal="center" vertical="center" wrapText="1"/>
    </xf>
    <xf numFmtId="49" fontId="7" fillId="0" borderId="48" xfId="17" applyNumberFormat="1" applyFont="1" applyBorder="1" applyAlignment="1">
      <alignment horizontal="center" vertical="center" wrapText="1"/>
    </xf>
    <xf numFmtId="0" fontId="7" fillId="0" borderId="48" xfId="17" applyFont="1" applyBorder="1" applyAlignment="1">
      <alignment horizontal="center" vertical="center" wrapText="1"/>
    </xf>
    <xf numFmtId="0" fontId="7" fillId="0" borderId="48" xfId="17" applyFont="1" applyBorder="1" applyAlignment="1">
      <alignment horizontal="left" vertical="center" wrapText="1"/>
    </xf>
    <xf numFmtId="2" fontId="7" fillId="0" borderId="48" xfId="17" applyNumberFormat="1" applyFont="1" applyBorder="1" applyAlignment="1">
      <alignment horizontal="center" vertical="center" wrapText="1"/>
    </xf>
    <xf numFmtId="168" fontId="7" fillId="0" borderId="47" xfId="0" applyNumberFormat="1" applyFont="1" applyBorder="1" applyAlignment="1">
      <alignment horizontal="center" vertical="center" wrapText="1"/>
    </xf>
    <xf numFmtId="1" fontId="7" fillId="0" borderId="47" xfId="12" applyNumberFormat="1" applyFont="1" applyBorder="1" applyAlignment="1">
      <alignment horizontal="center" vertical="center" wrapText="1"/>
    </xf>
    <xf numFmtId="0" fontId="7" fillId="0" borderId="47" xfId="0" applyFont="1" applyBorder="1" applyAlignment="1">
      <alignment vertical="center" wrapText="1"/>
    </xf>
    <xf numFmtId="0" fontId="7" fillId="0" borderId="47" xfId="19" applyFont="1" applyBorder="1" applyAlignment="1">
      <alignment horizontal="left" vertical="center" wrapText="1"/>
    </xf>
    <xf numFmtId="49" fontId="7" fillId="0" borderId="43" xfId="17" applyNumberFormat="1" applyFont="1" applyBorder="1" applyAlignment="1">
      <alignment horizontal="center" vertical="center" wrapText="1"/>
    </xf>
    <xf numFmtId="0" fontId="8" fillId="0" borderId="49" xfId="0" applyFont="1" applyBorder="1" applyAlignment="1">
      <alignment vertical="center" wrapText="1"/>
    </xf>
    <xf numFmtId="0" fontId="8" fillId="0" borderId="50" xfId="0" applyFont="1" applyBorder="1" applyAlignment="1">
      <alignment vertical="center" wrapText="1"/>
    </xf>
    <xf numFmtId="0" fontId="7" fillId="0" borderId="47" xfId="17" applyFont="1" applyBorder="1" applyAlignment="1">
      <alignment vertical="center" wrapText="1"/>
    </xf>
    <xf numFmtId="43" fontId="7" fillId="0" borderId="47" xfId="0" applyNumberFormat="1" applyFont="1" applyBorder="1" applyAlignment="1">
      <alignment horizontal="center" vertical="center" wrapText="1"/>
    </xf>
    <xf numFmtId="9" fontId="7" fillId="3" borderId="0" xfId="0" applyNumberFormat="1" applyFont="1" applyFill="1" applyAlignment="1">
      <alignment horizontal="right"/>
    </xf>
    <xf numFmtId="0" fontId="7" fillId="3" borderId="0" xfId="0" applyFont="1" applyFill="1" applyAlignment="1">
      <alignment horizontal="center" vertical="center"/>
    </xf>
    <xf numFmtId="165" fontId="7" fillId="3" borderId="0" xfId="0" applyNumberFormat="1" applyFont="1" applyFill="1" applyAlignment="1">
      <alignment horizontal="center" vertical="center"/>
    </xf>
    <xf numFmtId="0" fontId="7" fillId="3" borderId="0" xfId="0" applyFont="1" applyFill="1" applyAlignment="1">
      <alignment horizontal="center"/>
    </xf>
    <xf numFmtId="0" fontId="7" fillId="3" borderId="0" xfId="0" applyFont="1" applyFill="1" applyAlignment="1">
      <alignment horizontal="right" vertical="center"/>
    </xf>
    <xf numFmtId="2" fontId="7" fillId="0" borderId="47" xfId="6" applyNumberFormat="1" applyFont="1" applyBorder="1" applyAlignment="1">
      <alignment horizontal="center" vertical="center" wrapText="1"/>
    </xf>
    <xf numFmtId="167" fontId="7" fillId="0" borderId="48" xfId="2" applyNumberFormat="1" applyFont="1" applyBorder="1" applyAlignment="1">
      <alignment horizontal="center" vertical="center" wrapText="1"/>
    </xf>
    <xf numFmtId="0" fontId="7" fillId="0" borderId="60" xfId="13" applyFont="1" applyBorder="1" applyAlignment="1">
      <alignment horizontal="center" vertical="center" wrapText="1"/>
    </xf>
    <xf numFmtId="2" fontId="7" fillId="0" borderId="46" xfId="13" applyNumberFormat="1" applyFont="1" applyBorder="1" applyAlignment="1">
      <alignment horizontal="center" vertical="center" wrapText="1"/>
    </xf>
    <xf numFmtId="2" fontId="7" fillId="0" borderId="46" xfId="17" applyNumberFormat="1" applyFont="1" applyBorder="1" applyAlignment="1">
      <alignment horizontal="center" vertical="center" wrapText="1"/>
    </xf>
    <xf numFmtId="172" fontId="7" fillId="0" borderId="46" xfId="13" applyNumberFormat="1" applyFont="1" applyBorder="1" applyAlignment="1">
      <alignment horizontal="center" vertical="center" wrapText="1"/>
    </xf>
    <xf numFmtId="2" fontId="7" fillId="0" borderId="43" xfId="17" applyNumberFormat="1" applyFont="1" applyBorder="1" applyAlignment="1">
      <alignment horizontal="center" vertical="center" wrapText="1"/>
    </xf>
    <xf numFmtId="2" fontId="7" fillId="0" borderId="43" xfId="13" applyNumberFormat="1" applyFont="1" applyBorder="1" applyAlignment="1">
      <alignment horizontal="center" vertical="center" wrapText="1"/>
    </xf>
    <xf numFmtId="0" fontId="7" fillId="0" borderId="47" xfId="13" applyFont="1" applyBorder="1" applyAlignment="1">
      <alignment vertical="center" wrapText="1"/>
    </xf>
    <xf numFmtId="0" fontId="7" fillId="0" borderId="47" xfId="19" applyFont="1" applyBorder="1" applyAlignment="1">
      <alignment horizontal="center" vertical="center" wrapText="1"/>
    </xf>
    <xf numFmtId="2" fontId="7" fillId="0" borderId="60" xfId="13" applyNumberFormat="1" applyFont="1" applyBorder="1" applyAlignment="1">
      <alignment horizontal="left" vertical="center" wrapText="1"/>
    </xf>
    <xf numFmtId="0" fontId="7" fillId="0" borderId="46" xfId="17" applyFont="1" applyBorder="1" applyAlignment="1">
      <alignment horizontal="center" vertical="center" wrapText="1"/>
    </xf>
    <xf numFmtId="2" fontId="7" fillId="0" borderId="47" xfId="13" applyNumberFormat="1" applyFont="1" applyBorder="1" applyAlignment="1">
      <alignment horizontal="center" vertical="center" wrapText="1"/>
    </xf>
    <xf numFmtId="2" fontId="7" fillId="0" borderId="47" xfId="17" applyNumberFormat="1" applyFont="1" applyBorder="1" applyAlignment="1">
      <alignment horizontal="left" vertical="center" wrapText="1"/>
    </xf>
    <xf numFmtId="0" fontId="7" fillId="0" borderId="43" xfId="17" applyFont="1" applyBorder="1" applyAlignment="1">
      <alignment horizontal="left" vertical="center" wrapText="1"/>
    </xf>
    <xf numFmtId="0" fontId="7" fillId="0" borderId="43" xfId="17" applyFont="1" applyBorder="1" applyAlignment="1">
      <alignment horizontal="center" vertical="center" wrapText="1"/>
    </xf>
    <xf numFmtId="2" fontId="7" fillId="0" borderId="48" xfId="13" applyNumberFormat="1" applyFont="1" applyBorder="1" applyAlignment="1">
      <alignment horizontal="center" vertical="center" wrapText="1"/>
    </xf>
    <xf numFmtId="0" fontId="7" fillId="0" borderId="47" xfId="19" applyFont="1" applyBorder="1" applyAlignment="1">
      <alignment vertical="center" wrapText="1"/>
    </xf>
    <xf numFmtId="0" fontId="7" fillId="0" borderId="48" xfId="19" applyFont="1" applyBorder="1" applyAlignment="1">
      <alignment horizontal="center" vertical="center" wrapText="1"/>
    </xf>
    <xf numFmtId="49" fontId="7" fillId="0" borderId="44" xfId="17" applyNumberFormat="1" applyFont="1" applyBorder="1" applyAlignment="1">
      <alignment horizontal="center" vertical="center" wrapText="1"/>
    </xf>
    <xf numFmtId="2" fontId="7" fillId="0" borderId="48" xfId="17" applyNumberFormat="1" applyFont="1" applyBorder="1" applyAlignment="1">
      <alignment horizontal="left" vertical="center" wrapText="1"/>
    </xf>
    <xf numFmtId="2" fontId="7" fillId="0" borderId="47" xfId="13" applyNumberFormat="1" applyFont="1" applyBorder="1" applyAlignment="1">
      <alignment vertical="center" wrapText="1"/>
    </xf>
    <xf numFmtId="49" fontId="7" fillId="2" borderId="47" xfId="6" applyNumberFormat="1" applyFont="1" applyFill="1" applyBorder="1" applyAlignment="1">
      <alignment horizontal="center" vertical="center" wrapText="1"/>
    </xf>
    <xf numFmtId="0" fontId="7" fillId="2" borderId="47" xfId="0" applyFont="1" applyFill="1" applyBorder="1" applyAlignment="1">
      <alignment vertical="center" wrapText="1"/>
    </xf>
    <xf numFmtId="168" fontId="7" fillId="2" borderId="47" xfId="0" applyNumberFormat="1" applyFont="1" applyFill="1" applyBorder="1" applyAlignment="1">
      <alignment horizontal="center" vertical="center" wrapText="1"/>
    </xf>
    <xf numFmtId="0" fontId="7" fillId="2" borderId="47" xfId="6" applyFont="1" applyFill="1" applyBorder="1" applyAlignment="1">
      <alignment vertical="center" wrapText="1"/>
    </xf>
    <xf numFmtId="0" fontId="7" fillId="0" borderId="47" xfId="17" applyFont="1" applyBorder="1" applyAlignment="1">
      <alignment horizontal="center" vertical="center"/>
    </xf>
    <xf numFmtId="168" fontId="8" fillId="0" borderId="47" xfId="17" applyNumberFormat="1" applyFont="1" applyBorder="1" applyAlignment="1">
      <alignment horizontal="center" vertical="center"/>
    </xf>
    <xf numFmtId="2" fontId="7" fillId="0" borderId="47" xfId="17" applyNumberFormat="1" applyFont="1" applyBorder="1" applyAlignment="1">
      <alignment horizontal="center" vertical="center"/>
    </xf>
    <xf numFmtId="2" fontId="7" fillId="0" borderId="47" xfId="0" applyNumberFormat="1" applyFont="1" applyBorder="1" applyAlignment="1">
      <alignment horizontal="center" vertical="center"/>
    </xf>
    <xf numFmtId="2" fontId="7" fillId="0" borderId="46" xfId="0" applyNumberFormat="1" applyFont="1" applyBorder="1" applyAlignment="1">
      <alignment horizontal="right" vertical="center" wrapText="1"/>
    </xf>
    <xf numFmtId="2" fontId="7" fillId="0" borderId="46" xfId="6" applyNumberFormat="1" applyFont="1" applyBorder="1" applyAlignment="1">
      <alignment horizontal="right" vertical="center" wrapText="1"/>
    </xf>
    <xf numFmtId="2" fontId="7" fillId="0" borderId="48" xfId="1" applyNumberFormat="1" applyFont="1" applyBorder="1" applyAlignment="1">
      <alignment horizontal="center" vertical="center" wrapText="1"/>
    </xf>
    <xf numFmtId="0" fontId="7" fillId="0" borderId="48" xfId="1" applyFont="1" applyBorder="1" applyAlignment="1">
      <alignment vertical="center"/>
    </xf>
    <xf numFmtId="49" fontId="7" fillId="0" borderId="61" xfId="6" applyNumberFormat="1" applyFont="1" applyBorder="1" applyAlignment="1">
      <alignment horizontal="center" vertical="center" wrapText="1"/>
    </xf>
    <xf numFmtId="0" fontId="7" fillId="0" borderId="62" xfId="8" applyFont="1" applyBorder="1" applyAlignment="1">
      <alignment vertical="center" wrapText="1"/>
    </xf>
    <xf numFmtId="168" fontId="7" fillId="0" borderId="62" xfId="17" applyNumberFormat="1" applyFont="1" applyBorder="1" applyAlignment="1">
      <alignment horizontal="center" vertical="center" wrapText="1"/>
    </xf>
    <xf numFmtId="2" fontId="24" fillId="0" borderId="62" xfId="6" applyNumberFormat="1" applyFont="1" applyBorder="1" applyAlignment="1">
      <alignment horizontal="center" vertical="center" wrapText="1"/>
    </xf>
    <xf numFmtId="2" fontId="7" fillId="0" borderId="62" xfId="6" applyNumberFormat="1" applyFont="1" applyBorder="1" applyAlignment="1">
      <alignment horizontal="center" vertical="center" wrapText="1"/>
    </xf>
    <xf numFmtId="0" fontId="7" fillId="0" borderId="63" xfId="0" applyFont="1" applyBorder="1" applyAlignment="1">
      <alignment horizontal="center" vertical="center" wrapText="1"/>
    </xf>
    <xf numFmtId="49" fontId="7" fillId="0" borderId="63" xfId="17" applyNumberFormat="1" applyFont="1" applyBorder="1" applyAlignment="1">
      <alignment horizontal="center" vertical="center" wrapText="1"/>
    </xf>
    <xf numFmtId="0" fontId="7" fillId="0" borderId="63" xfId="0" applyFont="1" applyBorder="1" applyAlignment="1">
      <alignment horizontal="center" vertical="center"/>
    </xf>
    <xf numFmtId="2" fontId="7" fillId="0" borderId="63" xfId="17" applyNumberFormat="1" applyFont="1" applyBorder="1" applyAlignment="1">
      <alignment horizontal="center" vertical="center"/>
    </xf>
    <xf numFmtId="2" fontId="7" fillId="0" borderId="63" xfId="7" applyNumberFormat="1" applyFont="1" applyBorder="1" applyAlignment="1">
      <alignment horizontal="center" vertical="center" wrapText="1"/>
    </xf>
    <xf numFmtId="173" fontId="7" fillId="0" borderId="63" xfId="17" applyNumberFormat="1" applyFont="1" applyBorder="1" applyAlignment="1">
      <alignment horizontal="center" vertical="center"/>
    </xf>
    <xf numFmtId="168" fontId="7" fillId="0" borderId="63" xfId="0" applyNumberFormat="1" applyFont="1" applyBorder="1" applyAlignment="1">
      <alignment horizontal="center" vertical="center"/>
    </xf>
    <xf numFmtId="2" fontId="7" fillId="0" borderId="63" xfId="17" applyNumberFormat="1" applyFont="1" applyBorder="1" applyAlignment="1">
      <alignment horizontal="center" vertical="center" wrapText="1"/>
    </xf>
    <xf numFmtId="2" fontId="7" fillId="0" borderId="63" xfId="0" applyNumberFormat="1" applyFont="1" applyBorder="1" applyAlignment="1">
      <alignment horizontal="center" vertical="center" wrapText="1"/>
    </xf>
    <xf numFmtId="49" fontId="7" fillId="0" borderId="64" xfId="6" applyNumberFormat="1" applyFont="1" applyBorder="1" applyAlignment="1">
      <alignment horizontal="center" vertical="center" wrapText="1"/>
    </xf>
    <xf numFmtId="0" fontId="7" fillId="0" borderId="64" xfId="0" applyFont="1" applyBorder="1" applyAlignment="1">
      <alignment horizontal="center" vertical="center" wrapText="1"/>
    </xf>
    <xf numFmtId="2" fontId="7" fillId="0" borderId="64" xfId="0" applyNumberFormat="1" applyFont="1" applyBorder="1" applyAlignment="1">
      <alignment horizontal="center" vertical="center"/>
    </xf>
    <xf numFmtId="2" fontId="7" fillId="0" borderId="64" xfId="6" applyNumberFormat="1" applyFont="1" applyBorder="1" applyAlignment="1">
      <alignment horizontal="center" vertical="center"/>
    </xf>
    <xf numFmtId="0" fontId="7" fillId="0" borderId="64" xfId="6" applyFont="1" applyBorder="1" applyAlignment="1">
      <alignment horizontal="center" vertical="center" wrapText="1"/>
    </xf>
    <xf numFmtId="1" fontId="7" fillId="0" borderId="64" xfId="0" applyNumberFormat="1" applyFont="1" applyBorder="1" applyAlignment="1">
      <alignment horizontal="center" vertical="center" wrapText="1"/>
    </xf>
    <xf numFmtId="0" fontId="7" fillId="0" borderId="66" xfId="12" applyFont="1" applyBorder="1" applyAlignment="1">
      <alignment horizontal="center" vertical="center"/>
    </xf>
    <xf numFmtId="43" fontId="7" fillId="0" borderId="42" xfId="22" applyNumberFormat="1" applyFont="1" applyBorder="1" applyAlignment="1">
      <alignment horizontal="center" vertical="center"/>
    </xf>
    <xf numFmtId="43" fontId="7" fillId="0" borderId="65" xfId="22" applyNumberFormat="1" applyFont="1" applyBorder="1" applyAlignment="1">
      <alignment horizontal="center" vertical="center"/>
    </xf>
    <xf numFmtId="43" fontId="7" fillId="0" borderId="68" xfId="22" applyNumberFormat="1" applyFont="1" applyBorder="1" applyAlignment="1">
      <alignment horizontal="center" vertical="center"/>
    </xf>
    <xf numFmtId="0" fontId="7" fillId="2" borderId="0" xfId="6" applyFont="1" applyFill="1" applyBorder="1" applyAlignment="1">
      <alignment horizontal="center" vertical="center" wrapText="1"/>
    </xf>
    <xf numFmtId="49" fontId="7" fillId="0" borderId="0" xfId="9" applyNumberFormat="1" applyFont="1" applyBorder="1" applyAlignment="1">
      <alignment horizontal="center" vertical="center"/>
    </xf>
    <xf numFmtId="0" fontId="7" fillId="0" borderId="0" xfId="9" applyFont="1" applyBorder="1" applyAlignment="1">
      <alignment horizontal="left" vertical="center" wrapText="1"/>
    </xf>
    <xf numFmtId="0" fontId="7" fillId="0" borderId="0" xfId="9" applyFont="1" applyBorder="1" applyAlignment="1">
      <alignment horizontal="center" vertical="center"/>
    </xf>
    <xf numFmtId="168" fontId="7" fillId="0" borderId="0" xfId="9" applyNumberFormat="1" applyFont="1" applyBorder="1" applyAlignment="1">
      <alignment horizontal="center" vertical="center"/>
    </xf>
    <xf numFmtId="43" fontId="7" fillId="0" borderId="0" xfId="9" applyNumberFormat="1" applyFont="1" applyBorder="1" applyAlignment="1">
      <alignment horizontal="center" vertical="center"/>
    </xf>
    <xf numFmtId="43" fontId="7" fillId="0" borderId="0" xfId="7" applyNumberFormat="1" applyFont="1" applyBorder="1" applyAlignment="1">
      <alignment horizontal="center" vertical="center"/>
    </xf>
    <xf numFmtId="0" fontId="7" fillId="0" borderId="0" xfId="7" applyFont="1" applyBorder="1" applyAlignment="1">
      <alignment vertical="center"/>
    </xf>
    <xf numFmtId="43" fontId="7" fillId="0" borderId="0" xfId="22" applyNumberFormat="1" applyFont="1" applyBorder="1" applyAlignment="1">
      <alignment horizontal="center" vertical="center"/>
    </xf>
    <xf numFmtId="43" fontId="7" fillId="0" borderId="68" xfId="7" applyNumberFormat="1" applyFont="1" applyBorder="1" applyAlignment="1">
      <alignment horizontal="center" vertical="center"/>
    </xf>
    <xf numFmtId="43" fontId="7" fillId="0" borderId="67" xfId="7" applyNumberFormat="1" applyFont="1" applyBorder="1" applyAlignment="1">
      <alignment horizontal="center" vertical="center" wrapText="1"/>
    </xf>
    <xf numFmtId="43" fontId="7" fillId="0" borderId="67" xfId="7" applyNumberFormat="1" applyFont="1" applyBorder="1" applyAlignment="1">
      <alignment horizontal="center" vertical="center"/>
    </xf>
    <xf numFmtId="43" fontId="7" fillId="0" borderId="67" xfId="7" applyNumberFormat="1" applyFont="1" applyBorder="1" applyAlignment="1">
      <alignment vertical="center"/>
    </xf>
    <xf numFmtId="43" fontId="7" fillId="0" borderId="67" xfId="9" applyNumberFormat="1" applyFont="1" applyBorder="1" applyAlignment="1">
      <alignment horizontal="center" vertical="center"/>
    </xf>
    <xf numFmtId="43" fontId="7" fillId="0" borderId="67" xfId="22" applyNumberFormat="1" applyFont="1" applyBorder="1" applyAlignment="1">
      <alignment horizontal="center" vertical="center"/>
    </xf>
    <xf numFmtId="0" fontId="30" fillId="0" borderId="0" xfId="4" applyFont="1" applyAlignment="1">
      <alignment horizontal="right" vertical="center" wrapText="1"/>
    </xf>
    <xf numFmtId="49" fontId="7" fillId="0" borderId="69" xfId="17" applyNumberFormat="1" applyFont="1" applyBorder="1" applyAlignment="1">
      <alignment horizontal="center" vertical="center" wrapText="1"/>
    </xf>
    <xf numFmtId="2" fontId="7" fillId="0" borderId="69" xfId="17" applyNumberFormat="1" applyFont="1" applyBorder="1" applyAlignment="1">
      <alignment horizontal="center" vertical="center" wrapText="1"/>
    </xf>
    <xf numFmtId="2" fontId="7" fillId="0" borderId="70" xfId="13" applyNumberFormat="1" applyFont="1" applyBorder="1" applyAlignment="1">
      <alignment horizontal="center" vertical="center" wrapText="1"/>
    </xf>
    <xf numFmtId="0" fontId="5" fillId="0" borderId="0" xfId="0" applyFont="1" applyAlignment="1">
      <alignment horizontal="center" vertical="center"/>
    </xf>
    <xf numFmtId="164" fontId="8" fillId="0" borderId="45" xfId="1" applyNumberFormat="1" applyFont="1" applyBorder="1" applyAlignment="1">
      <alignment horizontal="center" vertical="center"/>
    </xf>
    <xf numFmtId="164" fontId="8" fillId="0" borderId="56" xfId="1" applyNumberFormat="1" applyFont="1" applyBorder="1" applyAlignment="1">
      <alignment horizontal="center" vertical="center"/>
    </xf>
    <xf numFmtId="164" fontId="8" fillId="0" borderId="57" xfId="1" applyNumberFormat="1" applyFont="1" applyBorder="1" applyAlignment="1">
      <alignment horizontal="center" vertical="center"/>
    </xf>
    <xf numFmtId="167" fontId="7" fillId="0" borderId="34" xfId="6" applyNumberFormat="1"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2" fontId="37" fillId="0" borderId="72" xfId="0" applyNumberFormat="1" applyFont="1" applyBorder="1" applyAlignment="1">
      <alignment horizontal="center" vertical="center" wrapText="1"/>
    </xf>
    <xf numFmtId="2" fontId="37" fillId="0" borderId="72" xfId="0" applyNumberFormat="1" applyFont="1" applyBorder="1" applyAlignment="1">
      <alignment horizontal="center" vertical="center"/>
    </xf>
    <xf numFmtId="0" fontId="31" fillId="0" borderId="72" xfId="0" applyFont="1" applyBorder="1" applyAlignment="1">
      <alignment horizontal="center"/>
    </xf>
    <xf numFmtId="0" fontId="29" fillId="0" borderId="72" xfId="0" applyFont="1" applyBorder="1" applyAlignment="1">
      <alignment horizontal="center"/>
    </xf>
    <xf numFmtId="0" fontId="29" fillId="0" borderId="73" xfId="0" applyFont="1" applyFill="1" applyBorder="1" applyAlignment="1">
      <alignment horizontal="center"/>
    </xf>
    <xf numFmtId="0" fontId="29" fillId="0" borderId="72" xfId="0" applyFont="1" applyFill="1" applyBorder="1" applyAlignment="1">
      <alignment horizontal="center"/>
    </xf>
    <xf numFmtId="0" fontId="39" fillId="0" borderId="72" xfId="0" applyFont="1" applyFill="1" applyBorder="1"/>
    <xf numFmtId="0" fontId="39" fillId="0" borderId="72" xfId="0" applyFont="1" applyFill="1" applyBorder="1" applyAlignment="1">
      <alignment horizontal="center"/>
    </xf>
    <xf numFmtId="1" fontId="39" fillId="0" borderId="72" xfId="0" applyNumberFormat="1" applyFont="1" applyFill="1" applyBorder="1" applyAlignment="1">
      <alignment horizontal="center"/>
    </xf>
    <xf numFmtId="2" fontId="29" fillId="0" borderId="72" xfId="0" applyNumberFormat="1" applyFont="1" applyFill="1" applyBorder="1" applyAlignment="1">
      <alignment horizontal="center"/>
    </xf>
    <xf numFmtId="2" fontId="39" fillId="0" borderId="72" xfId="0" applyNumberFormat="1" applyFont="1" applyFill="1" applyBorder="1" applyAlignment="1">
      <alignment horizontal="center"/>
    </xf>
    <xf numFmtId="171" fontId="29" fillId="0" borderId="72" xfId="0" applyNumberFormat="1" applyFont="1" applyFill="1" applyBorder="1" applyAlignment="1">
      <alignment horizontal="center"/>
    </xf>
    <xf numFmtId="0" fontId="29" fillId="0" borderId="72" xfId="0" applyFont="1" applyFill="1" applyBorder="1"/>
    <xf numFmtId="0" fontId="29" fillId="0" borderId="0" xfId="0" applyFont="1" applyAlignment="1">
      <alignment horizontal="center" vertical="center"/>
    </xf>
    <xf numFmtId="0" fontId="29" fillId="0" borderId="72" xfId="0" applyFont="1" applyFill="1" applyBorder="1" applyAlignment="1">
      <alignment horizontal="center" wrapText="1"/>
    </xf>
    <xf numFmtId="0" fontId="29" fillId="0" borderId="72" xfId="0" applyFont="1" applyFill="1" applyBorder="1" applyAlignment="1">
      <alignment horizontal="center" vertical="center"/>
    </xf>
    <xf numFmtId="0" fontId="29" fillId="0" borderId="72" xfId="0" applyFont="1" applyBorder="1" applyAlignment="1">
      <alignment horizontal="center" vertical="center"/>
    </xf>
    <xf numFmtId="1" fontId="29" fillId="0" borderId="72" xfId="0" applyNumberFormat="1" applyFont="1" applyFill="1" applyBorder="1" applyAlignment="1">
      <alignment horizontal="center" vertical="center"/>
    </xf>
    <xf numFmtId="2" fontId="29" fillId="0" borderId="72" xfId="0" applyNumberFormat="1" applyFont="1" applyFill="1" applyBorder="1" applyAlignment="1">
      <alignment horizontal="center" vertical="center"/>
    </xf>
    <xf numFmtId="171" fontId="29" fillId="0" borderId="72" xfId="0" applyNumberFormat="1" applyFont="1" applyFill="1" applyBorder="1" applyAlignment="1">
      <alignment horizontal="center" vertical="center"/>
    </xf>
    <xf numFmtId="167" fontId="7" fillId="0" borderId="48" xfId="18" applyNumberFormat="1" applyFont="1" applyBorder="1" applyAlignment="1">
      <alignment horizontal="center" vertical="center"/>
    </xf>
    <xf numFmtId="0" fontId="8" fillId="0" borderId="3" xfId="0" applyFont="1" applyBorder="1" applyAlignment="1">
      <alignment horizontal="left" vertical="center" wrapText="1"/>
    </xf>
    <xf numFmtId="0" fontId="7" fillId="0" borderId="3" xfId="0" applyFont="1" applyBorder="1" applyAlignment="1">
      <alignment horizontal="left" vertical="center" wrapText="1"/>
    </xf>
    <xf numFmtId="0" fontId="7" fillId="0" borderId="73" xfId="0" applyFont="1" applyBorder="1" applyAlignment="1">
      <alignment horizontal="center" vertical="center" wrapText="1"/>
    </xf>
    <xf numFmtId="164" fontId="7" fillId="0" borderId="75" xfId="0" applyNumberFormat="1" applyFont="1" applyBorder="1" applyAlignment="1">
      <alignment horizontal="center"/>
    </xf>
    <xf numFmtId="43" fontId="7" fillId="0" borderId="78" xfId="9" applyNumberFormat="1" applyFont="1" applyBorder="1" applyAlignment="1">
      <alignment horizontal="center" vertical="center"/>
    </xf>
    <xf numFmtId="43" fontId="7" fillId="0" borderId="78" xfId="7" applyNumberFormat="1" applyFont="1" applyBorder="1" applyAlignment="1">
      <alignment horizontal="center" vertical="center"/>
    </xf>
    <xf numFmtId="43" fontId="7" fillId="0" borderId="74" xfId="7" applyNumberFormat="1" applyFont="1" applyBorder="1" applyAlignment="1">
      <alignment horizontal="center" vertical="center"/>
    </xf>
    <xf numFmtId="0" fontId="7" fillId="0" borderId="0" xfId="0" applyFont="1" applyBorder="1" applyAlignment="1">
      <alignment horizontal="center" vertical="center" textRotation="90" wrapText="1"/>
    </xf>
    <xf numFmtId="0" fontId="7" fillId="0" borderId="41" xfId="0" applyFont="1" applyBorder="1" applyAlignment="1">
      <alignment horizontal="center" vertical="center" textRotation="90"/>
    </xf>
    <xf numFmtId="0" fontId="7" fillId="0" borderId="79" xfId="0" applyFont="1" applyBorder="1" applyAlignment="1">
      <alignment horizontal="center" vertical="center" textRotation="90" wrapText="1"/>
    </xf>
    <xf numFmtId="0" fontId="7" fillId="0" borderId="19" xfId="0" applyFont="1" applyBorder="1" applyAlignment="1">
      <alignment horizontal="center" vertical="center" textRotation="90" wrapText="1"/>
    </xf>
    <xf numFmtId="0" fontId="7" fillId="0" borderId="20" xfId="0" applyFont="1" applyBorder="1" applyAlignment="1">
      <alignment horizontal="center" vertical="center" textRotation="90" wrapText="1"/>
    </xf>
    <xf numFmtId="0" fontId="8" fillId="0" borderId="81" xfId="0" applyFont="1" applyBorder="1" applyAlignment="1">
      <alignment horizontal="center" vertical="center" textRotation="90" wrapText="1"/>
    </xf>
    <xf numFmtId="0" fontId="8" fillId="0" borderId="79" xfId="0" applyFont="1" applyBorder="1" applyAlignment="1">
      <alignment horizontal="left" vertical="center"/>
    </xf>
    <xf numFmtId="49" fontId="7" fillId="0" borderId="87" xfId="17" applyNumberFormat="1" applyFont="1" applyBorder="1" applyAlignment="1">
      <alignment horizontal="center" vertical="center" wrapText="1"/>
    </xf>
    <xf numFmtId="43" fontId="7" fillId="0" borderId="83" xfId="7" applyNumberFormat="1" applyFont="1" applyBorder="1" applyAlignment="1">
      <alignment horizontal="center" vertical="center"/>
    </xf>
    <xf numFmtId="49" fontId="7" fillId="0" borderId="83" xfId="17" applyNumberFormat="1" applyFont="1" applyBorder="1" applyAlignment="1">
      <alignment horizontal="center" vertical="center" wrapText="1"/>
    </xf>
    <xf numFmtId="43" fontId="7" fillId="0" borderId="83" xfId="7" applyNumberFormat="1" applyFont="1" applyBorder="1" applyAlignment="1">
      <alignment vertical="center"/>
    </xf>
    <xf numFmtId="0" fontId="7" fillId="0" borderId="83" xfId="0" applyFont="1" applyBorder="1" applyAlignment="1">
      <alignment horizontal="center" vertical="center" wrapText="1"/>
    </xf>
    <xf numFmtId="49" fontId="7" fillId="0" borderId="88" xfId="17" applyNumberFormat="1" applyFont="1" applyBorder="1" applyAlignment="1">
      <alignment horizontal="center" vertical="center" wrapText="1"/>
    </xf>
    <xf numFmtId="0" fontId="7" fillId="0" borderId="88" xfId="12" applyFont="1" applyBorder="1" applyAlignment="1">
      <alignment horizontal="center" vertical="center"/>
    </xf>
    <xf numFmtId="2" fontId="7" fillId="0" borderId="88" xfId="0" applyNumberFormat="1" applyFont="1" applyBorder="1" applyAlignment="1">
      <alignment horizontal="center" vertical="center" wrapText="1"/>
    </xf>
    <xf numFmtId="2" fontId="7" fillId="2" borderId="88" xfId="6" applyNumberFormat="1" applyFont="1" applyFill="1" applyBorder="1" applyAlignment="1">
      <alignment horizontal="center" vertical="center" wrapText="1"/>
    </xf>
    <xf numFmtId="0" fontId="7" fillId="2" borderId="93" xfId="0" applyFont="1" applyFill="1" applyBorder="1" applyAlignment="1">
      <alignment horizontal="center" vertical="center" wrapText="1"/>
    </xf>
    <xf numFmtId="0" fontId="4" fillId="0" borderId="88" xfId="0" applyFont="1" applyFill="1" applyBorder="1" applyAlignment="1">
      <alignment horizontal="center" vertical="center" wrapText="1"/>
    </xf>
    <xf numFmtId="49" fontId="7" fillId="0" borderId="93" xfId="17" applyNumberFormat="1" applyFont="1" applyBorder="1" applyAlignment="1">
      <alignment horizontal="center" vertical="center" wrapText="1"/>
    </xf>
    <xf numFmtId="0" fontId="7" fillId="0" borderId="94" xfId="19" applyFont="1" applyBorder="1" applyAlignment="1">
      <alignment horizontal="center" vertical="center" wrapText="1"/>
    </xf>
    <xf numFmtId="0" fontId="7" fillId="0" borderId="92" xfId="12" applyFont="1" applyBorder="1" applyAlignment="1">
      <alignment horizontal="left" vertical="center" wrapText="1"/>
    </xf>
    <xf numFmtId="0" fontId="7" fillId="0" borderId="83" xfId="19" applyFont="1" applyBorder="1" applyAlignment="1">
      <alignment horizontal="left" vertical="center" wrapText="1"/>
    </xf>
    <xf numFmtId="2" fontId="7" fillId="0" borderId="82" xfId="0" applyNumberFormat="1" applyFont="1" applyBorder="1" applyAlignment="1">
      <alignment horizontal="center" vertical="center" wrapText="1"/>
    </xf>
    <xf numFmtId="2" fontId="7" fillId="2" borderId="82" xfId="6" applyNumberFormat="1" applyFont="1" applyFill="1" applyBorder="1" applyAlignment="1">
      <alignment horizontal="center" vertical="center" wrapText="1"/>
    </xf>
    <xf numFmtId="0" fontId="7" fillId="0" borderId="82" xfId="17" applyFont="1" applyBorder="1" applyAlignment="1">
      <alignment horizontal="center" vertical="center" wrapText="1"/>
    </xf>
    <xf numFmtId="0" fontId="7" fillId="2" borderId="83" xfId="6" applyFont="1" applyFill="1" applyBorder="1" applyAlignment="1">
      <alignment horizontal="center" vertical="center" wrapText="1"/>
    </xf>
    <xf numFmtId="2" fontId="7" fillId="2" borderId="82" xfId="14" applyNumberFormat="1" applyFont="1" applyFill="1" applyBorder="1" applyAlignment="1">
      <alignment horizontal="center" vertical="center" wrapText="1"/>
    </xf>
    <xf numFmtId="0" fontId="7" fillId="0" borderId="82" xfId="0" applyFont="1" applyBorder="1" applyAlignment="1">
      <alignment horizontal="center" vertical="center"/>
    </xf>
    <xf numFmtId="0" fontId="7" fillId="0" borderId="96" xfId="0" applyFont="1" applyBorder="1" applyAlignment="1">
      <alignment horizontal="left" vertical="center" wrapText="1"/>
    </xf>
    <xf numFmtId="2" fontId="7" fillId="2" borderId="0" xfId="14" applyNumberFormat="1" applyFont="1" applyFill="1" applyBorder="1" applyAlignment="1">
      <alignment horizontal="center" vertical="center" wrapText="1"/>
    </xf>
    <xf numFmtId="2" fontId="7" fillId="2" borderId="92" xfId="14" applyNumberFormat="1" applyFont="1" applyFill="1" applyBorder="1" applyAlignment="1">
      <alignment horizontal="center" vertical="center" wrapText="1"/>
    </xf>
    <xf numFmtId="2" fontId="7" fillId="2" borderId="83" xfId="14" applyNumberFormat="1" applyFont="1" applyFill="1" applyBorder="1" applyAlignment="1">
      <alignment horizontal="center" vertical="center" wrapText="1"/>
    </xf>
    <xf numFmtId="168" fontId="7" fillId="2" borderId="82" xfId="14" applyNumberFormat="1" applyFont="1" applyFill="1" applyBorder="1" applyAlignment="1">
      <alignment horizontal="center" vertical="center" wrapText="1"/>
    </xf>
    <xf numFmtId="168" fontId="7" fillId="0" borderId="88" xfId="0" applyNumberFormat="1" applyFont="1" applyFill="1" applyBorder="1" applyAlignment="1">
      <alignment horizontal="center" vertical="center" wrapText="1"/>
    </xf>
    <xf numFmtId="2" fontId="7" fillId="2" borderId="88" xfId="0" applyNumberFormat="1" applyFont="1" applyFill="1" applyBorder="1" applyAlignment="1">
      <alignment horizontal="center" vertical="center" wrapText="1"/>
    </xf>
    <xf numFmtId="2" fontId="7" fillId="2" borderId="92" xfId="0" applyNumberFormat="1" applyFont="1" applyFill="1" applyBorder="1" applyAlignment="1">
      <alignment horizontal="center" vertical="center" wrapText="1"/>
    </xf>
    <xf numFmtId="2" fontId="7" fillId="2" borderId="82" xfId="0" applyNumberFormat="1" applyFont="1" applyFill="1" applyBorder="1" applyAlignment="1">
      <alignment horizontal="center" vertical="center" wrapText="1"/>
    </xf>
    <xf numFmtId="0" fontId="4" fillId="0" borderId="97" xfId="14" applyFont="1" applyFill="1" applyBorder="1" applyAlignment="1">
      <alignment horizontal="left" vertical="center" wrapText="1"/>
    </xf>
    <xf numFmtId="49" fontId="7" fillId="0" borderId="98" xfId="6" applyNumberFormat="1" applyFont="1" applyBorder="1" applyAlignment="1">
      <alignment horizontal="center" vertical="center" wrapText="1"/>
    </xf>
    <xf numFmtId="2" fontId="7" fillId="0" borderId="97" xfId="0" applyNumberFormat="1" applyFont="1" applyFill="1" applyBorder="1" applyAlignment="1">
      <alignment horizontal="center" vertical="center" wrapText="1"/>
    </xf>
    <xf numFmtId="49" fontId="7" fillId="0" borderId="100" xfId="6" applyNumberFormat="1" applyFont="1" applyBorder="1" applyAlignment="1">
      <alignment horizontal="center" vertical="center" wrapText="1"/>
    </xf>
    <xf numFmtId="0" fontId="7" fillId="0" borderId="100" xfId="6" applyFont="1" applyBorder="1" applyAlignment="1">
      <alignment horizontal="center" vertical="center" wrapText="1"/>
    </xf>
    <xf numFmtId="2" fontId="7" fillId="0" borderId="100" xfId="0" applyNumberFormat="1" applyFont="1" applyBorder="1" applyAlignment="1">
      <alignment horizontal="center" vertical="center" wrapText="1"/>
    </xf>
    <xf numFmtId="0" fontId="7" fillId="0" borderId="97" xfId="0" applyFont="1" applyBorder="1" applyAlignment="1">
      <alignment horizontal="center" vertical="center" wrapText="1"/>
    </xf>
    <xf numFmtId="0" fontId="7" fillId="0" borderId="99" xfId="0" applyFont="1" applyBorder="1" applyAlignment="1">
      <alignment horizontal="center" vertical="center"/>
    </xf>
    <xf numFmtId="168" fontId="7" fillId="0" borderId="99" xfId="0" applyNumberFormat="1" applyFont="1" applyBorder="1" applyAlignment="1">
      <alignment horizontal="center" vertical="center"/>
    </xf>
    <xf numFmtId="49" fontId="7" fillId="0" borderId="92" xfId="17" applyNumberFormat="1" applyFont="1" applyBorder="1" applyAlignment="1">
      <alignment horizontal="center" vertical="center" wrapText="1"/>
    </xf>
    <xf numFmtId="168" fontId="7" fillId="0" borderId="92" xfId="0" applyNumberFormat="1" applyFont="1" applyFill="1" applyBorder="1" applyAlignment="1">
      <alignment horizontal="center" vertical="center" wrapText="1"/>
    </xf>
    <xf numFmtId="49" fontId="7" fillId="0" borderId="97" xfId="17" applyNumberFormat="1" applyFont="1" applyBorder="1" applyAlignment="1">
      <alignment horizontal="center" vertical="center" wrapText="1"/>
    </xf>
    <xf numFmtId="0" fontId="7" fillId="0" borderId="97" xfId="12" applyFont="1" applyBorder="1" applyAlignment="1">
      <alignment horizontal="center" vertical="center"/>
    </xf>
    <xf numFmtId="2" fontId="7" fillId="2" borderId="97" xfId="0" applyNumberFormat="1" applyFont="1" applyFill="1" applyBorder="1" applyAlignment="1">
      <alignment horizontal="center" vertical="center" wrapText="1"/>
    </xf>
    <xf numFmtId="0" fontId="7" fillId="0" borderId="88" xfId="0" applyFont="1" applyBorder="1" applyAlignment="1">
      <alignment horizontal="center" vertical="center" wrapText="1"/>
    </xf>
    <xf numFmtId="174" fontId="7" fillId="0" borderId="83" xfId="0" applyNumberFormat="1" applyFont="1" applyBorder="1" applyAlignment="1">
      <alignment horizontal="left" vertical="top" wrapText="1"/>
    </xf>
    <xf numFmtId="174" fontId="8" fillId="0" borderId="83" xfId="0" applyNumberFormat="1" applyFont="1" applyBorder="1" applyAlignment="1">
      <alignment horizontal="center" vertical="center" wrapText="1"/>
    </xf>
    <xf numFmtId="174" fontId="7" fillId="0" borderId="83" xfId="0" applyNumberFormat="1" applyFont="1" applyBorder="1" applyAlignment="1">
      <alignment vertical="top" wrapText="1"/>
    </xf>
    <xf numFmtId="174" fontId="7" fillId="0" borderId="83" xfId="0" applyNumberFormat="1" applyFont="1" applyBorder="1" applyAlignment="1">
      <alignment horizontal="center" vertical="center" wrapText="1"/>
    </xf>
    <xf numFmtId="0" fontId="4" fillId="0" borderId="88" xfId="0" applyFont="1" applyFill="1" applyBorder="1" applyAlignment="1">
      <alignment horizontal="left" vertical="center" wrapText="1"/>
    </xf>
    <xf numFmtId="0" fontId="4" fillId="0" borderId="88" xfId="0" applyFont="1" applyFill="1" applyBorder="1" applyAlignment="1">
      <alignment horizontal="center" vertical="center"/>
    </xf>
    <xf numFmtId="1" fontId="7" fillId="0" borderId="47" xfId="0" applyNumberFormat="1" applyFont="1" applyBorder="1" applyAlignment="1">
      <alignment horizontal="center" vertical="center" wrapText="1"/>
    </xf>
    <xf numFmtId="0" fontId="4" fillId="0" borderId="88" xfId="0" applyFont="1" applyFill="1" applyBorder="1" applyAlignment="1">
      <alignment vertical="center" wrapText="1"/>
    </xf>
    <xf numFmtId="168" fontId="7" fillId="0" borderId="88" xfId="0" applyNumberFormat="1" applyFont="1" applyBorder="1" applyAlignment="1">
      <alignment horizontal="center" vertical="center" wrapText="1"/>
    </xf>
    <xf numFmtId="168" fontId="7" fillId="0" borderId="88" xfId="0" applyNumberFormat="1" applyFont="1" applyFill="1" applyBorder="1" applyAlignment="1">
      <alignment horizontal="center" vertical="center"/>
    </xf>
    <xf numFmtId="0" fontId="4" fillId="0" borderId="88" xfId="14" applyFont="1" applyFill="1" applyBorder="1" applyAlignment="1">
      <alignment vertical="center" wrapText="1"/>
    </xf>
    <xf numFmtId="0" fontId="7" fillId="0" borderId="97" xfId="0" applyFont="1" applyBorder="1" applyAlignment="1">
      <alignment vertical="center" wrapText="1"/>
    </xf>
    <xf numFmtId="0" fontId="7" fillId="0" borderId="92" xfId="0" applyFont="1" applyBorder="1" applyAlignment="1">
      <alignment horizontal="left" vertical="center" wrapText="1"/>
    </xf>
    <xf numFmtId="0" fontId="7" fillId="0" borderId="92" xfId="0" applyFont="1" applyBorder="1" applyAlignment="1">
      <alignment vertical="center" wrapText="1"/>
    </xf>
    <xf numFmtId="0" fontId="27" fillId="0" borderId="99" xfId="0" applyFont="1" applyBorder="1" applyAlignment="1">
      <alignment horizontal="center" vertical="center" wrapText="1"/>
    </xf>
    <xf numFmtId="0" fontId="7" fillId="0" borderId="97" xfId="17" applyFont="1" applyBorder="1" applyAlignment="1">
      <alignment vertical="center" wrapText="1"/>
    </xf>
    <xf numFmtId="0" fontId="7" fillId="0" borderId="88" xfId="17" applyFont="1" applyBorder="1" applyAlignment="1">
      <alignment horizontal="center" vertical="center" wrapText="1"/>
    </xf>
    <xf numFmtId="0" fontId="7" fillId="0" borderId="92" xfId="17" applyFont="1" applyBorder="1" applyAlignment="1">
      <alignment vertical="center" wrapText="1"/>
    </xf>
    <xf numFmtId="2" fontId="7" fillId="0" borderId="92" xfId="17" applyNumberFormat="1" applyFont="1" applyBorder="1" applyAlignment="1">
      <alignment horizontal="center" vertical="center" wrapText="1"/>
    </xf>
    <xf numFmtId="2" fontId="7" fillId="0" borderId="97" xfId="17" applyNumberFormat="1" applyFont="1" applyBorder="1" applyAlignment="1">
      <alignment horizontal="center" vertical="center" wrapText="1"/>
    </xf>
    <xf numFmtId="0" fontId="4" fillId="0" borderId="88" xfId="14" applyFont="1" applyFill="1" applyBorder="1" applyAlignment="1">
      <alignment horizontal="center" vertical="center" wrapText="1"/>
    </xf>
    <xf numFmtId="2" fontId="7" fillId="0" borderId="96" xfId="0" applyNumberFormat="1" applyFont="1" applyBorder="1" applyAlignment="1">
      <alignment horizontal="center" vertical="center" wrapText="1"/>
    </xf>
    <xf numFmtId="0" fontId="4" fillId="0" borderId="97" xfId="14" applyFont="1" applyFill="1" applyBorder="1" applyAlignment="1">
      <alignment horizontal="center" vertical="center" wrapText="1"/>
    </xf>
    <xf numFmtId="168" fontId="7" fillId="0" borderId="88" xfId="14" applyNumberFormat="1" applyFont="1" applyFill="1" applyBorder="1" applyAlignment="1">
      <alignment horizontal="center" vertical="center" wrapText="1"/>
    </xf>
    <xf numFmtId="168" fontId="7" fillId="0" borderId="97" xfId="14" applyNumberFormat="1" applyFont="1" applyFill="1" applyBorder="1" applyAlignment="1">
      <alignment horizontal="center" vertical="center" wrapText="1"/>
    </xf>
    <xf numFmtId="49" fontId="7" fillId="0" borderId="102" xfId="17" applyNumberFormat="1" applyFont="1" applyBorder="1" applyAlignment="1">
      <alignment horizontal="center" vertical="center" wrapText="1"/>
    </xf>
    <xf numFmtId="0" fontId="7" fillId="0" borderId="83" xfId="1" applyFont="1" applyFill="1" applyBorder="1" applyAlignment="1">
      <alignment horizontal="center" vertical="center"/>
    </xf>
    <xf numFmtId="172" fontId="7" fillId="0" borderId="83" xfId="6" applyNumberFormat="1" applyFont="1" applyBorder="1" applyAlignment="1">
      <alignment horizontal="center" vertical="center"/>
    </xf>
    <xf numFmtId="0" fontId="7" fillId="0" borderId="68" xfId="17" applyFont="1" applyBorder="1" applyAlignment="1">
      <alignment horizontal="center" vertical="center" wrapText="1"/>
    </xf>
    <xf numFmtId="2" fontId="7" fillId="0" borderId="68" xfId="17" applyNumberFormat="1" applyFont="1" applyBorder="1" applyAlignment="1">
      <alignment horizontal="center" vertical="center" wrapText="1"/>
    </xf>
    <xf numFmtId="2" fontId="7" fillId="0" borderId="68" xfId="13" applyNumberFormat="1" applyFont="1" applyBorder="1" applyAlignment="1">
      <alignment horizontal="center" vertical="center" wrapText="1"/>
    </xf>
    <xf numFmtId="172" fontId="7" fillId="0" borderId="98" xfId="6" applyNumberFormat="1" applyFont="1" applyBorder="1" applyAlignment="1">
      <alignment horizontal="center" vertical="center"/>
    </xf>
    <xf numFmtId="0" fontId="7" fillId="0" borderId="83" xfId="17" applyFont="1" applyBorder="1" applyAlignment="1">
      <alignment horizontal="center" vertical="center" wrapText="1"/>
    </xf>
    <xf numFmtId="2" fontId="7" fillId="0" borderId="83" xfId="17" applyNumberFormat="1" applyFont="1" applyBorder="1" applyAlignment="1">
      <alignment horizontal="center" vertical="center" wrapText="1"/>
    </xf>
    <xf numFmtId="2" fontId="7" fillId="0" borderId="83" xfId="13" applyNumberFormat="1" applyFont="1" applyBorder="1" applyAlignment="1">
      <alignment horizontal="center" vertical="center" wrapText="1"/>
    </xf>
    <xf numFmtId="2" fontId="7" fillId="0" borderId="83" xfId="17" applyNumberFormat="1" applyFont="1" applyFill="1" applyBorder="1" applyAlignment="1">
      <alignment horizontal="center" vertical="center" wrapText="1"/>
    </xf>
    <xf numFmtId="0" fontId="7" fillId="0" borderId="104" xfId="17" applyFont="1" applyBorder="1" applyAlignment="1">
      <alignment horizontal="left" vertical="center" wrapText="1"/>
    </xf>
    <xf numFmtId="168" fontId="7" fillId="0" borderId="69" xfId="19" applyNumberFormat="1" applyFont="1" applyFill="1" applyBorder="1" applyAlignment="1">
      <alignment horizontal="center" vertical="center" wrapText="1"/>
    </xf>
    <xf numFmtId="0" fontId="7" fillId="0" borderId="0" xfId="0" applyFont="1" applyBorder="1"/>
    <xf numFmtId="0" fontId="0" fillId="0" borderId="0" xfId="0" applyBorder="1"/>
    <xf numFmtId="2" fontId="7" fillId="0" borderId="83" xfId="1" applyNumberFormat="1" applyFont="1" applyFill="1" applyBorder="1" applyAlignment="1">
      <alignment horizontal="center" vertical="center" wrapText="1"/>
    </xf>
    <xf numFmtId="2" fontId="7" fillId="0" borderId="70" xfId="17" applyNumberFormat="1" applyFont="1" applyFill="1" applyBorder="1" applyAlignment="1">
      <alignment horizontal="center" vertical="center" wrapText="1"/>
    </xf>
    <xf numFmtId="0" fontId="7" fillId="0" borderId="69" xfId="19" applyFont="1" applyBorder="1" applyAlignment="1">
      <alignment vertical="center" wrapText="1"/>
    </xf>
    <xf numFmtId="0" fontId="7" fillId="0" borderId="69" xfId="19" applyFont="1" applyBorder="1" applyAlignment="1">
      <alignment horizontal="center" vertical="center" wrapText="1"/>
    </xf>
    <xf numFmtId="168" fontId="7" fillId="0" borderId="69" xfId="19" applyNumberFormat="1" applyFont="1" applyBorder="1" applyAlignment="1">
      <alignment horizontal="center" vertical="center" wrapText="1"/>
    </xf>
    <xf numFmtId="2" fontId="7" fillId="0" borderId="69" xfId="13" applyNumberFormat="1" applyFont="1" applyBorder="1" applyAlignment="1">
      <alignment horizontal="center" vertical="center" wrapText="1"/>
    </xf>
    <xf numFmtId="2" fontId="7" fillId="2" borderId="69" xfId="6" applyNumberFormat="1" applyFont="1" applyFill="1" applyBorder="1" applyAlignment="1">
      <alignment horizontal="center" vertical="center" wrapText="1"/>
    </xf>
    <xf numFmtId="0" fontId="4" fillId="0" borderId="83" xfId="14" applyFont="1" applyFill="1" applyBorder="1" applyAlignment="1">
      <alignment horizontal="left" vertical="center" wrapText="1"/>
    </xf>
    <xf numFmtId="0" fontId="7" fillId="0" borderId="83" xfId="14" applyFont="1" applyFill="1" applyBorder="1" applyAlignment="1">
      <alignment horizontal="left" vertical="center" wrapText="1"/>
    </xf>
    <xf numFmtId="0" fontId="7" fillId="0" borderId="63" xfId="0" applyFont="1" applyBorder="1" applyAlignment="1">
      <alignment horizontal="right" vertical="center" wrapText="1"/>
    </xf>
    <xf numFmtId="0" fontId="4" fillId="0" borderId="83" xfId="14" applyFont="1" applyFill="1" applyBorder="1" applyAlignment="1">
      <alignment horizontal="center" vertical="center" wrapText="1"/>
    </xf>
    <xf numFmtId="2" fontId="7" fillId="0" borderId="83" xfId="14" applyNumberFormat="1" applyFont="1" applyFill="1" applyBorder="1" applyAlignment="1">
      <alignment horizontal="center" vertical="center" wrapText="1"/>
    </xf>
    <xf numFmtId="2" fontId="7" fillId="0" borderId="83" xfId="6" applyNumberFormat="1" applyFont="1" applyBorder="1" applyAlignment="1">
      <alignment horizontal="center" vertical="center"/>
    </xf>
    <xf numFmtId="173" fontId="7" fillId="0" borderId="69" xfId="17" applyNumberFormat="1" applyFont="1" applyBorder="1" applyAlignment="1">
      <alignment horizontal="center" vertical="center"/>
    </xf>
    <xf numFmtId="0" fontId="7" fillId="0" borderId="69" xfId="17" applyFont="1" applyBorder="1" applyAlignment="1">
      <alignment horizontal="center" vertical="center" wrapText="1"/>
    </xf>
    <xf numFmtId="0" fontId="7" fillId="2" borderId="20" xfId="0" applyFont="1" applyFill="1" applyBorder="1" applyAlignment="1">
      <alignment horizontal="center" vertical="center" textRotation="90" wrapText="1"/>
    </xf>
    <xf numFmtId="0" fontId="7" fillId="2" borderId="85" xfId="0" applyFont="1" applyFill="1" applyBorder="1" applyAlignment="1">
      <alignment horizontal="center" vertical="center" textRotation="90" wrapText="1"/>
    </xf>
    <xf numFmtId="0" fontId="8" fillId="2" borderId="86" xfId="0" applyFont="1" applyFill="1" applyBorder="1" applyAlignment="1">
      <alignment horizontal="center" vertical="center" textRotation="90" wrapText="1"/>
    </xf>
    <xf numFmtId="2" fontId="7" fillId="0" borderId="97" xfId="0" applyNumberFormat="1" applyFont="1" applyBorder="1" applyAlignment="1">
      <alignment horizontal="center" vertical="center" wrapText="1"/>
    </xf>
    <xf numFmtId="167" fontId="7" fillId="2" borderId="98" xfId="2" applyNumberFormat="1" applyFont="1" applyFill="1" applyBorder="1" applyAlignment="1">
      <alignment horizontal="center" vertical="center"/>
    </xf>
    <xf numFmtId="167" fontId="7" fillId="2" borderId="98" xfId="2" applyNumberFormat="1" applyFont="1" applyFill="1" applyBorder="1" applyAlignment="1">
      <alignment horizontal="center" vertical="center" wrapText="1"/>
    </xf>
    <xf numFmtId="0" fontId="7" fillId="2" borderId="83" xfId="0" applyFont="1" applyFill="1" applyBorder="1" applyAlignment="1">
      <alignment horizontal="center" vertical="center" textRotation="90" wrapText="1"/>
    </xf>
    <xf numFmtId="0" fontId="7" fillId="2" borderId="83" xfId="0" applyFont="1" applyFill="1" applyBorder="1" applyAlignment="1">
      <alignment horizontal="center" vertical="center" textRotation="90"/>
    </xf>
    <xf numFmtId="0" fontId="8" fillId="2" borderId="83" xfId="0" applyFont="1" applyFill="1" applyBorder="1" applyAlignment="1">
      <alignment horizontal="center" vertical="center" textRotation="90" wrapText="1"/>
    </xf>
    <xf numFmtId="0" fontId="27" fillId="2" borderId="100" xfId="0" applyFont="1" applyFill="1" applyBorder="1" applyAlignment="1">
      <alignment horizontal="center" vertical="center"/>
    </xf>
    <xf numFmtId="0" fontId="7" fillId="2" borderId="49" xfId="0" applyFont="1" applyFill="1" applyBorder="1" applyAlignment="1">
      <alignment horizontal="center" vertical="center" wrapText="1"/>
    </xf>
    <xf numFmtId="0" fontId="7" fillId="0" borderId="49" xfId="17" applyFont="1" applyBorder="1" applyAlignment="1">
      <alignment horizontal="center" vertical="center" wrapText="1"/>
    </xf>
    <xf numFmtId="2" fontId="7" fillId="2" borderId="70" xfId="6" applyNumberFormat="1" applyFont="1" applyFill="1" applyBorder="1" applyAlignment="1">
      <alignment horizontal="center" vertical="center" wrapText="1"/>
    </xf>
    <xf numFmtId="2" fontId="7" fillId="0" borderId="70" xfId="17" applyNumberFormat="1" applyFont="1" applyBorder="1" applyAlignment="1">
      <alignment horizontal="center" vertical="center" wrapText="1"/>
    </xf>
    <xf numFmtId="2" fontId="7" fillId="2" borderId="98" xfId="1" applyNumberFormat="1" applyFont="1" applyFill="1" applyBorder="1" applyAlignment="1">
      <alignment horizontal="center" vertical="center" wrapText="1"/>
    </xf>
    <xf numFmtId="2" fontId="7" fillId="2" borderId="90" xfId="1" applyNumberFormat="1" applyFont="1" applyFill="1" applyBorder="1" applyAlignment="1">
      <alignment horizontal="center" vertical="center" wrapText="1"/>
    </xf>
    <xf numFmtId="168" fontId="7" fillId="2" borderId="83" xfId="0" applyNumberFormat="1" applyFont="1" applyFill="1" applyBorder="1" applyAlignment="1">
      <alignment horizontal="center" vertical="center" wrapText="1"/>
    </xf>
    <xf numFmtId="2" fontId="7" fillId="2" borderId="83" xfId="6" applyNumberFormat="1" applyFont="1" applyFill="1" applyBorder="1" applyAlignment="1">
      <alignment horizontal="center" vertical="center" wrapText="1"/>
    </xf>
    <xf numFmtId="2" fontId="7" fillId="2" borderId="83" xfId="1" applyNumberFormat="1" applyFont="1" applyFill="1" applyBorder="1" applyAlignment="1">
      <alignment horizontal="center" vertical="center" wrapText="1"/>
    </xf>
    <xf numFmtId="0" fontId="7" fillId="0" borderId="97" xfId="17" applyFont="1" applyBorder="1" applyAlignment="1">
      <alignment horizontal="center" vertical="center" wrapText="1"/>
    </xf>
    <xf numFmtId="0" fontId="27" fillId="0" borderId="105" xfId="17" applyFont="1" applyBorder="1" applyAlignment="1">
      <alignment horizontal="center" vertical="center" wrapText="1"/>
    </xf>
    <xf numFmtId="0" fontId="7" fillId="2" borderId="48" xfId="0" applyFont="1" applyFill="1" applyBorder="1" applyAlignment="1">
      <alignment horizontal="left" vertical="center" wrapText="1"/>
    </xf>
    <xf numFmtId="0" fontId="7" fillId="2" borderId="48" xfId="0" applyFont="1" applyFill="1" applyBorder="1" applyAlignment="1">
      <alignment horizontal="left" vertical="center"/>
    </xf>
    <xf numFmtId="49" fontId="7" fillId="0" borderId="83" xfId="6" applyNumberFormat="1" applyFont="1" applyBorder="1" applyAlignment="1">
      <alignment horizontal="center" vertical="center" wrapText="1"/>
    </xf>
    <xf numFmtId="2" fontId="7" fillId="0" borderId="97" xfId="0" applyNumberFormat="1" applyFont="1" applyBorder="1" applyAlignment="1">
      <alignment horizontal="right" vertical="center" wrapText="1"/>
    </xf>
    <xf numFmtId="169" fontId="7" fillId="0" borderId="83" xfId="9" applyNumberFormat="1" applyFont="1" applyBorder="1" applyAlignment="1">
      <alignment horizontal="center" vertical="center" wrapText="1"/>
    </xf>
    <xf numFmtId="2" fontId="7" fillId="0" borderId="97" xfId="6" applyNumberFormat="1" applyFont="1" applyBorder="1" applyAlignment="1">
      <alignment horizontal="right" vertical="center" wrapText="1"/>
    </xf>
    <xf numFmtId="2" fontId="7" fillId="0" borderId="88" xfId="6" applyNumberFormat="1" applyFont="1" applyBorder="1" applyAlignment="1">
      <alignment horizontal="center" vertical="center" wrapText="1"/>
    </xf>
    <xf numFmtId="2" fontId="7" fillId="0" borderId="83" xfId="6" applyNumberFormat="1" applyFont="1" applyBorder="1" applyAlignment="1">
      <alignment horizontal="center" vertical="center" wrapText="1"/>
    </xf>
    <xf numFmtId="2" fontId="7" fillId="0" borderId="102" xfId="0" applyNumberFormat="1" applyFont="1" applyBorder="1" applyAlignment="1">
      <alignment horizontal="right" vertical="center" wrapText="1"/>
    </xf>
    <xf numFmtId="2" fontId="7" fillId="0" borderId="83" xfId="0" applyNumberFormat="1" applyFont="1" applyBorder="1" applyAlignment="1">
      <alignment horizontal="right" vertical="center" wrapText="1"/>
    </xf>
    <xf numFmtId="2" fontId="7" fillId="0" borderId="102" xfId="6" applyNumberFormat="1" applyFont="1" applyBorder="1" applyAlignment="1">
      <alignment horizontal="right" vertical="center" wrapText="1"/>
    </xf>
    <xf numFmtId="2" fontId="7" fillId="0" borderId="83" xfId="6" applyNumberFormat="1" applyFont="1" applyBorder="1" applyAlignment="1">
      <alignment horizontal="right" vertical="center" wrapText="1"/>
    </xf>
    <xf numFmtId="168" fontId="7" fillId="0" borderId="89" xfId="0" applyNumberFormat="1" applyFont="1" applyBorder="1" applyAlignment="1">
      <alignment horizontal="center" vertical="center" wrapText="1"/>
    </xf>
    <xf numFmtId="49" fontId="7" fillId="0" borderId="88" xfId="6" applyNumberFormat="1" applyFont="1" applyBorder="1" applyAlignment="1">
      <alignment horizontal="center" vertical="center" wrapText="1"/>
    </xf>
    <xf numFmtId="168" fontId="7" fillId="0" borderId="83" xfId="17" applyNumberFormat="1" applyFont="1" applyBorder="1" applyAlignment="1">
      <alignment horizontal="center" vertical="center" wrapText="1"/>
    </xf>
    <xf numFmtId="173" fontId="7" fillId="0" borderId="88" xfId="17" applyNumberFormat="1" applyFont="1" applyBorder="1" applyAlignment="1">
      <alignment horizontal="center" vertical="center"/>
    </xf>
    <xf numFmtId="2" fontId="24" fillId="0" borderId="83" xfId="6" applyNumberFormat="1" applyFont="1" applyBorder="1" applyAlignment="1">
      <alignment horizontal="center" vertical="center" wrapText="1"/>
    </xf>
    <xf numFmtId="1" fontId="7" fillId="0" borderId="97" xfId="12" applyNumberFormat="1" applyFont="1" applyBorder="1" applyAlignment="1">
      <alignment horizontal="center" vertical="center" wrapText="1"/>
    </xf>
    <xf numFmtId="2" fontId="24" fillId="0" borderId="98" xfId="6" applyNumberFormat="1" applyFont="1" applyBorder="1" applyAlignment="1">
      <alignment horizontal="center" vertical="center" wrapText="1"/>
    </xf>
    <xf numFmtId="49" fontId="7" fillId="0" borderId="93" xfId="6" applyNumberFormat="1" applyFont="1" applyBorder="1" applyAlignment="1">
      <alignment horizontal="center" vertical="center" wrapText="1"/>
    </xf>
    <xf numFmtId="0" fontId="7" fillId="0" borderId="97" xfId="17" applyFont="1" applyBorder="1" applyAlignment="1">
      <alignment horizontal="left" vertical="center" wrapText="1"/>
    </xf>
    <xf numFmtId="0" fontId="7" fillId="0" borderId="98" xfId="8" applyFont="1" applyBorder="1" applyAlignment="1">
      <alignment vertical="center" wrapText="1"/>
    </xf>
    <xf numFmtId="0" fontId="8" fillId="0" borderId="100" xfId="8" applyFont="1" applyBorder="1" applyAlignment="1">
      <alignment vertical="center" wrapText="1"/>
    </xf>
    <xf numFmtId="2" fontId="7" fillId="0" borderId="107" xfId="17" applyNumberFormat="1" applyFont="1" applyBorder="1" applyAlignment="1">
      <alignment horizontal="center" vertical="center" wrapText="1"/>
    </xf>
    <xf numFmtId="0" fontId="7" fillId="0" borderId="78" xfId="0" applyNumberFormat="1" applyFont="1" applyBorder="1" applyAlignment="1">
      <alignment horizontal="center" vertical="center"/>
    </xf>
    <xf numFmtId="0" fontId="36" fillId="0" borderId="99" xfId="12" applyFont="1" applyBorder="1" applyAlignment="1">
      <alignment horizontal="center" vertical="center" wrapText="1"/>
    </xf>
    <xf numFmtId="0" fontId="36" fillId="0" borderId="99" xfId="0" applyFont="1" applyBorder="1" applyAlignment="1">
      <alignment horizontal="center" vertical="center" wrapText="1"/>
    </xf>
    <xf numFmtId="0" fontId="36" fillId="0" borderId="101" xfId="0" applyFont="1" applyBorder="1" applyAlignment="1">
      <alignment horizontal="center" vertical="center" wrapText="1"/>
    </xf>
    <xf numFmtId="0" fontId="43" fillId="0" borderId="101" xfId="0" applyFont="1" applyFill="1" applyBorder="1" applyAlignment="1">
      <alignment horizontal="center" vertical="center" wrapText="1"/>
    </xf>
    <xf numFmtId="1" fontId="43" fillId="0" borderId="100" xfId="14" applyNumberFormat="1" applyFont="1" applyFill="1" applyBorder="1" applyAlignment="1">
      <alignment horizontal="center" vertical="center" wrapText="1"/>
    </xf>
    <xf numFmtId="2" fontId="7" fillId="0" borderId="108" xfId="0" applyNumberFormat="1" applyFont="1" applyBorder="1" applyAlignment="1">
      <alignment horizontal="center" vertical="center" wrapText="1"/>
    </xf>
    <xf numFmtId="43" fontId="7" fillId="0" borderId="67" xfId="22" applyNumberFormat="1" applyFont="1" applyBorder="1" applyAlignment="1">
      <alignment vertical="center" wrapText="1"/>
    </xf>
    <xf numFmtId="0" fontId="7" fillId="0" borderId="109" xfId="12" applyFont="1" applyBorder="1" applyAlignment="1">
      <alignment horizontal="center" vertical="center" wrapText="1"/>
    </xf>
    <xf numFmtId="49" fontId="7" fillId="0" borderId="105" xfId="17" applyNumberFormat="1" applyFont="1" applyBorder="1" applyAlignment="1">
      <alignment horizontal="center" vertical="center" wrapText="1"/>
    </xf>
    <xf numFmtId="0" fontId="7" fillId="0" borderId="109" xfId="17" applyFont="1" applyBorder="1" applyAlignment="1">
      <alignment horizontal="left" vertical="center" wrapText="1"/>
    </xf>
    <xf numFmtId="0" fontId="7" fillId="0" borderId="109" xfId="17" applyFont="1" applyBorder="1" applyAlignment="1">
      <alignment horizontal="center" vertical="center" wrapText="1"/>
    </xf>
    <xf numFmtId="2" fontId="7" fillId="2" borderId="109" xfId="14" applyNumberFormat="1" applyFont="1" applyFill="1" applyBorder="1" applyAlignment="1">
      <alignment horizontal="center" vertical="center" wrapText="1"/>
    </xf>
    <xf numFmtId="2" fontId="7" fillId="0" borderId="109" xfId="0" applyNumberFormat="1" applyFont="1" applyBorder="1" applyAlignment="1">
      <alignment horizontal="center" vertical="center" wrapText="1"/>
    </xf>
    <xf numFmtId="2" fontId="7" fillId="2" borderId="109" xfId="6" applyNumberFormat="1" applyFont="1" applyFill="1" applyBorder="1" applyAlignment="1">
      <alignment horizontal="center" vertical="center" wrapText="1"/>
    </xf>
    <xf numFmtId="167" fontId="7" fillId="0" borderId="100" xfId="18" applyNumberFormat="1" applyFont="1" applyBorder="1" applyAlignment="1">
      <alignment horizontal="center" vertical="center"/>
    </xf>
    <xf numFmtId="167" fontId="7" fillId="0" borderId="10" xfId="18" applyNumberFormat="1" applyFont="1" applyBorder="1" applyAlignment="1">
      <alignment horizontal="center" vertical="center"/>
    </xf>
    <xf numFmtId="167" fontId="7" fillId="0" borderId="33" xfId="18" applyNumberFormat="1" applyFont="1" applyBorder="1" applyAlignment="1">
      <alignment horizontal="center" vertical="center"/>
    </xf>
    <xf numFmtId="0" fontId="7" fillId="0" borderId="110" xfId="12" applyFont="1" applyBorder="1" applyAlignment="1">
      <alignment horizontal="center" vertical="center" wrapText="1"/>
    </xf>
    <xf numFmtId="49" fontId="7" fillId="0" borderId="111" xfId="17" applyNumberFormat="1" applyFont="1" applyBorder="1" applyAlignment="1">
      <alignment horizontal="center" vertical="center" wrapText="1"/>
    </xf>
    <xf numFmtId="0" fontId="7" fillId="0" borderId="111" xfId="12" applyFont="1" applyBorder="1" applyAlignment="1">
      <alignment horizontal="center" vertical="center"/>
    </xf>
    <xf numFmtId="168" fontId="8" fillId="0" borderId="111" xfId="12" applyNumberFormat="1" applyFont="1" applyBorder="1" applyAlignment="1">
      <alignment horizontal="center" vertical="center"/>
    </xf>
    <xf numFmtId="0" fontId="7" fillId="2" borderId="88" xfId="0" applyFont="1" applyFill="1" applyBorder="1" applyAlignment="1">
      <alignment horizontal="center" vertical="center"/>
    </xf>
    <xf numFmtId="0" fontId="7" fillId="2" borderId="88" xfId="0" applyFont="1" applyFill="1" applyBorder="1" applyAlignment="1">
      <alignment horizontal="left" vertical="center" wrapText="1"/>
    </xf>
    <xf numFmtId="168" fontId="7" fillId="2" borderId="88" xfId="0" applyNumberFormat="1" applyFont="1" applyFill="1" applyBorder="1" applyAlignment="1">
      <alignment horizontal="center" vertical="center"/>
    </xf>
    <xf numFmtId="0" fontId="7" fillId="2" borderId="83" xfId="0" applyFont="1" applyFill="1" applyBorder="1" applyAlignment="1">
      <alignment horizontal="left" vertical="center" wrapText="1"/>
    </xf>
    <xf numFmtId="0" fontId="7" fillId="2" borderId="83" xfId="0" applyFont="1" applyFill="1" applyBorder="1" applyAlignment="1">
      <alignment horizontal="center" vertical="center" wrapText="1"/>
    </xf>
    <xf numFmtId="2" fontId="7" fillId="2" borderId="83" xfId="0" applyNumberFormat="1" applyFont="1" applyFill="1" applyBorder="1" applyAlignment="1">
      <alignment horizontal="center" vertical="center" wrapText="1"/>
    </xf>
    <xf numFmtId="0" fontId="7" fillId="2" borderId="88" xfId="0" applyFont="1" applyFill="1" applyBorder="1" applyAlignment="1">
      <alignment vertical="center" wrapText="1"/>
    </xf>
    <xf numFmtId="0" fontId="7" fillId="2" borderId="88" xfId="14" applyFont="1" applyFill="1" applyBorder="1" applyAlignment="1">
      <alignment horizontal="center" vertical="center" wrapText="1"/>
    </xf>
    <xf numFmtId="2" fontId="7" fillId="2" borderId="88" xfId="14" applyNumberFormat="1" applyFont="1" applyFill="1" applyBorder="1" applyAlignment="1">
      <alignment horizontal="center" vertical="center" wrapText="1"/>
    </xf>
    <xf numFmtId="49" fontId="7" fillId="0" borderId="111" xfId="6" applyNumberFormat="1" applyFont="1" applyBorder="1" applyAlignment="1">
      <alignment horizontal="center" vertical="center" wrapText="1"/>
    </xf>
    <xf numFmtId="0" fontId="8" fillId="0" borderId="112" xfId="0" applyFont="1" applyBorder="1" applyAlignment="1">
      <alignment horizontal="center" vertical="center" textRotation="90" wrapText="1"/>
    </xf>
    <xf numFmtId="167" fontId="7" fillId="0" borderId="113" xfId="18" applyNumberFormat="1" applyFont="1" applyBorder="1" applyAlignment="1">
      <alignment horizontal="center" vertical="center"/>
    </xf>
    <xf numFmtId="167" fontId="7" fillId="0" borderId="114" xfId="18" applyNumberFormat="1" applyFont="1" applyBorder="1" applyAlignment="1">
      <alignment horizontal="center" vertical="center"/>
    </xf>
    <xf numFmtId="0" fontId="7" fillId="0" borderId="115" xfId="0" applyFont="1" applyBorder="1" applyAlignment="1">
      <alignment horizontal="center" vertical="center" wrapText="1"/>
    </xf>
    <xf numFmtId="2" fontId="7" fillId="0" borderId="117" xfId="0" applyNumberFormat="1" applyFont="1" applyBorder="1" applyAlignment="1">
      <alignment horizontal="center" vertical="center" wrapText="1"/>
    </xf>
    <xf numFmtId="2" fontId="7" fillId="2" borderId="117" xfId="6" applyNumberFormat="1" applyFont="1" applyFill="1" applyBorder="1" applyAlignment="1">
      <alignment horizontal="center" vertical="center" wrapText="1"/>
    </xf>
    <xf numFmtId="0" fontId="7" fillId="2" borderId="117" xfId="14" applyFont="1" applyFill="1" applyBorder="1" applyAlignment="1">
      <alignment horizontal="left" vertical="center" wrapText="1"/>
    </xf>
    <xf numFmtId="0" fontId="7" fillId="2" borderId="117" xfId="14" applyFont="1" applyFill="1" applyBorder="1" applyAlignment="1">
      <alignment horizontal="center" vertical="center" wrapText="1"/>
    </xf>
    <xf numFmtId="2" fontId="7" fillId="2" borderId="117" xfId="14" applyNumberFormat="1" applyFont="1" applyFill="1" applyBorder="1" applyAlignment="1">
      <alignment horizontal="center" vertical="center" wrapText="1"/>
    </xf>
    <xf numFmtId="0" fontId="7" fillId="2" borderId="117" xfId="14" applyFont="1" applyFill="1" applyBorder="1" applyAlignment="1">
      <alignment vertical="center" wrapText="1"/>
    </xf>
    <xf numFmtId="0" fontId="7" fillId="2" borderId="116" xfId="14" applyFont="1" applyFill="1" applyBorder="1" applyAlignment="1">
      <alignment vertical="center" wrapText="1"/>
    </xf>
    <xf numFmtId="0" fontId="7" fillId="0" borderId="118" xfId="0" applyFont="1" applyBorder="1" applyAlignment="1">
      <alignment horizontal="center" vertical="center" wrapText="1"/>
    </xf>
    <xf numFmtId="49" fontId="7" fillId="0" borderId="118" xfId="17" applyNumberFormat="1" applyFont="1" applyBorder="1" applyAlignment="1">
      <alignment horizontal="center" vertical="center" wrapText="1"/>
    </xf>
    <xf numFmtId="2" fontId="7" fillId="0" borderId="118" xfId="0" applyNumberFormat="1" applyFont="1" applyBorder="1" applyAlignment="1">
      <alignment horizontal="center" vertical="center" wrapText="1"/>
    </xf>
    <xf numFmtId="2" fontId="7" fillId="2" borderId="118" xfId="6" applyNumberFormat="1" applyFont="1" applyFill="1" applyBorder="1" applyAlignment="1">
      <alignment horizontal="center" vertical="center" wrapText="1"/>
    </xf>
    <xf numFmtId="49" fontId="7" fillId="0" borderId="121" xfId="17" applyNumberFormat="1" applyFont="1" applyBorder="1" applyAlignment="1">
      <alignment horizontal="center" vertical="center" wrapText="1"/>
    </xf>
    <xf numFmtId="0" fontId="7" fillId="2" borderId="118" xfId="0" applyFont="1" applyFill="1" applyBorder="1" applyAlignment="1">
      <alignment horizontal="center" vertical="center" wrapText="1"/>
    </xf>
    <xf numFmtId="0" fontId="7" fillId="2" borderId="118" xfId="0" applyFont="1" applyFill="1" applyBorder="1" applyAlignment="1">
      <alignment vertical="center" wrapText="1"/>
    </xf>
    <xf numFmtId="1" fontId="7" fillId="2" borderId="119" xfId="14" applyNumberFormat="1" applyFont="1" applyFill="1" applyBorder="1" applyAlignment="1">
      <alignment horizontal="left" vertical="center" wrapText="1"/>
    </xf>
    <xf numFmtId="0" fontId="7" fillId="2" borderId="119" xfId="14" applyFont="1" applyFill="1" applyBorder="1" applyAlignment="1">
      <alignment horizontal="center" vertical="center"/>
    </xf>
    <xf numFmtId="0" fontId="7" fillId="2" borderId="115" xfId="0" applyFont="1" applyFill="1" applyBorder="1" applyAlignment="1">
      <alignment vertical="center" wrapText="1"/>
    </xf>
    <xf numFmtId="1" fontId="36" fillId="2" borderId="122" xfId="14" applyNumberFormat="1" applyFont="1" applyFill="1" applyBorder="1" applyAlignment="1">
      <alignment horizontal="center" vertical="center" wrapText="1"/>
    </xf>
    <xf numFmtId="2" fontId="7" fillId="0" borderId="120" xfId="0" applyNumberFormat="1" applyFont="1" applyBorder="1" applyAlignment="1">
      <alignment horizontal="center" vertical="center" wrapText="1"/>
    </xf>
    <xf numFmtId="0" fontId="7" fillId="0" borderId="123" xfId="0" applyFont="1" applyBorder="1" applyAlignment="1">
      <alignment horizontal="center" vertical="center"/>
    </xf>
    <xf numFmtId="168" fontId="7" fillId="0" borderId="115" xfId="0" applyNumberFormat="1" applyFont="1" applyBorder="1" applyAlignment="1">
      <alignment horizontal="center" vertical="center"/>
    </xf>
    <xf numFmtId="0" fontId="7" fillId="0" borderId="119" xfId="14" applyFont="1" applyFill="1" applyBorder="1" applyAlignment="1">
      <alignment horizontal="center" vertical="center" wrapText="1"/>
    </xf>
    <xf numFmtId="0" fontId="7" fillId="0" borderId="119" xfId="0" applyFont="1" applyFill="1" applyBorder="1" applyAlignment="1">
      <alignment horizontal="center" vertical="center" wrapText="1"/>
    </xf>
    <xf numFmtId="2" fontId="7" fillId="0" borderId="119" xfId="0" applyNumberFormat="1" applyFont="1" applyFill="1" applyBorder="1" applyAlignment="1">
      <alignment horizontal="center" vertical="center" wrapText="1"/>
    </xf>
    <xf numFmtId="168" fontId="7" fillId="2" borderId="118" xfId="0" applyNumberFormat="1" applyFont="1" applyFill="1" applyBorder="1" applyAlignment="1">
      <alignment horizontal="center" vertical="center" wrapText="1"/>
    </xf>
    <xf numFmtId="0" fontId="7" fillId="0" borderId="119" xfId="14" applyFont="1" applyFill="1" applyBorder="1" applyAlignment="1">
      <alignment horizontal="left" vertical="center" wrapText="1"/>
    </xf>
    <xf numFmtId="0" fontId="7" fillId="2" borderId="118" xfId="0" applyFont="1" applyFill="1" applyBorder="1" applyAlignment="1">
      <alignment horizontal="left" vertical="center" wrapText="1"/>
    </xf>
    <xf numFmtId="168" fontId="7" fillId="0" borderId="118" xfId="0" applyNumberFormat="1" applyFont="1" applyFill="1" applyBorder="1" applyAlignment="1">
      <alignment horizontal="center" vertical="center" wrapText="1"/>
    </xf>
    <xf numFmtId="0" fontId="7" fillId="2" borderId="124" xfId="0" applyFont="1" applyFill="1" applyBorder="1" applyAlignment="1">
      <alignment horizontal="left" vertical="center" wrapText="1"/>
    </xf>
    <xf numFmtId="0" fontId="3" fillId="0" borderId="88" xfId="0" applyFont="1" applyFill="1" applyBorder="1" applyAlignment="1">
      <alignment vertical="center" wrapText="1"/>
    </xf>
    <xf numFmtId="0" fontId="3" fillId="0" borderId="118" xfId="0" applyFont="1" applyFill="1" applyBorder="1" applyAlignment="1">
      <alignment horizontal="center" vertical="center" wrapText="1"/>
    </xf>
    <xf numFmtId="0" fontId="3" fillId="0" borderId="88" xfId="14" applyFont="1" applyFill="1" applyBorder="1" applyAlignment="1">
      <alignment horizontal="left" vertical="center" wrapText="1"/>
    </xf>
    <xf numFmtId="168" fontId="7" fillId="2" borderId="124" xfId="14" applyNumberFormat="1" applyFont="1" applyFill="1" applyBorder="1" applyAlignment="1">
      <alignment horizontal="center" vertical="center" wrapText="1"/>
    </xf>
    <xf numFmtId="49" fontId="7" fillId="0" borderId="124" xfId="17" applyNumberFormat="1" applyFont="1" applyBorder="1" applyAlignment="1">
      <alignment horizontal="center" vertical="center" wrapText="1"/>
    </xf>
    <xf numFmtId="0" fontId="7" fillId="0" borderId="125" xfId="17" applyFont="1" applyBorder="1" applyAlignment="1">
      <alignment vertical="center" wrapText="1"/>
    </xf>
    <xf numFmtId="2" fontId="7" fillId="0" borderId="124" xfId="0" applyNumberFormat="1" applyFont="1" applyBorder="1" applyAlignment="1">
      <alignment horizontal="center" vertical="center" wrapText="1"/>
    </xf>
    <xf numFmtId="2" fontId="7" fillId="2" borderId="124" xfId="6" applyNumberFormat="1" applyFont="1" applyFill="1" applyBorder="1" applyAlignment="1">
      <alignment horizontal="center" vertical="center" wrapText="1"/>
    </xf>
    <xf numFmtId="167" fontId="7" fillId="0" borderId="126" xfId="18" applyNumberFormat="1" applyFont="1" applyBorder="1" applyAlignment="1">
      <alignment horizontal="center" vertical="center"/>
    </xf>
    <xf numFmtId="0" fontId="7" fillId="2" borderId="124" xfId="0" applyFont="1" applyFill="1" applyBorder="1" applyAlignment="1">
      <alignment vertical="center" wrapText="1"/>
    </xf>
    <xf numFmtId="0" fontId="7" fillId="2" borderId="124" xfId="0" applyFont="1" applyFill="1" applyBorder="1" applyAlignment="1">
      <alignment horizontal="center" vertical="center" wrapText="1"/>
    </xf>
    <xf numFmtId="2" fontId="7" fillId="2" borderId="124" xfId="0" applyNumberFormat="1" applyFont="1" applyFill="1" applyBorder="1" applyAlignment="1">
      <alignment horizontal="center" vertical="center" wrapText="1"/>
    </xf>
    <xf numFmtId="0" fontId="7" fillId="2" borderId="124" xfId="14" applyFont="1" applyFill="1" applyBorder="1" applyAlignment="1">
      <alignment vertical="center" wrapText="1"/>
    </xf>
    <xf numFmtId="0" fontId="7" fillId="2" borderId="124" xfId="14" applyFont="1" applyFill="1" applyBorder="1" applyAlignment="1">
      <alignment horizontal="center" vertical="center"/>
    </xf>
    <xf numFmtId="2" fontId="7" fillId="2" borderId="124" xfId="14" applyNumberFormat="1" applyFont="1" applyFill="1" applyBorder="1" applyAlignment="1">
      <alignment horizontal="center" vertical="center" wrapText="1"/>
    </xf>
    <xf numFmtId="2" fontId="7" fillId="2" borderId="124" xfId="0" applyNumberFormat="1" applyFont="1" applyFill="1" applyBorder="1" applyAlignment="1">
      <alignment vertical="center" wrapText="1"/>
    </xf>
    <xf numFmtId="0" fontId="4" fillId="0" borderId="125" xfId="14" applyFont="1" applyFill="1" applyBorder="1" applyAlignment="1">
      <alignment horizontal="center" vertical="center" wrapText="1"/>
    </xf>
    <xf numFmtId="168" fontId="7" fillId="2" borderId="125" xfId="14" applyNumberFormat="1" applyFont="1" applyFill="1" applyBorder="1" applyAlignment="1">
      <alignment horizontal="center" vertical="center" wrapText="1"/>
    </xf>
    <xf numFmtId="0" fontId="7" fillId="2" borderId="115" xfId="0" applyFont="1" applyFill="1" applyBorder="1" applyAlignment="1">
      <alignment horizontal="center" vertical="center" wrapText="1"/>
    </xf>
    <xf numFmtId="2" fontId="7" fillId="2" borderId="115" xfId="0" applyNumberFormat="1" applyFont="1" applyFill="1" applyBorder="1" applyAlignment="1">
      <alignment horizontal="center" vertical="center" wrapText="1"/>
    </xf>
    <xf numFmtId="2" fontId="7" fillId="0" borderId="127" xfId="0" applyNumberFormat="1" applyFont="1" applyBorder="1" applyAlignment="1">
      <alignment horizontal="center" vertical="center" wrapText="1"/>
    </xf>
    <xf numFmtId="49" fontId="7" fillId="0" borderId="128" xfId="17" applyNumberFormat="1" applyFont="1" applyBorder="1" applyAlignment="1">
      <alignment horizontal="center" vertical="center" wrapText="1"/>
    </xf>
    <xf numFmtId="0" fontId="36" fillId="2" borderId="100" xfId="0" applyFont="1" applyFill="1" applyBorder="1" applyAlignment="1">
      <alignment horizontal="center" vertical="center" wrapText="1"/>
    </xf>
    <xf numFmtId="0" fontId="7" fillId="2" borderId="124" xfId="13" applyFont="1" applyFill="1" applyBorder="1" applyAlignment="1">
      <alignment vertical="center" wrapText="1"/>
    </xf>
    <xf numFmtId="0" fontId="7" fillId="2" borderId="125" xfId="13" applyFont="1" applyFill="1" applyBorder="1" applyAlignment="1">
      <alignment vertical="center" wrapText="1"/>
    </xf>
    <xf numFmtId="168" fontId="7" fillId="2" borderId="124" xfId="13" applyNumberFormat="1" applyFont="1" applyFill="1" applyBorder="1" applyAlignment="1">
      <alignment horizontal="center" vertical="center" wrapText="1"/>
    </xf>
    <xf numFmtId="2" fontId="7" fillId="2" borderId="124" xfId="13" applyNumberFormat="1" applyFont="1" applyFill="1" applyBorder="1" applyAlignment="1">
      <alignment horizontal="center" vertical="center" wrapText="1"/>
    </xf>
    <xf numFmtId="0" fontId="7" fillId="2" borderId="129" xfId="1" applyFont="1" applyFill="1" applyBorder="1" applyAlignment="1">
      <alignment vertical="center" wrapText="1"/>
    </xf>
    <xf numFmtId="0" fontId="7" fillId="2" borderId="126" xfId="1" applyFont="1" applyFill="1" applyBorder="1" applyAlignment="1">
      <alignment vertical="center" wrapText="1"/>
    </xf>
    <xf numFmtId="0" fontId="7" fillId="2" borderId="129" xfId="1" applyFont="1" applyFill="1" applyBorder="1" applyAlignment="1">
      <alignment horizontal="center" vertical="center"/>
    </xf>
    <xf numFmtId="0" fontId="7" fillId="2" borderId="126" xfId="1" applyFont="1" applyFill="1" applyBorder="1" applyAlignment="1">
      <alignment horizontal="center" vertical="center"/>
    </xf>
    <xf numFmtId="0" fontId="7" fillId="2" borderId="41" xfId="1" applyFont="1" applyFill="1" applyBorder="1" applyAlignment="1">
      <alignment vertical="center" wrapText="1"/>
    </xf>
    <xf numFmtId="0" fontId="7" fillId="2" borderId="126" xfId="1" applyFont="1" applyFill="1" applyBorder="1" applyAlignment="1">
      <alignment horizontal="left" vertical="center" wrapText="1"/>
    </xf>
    <xf numFmtId="0" fontId="26" fillId="2" borderId="125" xfId="17" applyFont="1" applyFill="1" applyBorder="1" applyAlignment="1">
      <alignment horizontal="left" vertical="center" wrapText="1"/>
    </xf>
    <xf numFmtId="0" fontId="36" fillId="0" borderId="125" xfId="19" applyFont="1" applyFill="1" applyBorder="1" applyAlignment="1">
      <alignment horizontal="center" vertical="center" wrapText="1"/>
    </xf>
    <xf numFmtId="0" fontId="36" fillId="0" borderId="99" xfId="13" applyFont="1" applyFill="1" applyBorder="1" applyAlignment="1">
      <alignment vertical="center" wrapText="1"/>
    </xf>
    <xf numFmtId="2" fontId="7" fillId="0" borderId="115" xfId="17" applyNumberFormat="1" applyFont="1" applyBorder="1" applyAlignment="1">
      <alignment horizontal="center" vertical="center" wrapText="1"/>
    </xf>
    <xf numFmtId="172" fontId="7" fillId="0" borderId="115" xfId="13" applyNumberFormat="1" applyFont="1" applyBorder="1" applyAlignment="1">
      <alignment horizontal="center" vertical="center" wrapText="1"/>
    </xf>
    <xf numFmtId="2" fontId="7" fillId="0" borderId="125" xfId="17" applyNumberFormat="1" applyFont="1" applyBorder="1" applyAlignment="1">
      <alignment horizontal="center" vertical="center" wrapText="1"/>
    </xf>
    <xf numFmtId="49" fontId="7" fillId="0" borderId="110" xfId="17" applyNumberFormat="1" applyFont="1" applyBorder="1" applyAlignment="1">
      <alignment horizontal="center" vertical="center" wrapText="1"/>
    </xf>
    <xf numFmtId="0" fontId="7" fillId="0" borderId="111" xfId="1" applyFont="1" applyFill="1" applyBorder="1" applyAlignment="1">
      <alignment vertical="center" wrapText="1"/>
    </xf>
    <xf numFmtId="0" fontId="7" fillId="0" borderId="126" xfId="1" applyFont="1" applyFill="1" applyBorder="1" applyAlignment="1">
      <alignment vertical="center" wrapText="1"/>
    </xf>
    <xf numFmtId="2" fontId="7" fillId="2" borderId="126" xfId="1" applyNumberFormat="1" applyFont="1" applyFill="1" applyBorder="1" applyAlignment="1">
      <alignment horizontal="center" vertical="center" wrapText="1"/>
    </xf>
    <xf numFmtId="168" fontId="7" fillId="2" borderId="124" xfId="8" applyNumberFormat="1" applyFont="1" applyFill="1" applyBorder="1" applyAlignment="1">
      <alignment horizontal="center" vertical="center" wrapText="1"/>
    </xf>
    <xf numFmtId="2" fontId="7" fillId="0" borderId="123" xfId="17" applyNumberFormat="1" applyFont="1" applyBorder="1" applyAlignment="1">
      <alignment horizontal="center" vertical="center" wrapText="1"/>
    </xf>
    <xf numFmtId="2" fontId="7" fillId="0" borderId="127" xfId="17" applyNumberFormat="1" applyFont="1" applyBorder="1" applyAlignment="1">
      <alignment horizontal="center" vertical="center" wrapText="1"/>
    </xf>
    <xf numFmtId="0" fontId="7" fillId="0" borderId="102" xfId="19" applyFont="1" applyBorder="1" applyAlignment="1">
      <alignment horizontal="center" vertical="center" wrapText="1"/>
    </xf>
    <xf numFmtId="2" fontId="7" fillId="0" borderId="102" xfId="13" applyNumberFormat="1" applyFont="1" applyBorder="1" applyAlignment="1">
      <alignment horizontal="center" vertical="center"/>
    </xf>
    <xf numFmtId="2" fontId="7" fillId="0" borderId="111" xfId="13" applyNumberFormat="1" applyFont="1" applyBorder="1" applyAlignment="1">
      <alignment horizontal="left" vertical="center" wrapText="1"/>
    </xf>
    <xf numFmtId="2" fontId="7" fillId="0" borderId="111" xfId="13" applyNumberFormat="1" applyFont="1" applyBorder="1" applyAlignment="1">
      <alignment horizontal="center" vertical="center" wrapText="1"/>
    </xf>
    <xf numFmtId="0" fontId="7" fillId="0" borderId="126" xfId="0" applyFont="1" applyBorder="1" applyAlignment="1">
      <alignment horizontal="center" vertical="center" wrapText="1"/>
    </xf>
    <xf numFmtId="49" fontId="7" fillId="0" borderId="126" xfId="17" applyNumberFormat="1" applyFont="1" applyBorder="1" applyAlignment="1">
      <alignment horizontal="center" vertical="center" wrapText="1"/>
    </xf>
    <xf numFmtId="0" fontId="7" fillId="2" borderId="126" xfId="13" applyFont="1" applyFill="1" applyBorder="1" applyAlignment="1">
      <alignment horizontal="center" vertical="center" wrapText="1"/>
    </xf>
    <xf numFmtId="0" fontId="7" fillId="0" borderId="126" xfId="8" applyFont="1" applyFill="1" applyBorder="1" applyAlignment="1">
      <alignment vertical="center" wrapText="1"/>
    </xf>
    <xf numFmtId="0" fontId="7" fillId="2" borderId="126" xfId="8" applyFont="1" applyFill="1" applyBorder="1" applyAlignment="1">
      <alignment horizontal="center" vertical="center" wrapText="1"/>
    </xf>
    <xf numFmtId="168" fontId="7" fillId="2" borderId="126" xfId="8" applyNumberFormat="1" applyFont="1" applyFill="1" applyBorder="1" applyAlignment="1">
      <alignment horizontal="center" vertical="center" wrapText="1"/>
    </xf>
    <xf numFmtId="0" fontId="7" fillId="0" borderId="126" xfId="19" applyFont="1" applyBorder="1" applyAlignment="1">
      <alignment horizontal="center" vertical="center" wrapText="1"/>
    </xf>
    <xf numFmtId="2" fontId="7" fillId="0" borderId="126" xfId="13" applyNumberFormat="1" applyFont="1" applyBorder="1" applyAlignment="1">
      <alignment horizontal="center" vertical="center"/>
    </xf>
    <xf numFmtId="0" fontId="7" fillId="0" borderId="111" xfId="19" applyFont="1" applyBorder="1" applyAlignment="1">
      <alignment horizontal="center" vertical="center" wrapText="1"/>
    </xf>
    <xf numFmtId="2" fontId="7" fillId="0" borderId="111" xfId="13" applyNumberFormat="1" applyFont="1" applyBorder="1" applyAlignment="1">
      <alignment horizontal="center" vertical="center"/>
    </xf>
    <xf numFmtId="2" fontId="7" fillId="0" borderId="0" xfId="17" applyNumberFormat="1" applyFont="1" applyBorder="1" applyAlignment="1">
      <alignment horizontal="center" vertical="center" wrapText="1"/>
    </xf>
    <xf numFmtId="2" fontId="7" fillId="0" borderId="125" xfId="13" applyNumberFormat="1" applyFont="1" applyBorder="1" applyAlignment="1">
      <alignment horizontal="center" vertical="center" wrapText="1"/>
    </xf>
    <xf numFmtId="0" fontId="7" fillId="2" borderId="100" xfId="1" applyFont="1" applyFill="1" applyBorder="1" applyAlignment="1">
      <alignment vertical="center" wrapText="1"/>
    </xf>
    <xf numFmtId="2" fontId="7" fillId="0" borderId="126" xfId="13" applyNumberFormat="1" applyFont="1" applyBorder="1" applyAlignment="1">
      <alignment horizontal="center" vertical="center" wrapText="1"/>
    </xf>
    <xf numFmtId="2" fontId="7" fillId="0" borderId="126" xfId="17" applyNumberFormat="1" applyFont="1" applyBorder="1" applyAlignment="1">
      <alignment horizontal="center" vertical="center" wrapText="1"/>
    </xf>
    <xf numFmtId="0" fontId="7" fillId="2" borderId="126" xfId="1" applyFont="1" applyFill="1" applyBorder="1" applyAlignment="1">
      <alignment horizontal="center" vertical="center" wrapText="1"/>
    </xf>
    <xf numFmtId="0" fontId="8" fillId="2" borderId="126" xfId="1" applyFont="1" applyFill="1" applyBorder="1" applyAlignment="1">
      <alignment vertical="center" wrapText="1"/>
    </xf>
    <xf numFmtId="2" fontId="7" fillId="0" borderId="126" xfId="1" applyNumberFormat="1" applyFont="1" applyFill="1" applyBorder="1" applyAlignment="1" applyProtection="1">
      <alignment horizontal="center" vertical="center" wrapText="1"/>
    </xf>
    <xf numFmtId="49" fontId="7" fillId="0" borderId="125" xfId="17" applyNumberFormat="1" applyFont="1" applyBorder="1" applyAlignment="1">
      <alignment horizontal="center" vertical="center" wrapText="1"/>
    </xf>
    <xf numFmtId="2" fontId="7" fillId="0" borderId="130" xfId="17" applyNumberFormat="1" applyFont="1" applyBorder="1" applyAlignment="1">
      <alignment horizontal="center" vertical="center" wrapText="1"/>
    </xf>
    <xf numFmtId="0" fontId="27" fillId="2" borderId="105" xfId="13" applyFont="1" applyFill="1" applyBorder="1" applyAlignment="1">
      <alignment vertical="center" wrapText="1"/>
    </xf>
    <xf numFmtId="0" fontId="36" fillId="2" borderId="99" xfId="13" applyFont="1" applyFill="1" applyBorder="1" applyAlignment="1">
      <alignment horizontal="center" vertical="center" wrapText="1"/>
    </xf>
    <xf numFmtId="0" fontId="7" fillId="0" borderId="124" xfId="8" applyFont="1" applyFill="1" applyBorder="1" applyAlignment="1">
      <alignment horizontal="left" vertical="center" wrapText="1"/>
    </xf>
    <xf numFmtId="0" fontId="7" fillId="2" borderId="124" xfId="0" applyFont="1" applyFill="1" applyBorder="1" applyAlignment="1">
      <alignment horizontal="center" vertical="center"/>
    </xf>
    <xf numFmtId="0" fontId="7" fillId="2" borderId="124" xfId="14" applyFont="1" applyFill="1" applyBorder="1" applyAlignment="1">
      <alignment horizontal="left" vertical="center" wrapText="1"/>
    </xf>
    <xf numFmtId="0" fontId="7" fillId="2" borderId="131" xfId="14" applyFont="1" applyFill="1" applyBorder="1" applyAlignment="1">
      <alignment horizontal="center" vertical="center" wrapText="1"/>
    </xf>
    <xf numFmtId="2" fontId="7" fillId="2" borderId="118" xfId="0" applyNumberFormat="1" applyFont="1" applyFill="1" applyBorder="1" applyAlignment="1">
      <alignment horizontal="center" vertical="center" wrapText="1"/>
    </xf>
    <xf numFmtId="0" fontId="7" fillId="2" borderId="118" xfId="14" applyFont="1" applyFill="1" applyBorder="1" applyAlignment="1">
      <alignment horizontal="left" vertical="center" wrapText="1"/>
    </xf>
    <xf numFmtId="0" fontId="7" fillId="0" borderId="115" xfId="17" applyFont="1" applyBorder="1" applyAlignment="1">
      <alignment horizontal="center" vertical="center" wrapText="1"/>
    </xf>
    <xf numFmtId="0" fontId="7" fillId="0" borderId="110" xfId="17" applyFont="1" applyBorder="1" applyAlignment="1">
      <alignment horizontal="center" vertical="center" wrapText="1"/>
    </xf>
    <xf numFmtId="0" fontId="8" fillId="2" borderId="118" xfId="14" applyFont="1" applyFill="1" applyBorder="1" applyAlignment="1">
      <alignment horizontal="left" vertical="center" wrapText="1"/>
    </xf>
    <xf numFmtId="0" fontId="7" fillId="2" borderId="116" xfId="14" applyFont="1" applyFill="1" applyBorder="1" applyAlignment="1">
      <alignment horizontal="center" vertical="center" wrapText="1"/>
    </xf>
    <xf numFmtId="2" fontId="7" fillId="2" borderId="116" xfId="14" applyNumberFormat="1" applyFont="1" applyFill="1" applyBorder="1" applyAlignment="1">
      <alignment horizontal="center" vertical="center" wrapText="1"/>
    </xf>
    <xf numFmtId="0" fontId="7" fillId="2" borderId="116" xfId="0" applyFont="1" applyFill="1" applyBorder="1" applyAlignment="1">
      <alignment vertical="center" wrapText="1"/>
    </xf>
    <xf numFmtId="0" fontId="28" fillId="2" borderId="116" xfId="0" applyFont="1" applyFill="1" applyBorder="1" applyAlignment="1">
      <alignment horizontal="center" vertical="center"/>
    </xf>
    <xf numFmtId="168" fontId="7" fillId="2" borderId="116" xfId="0" applyNumberFormat="1" applyFont="1" applyFill="1" applyBorder="1" applyAlignment="1">
      <alignment horizontal="center" vertical="center"/>
    </xf>
    <xf numFmtId="0" fontId="7" fillId="2" borderId="118" xfId="0" applyFont="1" applyFill="1" applyBorder="1" applyAlignment="1">
      <alignment horizontal="center" vertical="center"/>
    </xf>
    <xf numFmtId="0" fontId="7" fillId="2" borderId="118" xfId="14" applyFont="1" applyFill="1" applyBorder="1" applyAlignment="1">
      <alignment vertical="center" wrapText="1"/>
    </xf>
    <xf numFmtId="0" fontId="7" fillId="2" borderId="118" xfId="14" applyFont="1" applyFill="1" applyBorder="1" applyAlignment="1">
      <alignment horizontal="center" vertical="center" wrapText="1"/>
    </xf>
    <xf numFmtId="2" fontId="7" fillId="2" borderId="118" xfId="14" applyNumberFormat="1" applyFont="1" applyFill="1" applyBorder="1" applyAlignment="1">
      <alignment horizontal="center" vertical="center" wrapText="1"/>
    </xf>
    <xf numFmtId="168" fontId="7" fillId="2" borderId="118" xfId="0" applyNumberFormat="1" applyFont="1" applyFill="1" applyBorder="1" applyAlignment="1">
      <alignment horizontal="center" vertical="center"/>
    </xf>
    <xf numFmtId="49" fontId="7" fillId="2" borderId="118" xfId="6" applyNumberFormat="1" applyFont="1" applyFill="1" applyBorder="1" applyAlignment="1">
      <alignment horizontal="center" vertical="center" wrapText="1"/>
    </xf>
    <xf numFmtId="172" fontId="7" fillId="0" borderId="0" xfId="6" applyNumberFormat="1" applyFont="1" applyBorder="1" applyAlignment="1">
      <alignment horizontal="center" vertical="center"/>
    </xf>
    <xf numFmtId="0" fontId="36" fillId="0" borderId="99" xfId="1" applyFont="1" applyBorder="1" applyAlignment="1">
      <alignment horizontal="left" vertical="center" wrapText="1"/>
    </xf>
    <xf numFmtId="0" fontId="7" fillId="2" borderId="118" xfId="14" applyFont="1" applyFill="1" applyBorder="1" applyAlignment="1">
      <alignment horizontal="center" vertical="center"/>
    </xf>
    <xf numFmtId="168" fontId="7" fillId="2" borderId="118" xfId="14" applyNumberFormat="1" applyFont="1" applyFill="1" applyBorder="1" applyAlignment="1">
      <alignment horizontal="center" vertical="center"/>
    </xf>
    <xf numFmtId="0" fontId="26" fillId="2" borderId="118" xfId="14" applyFont="1" applyFill="1" applyBorder="1" applyAlignment="1">
      <alignment horizontal="left" vertical="center" wrapText="1"/>
    </xf>
    <xf numFmtId="2" fontId="7" fillId="0" borderId="118" xfId="17" applyNumberFormat="1" applyFont="1" applyBorder="1" applyAlignment="1">
      <alignment horizontal="center" vertical="center" wrapText="1"/>
    </xf>
    <xf numFmtId="0" fontId="7" fillId="2" borderId="116" xfId="0" applyFont="1" applyFill="1" applyBorder="1"/>
    <xf numFmtId="0" fontId="7" fillId="2" borderId="116" xfId="0" applyFont="1" applyFill="1" applyBorder="1" applyAlignment="1">
      <alignment horizontal="center" vertical="center" wrapText="1"/>
    </xf>
    <xf numFmtId="49" fontId="7" fillId="0" borderId="126" xfId="6" applyNumberFormat="1" applyFont="1" applyBorder="1" applyAlignment="1">
      <alignment horizontal="center" vertical="center" wrapText="1"/>
    </xf>
    <xf numFmtId="0" fontId="7" fillId="0" borderId="132" xfId="0" applyFont="1" applyBorder="1" applyAlignment="1">
      <alignment horizontal="center" vertical="center"/>
    </xf>
    <xf numFmtId="0" fontId="7" fillId="0" borderId="126" xfId="0" applyFont="1" applyBorder="1" applyAlignment="1">
      <alignment horizontal="center" vertical="center"/>
    </xf>
    <xf numFmtId="2" fontId="7" fillId="0" borderId="115" xfId="0" applyNumberFormat="1" applyFont="1" applyBorder="1" applyAlignment="1">
      <alignment horizontal="right" vertical="center" wrapText="1"/>
    </xf>
    <xf numFmtId="169" fontId="7" fillId="0" borderId="126" xfId="9" applyNumberFormat="1" applyFont="1" applyBorder="1" applyAlignment="1">
      <alignment horizontal="center" vertical="center" wrapText="1"/>
    </xf>
    <xf numFmtId="2" fontId="7" fillId="0" borderId="115" xfId="6" applyNumberFormat="1" applyFont="1" applyBorder="1" applyAlignment="1">
      <alignment horizontal="right" vertical="center" wrapText="1"/>
    </xf>
    <xf numFmtId="0" fontId="7" fillId="0" borderId="118" xfId="0" applyFont="1" applyFill="1" applyBorder="1" applyAlignment="1">
      <alignment horizontal="center" vertical="center"/>
    </xf>
    <xf numFmtId="168" fontId="7" fillId="0" borderId="118" xfId="0" applyNumberFormat="1" applyFont="1" applyFill="1" applyBorder="1" applyAlignment="1">
      <alignment horizontal="center" vertical="center"/>
    </xf>
    <xf numFmtId="0" fontId="7" fillId="0" borderId="118" xfId="0" applyFont="1" applyFill="1" applyBorder="1" applyAlignment="1">
      <alignment horizontal="left" vertical="center" wrapText="1"/>
    </xf>
    <xf numFmtId="168" fontId="7" fillId="0" borderId="118" xfId="23" applyNumberFormat="1" applyFont="1" applyFill="1" applyBorder="1" applyAlignment="1" applyProtection="1">
      <alignment horizontal="center" vertical="center" wrapText="1"/>
    </xf>
    <xf numFmtId="0" fontId="7" fillId="0" borderId="102" xfId="0" applyFont="1" applyFill="1" applyBorder="1" applyAlignment="1">
      <alignment horizontal="left" vertical="center" wrapText="1"/>
    </xf>
    <xf numFmtId="0" fontId="7" fillId="0" borderId="115" xfId="0" applyFont="1" applyFill="1" applyBorder="1" applyAlignment="1">
      <alignment horizontal="left" vertical="center" wrapText="1"/>
    </xf>
    <xf numFmtId="0" fontId="27" fillId="0" borderId="133" xfId="0" applyFont="1" applyFill="1" applyBorder="1" applyAlignment="1">
      <alignment horizontal="left" vertical="center" wrapText="1"/>
    </xf>
    <xf numFmtId="2" fontId="7" fillId="0" borderId="118" xfId="0" applyNumberFormat="1" applyFont="1" applyFill="1" applyBorder="1" applyAlignment="1">
      <alignment horizontal="center" vertical="center"/>
    </xf>
    <xf numFmtId="0" fontId="7" fillId="0" borderId="118" xfId="0" applyFont="1" applyFill="1" applyBorder="1" applyAlignment="1" applyProtection="1">
      <alignment horizontal="left" vertical="center" wrapText="1"/>
    </xf>
    <xf numFmtId="0" fontId="7" fillId="0" borderId="131" xfId="23" applyNumberFormat="1" applyFont="1" applyFill="1" applyBorder="1" applyAlignment="1" applyProtection="1">
      <alignment horizontal="center" vertical="center" wrapText="1"/>
    </xf>
    <xf numFmtId="2" fontId="7" fillId="0" borderId="118" xfId="0" applyNumberFormat="1" applyFont="1" applyFill="1" applyBorder="1" applyAlignment="1">
      <alignment horizontal="center" vertical="center" wrapText="1"/>
    </xf>
    <xf numFmtId="0" fontId="7" fillId="0" borderId="118" xfId="23" applyNumberFormat="1" applyFont="1" applyFill="1" applyBorder="1" applyAlignment="1" applyProtection="1">
      <alignment horizontal="left" vertical="center" wrapText="1"/>
    </xf>
    <xf numFmtId="2" fontId="7" fillId="0" borderId="118" xfId="23" applyNumberFormat="1" applyFont="1" applyFill="1" applyBorder="1" applyAlignment="1" applyProtection="1">
      <alignment horizontal="center" vertical="center" wrapText="1"/>
    </xf>
    <xf numFmtId="0" fontId="7" fillId="0" borderId="115" xfId="23" applyNumberFormat="1" applyFont="1" applyFill="1" applyBorder="1" applyAlignment="1" applyProtection="1">
      <alignment horizontal="left" vertical="center" wrapText="1"/>
    </xf>
    <xf numFmtId="0" fontId="7" fillId="0" borderId="110" xfId="23" applyNumberFormat="1" applyFont="1" applyFill="1" applyBorder="1" applyAlignment="1" applyProtection="1">
      <alignment horizontal="center" vertical="center" wrapText="1"/>
    </xf>
    <xf numFmtId="2" fontId="7" fillId="0" borderId="115" xfId="23" applyNumberFormat="1" applyFont="1" applyFill="1" applyBorder="1" applyAlignment="1" applyProtection="1">
      <alignment horizontal="center" vertical="center" wrapText="1"/>
    </xf>
    <xf numFmtId="2" fontId="7" fillId="0" borderId="134" xfId="14" applyNumberFormat="1" applyFont="1" applyFill="1" applyBorder="1" applyAlignment="1">
      <alignment horizontal="center" vertical="center" wrapText="1"/>
    </xf>
    <xf numFmtId="2" fontId="7" fillId="2" borderId="134" xfId="0" applyNumberFormat="1" applyFont="1" applyFill="1" applyBorder="1" applyAlignment="1">
      <alignment horizontal="center" vertical="center" wrapText="1"/>
    </xf>
    <xf numFmtId="0" fontId="7" fillId="2" borderId="134" xfId="0" applyFont="1" applyFill="1" applyBorder="1" applyAlignment="1">
      <alignment horizontal="center" wrapText="1"/>
    </xf>
    <xf numFmtId="2" fontId="7" fillId="0" borderId="126" xfId="14" applyNumberFormat="1" applyFont="1" applyFill="1" applyBorder="1" applyAlignment="1">
      <alignment horizontal="center" vertical="center" wrapText="1"/>
    </xf>
    <xf numFmtId="2" fontId="7" fillId="0" borderId="132" xfId="14" applyNumberFormat="1" applyFont="1" applyFill="1" applyBorder="1" applyAlignment="1">
      <alignment horizontal="center" vertical="center" wrapText="1"/>
    </xf>
    <xf numFmtId="2" fontId="7" fillId="2" borderId="126" xfId="0" applyNumberFormat="1" applyFont="1" applyFill="1" applyBorder="1" applyAlignment="1">
      <alignment horizontal="center" vertical="center" wrapText="1"/>
    </xf>
    <xf numFmtId="2" fontId="7" fillId="0" borderId="135" xfId="14" applyNumberFormat="1" applyFont="1" applyFill="1" applyBorder="1" applyAlignment="1">
      <alignment horizontal="center" vertical="center" wrapText="1"/>
    </xf>
    <xf numFmtId="169" fontId="7" fillId="0" borderId="134" xfId="9" applyNumberFormat="1" applyFont="1" applyBorder="1" applyAlignment="1">
      <alignment horizontal="center" vertical="center" wrapText="1"/>
    </xf>
    <xf numFmtId="0" fontId="36" fillId="0" borderId="133" xfId="23" applyNumberFormat="1" applyFont="1" applyFill="1" applyBorder="1" applyAlignment="1" applyProtection="1">
      <alignment horizontal="center" vertical="center" wrapText="1"/>
    </xf>
    <xf numFmtId="0" fontId="7" fillId="0" borderId="118" xfId="23" applyNumberFormat="1" applyFont="1" applyFill="1" applyBorder="1" applyAlignment="1" applyProtection="1">
      <alignment horizontal="center" vertical="center"/>
    </xf>
    <xf numFmtId="168" fontId="7" fillId="0" borderId="118" xfId="23" applyNumberFormat="1" applyFont="1" applyFill="1" applyBorder="1" applyAlignment="1" applyProtection="1">
      <alignment horizontal="center" vertical="center"/>
    </xf>
    <xf numFmtId="0" fontId="7" fillId="2" borderId="118" xfId="23" applyNumberFormat="1" applyFont="1" applyFill="1" applyBorder="1" applyAlignment="1" applyProtection="1">
      <alignment horizontal="left" vertical="center" wrapText="1"/>
    </xf>
    <xf numFmtId="0" fontId="7" fillId="2" borderId="118" xfId="23" applyNumberFormat="1" applyFont="1" applyFill="1" applyBorder="1" applyAlignment="1" applyProtection="1">
      <alignment horizontal="center" vertical="center"/>
    </xf>
    <xf numFmtId="168" fontId="7" fillId="2" borderId="118" xfId="23" applyNumberFormat="1" applyFont="1" applyFill="1" applyBorder="1" applyAlignment="1" applyProtection="1">
      <alignment horizontal="center" vertical="center"/>
    </xf>
    <xf numFmtId="0" fontId="36" fillId="0" borderId="118" xfId="23" applyNumberFormat="1" applyFont="1" applyFill="1" applyBorder="1" applyAlignment="1" applyProtection="1">
      <alignment horizontal="center" vertical="center" wrapText="1"/>
    </xf>
    <xf numFmtId="0" fontId="7" fillId="2" borderId="116" xfId="23" applyNumberFormat="1" applyFont="1" applyFill="1" applyBorder="1" applyAlignment="1" applyProtection="1">
      <alignment horizontal="left" vertical="center" wrapText="1"/>
    </xf>
    <xf numFmtId="0" fontId="7" fillId="0" borderId="131" xfId="0" applyFont="1" applyFill="1" applyBorder="1" applyAlignment="1">
      <alignment horizontal="center" vertical="center"/>
    </xf>
    <xf numFmtId="2" fontId="7" fillId="0" borderId="0" xfId="6" applyNumberFormat="1" applyFont="1" applyBorder="1" applyAlignment="1">
      <alignment horizontal="center" vertical="center" wrapText="1"/>
    </xf>
    <xf numFmtId="2" fontId="7" fillId="0" borderId="131" xfId="23" applyNumberFormat="1" applyFont="1" applyFill="1" applyBorder="1" applyAlignment="1" applyProtection="1">
      <alignment horizontal="center" vertical="center" wrapText="1"/>
    </xf>
    <xf numFmtId="2" fontId="7" fillId="0" borderId="118" xfId="6" applyNumberFormat="1" applyFont="1" applyBorder="1" applyAlignment="1">
      <alignment horizontal="center" vertical="center" wrapText="1"/>
    </xf>
    <xf numFmtId="2" fontId="7" fillId="0" borderId="136" xfId="6" applyNumberFormat="1" applyFont="1" applyBorder="1" applyAlignment="1">
      <alignment horizontal="center" vertical="center" wrapText="1"/>
    </xf>
    <xf numFmtId="0" fontId="7" fillId="0" borderId="116" xfId="23" applyNumberFormat="1" applyFont="1" applyFill="1" applyBorder="1" applyAlignment="1" applyProtection="1">
      <alignment horizontal="left" vertical="center" wrapText="1"/>
    </xf>
    <xf numFmtId="0" fontId="7" fillId="0" borderId="137" xfId="23" applyNumberFormat="1" applyFont="1" applyFill="1" applyBorder="1" applyAlignment="1" applyProtection="1">
      <alignment horizontal="center" vertical="center" wrapText="1"/>
    </xf>
    <xf numFmtId="2" fontId="7" fillId="0" borderId="137" xfId="23" applyNumberFormat="1" applyFont="1" applyFill="1" applyBorder="1" applyAlignment="1" applyProtection="1">
      <alignment horizontal="center" vertical="center" wrapText="1"/>
    </xf>
    <xf numFmtId="0" fontId="7" fillId="0" borderId="126" xfId="23" applyNumberFormat="1" applyFont="1" applyFill="1" applyBorder="1" applyAlignment="1" applyProtection="1">
      <alignment horizontal="left" vertical="center" wrapText="1"/>
    </xf>
    <xf numFmtId="0" fontId="7" fillId="0" borderId="126" xfId="23" applyNumberFormat="1" applyFont="1" applyFill="1" applyBorder="1" applyAlignment="1" applyProtection="1">
      <alignment horizontal="center" vertical="center" wrapText="1"/>
    </xf>
    <xf numFmtId="2" fontId="7" fillId="0" borderId="126" xfId="23" applyNumberFormat="1" applyFont="1" applyFill="1" applyBorder="1" applyAlignment="1" applyProtection="1">
      <alignment horizontal="center" vertical="center" wrapText="1"/>
    </xf>
    <xf numFmtId="0" fontId="7" fillId="0" borderId="126" xfId="14" applyFont="1" applyFill="1" applyBorder="1" applyAlignment="1">
      <alignment vertical="center" wrapText="1"/>
    </xf>
    <xf numFmtId="0" fontId="7" fillId="0" borderId="126" xfId="14" applyFont="1" applyFill="1" applyBorder="1" applyAlignment="1">
      <alignment horizontal="center" vertical="center" wrapText="1"/>
    </xf>
    <xf numFmtId="2" fontId="7" fillId="0" borderId="126" xfId="0" applyNumberFormat="1" applyFont="1" applyFill="1" applyBorder="1" applyAlignment="1">
      <alignment horizontal="center" vertical="center" wrapText="1"/>
    </xf>
    <xf numFmtId="0" fontId="7" fillId="2" borderId="131" xfId="23" applyNumberFormat="1" applyFont="1" applyFill="1" applyBorder="1" applyAlignment="1" applyProtection="1">
      <alignment horizontal="center" vertical="center" wrapText="1"/>
    </xf>
    <xf numFmtId="2" fontId="7" fillId="2" borderId="131" xfId="23" applyNumberFormat="1" applyFont="1" applyFill="1" applyBorder="1" applyAlignment="1" applyProtection="1">
      <alignment horizontal="center" vertical="center" wrapText="1"/>
    </xf>
    <xf numFmtId="0" fontId="26" fillId="0" borderId="116" xfId="23" applyNumberFormat="1" applyFont="1" applyFill="1" applyBorder="1" applyAlignment="1" applyProtection="1">
      <alignment horizontal="left" vertical="center" wrapText="1"/>
    </xf>
    <xf numFmtId="2" fontId="7" fillId="0" borderId="116" xfId="23" applyNumberFormat="1" applyFont="1" applyFill="1" applyBorder="1" applyAlignment="1" applyProtection="1">
      <alignment horizontal="center" vertical="center" wrapText="1"/>
    </xf>
    <xf numFmtId="0" fontId="36" fillId="0" borderId="106" xfId="0" applyFont="1" applyFill="1" applyBorder="1" applyAlignment="1">
      <alignment vertical="center" wrapText="1"/>
    </xf>
    <xf numFmtId="0" fontId="36" fillId="0" borderId="126" xfId="0" applyFont="1" applyFill="1" applyBorder="1" applyAlignment="1">
      <alignment vertical="center" wrapText="1"/>
    </xf>
    <xf numFmtId="172" fontId="7" fillId="0" borderId="126" xfId="6" applyNumberFormat="1" applyFont="1" applyBorder="1" applyAlignment="1">
      <alignment horizontal="center" vertical="center"/>
    </xf>
    <xf numFmtId="2" fontId="7" fillId="0" borderId="116" xfId="17" applyNumberFormat="1" applyFont="1" applyBorder="1" applyAlignment="1">
      <alignment horizontal="center" vertical="center" wrapText="1"/>
    </xf>
    <xf numFmtId="169" fontId="7" fillId="0" borderId="111" xfId="9" applyNumberFormat="1" applyFont="1" applyBorder="1" applyAlignment="1">
      <alignment horizontal="center" vertical="center" wrapText="1"/>
    </xf>
    <xf numFmtId="0" fontId="7" fillId="0" borderId="118" xfId="14" applyFont="1" applyFill="1" applyBorder="1" applyAlignment="1">
      <alignment vertical="center" wrapText="1"/>
    </xf>
    <xf numFmtId="0" fontId="7" fillId="0" borderId="118" xfId="14" applyFont="1" applyFill="1" applyBorder="1" applyAlignment="1">
      <alignment horizontal="center" vertical="center" wrapText="1"/>
    </xf>
    <xf numFmtId="168" fontId="7" fillId="0" borderId="118" xfId="14" applyNumberFormat="1" applyFont="1" applyFill="1" applyBorder="1" applyAlignment="1">
      <alignment horizontal="center" vertical="center" wrapText="1"/>
    </xf>
    <xf numFmtId="2" fontId="7" fillId="0" borderId="118" xfId="14" applyNumberFormat="1" applyFont="1" applyFill="1" applyBorder="1" applyAlignment="1">
      <alignment horizontal="center" vertical="center" wrapText="1"/>
    </xf>
    <xf numFmtId="0" fontId="7" fillId="0" borderId="118" xfId="0" applyFont="1" applyFill="1" applyBorder="1" applyAlignment="1">
      <alignment horizontal="left" vertical="center"/>
    </xf>
    <xf numFmtId="168" fontId="7" fillId="0" borderId="118" xfId="19" applyNumberFormat="1" applyFont="1" applyFill="1" applyBorder="1" applyAlignment="1">
      <alignment horizontal="center" vertical="center" wrapText="1"/>
    </xf>
    <xf numFmtId="2" fontId="7" fillId="0" borderId="111" xfId="17" applyNumberFormat="1" applyFont="1" applyBorder="1" applyAlignment="1">
      <alignment horizontal="center" vertical="center" wrapText="1"/>
    </xf>
    <xf numFmtId="0" fontId="7" fillId="0" borderId="126" xfId="14" applyNumberFormat="1" applyFont="1" applyFill="1" applyBorder="1" applyAlignment="1" applyProtection="1">
      <alignment horizontal="center" vertical="center" wrapText="1"/>
    </xf>
    <xf numFmtId="49" fontId="7" fillId="0" borderId="138" xfId="17" applyNumberFormat="1" applyFont="1" applyBorder="1" applyAlignment="1">
      <alignment horizontal="center" vertical="center" wrapText="1"/>
    </xf>
    <xf numFmtId="0" fontId="27" fillId="0" borderId="139" xfId="0" applyFont="1" applyBorder="1" applyAlignment="1">
      <alignment vertical="center" wrapText="1"/>
    </xf>
    <xf numFmtId="0" fontId="8" fillId="0" borderId="129" xfId="0" applyFont="1" applyBorder="1" applyAlignment="1">
      <alignment vertical="center" wrapText="1"/>
    </xf>
    <xf numFmtId="0" fontId="8" fillId="0" borderId="0" xfId="0" applyFont="1" applyBorder="1" applyAlignment="1">
      <alignment vertical="center" wrapText="1"/>
    </xf>
    <xf numFmtId="0" fontId="8" fillId="0" borderId="80" xfId="0" applyFont="1" applyBorder="1" applyAlignment="1">
      <alignment vertical="center" wrapText="1"/>
    </xf>
    <xf numFmtId="2" fontId="7" fillId="0" borderId="41" xfId="6" applyNumberFormat="1" applyFont="1" applyBorder="1" applyAlignment="1">
      <alignment horizontal="center" vertical="center" wrapText="1"/>
    </xf>
    <xf numFmtId="169" fontId="7" fillId="0" borderId="41" xfId="9" applyNumberFormat="1" applyFont="1" applyBorder="1" applyAlignment="1">
      <alignment horizontal="center" vertical="center" wrapText="1"/>
    </xf>
    <xf numFmtId="2" fontId="7" fillId="0" borderId="41" xfId="0" applyNumberFormat="1" applyFont="1" applyBorder="1" applyAlignment="1">
      <alignment horizontal="center" vertical="center" wrapText="1"/>
    </xf>
    <xf numFmtId="2" fontId="7" fillId="0" borderId="129" xfId="0" applyNumberFormat="1" applyFont="1" applyBorder="1" applyAlignment="1">
      <alignment horizontal="center" vertical="center" wrapText="1"/>
    </xf>
    <xf numFmtId="0" fontId="7" fillId="0" borderId="126" xfId="0" applyFont="1" applyFill="1" applyBorder="1" applyAlignment="1">
      <alignment horizontal="left" vertical="center" wrapText="1"/>
    </xf>
    <xf numFmtId="0" fontId="7" fillId="0" borderId="126" xfId="0" applyFont="1" applyFill="1" applyBorder="1" applyAlignment="1">
      <alignment horizontal="center" vertical="center"/>
    </xf>
    <xf numFmtId="168" fontId="7" fillId="0" borderId="126" xfId="0" applyNumberFormat="1" applyFont="1" applyFill="1" applyBorder="1" applyAlignment="1">
      <alignment horizontal="center" vertical="center"/>
    </xf>
    <xf numFmtId="2" fontId="7" fillId="0" borderId="126" xfId="6" applyNumberFormat="1" applyFont="1" applyBorder="1" applyAlignment="1">
      <alignment horizontal="center" vertical="center" wrapText="1"/>
    </xf>
    <xf numFmtId="2" fontId="7" fillId="0" borderId="126" xfId="0" applyNumberFormat="1" applyFont="1" applyBorder="1" applyAlignment="1">
      <alignment horizontal="center" vertical="center" wrapText="1"/>
    </xf>
    <xf numFmtId="2" fontId="7" fillId="0" borderId="126" xfId="0" applyNumberFormat="1" applyFont="1" applyBorder="1" applyAlignment="1">
      <alignment horizontal="right" vertical="center" wrapText="1"/>
    </xf>
    <xf numFmtId="2" fontId="7" fillId="0" borderId="126" xfId="6" applyNumberFormat="1" applyFont="1" applyBorder="1" applyAlignment="1">
      <alignment horizontal="right" vertical="center" wrapText="1"/>
    </xf>
    <xf numFmtId="0" fontId="7" fillId="0" borderId="131" xfId="0" applyFont="1" applyFill="1" applyBorder="1" applyAlignment="1">
      <alignment horizontal="center" vertical="center" wrapText="1"/>
    </xf>
    <xf numFmtId="0" fontId="7" fillId="0" borderId="126" xfId="14" applyFont="1" applyFill="1" applyBorder="1" applyAlignment="1">
      <alignment horizontal="center" vertical="center"/>
    </xf>
    <xf numFmtId="0" fontId="7" fillId="0" borderId="126" xfId="14" applyFont="1" applyBorder="1" applyAlignment="1">
      <alignment vertical="center" wrapText="1"/>
    </xf>
    <xf numFmtId="0" fontId="7" fillId="0" borderId="126" xfId="14" applyFont="1" applyFill="1" applyBorder="1" applyAlignment="1">
      <alignment vertical="top" wrapText="1"/>
    </xf>
    <xf numFmtId="0" fontId="7" fillId="0" borderId="118" xfId="0" applyFont="1" applyFill="1" applyBorder="1" applyAlignment="1">
      <alignment horizontal="center" vertical="center" wrapText="1"/>
    </xf>
    <xf numFmtId="0" fontId="26" fillId="0" borderId="118" xfId="14" applyFont="1" applyFill="1" applyBorder="1" applyAlignment="1">
      <alignment horizontal="left" vertical="center" wrapText="1"/>
    </xf>
    <xf numFmtId="0" fontId="7" fillId="0" borderId="118" xfId="14" applyNumberFormat="1" applyFont="1" applyFill="1" applyBorder="1" applyAlignment="1" applyProtection="1">
      <alignment horizontal="left" vertical="center" wrapText="1"/>
    </xf>
    <xf numFmtId="2" fontId="7" fillId="0" borderId="118" xfId="14" applyNumberFormat="1" applyFont="1" applyFill="1" applyBorder="1" applyAlignment="1" applyProtection="1">
      <alignment horizontal="center" vertical="center" wrapText="1"/>
    </xf>
    <xf numFmtId="0" fontId="7" fillId="0" borderId="118" xfId="14" applyNumberFormat="1" applyFont="1" applyFill="1" applyBorder="1" applyAlignment="1" applyProtection="1">
      <alignment horizontal="center" vertical="center" wrapText="1"/>
    </xf>
    <xf numFmtId="0" fontId="36" fillId="0" borderId="83" xfId="0" applyFont="1" applyBorder="1" applyAlignment="1">
      <alignment vertical="center" wrapText="1"/>
    </xf>
    <xf numFmtId="0" fontId="7" fillId="0" borderId="126" xfId="14" applyFont="1" applyFill="1" applyBorder="1" applyAlignment="1">
      <alignment horizontal="left" vertical="center" wrapText="1"/>
    </xf>
    <xf numFmtId="2" fontId="7" fillId="0" borderId="118" xfId="17" applyNumberFormat="1" applyFont="1" applyBorder="1" applyAlignment="1">
      <alignment horizontal="center" vertical="center"/>
    </xf>
    <xf numFmtId="2" fontId="7" fillId="0" borderId="118" xfId="7" applyNumberFormat="1" applyFont="1" applyBorder="1" applyAlignment="1">
      <alignment horizontal="center" vertical="center" wrapText="1"/>
    </xf>
    <xf numFmtId="173" fontId="7" fillId="0" borderId="118" xfId="17" applyNumberFormat="1" applyFont="1" applyBorder="1" applyAlignment="1">
      <alignment horizontal="center" vertical="center"/>
    </xf>
    <xf numFmtId="2" fontId="7" fillId="2" borderId="118" xfId="13" applyNumberFormat="1" applyFont="1" applyFill="1" applyBorder="1" applyAlignment="1">
      <alignment horizontal="left" vertical="center" wrapText="1"/>
    </xf>
    <xf numFmtId="0" fontId="7" fillId="2" borderId="118" xfId="13" applyFont="1" applyFill="1" applyBorder="1" applyAlignment="1">
      <alignment horizontal="center" vertical="center" wrapText="1"/>
    </xf>
    <xf numFmtId="2" fontId="7" fillId="2" borderId="118" xfId="13" applyNumberFormat="1" applyFont="1" applyFill="1" applyBorder="1" applyAlignment="1">
      <alignment horizontal="center" vertical="center" wrapText="1"/>
    </xf>
    <xf numFmtId="0" fontId="7" fillId="2" borderId="118" xfId="17" applyFont="1" applyFill="1" applyBorder="1" applyAlignment="1">
      <alignment horizontal="left" vertical="center" wrapText="1"/>
    </xf>
    <xf numFmtId="0" fontId="7" fillId="2" borderId="118" xfId="17" applyFont="1" applyFill="1" applyBorder="1" applyAlignment="1">
      <alignment horizontal="center" vertical="center" wrapText="1"/>
    </xf>
    <xf numFmtId="2" fontId="7" fillId="2" borderId="118" xfId="17" applyNumberFormat="1" applyFont="1" applyFill="1" applyBorder="1" applyAlignment="1">
      <alignment horizontal="left" vertical="center" wrapText="1"/>
    </xf>
    <xf numFmtId="2" fontId="7" fillId="2" borderId="118" xfId="17" applyNumberFormat="1" applyFont="1" applyFill="1" applyBorder="1" applyAlignment="1">
      <alignment horizontal="center" vertical="center" wrapText="1"/>
    </xf>
    <xf numFmtId="0" fontId="7" fillId="2" borderId="115" xfId="17" applyFont="1" applyFill="1" applyBorder="1" applyAlignment="1">
      <alignment horizontal="left" vertical="center" wrapText="1"/>
    </xf>
    <xf numFmtId="0" fontId="7" fillId="2" borderId="115" xfId="17" applyFont="1" applyFill="1" applyBorder="1" applyAlignment="1">
      <alignment horizontal="center" vertical="center" wrapText="1"/>
    </xf>
    <xf numFmtId="2" fontId="7" fillId="2" borderId="115" xfId="13" applyNumberFormat="1" applyFont="1" applyFill="1" applyBorder="1" applyAlignment="1">
      <alignment horizontal="center" vertical="center" wrapText="1"/>
    </xf>
    <xf numFmtId="0" fontId="27" fillId="2" borderId="126" xfId="14" applyFont="1" applyFill="1" applyBorder="1" applyAlignment="1">
      <alignment horizontal="left" vertical="center" wrapText="1"/>
    </xf>
    <xf numFmtId="0" fontId="3" fillId="0" borderId="83" xfId="14" applyFont="1" applyFill="1" applyBorder="1" applyAlignment="1">
      <alignment horizontal="left" vertical="center" wrapText="1"/>
    </xf>
    <xf numFmtId="168" fontId="7" fillId="2" borderId="126" xfId="14" applyNumberFormat="1" applyFont="1" applyFill="1" applyBorder="1" applyAlignment="1">
      <alignment horizontal="left" vertical="center" wrapText="1"/>
    </xf>
    <xf numFmtId="2" fontId="7" fillId="0" borderId="126" xfId="6" applyNumberFormat="1" applyFont="1" applyBorder="1" applyAlignment="1">
      <alignment horizontal="center" vertical="center"/>
    </xf>
    <xf numFmtId="0" fontId="7" fillId="2" borderId="126" xfId="14" applyFont="1" applyFill="1" applyBorder="1" applyAlignment="1">
      <alignment horizontal="left" vertical="center" wrapText="1"/>
    </xf>
    <xf numFmtId="0" fontId="7" fillId="2" borderId="126" xfId="14" applyFont="1" applyFill="1" applyBorder="1" applyAlignment="1">
      <alignment horizontal="center" vertical="center" wrapText="1"/>
    </xf>
    <xf numFmtId="2" fontId="7" fillId="2" borderId="126" xfId="14" applyNumberFormat="1" applyFont="1" applyFill="1" applyBorder="1" applyAlignment="1">
      <alignment horizontal="left" vertical="center" wrapText="1"/>
    </xf>
    <xf numFmtId="0" fontId="7" fillId="2" borderId="126" xfId="14" applyFont="1" applyFill="1" applyBorder="1" applyAlignment="1">
      <alignment horizontal="right" vertical="center" wrapText="1"/>
    </xf>
    <xf numFmtId="1" fontId="7" fillId="0" borderId="126" xfId="0" applyNumberFormat="1" applyFont="1" applyBorder="1" applyAlignment="1">
      <alignment horizontal="center" vertical="center" wrapText="1"/>
    </xf>
    <xf numFmtId="2" fontId="7" fillId="0" borderId="126" xfId="0" applyNumberFormat="1" applyFont="1" applyBorder="1" applyAlignment="1">
      <alignment horizontal="center" vertical="center"/>
    </xf>
    <xf numFmtId="0" fontId="36" fillId="2" borderId="129" xfId="14" applyFont="1" applyFill="1" applyBorder="1" applyAlignment="1">
      <alignment horizontal="center" vertical="center" wrapText="1"/>
    </xf>
    <xf numFmtId="0" fontId="7" fillId="0" borderId="116" xfId="0" applyFont="1" applyBorder="1" applyAlignment="1">
      <alignment horizontal="center" vertical="center"/>
    </xf>
    <xf numFmtId="0" fontId="7" fillId="0" borderId="126" xfId="0" applyFont="1" applyFill="1" applyBorder="1" applyAlignment="1">
      <alignment horizontal="left" vertical="center"/>
    </xf>
    <xf numFmtId="0" fontId="7" fillId="0" borderId="126" xfId="14" applyNumberFormat="1" applyFont="1" applyFill="1" applyBorder="1" applyAlignment="1" applyProtection="1">
      <alignment horizontal="left" vertical="center" wrapText="1"/>
    </xf>
    <xf numFmtId="2" fontId="7" fillId="0" borderId="126" xfId="14" applyNumberFormat="1" applyFont="1" applyFill="1" applyBorder="1" applyAlignment="1" applyProtection="1">
      <alignment horizontal="left" vertical="center" wrapText="1"/>
    </xf>
    <xf numFmtId="0" fontId="36" fillId="0" borderId="100" xfId="8" applyFont="1" applyBorder="1" applyAlignment="1">
      <alignment horizontal="center" vertical="center" wrapText="1"/>
    </xf>
    <xf numFmtId="49" fontId="7" fillId="0" borderId="118" xfId="6" applyNumberFormat="1" applyFont="1" applyBorder="1" applyAlignment="1">
      <alignment horizontal="center" vertical="center" wrapText="1"/>
    </xf>
    <xf numFmtId="173" fontId="7" fillId="0" borderId="115" xfId="17" applyNumberFormat="1" applyFont="1" applyBorder="1" applyAlignment="1">
      <alignment horizontal="center" vertical="center"/>
    </xf>
    <xf numFmtId="0" fontId="36" fillId="0" borderId="129" xfId="8" applyFont="1" applyBorder="1" applyAlignment="1">
      <alignment horizontal="center" vertical="center" wrapText="1"/>
    </xf>
    <xf numFmtId="1" fontId="7" fillId="0" borderId="126" xfId="14" applyNumberFormat="1" applyFont="1" applyFill="1" applyBorder="1" applyAlignment="1">
      <alignment horizontal="left" vertical="center" wrapText="1"/>
    </xf>
    <xf numFmtId="0" fontId="7" fillId="0" borderId="116" xfId="0" applyFont="1" applyFill="1" applyBorder="1" applyAlignment="1">
      <alignment horizontal="left" vertical="center" wrapText="1"/>
    </xf>
    <xf numFmtId="0" fontId="7" fillId="0" borderId="118" xfId="14" applyFont="1" applyFill="1" applyBorder="1" applyAlignment="1">
      <alignment horizontal="left" vertical="center" wrapText="1"/>
    </xf>
    <xf numFmtId="0" fontId="7" fillId="0" borderId="116" xfId="14" applyFont="1" applyFill="1" applyBorder="1" applyAlignment="1">
      <alignment horizontal="left" vertical="center" wrapText="1"/>
    </xf>
    <xf numFmtId="0" fontId="36" fillId="0" borderId="140" xfId="14" applyFont="1" applyFill="1" applyBorder="1" applyAlignment="1">
      <alignment horizontal="center" vertical="center" wrapText="1"/>
    </xf>
    <xf numFmtId="2" fontId="24" fillId="0" borderId="126" xfId="6" applyNumberFormat="1" applyFont="1" applyBorder="1" applyAlignment="1">
      <alignment horizontal="center" vertical="center" wrapText="1"/>
    </xf>
    <xf numFmtId="49" fontId="7" fillId="0" borderId="131" xfId="6" applyNumberFormat="1" applyFont="1" applyBorder="1" applyAlignment="1">
      <alignment horizontal="center" vertical="center" wrapText="1"/>
    </xf>
    <xf numFmtId="0" fontId="36" fillId="0" borderId="141" xfId="14" applyFont="1" applyFill="1" applyBorder="1" applyAlignment="1">
      <alignment horizontal="center" vertical="center" wrapText="1"/>
    </xf>
    <xf numFmtId="0" fontId="7" fillId="0" borderId="118" xfId="14" applyFont="1" applyFill="1" applyBorder="1" applyAlignment="1">
      <alignment horizontal="center" vertical="center"/>
    </xf>
    <xf numFmtId="2" fontId="7" fillId="0" borderId="118" xfId="14" applyNumberFormat="1" applyFont="1" applyFill="1" applyBorder="1" applyAlignment="1">
      <alignment horizontal="center" vertical="center"/>
    </xf>
    <xf numFmtId="0" fontId="36" fillId="0" borderId="140" xfId="0" applyFont="1" applyFill="1" applyBorder="1" applyAlignment="1">
      <alignment horizontal="center" vertical="center" wrapText="1"/>
    </xf>
    <xf numFmtId="0" fontId="7" fillId="0" borderId="116" xfId="0" applyFont="1" applyFill="1" applyBorder="1" applyAlignment="1">
      <alignment horizontal="center" vertical="center"/>
    </xf>
    <xf numFmtId="168" fontId="7" fillId="0" borderId="116" xfId="0" applyNumberFormat="1" applyFont="1" applyFill="1" applyBorder="1" applyAlignment="1">
      <alignment horizontal="center" vertical="center"/>
    </xf>
    <xf numFmtId="0" fontId="8" fillId="0" borderId="100" xfId="8" applyFont="1" applyBorder="1" applyAlignment="1">
      <alignment horizontal="center" vertical="center" wrapText="1"/>
    </xf>
    <xf numFmtId="0" fontId="36" fillId="0" borderId="99" xfId="0" applyFont="1" applyFill="1" applyBorder="1" applyAlignment="1">
      <alignment horizontal="center" vertical="center" wrapText="1"/>
    </xf>
    <xf numFmtId="0" fontId="27" fillId="0" borderId="100" xfId="8" applyFont="1" applyBorder="1" applyAlignment="1">
      <alignment horizontal="center" vertical="center" wrapText="1"/>
    </xf>
    <xf numFmtId="0" fontId="27" fillId="0" borderId="118" xfId="0" applyFont="1" applyFill="1" applyBorder="1" applyAlignment="1">
      <alignment horizontal="center" vertical="center" wrapText="1"/>
    </xf>
    <xf numFmtId="0" fontId="7" fillId="0" borderId="142" xfId="0" applyFont="1" applyBorder="1" applyAlignment="1">
      <alignment horizontal="center" vertical="center" textRotation="90" wrapText="1"/>
    </xf>
    <xf numFmtId="0" fontId="7" fillId="0" borderId="100" xfId="0" applyFont="1" applyBorder="1" applyAlignment="1">
      <alignment horizontal="center" vertical="center" textRotation="90" wrapText="1"/>
    </xf>
    <xf numFmtId="0" fontId="8" fillId="0" borderId="143" xfId="0" applyFont="1" applyBorder="1" applyAlignment="1">
      <alignment horizontal="center" vertical="center" textRotation="90" wrapText="1"/>
    </xf>
    <xf numFmtId="0" fontId="7" fillId="0" borderId="126" xfId="9" applyFont="1" applyBorder="1" applyAlignment="1">
      <alignment horizontal="center" vertical="center"/>
    </xf>
    <xf numFmtId="43" fontId="7" fillId="0" borderId="126" xfId="9" applyNumberFormat="1" applyFont="1" applyBorder="1" applyAlignment="1">
      <alignment horizontal="center" vertical="center"/>
    </xf>
    <xf numFmtId="43" fontId="7" fillId="0" borderId="126" xfId="7" applyNumberFormat="1" applyFont="1" applyBorder="1" applyAlignment="1">
      <alignment horizontal="center" vertical="center"/>
    </xf>
    <xf numFmtId="43" fontId="7" fillId="0" borderId="126" xfId="7" applyNumberFormat="1" applyFont="1" applyBorder="1" applyAlignment="1">
      <alignment vertical="center"/>
    </xf>
    <xf numFmtId="43" fontId="7" fillId="0" borderId="126" xfId="22" applyNumberFormat="1" applyFont="1" applyBorder="1" applyAlignment="1">
      <alignment horizontal="center" vertical="center" wrapText="1"/>
    </xf>
    <xf numFmtId="0" fontId="7" fillId="0" borderId="146" xfId="0" applyFont="1" applyBorder="1" applyAlignment="1">
      <alignment vertical="center" wrapText="1"/>
    </xf>
    <xf numFmtId="0" fontId="7" fillId="0" borderId="146" xfId="0" applyFont="1" applyBorder="1" applyAlignment="1">
      <alignment horizontal="center" vertical="center" wrapText="1"/>
    </xf>
    <xf numFmtId="0" fontId="7" fillId="0" borderId="146" xfId="9" applyFont="1" applyBorder="1" applyAlignment="1">
      <alignment horizontal="center" vertical="center"/>
    </xf>
    <xf numFmtId="43" fontId="7" fillId="0" borderId="146" xfId="9" applyNumberFormat="1" applyFont="1" applyBorder="1" applyAlignment="1">
      <alignment horizontal="center" vertical="center"/>
    </xf>
    <xf numFmtId="43" fontId="7" fillId="0" borderId="146" xfId="7" applyNumberFormat="1" applyFont="1" applyBorder="1" applyAlignment="1">
      <alignment horizontal="center" vertical="center"/>
    </xf>
    <xf numFmtId="43" fontId="7" fillId="0" borderId="146" xfId="7" applyNumberFormat="1" applyFont="1" applyBorder="1" applyAlignment="1">
      <alignment vertical="center"/>
    </xf>
    <xf numFmtId="0" fontId="7" fillId="0" borderId="145" xfId="0" applyFont="1" applyBorder="1" applyAlignment="1">
      <alignment horizontal="left" vertical="center" wrapText="1"/>
    </xf>
    <xf numFmtId="0" fontId="36" fillId="0" borderId="100" xfId="0" applyFont="1" applyBorder="1" applyAlignment="1">
      <alignment horizontal="center" vertical="center" wrapText="1"/>
    </xf>
    <xf numFmtId="0" fontId="7" fillId="0" borderId="146" xfId="0" applyFont="1" applyBorder="1" applyAlignment="1">
      <alignment horizontal="left" vertical="center" wrapText="1"/>
    </xf>
    <xf numFmtId="0" fontId="7" fillId="0" borderId="144" xfId="0" applyFont="1" applyBorder="1" applyAlignment="1">
      <alignment horizontal="left" vertical="center" wrapText="1"/>
    </xf>
    <xf numFmtId="0" fontId="7" fillId="0" borderId="146" xfId="0" applyNumberFormat="1" applyFont="1" applyBorder="1" applyAlignment="1">
      <alignment horizontal="center" vertical="center"/>
    </xf>
    <xf numFmtId="43" fontId="7" fillId="0" borderId="146" xfId="7" applyNumberFormat="1" applyFont="1" applyBorder="1" applyAlignment="1">
      <alignment horizontal="center" vertical="center" wrapText="1"/>
    </xf>
    <xf numFmtId="0" fontId="7" fillId="0" borderId="146" xfId="0" applyNumberFormat="1" applyFont="1" applyFill="1" applyBorder="1" applyAlignment="1">
      <alignment horizontal="center" vertical="center" wrapText="1"/>
    </xf>
    <xf numFmtId="0" fontId="7" fillId="2" borderId="146" xfId="0" applyNumberFormat="1" applyFont="1" applyFill="1" applyBorder="1" applyAlignment="1">
      <alignment horizontal="center" vertical="center" wrapText="1"/>
    </xf>
    <xf numFmtId="0" fontId="7" fillId="2" borderId="148" xfId="0" applyNumberFormat="1" applyFont="1" applyFill="1" applyBorder="1" applyAlignment="1">
      <alignment horizontal="left" vertical="top" wrapText="1"/>
    </xf>
    <xf numFmtId="0" fontId="7" fillId="0" borderId="148" xfId="0" applyNumberFormat="1" applyFont="1" applyFill="1" applyBorder="1" applyAlignment="1">
      <alignment horizontal="left" vertical="top" wrapText="1"/>
    </xf>
    <xf numFmtId="0" fontId="7" fillId="0" borderId="148" xfId="0" applyNumberFormat="1" applyFont="1" applyFill="1" applyBorder="1" applyAlignment="1">
      <alignment horizontal="left" vertical="center" wrapText="1"/>
    </xf>
    <xf numFmtId="0" fontId="7" fillId="0" borderId="148" xfId="0" applyFont="1" applyBorder="1" applyAlignment="1">
      <alignment horizontal="left" vertical="center" wrapText="1"/>
    </xf>
    <xf numFmtId="0" fontId="7" fillId="0" borderId="148" xfId="9" applyFont="1" applyBorder="1" applyAlignment="1">
      <alignment horizontal="left" vertical="center" wrapText="1"/>
    </xf>
    <xf numFmtId="0" fontId="7" fillId="0" borderId="148" xfId="7" applyFont="1" applyBorder="1" applyAlignment="1">
      <alignment horizontal="left" vertical="center" wrapText="1"/>
    </xf>
    <xf numFmtId="0" fontId="7" fillId="0" borderId="146" xfId="17" applyFont="1" applyBorder="1" applyAlignment="1">
      <alignment horizontal="center" vertical="center" wrapText="1"/>
    </xf>
    <xf numFmtId="168" fontId="7" fillId="0" borderId="0" xfId="19" applyNumberFormat="1" applyFont="1" applyFill="1" applyBorder="1" applyAlignment="1">
      <alignment horizontal="center" vertical="center" wrapText="1"/>
    </xf>
    <xf numFmtId="2" fontId="7" fillId="0" borderId="147" xfId="13" applyNumberFormat="1" applyFont="1" applyBorder="1" applyAlignment="1">
      <alignment horizontal="center" vertical="center" wrapText="1"/>
    </xf>
    <xf numFmtId="2" fontId="7" fillId="0" borderId="147" xfId="17" applyNumberFormat="1" applyFont="1" applyBorder="1" applyAlignment="1">
      <alignment horizontal="center" vertical="center" wrapText="1"/>
    </xf>
    <xf numFmtId="2" fontId="7" fillId="0" borderId="149" xfId="17" applyNumberFormat="1" applyFont="1" applyBorder="1" applyAlignment="1">
      <alignment horizontal="center" vertical="center" wrapText="1"/>
    </xf>
    <xf numFmtId="167" fontId="7" fillId="0" borderId="146" xfId="18" applyNumberFormat="1" applyFont="1" applyBorder="1" applyAlignment="1">
      <alignment horizontal="center" vertical="center"/>
    </xf>
    <xf numFmtId="0" fontId="7" fillId="0" borderId="149" xfId="0" applyFont="1" applyBorder="1" applyAlignment="1">
      <alignment horizontal="center" vertical="center" wrapText="1"/>
    </xf>
    <xf numFmtId="0" fontId="7" fillId="0" borderId="147" xfId="17" applyFont="1" applyBorder="1" applyAlignment="1">
      <alignment horizontal="center" vertical="center" wrapText="1"/>
    </xf>
    <xf numFmtId="0" fontId="7" fillId="0" borderId="144" xfId="17" applyFont="1" applyBorder="1" applyAlignment="1">
      <alignment horizontal="center" vertical="center" wrapText="1"/>
    </xf>
    <xf numFmtId="0" fontId="36" fillId="0" borderId="151" xfId="17" applyFont="1" applyFill="1" applyBorder="1" applyAlignment="1">
      <alignment horizontal="center" vertical="center" wrapText="1"/>
    </xf>
    <xf numFmtId="168" fontId="7" fillId="0" borderId="153" xfId="0" applyNumberFormat="1" applyFont="1" applyFill="1" applyBorder="1" applyAlignment="1">
      <alignment horizontal="center" vertical="center"/>
    </xf>
    <xf numFmtId="2" fontId="24" fillId="0" borderId="152" xfId="6" applyNumberFormat="1" applyFont="1" applyBorder="1" applyAlignment="1">
      <alignment horizontal="center" vertical="center" wrapText="1"/>
    </xf>
    <xf numFmtId="2" fontId="7" fillId="0" borderId="152" xfId="6" applyNumberFormat="1" applyFont="1" applyBorder="1" applyAlignment="1">
      <alignment horizontal="center" vertical="center" wrapText="1"/>
    </xf>
    <xf numFmtId="173" fontId="7" fillId="0" borderId="153" xfId="17" applyNumberFormat="1" applyFont="1" applyBorder="1" applyAlignment="1">
      <alignment horizontal="center" vertical="center"/>
    </xf>
    <xf numFmtId="49" fontId="7" fillId="0" borderId="155" xfId="6" applyNumberFormat="1" applyFont="1" applyBorder="1" applyAlignment="1">
      <alignment horizontal="center" vertical="center" wrapText="1"/>
    </xf>
    <xf numFmtId="168" fontId="7" fillId="0" borderId="156" xfId="0" applyNumberFormat="1" applyFont="1" applyFill="1" applyBorder="1" applyAlignment="1">
      <alignment horizontal="center" vertical="center"/>
    </xf>
    <xf numFmtId="0" fontId="7" fillId="0" borderId="154" xfId="0" applyFont="1" applyFill="1" applyBorder="1" applyAlignment="1">
      <alignment horizontal="left" vertical="center" wrapText="1"/>
    </xf>
    <xf numFmtId="0" fontId="7" fillId="0" borderId="154" xfId="0" applyFont="1" applyFill="1" applyBorder="1" applyAlignment="1">
      <alignment horizontal="center" vertical="center"/>
    </xf>
    <xf numFmtId="0" fontId="7" fillId="0" borderId="152" xfId="0" applyFont="1" applyFill="1" applyBorder="1" applyAlignment="1">
      <alignment horizontal="center" vertical="center"/>
    </xf>
    <xf numFmtId="0" fontId="7" fillId="0" borderId="153" xfId="0" applyFont="1" applyFill="1" applyBorder="1" applyAlignment="1">
      <alignment horizontal="left" vertical="center" wrapText="1"/>
    </xf>
    <xf numFmtId="0" fontId="7" fillId="0" borderId="153" xfId="0" applyFont="1" applyFill="1" applyBorder="1" applyAlignment="1">
      <alignment horizontal="center" vertical="center"/>
    </xf>
    <xf numFmtId="0" fontId="36" fillId="0" borderId="140" xfId="0" applyFont="1" applyFill="1" applyBorder="1" applyAlignment="1">
      <alignment horizontal="left" vertical="center" wrapText="1"/>
    </xf>
    <xf numFmtId="164" fontId="8" fillId="0" borderId="31" xfId="0" applyNumberFormat="1" applyFont="1" applyBorder="1" applyAlignment="1">
      <alignment horizontal="center"/>
    </xf>
    <xf numFmtId="164" fontId="7" fillId="0" borderId="152" xfId="0" applyNumberFormat="1" applyFont="1" applyBorder="1" applyAlignment="1">
      <alignment horizontal="center" vertical="center"/>
    </xf>
    <xf numFmtId="164" fontId="7" fillId="0" borderId="157" xfId="0" applyNumberFormat="1" applyFont="1" applyBorder="1" applyAlignment="1">
      <alignment horizontal="center" vertical="center"/>
    </xf>
    <xf numFmtId="164" fontId="7" fillId="0" borderId="158" xfId="0" applyNumberFormat="1" applyFont="1" applyBorder="1" applyAlignment="1">
      <alignment horizontal="center" vertical="center" wrapText="1"/>
    </xf>
    <xf numFmtId="164" fontId="7" fillId="0" borderId="158" xfId="0" applyNumberFormat="1" applyFont="1" applyBorder="1" applyAlignment="1">
      <alignment horizontal="center" vertical="center"/>
    </xf>
    <xf numFmtId="164" fontId="7" fillId="0" borderId="142" xfId="0" applyNumberFormat="1" applyFont="1" applyBorder="1" applyAlignment="1">
      <alignment horizontal="center" vertical="center"/>
    </xf>
    <xf numFmtId="164" fontId="7" fillId="0" borderId="100" xfId="0" applyNumberFormat="1" applyFont="1" applyBorder="1" applyAlignment="1">
      <alignment horizontal="center" vertical="center"/>
    </xf>
    <xf numFmtId="164" fontId="7" fillId="0" borderId="143" xfId="0" applyNumberFormat="1" applyFont="1" applyBorder="1" applyAlignment="1">
      <alignment horizontal="center" vertical="center" wrapText="1"/>
    </xf>
    <xf numFmtId="0" fontId="7" fillId="0" borderId="102" xfId="0" applyFont="1" applyFill="1" applyBorder="1" applyAlignment="1">
      <alignment vertical="center" wrapText="1"/>
    </xf>
    <xf numFmtId="0" fontId="7" fillId="0" borderId="92" xfId="0" applyFont="1" applyFill="1" applyBorder="1" applyAlignment="1">
      <alignment horizontal="center" vertical="center" wrapText="1"/>
    </xf>
    <xf numFmtId="0" fontId="7" fillId="0" borderId="83" xfId="0" applyFont="1" applyFill="1" applyBorder="1" applyAlignment="1">
      <alignment vertical="center" wrapText="1"/>
    </xf>
    <xf numFmtId="0" fontId="7" fillId="0" borderId="83" xfId="0" applyFont="1" applyFill="1" applyBorder="1" applyAlignment="1">
      <alignment horizontal="center" vertical="center" wrapText="1"/>
    </xf>
    <xf numFmtId="0" fontId="8" fillId="0" borderId="111" xfId="0" applyFont="1" applyFill="1" applyBorder="1" applyAlignment="1">
      <alignment horizontal="left" vertical="center" wrapText="1"/>
    </xf>
    <xf numFmtId="0" fontId="7" fillId="0" borderId="97" xfId="0" applyFont="1" applyFill="1" applyBorder="1" applyAlignment="1">
      <alignment horizontal="left" vertical="center" wrapText="1"/>
    </xf>
    <xf numFmtId="0" fontId="7" fillId="0" borderId="88" xfId="0" applyFont="1" applyFill="1" applyBorder="1" applyAlignment="1">
      <alignment horizontal="left" vertical="center" wrapText="1"/>
    </xf>
    <xf numFmtId="0" fontId="36" fillId="0" borderId="100" xfId="0" applyFont="1" applyFill="1" applyBorder="1" applyAlignment="1">
      <alignment vertical="center" wrapText="1"/>
    </xf>
    <xf numFmtId="0" fontId="7" fillId="0" borderId="97" xfId="14" applyFont="1" applyFill="1" applyBorder="1" applyAlignment="1">
      <alignment horizontal="left" vertical="center" wrapText="1"/>
    </xf>
    <xf numFmtId="0" fontId="7" fillId="0" borderId="97" xfId="0" applyFont="1" applyFill="1" applyBorder="1" applyAlignment="1">
      <alignment horizontal="center" vertical="center" wrapText="1"/>
    </xf>
    <xf numFmtId="0" fontId="7" fillId="0" borderId="82" xfId="14" applyFont="1" applyFill="1" applyBorder="1" applyAlignment="1">
      <alignment vertical="center" wrapText="1"/>
    </xf>
    <xf numFmtId="0" fontId="7" fillId="0" borderId="82" xfId="14" applyFont="1" applyFill="1" applyBorder="1" applyAlignment="1">
      <alignment horizontal="center" vertical="center" wrapText="1"/>
    </xf>
    <xf numFmtId="2" fontId="7" fillId="0" borderId="82" xfId="14" applyNumberFormat="1" applyFont="1" applyFill="1" applyBorder="1" applyAlignment="1">
      <alignment horizontal="center" vertical="center" wrapText="1"/>
    </xf>
    <xf numFmtId="0" fontId="7" fillId="0" borderId="92" xfId="14" applyFont="1" applyFill="1" applyBorder="1" applyAlignment="1">
      <alignment vertical="center" wrapText="1"/>
    </xf>
    <xf numFmtId="0" fontId="7" fillId="0" borderId="92" xfId="14" applyFont="1" applyFill="1" applyBorder="1" applyAlignment="1">
      <alignment horizontal="center" vertical="center" wrapText="1"/>
    </xf>
    <xf numFmtId="2" fontId="7" fillId="0" borderId="20" xfId="0" applyNumberFormat="1" applyFont="1" applyFill="1" applyBorder="1" applyAlignment="1">
      <alignment horizontal="center" vertical="center" wrapText="1"/>
    </xf>
    <xf numFmtId="0" fontId="36" fillId="0" borderId="101" xfId="14" applyFont="1" applyFill="1" applyBorder="1" applyAlignment="1">
      <alignment vertical="center" wrapText="1"/>
    </xf>
    <xf numFmtId="0" fontId="7" fillId="0" borderId="83" xfId="14" applyFont="1" applyFill="1" applyBorder="1"/>
    <xf numFmtId="0" fontId="7" fillId="0" borderId="96" xfId="14" applyFont="1" applyFill="1" applyBorder="1" applyAlignment="1">
      <alignment horizontal="center" vertical="center" wrapText="1"/>
    </xf>
    <xf numFmtId="0" fontId="7" fillId="0" borderId="87" xfId="14" applyFont="1" applyFill="1" applyBorder="1" applyAlignment="1">
      <alignment horizontal="left" vertical="center" wrapText="1"/>
    </xf>
    <xf numFmtId="0" fontId="7" fillId="0" borderId="95" xfId="14" applyFont="1" applyFill="1" applyBorder="1" applyAlignment="1">
      <alignment vertical="center" wrapText="1"/>
    </xf>
    <xf numFmtId="0" fontId="7" fillId="0" borderId="95" xfId="14" applyFont="1" applyFill="1" applyBorder="1" applyAlignment="1">
      <alignment horizontal="center" vertical="center" wrapText="1"/>
    </xf>
    <xf numFmtId="2" fontId="7" fillId="0" borderId="91" xfId="0" applyNumberFormat="1" applyFont="1" applyFill="1" applyBorder="1" applyAlignment="1">
      <alignment horizontal="center" vertical="center" wrapText="1"/>
    </xf>
    <xf numFmtId="0" fontId="36" fillId="0" borderId="116" xfId="14" applyFont="1" applyFill="1" applyBorder="1" applyAlignment="1">
      <alignment vertical="center" wrapText="1"/>
    </xf>
    <xf numFmtId="0" fontId="7" fillId="0" borderId="116" xfId="14" applyFont="1" applyFill="1" applyBorder="1" applyAlignment="1">
      <alignment horizontal="center" vertical="center" wrapText="1"/>
    </xf>
    <xf numFmtId="2" fontId="7" fillId="0" borderId="0" xfId="0" applyNumberFormat="1" applyFont="1" applyFill="1" applyBorder="1" applyAlignment="1">
      <alignment horizontal="center" vertical="center" wrapText="1"/>
    </xf>
    <xf numFmtId="0" fontId="7" fillId="2" borderId="82" xfId="0" applyFont="1" applyFill="1" applyBorder="1" applyAlignment="1">
      <alignment vertical="center" wrapText="1"/>
    </xf>
    <xf numFmtId="0" fontId="7" fillId="2" borderId="82" xfId="0" applyFont="1" applyFill="1" applyBorder="1" applyAlignment="1">
      <alignment horizontal="center" vertical="center" wrapText="1"/>
    </xf>
    <xf numFmtId="0" fontId="7" fillId="2" borderId="82" xfId="14" applyFont="1" applyFill="1" applyBorder="1" applyAlignment="1">
      <alignment vertical="center" wrapText="1"/>
    </xf>
    <xf numFmtId="0" fontId="7" fillId="2" borderId="82" xfId="14" applyFont="1" applyFill="1" applyBorder="1" applyAlignment="1">
      <alignment horizontal="center" vertical="center" wrapText="1"/>
    </xf>
    <xf numFmtId="0" fontId="7" fillId="2" borderId="92" xfId="14" applyFont="1" applyFill="1" applyBorder="1" applyAlignment="1">
      <alignment horizontal="center" vertical="center" wrapText="1"/>
    </xf>
    <xf numFmtId="0" fontId="7" fillId="2" borderId="83" xfId="14" applyFont="1" applyFill="1" applyBorder="1" applyAlignment="1">
      <alignment vertical="center" wrapText="1"/>
    </xf>
    <xf numFmtId="0" fontId="7" fillId="2" borderId="83" xfId="14" applyFont="1" applyFill="1" applyBorder="1" applyAlignment="1">
      <alignment horizontal="center" vertical="center" wrapText="1"/>
    </xf>
    <xf numFmtId="0" fontId="7" fillId="0" borderId="44" xfId="0" applyFont="1" applyBorder="1" applyAlignment="1">
      <alignment horizontal="center" vertical="center"/>
    </xf>
    <xf numFmtId="0" fontId="7" fillId="0" borderId="93" xfId="0" applyFont="1" applyBorder="1" applyAlignment="1">
      <alignment horizontal="center" vertical="center"/>
    </xf>
    <xf numFmtId="1" fontId="7" fillId="2" borderId="46" xfId="0" applyNumberFormat="1" applyFont="1" applyFill="1" applyBorder="1" applyAlignment="1">
      <alignment horizontal="center" vertical="center" wrapText="1"/>
    </xf>
    <xf numFmtId="2" fontId="7" fillId="0" borderId="88" xfId="0" applyNumberFormat="1" applyFont="1" applyFill="1" applyBorder="1" applyAlignment="1">
      <alignment horizontal="center" vertical="center" wrapText="1"/>
    </xf>
    <xf numFmtId="2" fontId="7" fillId="0" borderId="88" xfId="14" applyNumberFormat="1" applyFont="1" applyFill="1" applyBorder="1" applyAlignment="1">
      <alignment horizontal="center" vertical="center" wrapText="1"/>
    </xf>
    <xf numFmtId="0" fontId="7" fillId="0" borderId="44" xfId="13" applyFont="1" applyFill="1" applyBorder="1" applyAlignment="1">
      <alignment horizontal="center" vertical="center" wrapText="1"/>
    </xf>
    <xf numFmtId="0" fontId="7" fillId="0" borderId="36" xfId="13" applyFont="1" applyFill="1" applyBorder="1" applyAlignment="1">
      <alignment horizontal="center" vertical="center" wrapText="1"/>
    </xf>
    <xf numFmtId="1" fontId="7" fillId="2" borderId="125" xfId="13" applyNumberFormat="1" applyFont="1" applyFill="1" applyBorder="1" applyAlignment="1">
      <alignment horizontal="center" vertical="center" wrapText="1"/>
    </xf>
    <xf numFmtId="0" fontId="7" fillId="0" borderId="130" xfId="13" applyFont="1" applyFill="1" applyBorder="1" applyAlignment="1">
      <alignment horizontal="center" vertical="center" wrapText="1"/>
    </xf>
    <xf numFmtId="0" fontId="7" fillId="0" borderId="103" xfId="1" applyFont="1" applyFill="1" applyBorder="1" applyAlignment="1">
      <alignment horizontal="center" vertical="center" wrapText="1"/>
    </xf>
    <xf numFmtId="0" fontId="7" fillId="0" borderId="150" xfId="19" applyFont="1" applyFill="1" applyBorder="1" applyAlignment="1">
      <alignment vertical="center" wrapText="1"/>
    </xf>
    <xf numFmtId="0" fontId="7" fillId="0" borderId="149" xfId="19" applyFont="1" applyFill="1" applyBorder="1" applyAlignment="1">
      <alignment horizontal="center" vertical="center" wrapText="1"/>
    </xf>
    <xf numFmtId="0" fontId="7" fillId="0" borderId="146" xfId="19" applyFont="1" applyFill="1" applyBorder="1" applyAlignment="1">
      <alignment vertical="center" wrapText="1"/>
    </xf>
    <xf numFmtId="0" fontId="7" fillId="0" borderId="146" xfId="19" applyFont="1" applyFill="1" applyBorder="1" applyAlignment="1">
      <alignment horizontal="center" vertical="center" wrapText="1"/>
    </xf>
    <xf numFmtId="0" fontId="7" fillId="0" borderId="144" xfId="17" applyFont="1" applyFill="1" applyBorder="1" applyAlignment="1">
      <alignment horizontal="center" vertical="center" wrapText="1"/>
    </xf>
    <xf numFmtId="0" fontId="7" fillId="0" borderId="83" xfId="13" applyFont="1" applyFill="1" applyBorder="1" applyAlignment="1">
      <alignment horizontal="center" vertical="center" wrapText="1"/>
    </xf>
    <xf numFmtId="2" fontId="7" fillId="0" borderId="69" xfId="13" applyNumberFormat="1" applyFont="1" applyFill="1" applyBorder="1" applyAlignment="1">
      <alignment horizontal="left" vertical="center" wrapText="1"/>
    </xf>
    <xf numFmtId="0" fontId="7" fillId="0" borderId="69" xfId="13" applyFont="1" applyFill="1" applyBorder="1" applyAlignment="1">
      <alignment horizontal="center" vertical="center" wrapText="1"/>
    </xf>
    <xf numFmtId="0" fontId="7" fillId="0" borderId="69" xfId="17" applyFont="1" applyFill="1" applyBorder="1" applyAlignment="1">
      <alignment horizontal="left" vertical="center" wrapText="1"/>
    </xf>
    <xf numFmtId="0" fontId="7" fillId="0" borderId="69" xfId="17" applyFont="1" applyFill="1" applyBorder="1" applyAlignment="1">
      <alignment horizontal="center" vertical="center" wrapText="1"/>
    </xf>
    <xf numFmtId="2" fontId="7" fillId="0" borderId="69" xfId="13" applyNumberFormat="1" applyFont="1" applyFill="1" applyBorder="1" applyAlignment="1">
      <alignment horizontal="center" vertical="center" wrapText="1"/>
    </xf>
    <xf numFmtId="2" fontId="7" fillId="0" borderId="69" xfId="17" applyNumberFormat="1" applyFont="1" applyFill="1" applyBorder="1" applyAlignment="1">
      <alignment horizontal="left" vertical="center" wrapText="1"/>
    </xf>
    <xf numFmtId="2" fontId="7" fillId="0" borderId="69" xfId="17" applyNumberFormat="1" applyFont="1" applyFill="1" applyBorder="1" applyAlignment="1">
      <alignment horizontal="center" vertical="center" wrapText="1"/>
    </xf>
    <xf numFmtId="0" fontId="7" fillId="0" borderId="97" xfId="17" applyFont="1" applyFill="1" applyBorder="1" applyAlignment="1">
      <alignment horizontal="left" vertical="center" wrapText="1"/>
    </xf>
    <xf numFmtId="0" fontId="7" fillId="0" borderId="97" xfId="17" applyFont="1" applyFill="1" applyBorder="1" applyAlignment="1">
      <alignment horizontal="center" vertical="center" wrapText="1"/>
    </xf>
    <xf numFmtId="2" fontId="7" fillId="0" borderId="97" xfId="13" applyNumberFormat="1" applyFont="1" applyFill="1" applyBorder="1" applyAlignment="1">
      <alignment horizontal="center" vertical="center" wrapText="1"/>
    </xf>
    <xf numFmtId="0" fontId="7" fillId="0" borderId="70" xfId="17" applyFont="1" applyFill="1" applyBorder="1" applyAlignment="1">
      <alignment horizontal="center" vertical="center" wrapText="1"/>
    </xf>
    <xf numFmtId="0" fontId="7" fillId="0" borderId="83" xfId="17" applyFont="1" applyFill="1" applyBorder="1" applyAlignment="1">
      <alignment horizontal="center" vertical="center" wrapText="1"/>
    </xf>
    <xf numFmtId="0" fontId="7" fillId="0" borderId="111" xfId="13" applyFont="1" applyBorder="1" applyAlignment="1">
      <alignment horizontal="center" vertical="center" wrapText="1"/>
    </xf>
    <xf numFmtId="0" fontId="7" fillId="2" borderId="48" xfId="19" applyFont="1" applyFill="1" applyBorder="1" applyAlignment="1">
      <alignment vertical="center" wrapText="1"/>
    </xf>
    <xf numFmtId="168" fontId="7" fillId="0" borderId="48" xfId="19" applyNumberFormat="1" applyFont="1" applyBorder="1" applyAlignment="1">
      <alignment horizontal="center" vertical="center" wrapText="1"/>
    </xf>
    <xf numFmtId="0" fontId="7" fillId="0" borderId="48" xfId="19" applyFont="1" applyBorder="1" applyAlignment="1">
      <alignment vertical="center" wrapText="1"/>
    </xf>
    <xf numFmtId="0" fontId="7" fillId="0" borderId="161" xfId="24" applyFont="1" applyBorder="1" applyAlignment="1">
      <alignment wrapText="1"/>
    </xf>
    <xf numFmtId="9" fontId="7" fillId="0" borderId="161" xfId="24" applyNumberFormat="1" applyFont="1" applyBorder="1"/>
    <xf numFmtId="0" fontId="8" fillId="0" borderId="0" xfId="24" applyFont="1"/>
    <xf numFmtId="0" fontId="2" fillId="0" borderId="88" xfId="0" applyFont="1" applyFill="1" applyBorder="1" applyAlignment="1">
      <alignment vertical="center" wrapText="1"/>
    </xf>
    <xf numFmtId="164" fontId="7" fillId="0" borderId="162" xfId="0" applyNumberFormat="1" applyFont="1" applyBorder="1" applyAlignment="1">
      <alignment horizontal="center"/>
    </xf>
    <xf numFmtId="0" fontId="1" fillId="0" borderId="161" xfId="24" applyBorder="1"/>
    <xf numFmtId="0" fontId="7" fillId="0" borderId="0" xfId="24" applyFont="1"/>
    <xf numFmtId="0" fontId="8" fillId="0" borderId="160" xfId="0" applyFont="1" applyBorder="1" applyAlignment="1">
      <alignment horizontal="center"/>
    </xf>
    <xf numFmtId="0" fontId="8" fillId="0" borderId="159" xfId="24" applyFont="1" applyBorder="1" applyAlignment="1">
      <alignment horizontal="right"/>
    </xf>
    <xf numFmtId="0" fontId="48" fillId="0" borderId="0" xfId="24" applyFont="1" applyFill="1" applyAlignment="1">
      <alignment horizontal="center" vertical="center"/>
    </xf>
    <xf numFmtId="0" fontId="49" fillId="0" borderId="0" xfId="24" applyFont="1" applyFill="1" applyAlignment="1">
      <alignment horizontal="left" vertical="center"/>
    </xf>
    <xf numFmtId="0" fontId="48" fillId="0" borderId="0" xfId="24" applyFont="1" applyFill="1" applyAlignment="1">
      <alignment horizontal="center" vertical="center"/>
    </xf>
    <xf numFmtId="0" fontId="49" fillId="0" borderId="0" xfId="24" applyFont="1" applyFill="1" applyAlignment="1">
      <alignment horizontal="left" vertical="center"/>
    </xf>
    <xf numFmtId="0" fontId="48" fillId="0" borderId="0" xfId="24" applyFont="1" applyFill="1" applyAlignment="1">
      <alignment horizontal="center" vertical="center"/>
    </xf>
    <xf numFmtId="0" fontId="49" fillId="0" borderId="0" xfId="24" applyFont="1" applyFill="1" applyAlignment="1">
      <alignment horizontal="left" vertical="center"/>
    </xf>
    <xf numFmtId="0" fontId="48" fillId="0" borderId="0" xfId="24" applyFont="1" applyFill="1" applyAlignment="1">
      <alignment horizontal="center" vertical="center"/>
    </xf>
    <xf numFmtId="0" fontId="49" fillId="0" borderId="0" xfId="24" applyFont="1" applyFill="1" applyAlignment="1">
      <alignment horizontal="left" vertical="center"/>
    </xf>
    <xf numFmtId="0" fontId="48" fillId="0" borderId="0" xfId="24" applyFont="1" applyFill="1" applyAlignment="1">
      <alignment horizontal="center" vertical="center"/>
    </xf>
    <xf numFmtId="0" fontId="49" fillId="0" borderId="0" xfId="24" applyFont="1" applyFill="1" applyAlignment="1">
      <alignment horizontal="left" vertical="center"/>
    </xf>
    <xf numFmtId="0" fontId="48" fillId="0" borderId="0" xfId="24" applyFont="1" applyFill="1" applyAlignment="1">
      <alignment horizontal="center" vertical="center"/>
    </xf>
    <xf numFmtId="0" fontId="49" fillId="0" borderId="0" xfId="24" applyFont="1" applyFill="1" applyAlignment="1">
      <alignment horizontal="left" vertical="center"/>
    </xf>
    <xf numFmtId="0" fontId="48" fillId="0" borderId="0" xfId="24" applyFont="1" applyFill="1" applyAlignment="1">
      <alignment horizontal="center" vertical="center"/>
    </xf>
    <xf numFmtId="0" fontId="49" fillId="0" borderId="0" xfId="24" applyFont="1" applyFill="1" applyAlignment="1">
      <alignment horizontal="left" vertical="center"/>
    </xf>
    <xf numFmtId="0" fontId="48" fillId="0" borderId="0" xfId="24" applyFont="1" applyFill="1" applyAlignment="1">
      <alignment horizontal="center" vertical="center"/>
    </xf>
    <xf numFmtId="0" fontId="49" fillId="0" borderId="0" xfId="24" applyFont="1" applyFill="1" applyAlignment="1">
      <alignment horizontal="left" vertical="center"/>
    </xf>
    <xf numFmtId="0" fontId="48" fillId="0" borderId="0" xfId="24" applyFont="1" applyFill="1" applyAlignment="1">
      <alignment horizontal="center" vertical="center"/>
    </xf>
    <xf numFmtId="0" fontId="49" fillId="0" borderId="0" xfId="24" applyFont="1" applyFill="1" applyAlignment="1">
      <alignment horizontal="left" vertical="center"/>
    </xf>
    <xf numFmtId="0" fontId="2" fillId="0" borderId="83" xfId="14" applyFont="1" applyFill="1" applyBorder="1" applyAlignment="1">
      <alignment horizontal="right" vertical="center" wrapText="1"/>
    </xf>
    <xf numFmtId="0" fontId="7" fillId="0" borderId="0" xfId="0" applyFont="1" applyBorder="1" applyAlignment="1">
      <alignment horizontal="center"/>
    </xf>
    <xf numFmtId="0" fontId="7" fillId="0" borderId="10" xfId="0" applyFont="1" applyBorder="1" applyAlignment="1">
      <alignment horizontal="left"/>
    </xf>
    <xf numFmtId="0" fontId="7" fillId="0" borderId="1" xfId="0" applyFont="1" applyBorder="1" applyAlignment="1">
      <alignment horizontal="center" wrapText="1"/>
    </xf>
    <xf numFmtId="0" fontId="7" fillId="0" borderId="13" xfId="0" applyFont="1" applyBorder="1" applyAlignment="1">
      <alignment horizontal="center" wrapText="1"/>
    </xf>
    <xf numFmtId="0" fontId="7" fillId="0" borderId="0" xfId="24" applyFont="1" applyAlignment="1">
      <alignment horizontal="right"/>
    </xf>
    <xf numFmtId="0" fontId="8" fillId="0" borderId="7" xfId="0" applyFont="1" applyBorder="1" applyAlignment="1">
      <alignment horizontal="right"/>
    </xf>
    <xf numFmtId="0" fontId="8" fillId="0" borderId="9" xfId="0" applyFont="1" applyBorder="1" applyAlignment="1">
      <alignment horizontal="right"/>
    </xf>
    <xf numFmtId="43" fontId="7" fillId="0" borderId="22" xfId="0" applyNumberFormat="1" applyFont="1" applyBorder="1" applyAlignment="1">
      <alignment horizontal="left" vertical="top" wrapText="1"/>
    </xf>
    <xf numFmtId="43" fontId="7" fillId="0" borderId="25" xfId="0" applyNumberFormat="1" applyFont="1" applyBorder="1" applyAlignment="1">
      <alignment horizontal="left" vertical="top" wrapText="1"/>
    </xf>
    <xf numFmtId="0" fontId="8" fillId="0" borderId="29" xfId="0" applyFont="1" applyBorder="1" applyAlignment="1">
      <alignment horizontal="right"/>
    </xf>
    <xf numFmtId="0" fontId="8" fillId="0" borderId="5" xfId="0" applyFont="1" applyBorder="1" applyAlignment="1">
      <alignment horizontal="right"/>
    </xf>
    <xf numFmtId="0" fontId="7" fillId="0" borderId="7" xfId="0" applyFont="1" applyBorder="1" applyAlignment="1">
      <alignment horizontal="right"/>
    </xf>
    <xf numFmtId="43" fontId="7" fillId="0" borderId="58" xfId="0" applyNumberFormat="1" applyFont="1" applyBorder="1" applyAlignment="1">
      <alignment horizontal="left" vertical="top" wrapText="1"/>
    </xf>
    <xf numFmtId="43" fontId="7" fillId="0" borderId="59" xfId="0" applyNumberFormat="1" applyFont="1" applyBorder="1" applyAlignment="1">
      <alignment horizontal="left" vertical="top" wrapText="1"/>
    </xf>
    <xf numFmtId="43" fontId="7" fillId="0" borderId="76" xfId="0" applyNumberFormat="1" applyFont="1" applyBorder="1" applyAlignment="1">
      <alignment horizontal="left" vertical="top" wrapText="1"/>
    </xf>
    <xf numFmtId="43" fontId="7" fillId="0" borderId="77" xfId="0" applyNumberFormat="1" applyFont="1" applyBorder="1" applyAlignment="1">
      <alignment horizontal="left" vertical="top" wrapText="1"/>
    </xf>
    <xf numFmtId="0" fontId="7" fillId="0" borderId="0" xfId="0" applyFont="1" applyBorder="1" applyAlignment="1">
      <alignment horizontal="right"/>
    </xf>
    <xf numFmtId="0" fontId="8" fillId="0" borderId="0" xfId="0" applyFont="1" applyBorder="1" applyAlignment="1">
      <alignment horizontal="center"/>
    </xf>
    <xf numFmtId="0" fontId="7" fillId="0" borderId="13" xfId="0" applyFont="1" applyBorder="1" applyAlignment="1">
      <alignment horizontal="center" vertical="top"/>
    </xf>
    <xf numFmtId="0" fontId="7" fillId="0" borderId="0" xfId="0" applyFont="1" applyBorder="1" applyAlignment="1">
      <alignment horizontal="center" wrapText="1"/>
    </xf>
    <xf numFmtId="0" fontId="8" fillId="0" borderId="0" xfId="0" applyFont="1" applyBorder="1" applyAlignment="1">
      <alignment horizontal="right" wrapText="1"/>
    </xf>
    <xf numFmtId="43" fontId="8" fillId="0" borderId="2" xfId="0" applyNumberFormat="1" applyFont="1" applyBorder="1" applyAlignment="1">
      <alignment horizontal="left"/>
    </xf>
    <xf numFmtId="164" fontId="7" fillId="0" borderId="2" xfId="0" applyNumberFormat="1" applyFont="1" applyBorder="1" applyAlignment="1">
      <alignment horizontal="center"/>
    </xf>
    <xf numFmtId="0" fontId="7" fillId="0" borderId="14" xfId="0" applyFont="1" applyBorder="1" applyAlignment="1">
      <alignment horizontal="center" vertical="center" textRotation="90" wrapText="1"/>
    </xf>
    <xf numFmtId="43" fontId="8" fillId="0" borderId="3" xfId="0" applyNumberFormat="1" applyFont="1" applyBorder="1" applyAlignment="1">
      <alignment horizontal="left"/>
    </xf>
    <xf numFmtId="0" fontId="8" fillId="0" borderId="0" xfId="0" applyFont="1" applyBorder="1" applyAlignment="1">
      <alignment horizontal="right"/>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43" fontId="7" fillId="0" borderId="1" xfId="0" applyNumberFormat="1" applyFont="1" applyBorder="1" applyAlignment="1">
      <alignment horizontal="center" wrapText="1"/>
    </xf>
    <xf numFmtId="0" fontId="7" fillId="0" borderId="5" xfId="0" applyFont="1" applyBorder="1" applyAlignment="1">
      <alignment horizontal="center" vertical="center"/>
    </xf>
    <xf numFmtId="0" fontId="7" fillId="0" borderId="10" xfId="0" applyFont="1" applyBorder="1" applyAlignment="1">
      <alignment horizontal="center" vertical="center" textRotation="90" wrapText="1"/>
    </xf>
    <xf numFmtId="0" fontId="7" fillId="0" borderId="33" xfId="0" applyFont="1" applyBorder="1" applyAlignment="1">
      <alignment horizontal="center" vertical="center" textRotation="90" wrapText="1"/>
    </xf>
    <xf numFmtId="0" fontId="7" fillId="0" borderId="33" xfId="0" applyFont="1" applyBorder="1" applyAlignment="1">
      <alignment horizontal="center" vertical="center"/>
    </xf>
    <xf numFmtId="0" fontId="7" fillId="0" borderId="33" xfId="0" applyFont="1" applyBorder="1" applyAlignment="1">
      <alignment horizontal="center" vertical="center" textRotation="90"/>
    </xf>
    <xf numFmtId="0" fontId="7" fillId="0" borderId="12" xfId="0" applyFont="1" applyBorder="1" applyAlignment="1">
      <alignment horizontal="center" vertical="center" textRotation="90" wrapText="1"/>
    </xf>
    <xf numFmtId="0" fontId="8" fillId="0" borderId="10" xfId="27" applyFont="1" applyFill="1" applyBorder="1" applyAlignment="1">
      <alignment horizontal="right" wrapText="1"/>
    </xf>
    <xf numFmtId="0" fontId="8" fillId="0" borderId="33" xfId="27" applyFont="1" applyFill="1" applyBorder="1" applyAlignment="1">
      <alignment horizontal="right" wrapText="1"/>
    </xf>
    <xf numFmtId="0" fontId="8" fillId="0" borderId="12" xfId="27" applyFont="1" applyFill="1" applyBorder="1" applyAlignment="1">
      <alignment horizontal="right" wrapText="1"/>
    </xf>
    <xf numFmtId="43" fontId="7" fillId="0" borderId="2" xfId="0" applyNumberFormat="1" applyFont="1" applyBorder="1" applyAlignment="1">
      <alignment horizontal="left" wrapText="1"/>
    </xf>
    <xf numFmtId="0" fontId="7" fillId="0" borderId="0" xfId="0" applyFont="1" applyBorder="1" applyAlignment="1">
      <alignment horizontal="center" vertical="center" wrapText="1"/>
    </xf>
    <xf numFmtId="2" fontId="7" fillId="0" borderId="0" xfId="0" applyNumberFormat="1" applyFont="1" applyBorder="1" applyAlignment="1">
      <alignment horizontal="right" vertical="center"/>
    </xf>
    <xf numFmtId="164" fontId="7" fillId="0" borderId="0" xfId="0" applyNumberFormat="1" applyFont="1" applyBorder="1" applyAlignment="1">
      <alignment horizontal="center" vertical="center"/>
    </xf>
    <xf numFmtId="0" fontId="8" fillId="0" borderId="1" xfId="0" applyFont="1" applyBorder="1" applyAlignment="1">
      <alignment horizontal="center" vertical="center"/>
    </xf>
    <xf numFmtId="0" fontId="7" fillId="0" borderId="0" xfId="0" applyFont="1" applyBorder="1" applyAlignment="1">
      <alignment horizontal="center" vertical="center"/>
    </xf>
    <xf numFmtId="43" fontId="7" fillId="3" borderId="1" xfId="0" applyNumberFormat="1" applyFont="1" applyFill="1" applyBorder="1" applyAlignment="1">
      <alignment wrapText="1"/>
    </xf>
    <xf numFmtId="43" fontId="7" fillId="3" borderId="13" xfId="0" applyNumberFormat="1" applyFont="1" applyFill="1" applyBorder="1" applyAlignment="1">
      <alignment wrapText="1"/>
    </xf>
    <xf numFmtId="0" fontId="7" fillId="3" borderId="51" xfId="0" applyFont="1" applyFill="1" applyBorder="1" applyAlignment="1">
      <alignment vertical="center"/>
    </xf>
    <xf numFmtId="0" fontId="7" fillId="3" borderId="23" xfId="0" applyFont="1" applyFill="1" applyBorder="1" applyAlignment="1">
      <alignment vertical="center"/>
    </xf>
    <xf numFmtId="0" fontId="7" fillId="3" borderId="52" xfId="0" applyFont="1" applyFill="1" applyBorder="1" applyAlignment="1">
      <alignment vertical="center"/>
    </xf>
    <xf numFmtId="0" fontId="7" fillId="3" borderId="14" xfId="0" applyFont="1" applyFill="1" applyBorder="1" applyAlignment="1">
      <alignment vertical="center" textRotation="90" wrapText="1"/>
    </xf>
    <xf numFmtId="0" fontId="7" fillId="3" borderId="45" xfId="0" applyFont="1" applyFill="1" applyBorder="1" applyAlignment="1">
      <alignment vertical="center" textRotation="90" wrapText="1"/>
    </xf>
    <xf numFmtId="0" fontId="7" fillId="3" borderId="15" xfId="0" applyFont="1" applyFill="1" applyBorder="1" applyAlignment="1">
      <alignment vertical="center" textRotation="90" wrapText="1"/>
    </xf>
    <xf numFmtId="0" fontId="7" fillId="3" borderId="56" xfId="0" applyFont="1" applyFill="1" applyBorder="1" applyAlignment="1">
      <alignment vertical="center" textRotation="90" wrapText="1"/>
    </xf>
    <xf numFmtId="0" fontId="7" fillId="3" borderId="15" xfId="0" applyFont="1" applyFill="1" applyBorder="1" applyAlignment="1">
      <alignment vertical="center" textRotation="90"/>
    </xf>
    <xf numFmtId="0" fontId="7" fillId="3" borderId="56" xfId="0" applyFont="1" applyFill="1" applyBorder="1" applyAlignment="1">
      <alignment vertical="center" textRotation="90"/>
    </xf>
    <xf numFmtId="0" fontId="7" fillId="3" borderId="16" xfId="0" applyFont="1" applyFill="1" applyBorder="1" applyAlignment="1">
      <alignment vertical="center" textRotation="90" wrapText="1"/>
    </xf>
    <xf numFmtId="0" fontId="7" fillId="3" borderId="57" xfId="0" applyFont="1" applyFill="1" applyBorder="1" applyAlignment="1">
      <alignment vertical="center" textRotation="90" wrapText="1"/>
    </xf>
    <xf numFmtId="0" fontId="7" fillId="3" borderId="15" xfId="0" applyFont="1" applyFill="1" applyBorder="1" applyAlignment="1">
      <alignment vertical="center"/>
    </xf>
    <xf numFmtId="0" fontId="0" fillId="0" borderId="56" xfId="0" applyBorder="1"/>
    <xf numFmtId="43" fontId="7" fillId="3" borderId="3" xfId="0" applyNumberFormat="1" applyFont="1" applyFill="1" applyBorder="1" applyAlignment="1">
      <alignment horizontal="left" wrapText="1"/>
    </xf>
    <xf numFmtId="2" fontId="7" fillId="3" borderId="0" xfId="0" applyNumberFormat="1" applyFont="1" applyFill="1" applyBorder="1" applyAlignment="1">
      <alignment vertical="center"/>
    </xf>
    <xf numFmtId="164" fontId="7" fillId="3" borderId="0" xfId="0" applyNumberFormat="1" applyFont="1" applyFill="1" applyBorder="1" applyAlignment="1">
      <alignment vertical="center"/>
    </xf>
    <xf numFmtId="0" fontId="7" fillId="3" borderId="1" xfId="0" applyFont="1" applyFill="1" applyBorder="1" applyAlignment="1">
      <alignment horizontal="center" vertical="center"/>
    </xf>
    <xf numFmtId="0" fontId="7" fillId="3" borderId="13" xfId="0" applyFont="1" applyFill="1" applyBorder="1" applyAlignment="1">
      <alignment horizontal="center" vertical="top"/>
    </xf>
    <xf numFmtId="0" fontId="7" fillId="3" borderId="0" xfId="0" applyFont="1" applyFill="1" applyBorder="1" applyAlignment="1">
      <alignment horizontal="center" vertical="center"/>
    </xf>
    <xf numFmtId="43" fontId="7" fillId="3" borderId="2" xfId="0" applyNumberFormat="1" applyFont="1" applyFill="1" applyBorder="1" applyAlignment="1">
      <alignment horizontal="left" wrapText="1"/>
    </xf>
    <xf numFmtId="43" fontId="7" fillId="0" borderId="13" xfId="0" applyNumberFormat="1" applyFont="1" applyBorder="1" applyAlignment="1">
      <alignment horizontal="center" wrapText="1"/>
    </xf>
    <xf numFmtId="0" fontId="21" fillId="0" borderId="24" xfId="0" applyFont="1" applyBorder="1" applyAlignment="1">
      <alignment horizontal="center" vertical="center" wrapText="1"/>
    </xf>
    <xf numFmtId="0" fontId="15" fillId="0" borderId="0" xfId="0" applyFont="1" applyAlignment="1">
      <alignment horizontal="center" vertical="center"/>
    </xf>
    <xf numFmtId="0" fontId="14" fillId="0" borderId="0" xfId="0" applyFont="1" applyAlignment="1">
      <alignment horizontal="center" vertical="center"/>
    </xf>
    <xf numFmtId="0" fontId="21" fillId="0" borderId="25" xfId="0" applyFont="1" applyBorder="1" applyAlignment="1">
      <alignment horizontal="center" vertical="center" wrapText="1"/>
    </xf>
    <xf numFmtId="0" fontId="31" fillId="0" borderId="73" xfId="0" applyFont="1" applyBorder="1" applyAlignment="1">
      <alignment horizontal="center"/>
    </xf>
    <xf numFmtId="0" fontId="38" fillId="0" borderId="71" xfId="0" applyFont="1" applyBorder="1" applyAlignment="1">
      <alignment horizontal="center"/>
    </xf>
    <xf numFmtId="0" fontId="4" fillId="0" borderId="0" xfId="0" applyFont="1" applyAlignment="1">
      <alignment horizontal="center" vertical="center"/>
    </xf>
    <xf numFmtId="0" fontId="5" fillId="0" borderId="0" xfId="0" applyFont="1" applyAlignment="1">
      <alignment horizontal="center" vertical="center"/>
    </xf>
    <xf numFmtId="0" fontId="30" fillId="0" borderId="0" xfId="0" applyFont="1" applyAlignment="1">
      <alignment horizontal="right" vertical="center"/>
    </xf>
    <xf numFmtId="0" fontId="7" fillId="2" borderId="5" xfId="0" applyFont="1" applyFill="1" applyBorder="1" applyAlignment="1">
      <alignment horizontal="center" vertical="center"/>
    </xf>
    <xf numFmtId="0" fontId="7" fillId="2" borderId="10" xfId="0" applyFont="1" applyFill="1" applyBorder="1" applyAlignment="1">
      <alignment horizontal="center" vertical="center" textRotation="90" wrapText="1"/>
    </xf>
    <xf numFmtId="0" fontId="7" fillId="2" borderId="14" xfId="0" applyFont="1" applyFill="1" applyBorder="1" applyAlignment="1">
      <alignment horizontal="center" vertical="center" textRotation="90" wrapText="1"/>
    </xf>
    <xf numFmtId="0" fontId="7" fillId="2" borderId="33" xfId="0" applyFont="1" applyFill="1" applyBorder="1" applyAlignment="1">
      <alignment horizontal="center" vertical="center" textRotation="90" wrapText="1"/>
    </xf>
    <xf numFmtId="0" fontId="7" fillId="2" borderId="15" xfId="0" applyFont="1" applyFill="1" applyBorder="1" applyAlignment="1">
      <alignment horizontal="center" vertical="center" textRotation="90" wrapText="1"/>
    </xf>
    <xf numFmtId="0" fontId="7" fillId="2" borderId="33"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33" xfId="0" applyFont="1" applyFill="1" applyBorder="1" applyAlignment="1">
      <alignment horizontal="center" vertical="center" textRotation="90"/>
    </xf>
    <xf numFmtId="0" fontId="7" fillId="2" borderId="15" xfId="0" applyFont="1" applyFill="1" applyBorder="1" applyAlignment="1">
      <alignment horizontal="center" vertical="center" textRotation="90"/>
    </xf>
    <xf numFmtId="0" fontId="7" fillId="2" borderId="12" xfId="0" applyFont="1" applyFill="1" applyBorder="1" applyAlignment="1">
      <alignment horizontal="center" vertical="center" textRotation="90" wrapText="1"/>
    </xf>
    <xf numFmtId="0" fontId="7" fillId="2" borderId="16" xfId="0" applyFont="1" applyFill="1" applyBorder="1" applyAlignment="1">
      <alignment horizontal="center" vertical="center" textRotation="90" wrapText="1"/>
    </xf>
    <xf numFmtId="43" fontId="7" fillId="2" borderId="2" xfId="0" applyNumberFormat="1" applyFont="1" applyFill="1" applyBorder="1" applyAlignment="1">
      <alignment horizontal="left" wrapText="1"/>
    </xf>
    <xf numFmtId="2" fontId="7" fillId="2" borderId="0" xfId="0" applyNumberFormat="1" applyFont="1" applyFill="1" applyBorder="1" applyAlignment="1">
      <alignment horizontal="right" vertical="center"/>
    </xf>
    <xf numFmtId="164" fontId="7" fillId="2" borderId="0"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7" fillId="2" borderId="13" xfId="0" applyFont="1" applyFill="1" applyBorder="1" applyAlignment="1">
      <alignment horizontal="center" vertical="top"/>
    </xf>
    <xf numFmtId="0" fontId="7" fillId="2" borderId="0" xfId="0" applyFont="1" applyFill="1" applyBorder="1" applyAlignment="1">
      <alignment horizontal="center" vertical="center"/>
    </xf>
    <xf numFmtId="0" fontId="7" fillId="0" borderId="45" xfId="0" applyFont="1" applyBorder="1" applyAlignment="1">
      <alignment horizontal="center" vertical="center" textRotation="90" wrapText="1"/>
    </xf>
    <xf numFmtId="0" fontId="7" fillId="0" borderId="15" xfId="0" applyFont="1" applyBorder="1" applyAlignment="1">
      <alignment horizontal="center" vertical="center"/>
    </xf>
    <xf numFmtId="0" fontId="7" fillId="0" borderId="147"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144" xfId="0" applyFont="1" applyBorder="1" applyAlignment="1">
      <alignment horizontal="center" vertical="center" wrapText="1"/>
    </xf>
    <xf numFmtId="0" fontId="7" fillId="0" borderId="129" xfId="0" applyFont="1" applyBorder="1" applyAlignment="1">
      <alignment horizontal="left" vertical="center" wrapText="1"/>
    </xf>
    <xf numFmtId="0" fontId="7" fillId="0" borderId="41" xfId="0" applyFont="1" applyBorder="1" applyAlignment="1">
      <alignment horizontal="left" vertical="center" wrapTex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8" fillId="0" borderId="53" xfId="1" applyFont="1" applyBorder="1" applyAlignment="1">
      <alignment horizontal="right" wrapText="1"/>
    </xf>
    <xf numFmtId="0" fontId="8" fillId="0" borderId="54" xfId="1" applyFont="1" applyBorder="1" applyAlignment="1">
      <alignment horizontal="right" wrapText="1"/>
    </xf>
    <xf numFmtId="0" fontId="8" fillId="0" borderId="55" xfId="1" applyFont="1" applyBorder="1" applyAlignment="1">
      <alignment horizontal="right" wrapText="1"/>
    </xf>
    <xf numFmtId="0" fontId="7" fillId="0" borderId="51" xfId="0" applyFont="1" applyBorder="1" applyAlignment="1">
      <alignment horizontal="center" vertical="center"/>
    </xf>
    <xf numFmtId="0" fontId="7" fillId="0" borderId="23" xfId="0" applyFont="1" applyBorder="1" applyAlignment="1">
      <alignment horizontal="center" vertical="center"/>
    </xf>
    <xf numFmtId="0" fontId="7" fillId="0" borderId="52" xfId="0" applyFont="1" applyBorder="1" applyAlignment="1">
      <alignment horizontal="center" vertical="center"/>
    </xf>
    <xf numFmtId="0" fontId="7" fillId="0" borderId="15" xfId="0" applyFont="1" applyBorder="1" applyAlignment="1">
      <alignment horizontal="center" vertical="center" textRotation="90" wrapText="1"/>
    </xf>
    <xf numFmtId="0" fontId="7" fillId="0" borderId="56" xfId="0" applyFont="1" applyBorder="1" applyAlignment="1">
      <alignment horizontal="center" vertical="center" textRotation="90" wrapText="1"/>
    </xf>
    <xf numFmtId="0" fontId="7" fillId="0" borderId="84" xfId="0" applyFont="1" applyBorder="1" applyAlignment="1">
      <alignment horizontal="center" vertical="center"/>
    </xf>
    <xf numFmtId="0" fontId="7" fillId="0" borderId="15" xfId="0" applyFont="1" applyBorder="1" applyAlignment="1">
      <alignment horizontal="center" vertical="center" textRotation="90"/>
    </xf>
    <xf numFmtId="0" fontId="7" fillId="0" borderId="56" xfId="0" applyFont="1" applyBorder="1" applyAlignment="1">
      <alignment horizontal="center" vertical="center" textRotation="90"/>
    </xf>
    <xf numFmtId="0" fontId="7" fillId="0" borderId="16" xfId="0" applyFont="1" applyBorder="1" applyAlignment="1">
      <alignment horizontal="center" vertical="center" textRotation="90" wrapText="1"/>
    </xf>
    <xf numFmtId="0" fontId="7" fillId="0" borderId="57" xfId="0" applyFont="1" applyBorder="1" applyAlignment="1">
      <alignment horizontal="center" vertical="center" textRotation="90" wrapText="1"/>
    </xf>
  </cellXfs>
  <cellStyles count="42">
    <cellStyle name="Comma 2" xfId="18" xr:uid="{00000000-0005-0000-0000-000001000000}"/>
    <cellStyle name="Comma 2 2" xfId="20" xr:uid="{00000000-0005-0000-0000-000002000000}"/>
    <cellStyle name="Comma 2 3" xfId="32" xr:uid="{4EBA3812-1A5A-4958-B7E4-6520CB8DE993}"/>
    <cellStyle name="Excel Built-in Explanatory Text" xfId="21" xr:uid="{00000000-0005-0000-0000-000003000000}"/>
    <cellStyle name="Excel_BuiltIn_Explanatory Text" xfId="28" xr:uid="{E7D3B77B-F157-44C1-A4B0-E3A351F9F0AF}"/>
    <cellStyle name="Explanatory Text 3" xfId="23" xr:uid="{00000000-0005-0000-0000-000005000000}"/>
    <cellStyle name="Good 2" xfId="33" xr:uid="{C992F654-6F9C-49BF-A42B-4EA7C3A15724}"/>
    <cellStyle name="Komats" xfId="2" builtinId="3"/>
    <cellStyle name="Komats 2" xfId="29" xr:uid="{F03A830E-0943-46E0-BC2E-38020898E9D0}"/>
    <cellStyle name="Normal 10" xfId="3" xr:uid="{00000000-0005-0000-0000-000007000000}"/>
    <cellStyle name="Normal 12" xfId="10" xr:uid="{00000000-0005-0000-0000-000008000000}"/>
    <cellStyle name="Normal 2" xfId="26" xr:uid="{C49D6800-FAB1-4C32-AB38-1E93330B4A1F}"/>
    <cellStyle name="Normal 2 2" xfId="12" xr:uid="{00000000-0005-0000-0000-000009000000}"/>
    <cellStyle name="Normal 2 2 2" xfId="35" xr:uid="{07CF30A4-52D2-4099-BE24-A5E1FBE2D3C9}"/>
    <cellStyle name="Normal 2 2 3" xfId="31" xr:uid="{2D35C99B-AB02-46C1-B17C-E3F869E0BBEF}"/>
    <cellStyle name="Normal 2 3" xfId="34" xr:uid="{3F4CCA04-294A-495E-94DF-085A0F005CCB}"/>
    <cellStyle name="Normal 2_Tame AVK Uliha 56 07.05.2010." xfId="36" xr:uid="{55A520D8-EAEF-4249-9700-11FC45C0B53D}"/>
    <cellStyle name="Normal 3" xfId="9" xr:uid="{00000000-0005-0000-0000-00000A000000}"/>
    <cellStyle name="Normal 5" xfId="4" xr:uid="{00000000-0005-0000-0000-00000B000000}"/>
    <cellStyle name="Normal 5 2" xfId="37" xr:uid="{FBD4408D-CBCE-4708-9028-FAF4488427BD}"/>
    <cellStyle name="Normal_DA" xfId="8" xr:uid="{00000000-0005-0000-0000-00000C000000}"/>
    <cellStyle name="Normal_DA 2" xfId="19" xr:uid="{00000000-0005-0000-0000-00000D000000}"/>
    <cellStyle name="Normal_Liepaja Peldu 5 UK tames" xfId="22" xr:uid="{00000000-0005-0000-0000-00000E000000}"/>
    <cellStyle name="Normal_Siguldas 27 - tabulas" xfId="7" xr:uid="{00000000-0005-0000-0000-00000F000000}"/>
    <cellStyle name="Parasts" xfId="0" builtinId="0"/>
    <cellStyle name="Parasts 2" xfId="15" xr:uid="{00000000-0005-0000-0000-000010000000}"/>
    <cellStyle name="Parasts 3" xfId="11" xr:uid="{00000000-0005-0000-0000-000011000000}"/>
    <cellStyle name="Parasts 3 2" xfId="13" xr:uid="{00000000-0005-0000-0000-000012000000}"/>
    <cellStyle name="Parasts 4" xfId="30" xr:uid="{C6B86FDD-95FA-4124-AD62-A81A84B42B62}"/>
    <cellStyle name="Parasts 5" xfId="24" xr:uid="{F9E7640F-D3E7-4AFF-AB39-282278CC682C}"/>
    <cellStyle name="Paskaidrojošs teksts" xfId="1" builtinId="53" customBuiltin="1"/>
    <cellStyle name="Procenti 2" xfId="38" xr:uid="{8480E1F3-0192-4E5B-BD55-333288A994D4}"/>
    <cellStyle name="Style 1" xfId="6" xr:uid="{00000000-0005-0000-0000-000013000000}"/>
    <cellStyle name="Style 1 2" xfId="17" xr:uid="{00000000-0005-0000-0000-000014000000}"/>
    <cellStyle name="Style 1 3" xfId="39" xr:uid="{0F8821D1-180B-4C17-A5DD-BCCCD99E952B}"/>
    <cellStyle name="Style 1 4" xfId="14" xr:uid="{00000000-0005-0000-0000-000015000000}"/>
    <cellStyle name="Обычный_33. OZOLNIEKU NOVADA DOME_OZO SKOLA_TELPU, GAITENU, KAPNU TELPU REMONTS_TAME_VADIMS_2011_02_25_melnraksts" xfId="25" xr:uid="{01F68DC5-14E4-4298-9EB0-0AF740658F45}"/>
    <cellStyle name="Обычный_saulkrasti_tame" xfId="27" xr:uid="{403205BC-D2BA-48EE-AC93-A4C3F2820155}"/>
    <cellStyle name="Стиль 1" xfId="5" xr:uid="{00000000-0005-0000-0000-000016000000}"/>
    <cellStyle name="Стиль 1 2" xfId="16" xr:uid="{00000000-0005-0000-0000-000017000000}"/>
    <cellStyle name="Стиль 1 3" xfId="41" xr:uid="{F5CD23A9-A923-4AD6-B5B6-F18227B83D61}"/>
    <cellStyle name="Стиль 1 4" xfId="40" xr:uid="{9EF507F2-B297-426D-82F7-E3217FC3350C}"/>
  </cellStyles>
  <dxfs count="151">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457200</xdr:colOff>
      <xdr:row>20</xdr:row>
      <xdr:rowOff>57150</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28575</xdr:colOff>
      <xdr:row>24</xdr:row>
      <xdr:rowOff>0</xdr:rowOff>
    </xdr:to>
    <xdr:sp macro="" textlink="">
      <xdr:nvSpPr>
        <xdr:cNvPr id="2050" name="shapetype_202" hidden="1">
          <a:extLst>
            <a:ext uri="{FF2B5EF4-FFF2-40B4-BE49-F238E27FC236}">
              <a16:creationId xmlns:a16="http://schemas.microsoft.com/office/drawing/2014/main" id="{00000000-0008-0000-0100-00000208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276225</xdr:colOff>
      <xdr:row>19</xdr:row>
      <xdr:rowOff>9525</xdr:rowOff>
    </xdr:to>
    <xdr:sp macro="" textlink="">
      <xdr:nvSpPr>
        <xdr:cNvPr id="3074" name="shapetype_202" hidden="1">
          <a:extLst>
            <a:ext uri="{FF2B5EF4-FFF2-40B4-BE49-F238E27FC236}">
              <a16:creationId xmlns:a16="http://schemas.microsoft.com/office/drawing/2014/main" id="{00000000-0008-0000-0200-0000020C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276225</xdr:colOff>
      <xdr:row>28</xdr:row>
      <xdr:rowOff>152400</xdr:rowOff>
    </xdr:to>
    <xdr:sp macro="" textlink="">
      <xdr:nvSpPr>
        <xdr:cNvPr id="4098" name="shapetype_202" hidden="1">
          <a:extLst>
            <a:ext uri="{FF2B5EF4-FFF2-40B4-BE49-F238E27FC236}">
              <a16:creationId xmlns:a16="http://schemas.microsoft.com/office/drawing/2014/main" id="{00000000-0008-0000-0300-00000210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276225</xdr:colOff>
      <xdr:row>24</xdr:row>
      <xdr:rowOff>0</xdr:rowOff>
    </xdr:to>
    <xdr:sp macro="" textlink="">
      <xdr:nvSpPr>
        <xdr:cNvPr id="6146" name="shapetype_202" hidden="1">
          <a:extLst>
            <a:ext uri="{FF2B5EF4-FFF2-40B4-BE49-F238E27FC236}">
              <a16:creationId xmlns:a16="http://schemas.microsoft.com/office/drawing/2014/main" id="{00000000-0008-0000-0400-00000218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276225</xdr:colOff>
      <xdr:row>16</xdr:row>
      <xdr:rowOff>0</xdr:rowOff>
    </xdr:to>
    <xdr:sp macro="" textlink="">
      <xdr:nvSpPr>
        <xdr:cNvPr id="7170" name="shapetype_202" hidden="1">
          <a:extLst>
            <a:ext uri="{FF2B5EF4-FFF2-40B4-BE49-F238E27FC236}">
              <a16:creationId xmlns:a16="http://schemas.microsoft.com/office/drawing/2014/main" id="{00000000-0008-0000-0600-0000021C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276225</xdr:colOff>
      <xdr:row>17</xdr:row>
      <xdr:rowOff>152400</xdr:rowOff>
    </xdr:to>
    <xdr:sp macro="" textlink="">
      <xdr:nvSpPr>
        <xdr:cNvPr id="8194" name="shapetype_202" hidden="1">
          <a:extLst>
            <a:ext uri="{FF2B5EF4-FFF2-40B4-BE49-F238E27FC236}">
              <a16:creationId xmlns:a16="http://schemas.microsoft.com/office/drawing/2014/main" id="{00000000-0008-0000-0700-00000220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K33"/>
  <sheetViews>
    <sheetView view="pageBreakPreview" zoomScaleNormal="100" zoomScaleSheetLayoutView="100" workbookViewId="0">
      <selection activeCell="C20" sqref="C20"/>
    </sheetView>
  </sheetViews>
  <sheetFormatPr defaultRowHeight="15" x14ac:dyDescent="0.25"/>
  <cols>
    <col min="1" max="1" width="16.85546875" style="1" customWidth="1"/>
    <col min="2" max="2" width="43.42578125" style="1" customWidth="1"/>
    <col min="3" max="3" width="22.42578125" style="1" customWidth="1"/>
    <col min="4" max="210" width="9.140625" style="1" customWidth="1"/>
    <col min="211" max="211" width="1.42578125" style="1" customWidth="1"/>
    <col min="212" max="212" width="2.140625" style="1" customWidth="1"/>
    <col min="213" max="213" width="16.85546875" style="1" customWidth="1"/>
    <col min="214" max="214" width="43.42578125" style="1" customWidth="1"/>
    <col min="215" max="215" width="22.42578125" style="1" customWidth="1"/>
    <col min="216" max="216" width="9.140625" style="1" customWidth="1"/>
    <col min="217" max="217" width="13.85546875" style="1" customWidth="1"/>
    <col min="218" max="466" width="9.140625" style="1" customWidth="1"/>
    <col min="467" max="467" width="1.42578125" style="1" customWidth="1"/>
    <col min="468" max="468" width="2.140625" style="1" customWidth="1"/>
    <col min="469" max="469" width="16.85546875" style="1" customWidth="1"/>
    <col min="470" max="470" width="43.42578125" style="1" customWidth="1"/>
    <col min="471" max="471" width="22.42578125" style="1" customWidth="1"/>
    <col min="472" max="472" width="9.140625" style="1" customWidth="1"/>
    <col min="473" max="473" width="13.85546875" style="1" customWidth="1"/>
    <col min="474" max="722" width="9.140625" style="1" customWidth="1"/>
    <col min="723" max="723" width="1.42578125" style="1" customWidth="1"/>
    <col min="724" max="724" width="2.140625" style="1" customWidth="1"/>
    <col min="725" max="725" width="16.85546875" style="1" customWidth="1"/>
    <col min="726" max="726" width="43.42578125" style="1" customWidth="1"/>
    <col min="727" max="727" width="22.42578125" style="1" customWidth="1"/>
    <col min="728" max="728" width="9.140625" style="1" customWidth="1"/>
    <col min="729" max="729" width="13.85546875" style="1" customWidth="1"/>
    <col min="730" max="978" width="9.140625" style="1" customWidth="1"/>
    <col min="979" max="979" width="1.42578125" style="1" customWidth="1"/>
    <col min="980" max="980" width="2.140625" style="1" customWidth="1"/>
    <col min="981" max="981" width="16.85546875" style="1" customWidth="1"/>
    <col min="982" max="982" width="43.42578125" style="1" customWidth="1"/>
    <col min="983" max="983" width="22.42578125" style="1" customWidth="1"/>
    <col min="984" max="984" width="9.140625" style="1" customWidth="1"/>
    <col min="985" max="985" width="13.85546875" style="1" customWidth="1"/>
    <col min="986" max="1025" width="9.140625" style="1" customWidth="1"/>
  </cols>
  <sheetData>
    <row r="2" spans="1:3" x14ac:dyDescent="0.25">
      <c r="C2" s="2" t="s">
        <v>0</v>
      </c>
    </row>
    <row r="3" spans="1:3" x14ac:dyDescent="0.25">
      <c r="A3" s="2"/>
      <c r="B3" s="3"/>
      <c r="C3" s="3"/>
    </row>
    <row r="4" spans="1:3" x14ac:dyDescent="0.25">
      <c r="B4" s="928" t="s">
        <v>1</v>
      </c>
      <c r="C4" s="928"/>
    </row>
    <row r="5" spans="1:3" x14ac:dyDescent="0.25">
      <c r="A5" s="2"/>
      <c r="B5" s="2"/>
      <c r="C5" s="2"/>
    </row>
    <row r="6" spans="1:3" x14ac:dyDescent="0.25">
      <c r="C6" s="4" t="s">
        <v>2</v>
      </c>
    </row>
    <row r="8" spans="1:3" x14ac:dyDescent="0.25">
      <c r="B8" s="932" t="s">
        <v>619</v>
      </c>
      <c r="C8" s="932"/>
    </row>
    <row r="11" spans="1:3" x14ac:dyDescent="0.25">
      <c r="B11" s="2" t="s">
        <v>3</v>
      </c>
    </row>
    <row r="12" spans="1:3" x14ac:dyDescent="0.25">
      <c r="B12" s="5" t="s">
        <v>4</v>
      </c>
    </row>
    <row r="13" spans="1:3" x14ac:dyDescent="0.25">
      <c r="A13" s="4" t="s">
        <v>5</v>
      </c>
      <c r="B13" s="6" t="s">
        <v>55</v>
      </c>
      <c r="C13" s="6"/>
    </row>
    <row r="14" spans="1:3" x14ac:dyDescent="0.25">
      <c r="A14" s="4" t="s">
        <v>6</v>
      </c>
      <c r="B14" s="6" t="s">
        <v>56</v>
      </c>
      <c r="C14" s="6"/>
    </row>
    <row r="15" spans="1:3" x14ac:dyDescent="0.25">
      <c r="A15" s="4" t="s">
        <v>7</v>
      </c>
      <c r="B15" s="308" t="s">
        <v>620</v>
      </c>
      <c r="C15" s="7"/>
    </row>
    <row r="16" spans="1:3" x14ac:dyDescent="0.25">
      <c r="A16" s="4" t="s">
        <v>8</v>
      </c>
      <c r="B16" s="309" t="s">
        <v>304</v>
      </c>
      <c r="C16" s="8"/>
    </row>
    <row r="17" spans="1:3" ht="15.75" thickBot="1" x14ac:dyDescent="0.3"/>
    <row r="18" spans="1:3" x14ac:dyDescent="0.25">
      <c r="A18" s="9" t="s">
        <v>9</v>
      </c>
      <c r="B18" s="87" t="s">
        <v>10</v>
      </c>
      <c r="C18" s="10" t="s">
        <v>11</v>
      </c>
    </row>
    <row r="19" spans="1:3" ht="33.75" x14ac:dyDescent="0.25">
      <c r="A19" s="99">
        <v>1</v>
      </c>
      <c r="B19" s="310" t="s">
        <v>305</v>
      </c>
      <c r="C19" s="100">
        <f>'Kops a'!E31</f>
        <v>0</v>
      </c>
    </row>
    <row r="20" spans="1:3" ht="15.75" thickBot="1" x14ac:dyDescent="0.3">
      <c r="A20" s="97"/>
      <c r="B20" s="88" t="s">
        <v>12</v>
      </c>
      <c r="C20" s="98">
        <f>SUM(C19:C19)</f>
        <v>0</v>
      </c>
    </row>
    <row r="21" spans="1:3" ht="15.75" thickBot="1" x14ac:dyDescent="0.3">
      <c r="B21" s="11"/>
      <c r="C21" s="12"/>
    </row>
    <row r="22" spans="1:3" x14ac:dyDescent="0.25">
      <c r="A22" s="929" t="s">
        <v>13</v>
      </c>
      <c r="B22" s="929"/>
      <c r="C22" s="13">
        <f>ROUND(C20*21%,2)</f>
        <v>0</v>
      </c>
    </row>
    <row r="25" spans="1:3" x14ac:dyDescent="0.25">
      <c r="A25" s="1" t="s">
        <v>14</v>
      </c>
      <c r="B25" s="930"/>
      <c r="C25" s="930"/>
    </row>
    <row r="26" spans="1:3" x14ac:dyDescent="0.25">
      <c r="B26" s="931" t="s">
        <v>15</v>
      </c>
      <c r="C26" s="931"/>
    </row>
    <row r="28" spans="1:3" x14ac:dyDescent="0.25">
      <c r="A28" s="1" t="s">
        <v>16</v>
      </c>
      <c r="B28" s="14"/>
      <c r="C28" s="14"/>
    </row>
    <row r="29" spans="1:3" x14ac:dyDescent="0.25">
      <c r="A29" s="14"/>
      <c r="B29" s="14"/>
      <c r="C29" s="14"/>
    </row>
    <row r="30" spans="1:3" x14ac:dyDescent="0.25">
      <c r="A30" s="906" t="s">
        <v>618</v>
      </c>
    </row>
    <row r="32" spans="1:3" x14ac:dyDescent="0.25">
      <c r="A32" s="902" t="s">
        <v>616</v>
      </c>
    </row>
    <row r="33" spans="1:1" x14ac:dyDescent="0.25">
      <c r="A33" s="902" t="s">
        <v>617</v>
      </c>
    </row>
  </sheetData>
  <mergeCells count="5">
    <mergeCell ref="B4:C4"/>
    <mergeCell ref="A22:B22"/>
    <mergeCell ref="B25:C25"/>
    <mergeCell ref="B26:C26"/>
    <mergeCell ref="B8:C8"/>
  </mergeCells>
  <conditionalFormatting sqref="C19:C20 C22">
    <cfRule type="cellIs" dxfId="150" priority="8" operator="equal">
      <formula>0</formula>
    </cfRule>
  </conditionalFormatting>
  <conditionalFormatting sqref="B13:B14">
    <cfRule type="cellIs" dxfId="149" priority="6" operator="equal">
      <formula>0</formula>
    </cfRule>
  </conditionalFormatting>
  <conditionalFormatting sqref="A19">
    <cfRule type="cellIs" dxfId="148" priority="13" operator="equal">
      <formula>0</formula>
    </cfRule>
  </conditionalFormatting>
  <conditionalFormatting sqref="A30">
    <cfRule type="containsText" dxfId="147" priority="14" operator="containsText" text="Tāme sastādīta 20__. gada __. _________"/>
  </conditionalFormatting>
  <conditionalFormatting sqref="B25:C25">
    <cfRule type="cellIs" dxfId="146" priority="5" operator="equal">
      <formula>0</formula>
    </cfRule>
  </conditionalFormatting>
  <conditionalFormatting sqref="B28">
    <cfRule type="cellIs" dxfId="145" priority="4" operator="equal">
      <formula>0</formula>
    </cfRule>
  </conditionalFormatting>
  <conditionalFormatting sqref="B15">
    <cfRule type="cellIs" dxfId="144" priority="3" operator="equal">
      <formula>0</formula>
    </cfRule>
  </conditionalFormatting>
  <conditionalFormatting sqref="B16">
    <cfRule type="cellIs" dxfId="143" priority="2" operator="equal">
      <formula>0</formula>
    </cfRule>
  </conditionalFormatting>
  <conditionalFormatting sqref="B19">
    <cfRule type="cellIs" dxfId="142" priority="1" operator="equal">
      <formula>0</formula>
    </cfRule>
  </conditionalFormatting>
  <pageMargins left="0.19685039370078741" right="0.19685039370078741" top="0.75196850393700787" bottom="0.39370078740157483" header="0.51181102362204722" footer="0.51181102362204722"/>
  <pageSetup paperSize="9" scale="98" firstPageNumber="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MK63"/>
  <sheetViews>
    <sheetView view="pageBreakPreview" topLeftCell="A2" zoomScale="130" zoomScaleNormal="100" zoomScaleSheetLayoutView="130" workbookViewId="0">
      <selection activeCell="C43" sqref="C43"/>
    </sheetView>
  </sheetViews>
  <sheetFormatPr defaultRowHeight="15" x14ac:dyDescent="0.25"/>
  <cols>
    <col min="1" max="1" width="4.5703125" style="1" customWidth="1"/>
    <col min="2" max="2" width="5.28515625" style="1" customWidth="1"/>
    <col min="3" max="3" width="38.42578125" style="1" customWidth="1"/>
    <col min="4" max="4" width="5.85546875" style="1" customWidth="1"/>
    <col min="5" max="5" width="8.140625" style="1" customWidth="1"/>
    <col min="6" max="6" width="5.42578125" style="1" customWidth="1"/>
    <col min="7" max="7" width="7.7109375" style="1" customWidth="1"/>
    <col min="8" max="10" width="6.7109375" style="1" customWidth="1"/>
    <col min="11" max="11" width="7" style="1" customWidth="1"/>
    <col min="12" max="15" width="7.7109375" style="1" customWidth="1"/>
    <col min="16" max="16" width="9" style="1" customWidth="1"/>
    <col min="17" max="1025" width="9.140625" style="1" customWidth="1"/>
  </cols>
  <sheetData>
    <row r="1" spans="1:16" x14ac:dyDescent="0.25">
      <c r="A1" s="33"/>
      <c r="B1" s="33"/>
      <c r="C1" s="37" t="s">
        <v>39</v>
      </c>
      <c r="D1" s="38">
        <f>'Kops a'!A21</f>
        <v>7</v>
      </c>
      <c r="E1" s="33"/>
      <c r="F1" s="33"/>
      <c r="G1" s="33"/>
      <c r="H1" s="33"/>
      <c r="I1" s="33"/>
      <c r="J1" s="33"/>
      <c r="N1" s="39"/>
      <c r="O1" s="37"/>
      <c r="P1" s="40"/>
    </row>
    <row r="2" spans="1:16" x14ac:dyDescent="0.25">
      <c r="A2" s="41"/>
      <c r="B2" s="41"/>
      <c r="C2" s="972" t="s">
        <v>288</v>
      </c>
      <c r="D2" s="972"/>
      <c r="E2" s="972"/>
      <c r="F2" s="972"/>
      <c r="G2" s="972"/>
      <c r="H2" s="972"/>
      <c r="I2" s="972"/>
      <c r="J2" s="41"/>
    </row>
    <row r="3" spans="1:16" x14ac:dyDescent="0.25">
      <c r="A3" s="42"/>
      <c r="B3" s="42"/>
      <c r="C3" s="946" t="s">
        <v>18</v>
      </c>
      <c r="D3" s="946"/>
      <c r="E3" s="946"/>
      <c r="F3" s="946"/>
      <c r="G3" s="946"/>
      <c r="H3" s="946"/>
      <c r="I3" s="946"/>
      <c r="J3" s="42"/>
    </row>
    <row r="4" spans="1:16" x14ac:dyDescent="0.25">
      <c r="A4" s="42"/>
      <c r="B4" s="42"/>
      <c r="C4" s="973" t="s">
        <v>4</v>
      </c>
      <c r="D4" s="973"/>
      <c r="E4" s="973"/>
      <c r="F4" s="973"/>
      <c r="G4" s="973"/>
      <c r="H4" s="973"/>
      <c r="I4" s="973"/>
      <c r="J4" s="42"/>
    </row>
    <row r="5" spans="1:16" x14ac:dyDescent="0.25">
      <c r="A5" s="33"/>
      <c r="B5" s="33"/>
      <c r="C5" s="37" t="s">
        <v>5</v>
      </c>
      <c r="D5" s="968" t="str">
        <f>'Kops a'!D6</f>
        <v>Daudzīvokļu dzīvojamā māja</v>
      </c>
      <c r="E5" s="968"/>
      <c r="F5" s="968"/>
      <c r="G5" s="968"/>
      <c r="H5" s="968"/>
      <c r="I5" s="968"/>
      <c r="J5" s="968"/>
      <c r="K5" s="968"/>
      <c r="L5" s="968"/>
      <c r="M5" s="14"/>
      <c r="N5" s="14"/>
      <c r="O5" s="14"/>
      <c r="P5" s="14"/>
    </row>
    <row r="6" spans="1:16" x14ac:dyDescent="0.25">
      <c r="A6" s="33"/>
      <c r="B6" s="33"/>
      <c r="C6" s="37" t="s">
        <v>6</v>
      </c>
      <c r="D6" s="968" t="str">
        <f>'Kops a'!D7</f>
        <v>fasādes vienkāršotā atjaunošana</v>
      </c>
      <c r="E6" s="968"/>
      <c r="F6" s="968"/>
      <c r="G6" s="968"/>
      <c r="H6" s="968"/>
      <c r="I6" s="968"/>
      <c r="J6" s="968"/>
      <c r="K6" s="968"/>
      <c r="L6" s="968"/>
      <c r="M6" s="14"/>
      <c r="N6" s="14"/>
      <c r="O6" s="14"/>
      <c r="P6" s="14"/>
    </row>
    <row r="7" spans="1:16" x14ac:dyDescent="0.25">
      <c r="A7" s="33"/>
      <c r="B7" s="33"/>
      <c r="C7" s="37" t="s">
        <v>7</v>
      </c>
      <c r="D7" s="968" t="str">
        <f>'Kops a'!D8</f>
        <v>Reiņu meža iela 3, Liepāja</v>
      </c>
      <c r="E7" s="968"/>
      <c r="F7" s="968"/>
      <c r="G7" s="968"/>
      <c r="H7" s="968"/>
      <c r="I7" s="968"/>
      <c r="J7" s="968"/>
      <c r="K7" s="968"/>
      <c r="L7" s="968"/>
      <c r="M7" s="14"/>
      <c r="N7" s="14"/>
      <c r="O7" s="14"/>
      <c r="P7" s="14"/>
    </row>
    <row r="8" spans="1:16" x14ac:dyDescent="0.25">
      <c r="A8" s="33"/>
      <c r="B8" s="33"/>
      <c r="C8" s="4" t="s">
        <v>21</v>
      </c>
      <c r="D8" s="968" t="str">
        <f>'Kops a'!D9</f>
        <v>EA-45-17</v>
      </c>
      <c r="E8" s="968"/>
      <c r="F8" s="968"/>
      <c r="G8" s="968"/>
      <c r="H8" s="968"/>
      <c r="I8" s="968"/>
      <c r="J8" s="968"/>
      <c r="K8" s="968"/>
      <c r="L8" s="968"/>
      <c r="M8" s="14"/>
      <c r="N8" s="14"/>
      <c r="O8" s="14"/>
      <c r="P8" s="14"/>
    </row>
    <row r="9" spans="1:16" ht="15" customHeight="1" x14ac:dyDescent="0.25">
      <c r="A9" s="969" t="s">
        <v>627</v>
      </c>
      <c r="B9" s="969"/>
      <c r="C9" s="969"/>
      <c r="D9" s="969"/>
      <c r="E9" s="969"/>
      <c r="F9" s="969"/>
      <c r="G9" s="43"/>
      <c r="H9" s="43"/>
      <c r="I9" s="43"/>
      <c r="J9" s="970" t="s">
        <v>40</v>
      </c>
      <c r="K9" s="970"/>
      <c r="L9" s="970"/>
      <c r="M9" s="970"/>
      <c r="N9" s="971">
        <f>P48</f>
        <v>0</v>
      </c>
      <c r="O9" s="971"/>
      <c r="P9" s="43"/>
    </row>
    <row r="10" spans="1:16" x14ac:dyDescent="0.25">
      <c r="A10" s="44"/>
      <c r="B10" s="45"/>
      <c r="C10" s="4"/>
      <c r="D10" s="33"/>
      <c r="E10" s="33"/>
      <c r="F10" s="33"/>
      <c r="G10" s="33"/>
      <c r="H10" s="33"/>
      <c r="I10" s="33"/>
      <c r="J10" s="33"/>
      <c r="K10" s="33"/>
      <c r="L10" s="41"/>
      <c r="M10" s="41"/>
      <c r="O10" s="57"/>
      <c r="P10" s="47" t="str">
        <f>A54</f>
        <v>Tāme sastādīta 20__. gada __. _________</v>
      </c>
    </row>
    <row r="11" spans="1:16" ht="15.75" thickBot="1" x14ac:dyDescent="0.3">
      <c r="A11" s="44"/>
      <c r="B11" s="45"/>
      <c r="C11" s="4"/>
      <c r="D11" s="33"/>
      <c r="E11" s="33"/>
      <c r="F11" s="33"/>
      <c r="G11" s="33"/>
      <c r="H11" s="33"/>
      <c r="I11" s="33"/>
      <c r="J11" s="33"/>
      <c r="K11" s="33"/>
      <c r="L11" s="48"/>
      <c r="M11" s="48"/>
      <c r="N11" s="49"/>
      <c r="O11" s="39"/>
      <c r="P11" s="33"/>
    </row>
    <row r="12" spans="1:16" ht="15.75" thickBot="1" x14ac:dyDescent="0.3">
      <c r="A12" s="960" t="s">
        <v>24</v>
      </c>
      <c r="B12" s="961" t="s">
        <v>41</v>
      </c>
      <c r="C12" s="962" t="s">
        <v>42</v>
      </c>
      <c r="D12" s="963" t="s">
        <v>43</v>
      </c>
      <c r="E12" s="964" t="s">
        <v>44</v>
      </c>
      <c r="F12" s="959" t="s">
        <v>45</v>
      </c>
      <c r="G12" s="959"/>
      <c r="H12" s="959"/>
      <c r="I12" s="959"/>
      <c r="J12" s="959"/>
      <c r="K12" s="959"/>
      <c r="L12" s="959" t="s">
        <v>46</v>
      </c>
      <c r="M12" s="959"/>
      <c r="N12" s="959"/>
      <c r="O12" s="959"/>
      <c r="P12" s="959"/>
    </row>
    <row r="13" spans="1:16" ht="64.5" thickBot="1" x14ac:dyDescent="0.3">
      <c r="A13" s="960"/>
      <c r="B13" s="961"/>
      <c r="C13" s="962"/>
      <c r="D13" s="963"/>
      <c r="E13" s="964"/>
      <c r="F13" s="50" t="s">
        <v>47</v>
      </c>
      <c r="G13" s="51" t="s">
        <v>48</v>
      </c>
      <c r="H13" s="51" t="s">
        <v>49</v>
      </c>
      <c r="I13" s="51" t="s">
        <v>50</v>
      </c>
      <c r="J13" s="51" t="s">
        <v>51</v>
      </c>
      <c r="K13" s="52" t="s">
        <v>52</v>
      </c>
      <c r="L13" s="50" t="s">
        <v>47</v>
      </c>
      <c r="M13" s="51" t="s">
        <v>49</v>
      </c>
      <c r="N13" s="51" t="s">
        <v>50</v>
      </c>
      <c r="O13" s="51" t="s">
        <v>51</v>
      </c>
      <c r="P13" s="52" t="s">
        <v>52</v>
      </c>
    </row>
    <row r="14" spans="1:16" ht="22.5" x14ac:dyDescent="0.25">
      <c r="A14" s="242">
        <f>IF(COUNTBLANK(B14)=1," ",COUNTA(B$14:B14))</f>
        <v>1</v>
      </c>
      <c r="B14" s="243" t="s">
        <v>87</v>
      </c>
      <c r="C14" s="727" t="s">
        <v>454</v>
      </c>
      <c r="D14" s="244" t="s">
        <v>57</v>
      </c>
      <c r="E14" s="248">
        <v>467</v>
      </c>
      <c r="F14" s="245"/>
      <c r="G14" s="246"/>
      <c r="H14" s="208">
        <f>F14*G14</f>
        <v>0</v>
      </c>
      <c r="I14" s="245"/>
      <c r="J14" s="247"/>
      <c r="K14" s="204">
        <f t="shared" ref="K14:K47" si="0">ROUND(I14+H14+J14,2)</f>
        <v>0</v>
      </c>
      <c r="L14" s="204">
        <f t="shared" ref="L14:L46" si="1">ROUND(E14*F14,2)</f>
        <v>0</v>
      </c>
      <c r="M14" s="204">
        <f t="shared" ref="M14:M47" si="2">ROUND(E14*H14,2)</f>
        <v>0</v>
      </c>
      <c r="N14" s="204">
        <f t="shared" ref="N14:N46" si="3">ROUND(E14*I14,2)</f>
        <v>0</v>
      </c>
      <c r="O14" s="204">
        <f t="shared" ref="O14:O47" si="4">ROUND(E14*J14,2)</f>
        <v>0</v>
      </c>
      <c r="P14" s="204">
        <f t="shared" ref="P14:P46" si="5">SUM(M14:O14)</f>
        <v>0</v>
      </c>
    </row>
    <row r="15" spans="1:16" ht="33.75" x14ac:dyDescent="0.25">
      <c r="A15" s="242">
        <f>IF(COUNTBLANK(B15)=1," ",COUNTA(B$14:B15))</f>
        <v>2</v>
      </c>
      <c r="B15" s="243" t="s">
        <v>87</v>
      </c>
      <c r="C15" s="727" t="s">
        <v>455</v>
      </c>
      <c r="D15" s="682" t="s">
        <v>83</v>
      </c>
      <c r="E15" s="657">
        <v>11</v>
      </c>
      <c r="F15" s="728"/>
      <c r="G15" s="729"/>
      <c r="H15" s="208">
        <f t="shared" ref="H15:H47" si="6">F15*G15</f>
        <v>0</v>
      </c>
      <c r="I15" s="728"/>
      <c r="J15" s="730"/>
      <c r="K15" s="204">
        <f t="shared" si="0"/>
        <v>0</v>
      </c>
      <c r="L15" s="204">
        <f t="shared" si="1"/>
        <v>0</v>
      </c>
      <c r="M15" s="204">
        <f t="shared" si="2"/>
        <v>0</v>
      </c>
      <c r="N15" s="204">
        <f t="shared" si="3"/>
        <v>0</v>
      </c>
      <c r="O15" s="204">
        <f t="shared" si="4"/>
        <v>0</v>
      </c>
      <c r="P15" s="204">
        <f t="shared" si="5"/>
        <v>0</v>
      </c>
    </row>
    <row r="16" spans="1:16" x14ac:dyDescent="0.25">
      <c r="A16" s="242">
        <f>IF(COUNTBLANK(B16)=1," ",COUNTA(B$14:B16))</f>
        <v>3</v>
      </c>
      <c r="B16" s="243" t="s">
        <v>87</v>
      </c>
      <c r="C16" s="731" t="s">
        <v>169</v>
      </c>
      <c r="D16" s="732" t="s">
        <v>57</v>
      </c>
      <c r="E16" s="733">
        <v>107.8</v>
      </c>
      <c r="F16" s="728"/>
      <c r="G16" s="729"/>
      <c r="H16" s="208">
        <f t="shared" si="6"/>
        <v>0</v>
      </c>
      <c r="I16" s="728"/>
      <c r="J16" s="730"/>
      <c r="K16" s="204">
        <f t="shared" si="0"/>
        <v>0</v>
      </c>
      <c r="L16" s="204">
        <f t="shared" si="1"/>
        <v>0</v>
      </c>
      <c r="M16" s="204">
        <f t="shared" si="2"/>
        <v>0</v>
      </c>
      <c r="N16" s="204">
        <f t="shared" si="3"/>
        <v>0</v>
      </c>
      <c r="O16" s="204">
        <f t="shared" si="4"/>
        <v>0</v>
      </c>
      <c r="P16" s="204">
        <f t="shared" si="5"/>
        <v>0</v>
      </c>
    </row>
    <row r="17" spans="1:16" x14ac:dyDescent="0.25">
      <c r="A17" s="242">
        <f>IF(COUNTBLANK(B17)=1," ",COUNTA(B$14:B17))</f>
        <v>4</v>
      </c>
      <c r="B17" s="243" t="s">
        <v>87</v>
      </c>
      <c r="C17" s="734" t="s">
        <v>110</v>
      </c>
      <c r="D17" s="735" t="s">
        <v>91</v>
      </c>
      <c r="E17" s="733">
        <f>ROUNDUP(E16*2.6,0)</f>
        <v>281</v>
      </c>
      <c r="F17" s="728"/>
      <c r="G17" s="729"/>
      <c r="H17" s="208">
        <f t="shared" si="6"/>
        <v>0</v>
      </c>
      <c r="I17" s="728"/>
      <c r="J17" s="730"/>
      <c r="K17" s="204">
        <f t="shared" si="0"/>
        <v>0</v>
      </c>
      <c r="L17" s="204">
        <f t="shared" si="1"/>
        <v>0</v>
      </c>
      <c r="M17" s="204">
        <f t="shared" si="2"/>
        <v>0</v>
      </c>
      <c r="N17" s="204">
        <f t="shared" si="3"/>
        <v>0</v>
      </c>
      <c r="O17" s="204">
        <f t="shared" si="4"/>
        <v>0</v>
      </c>
      <c r="P17" s="204">
        <f t="shared" si="5"/>
        <v>0</v>
      </c>
    </row>
    <row r="18" spans="1:16" x14ac:dyDescent="0.25">
      <c r="A18" s="242">
        <f>IF(COUNTBLANK(B18)=1," ",COUNTA(B$14:B18))</f>
        <v>5</v>
      </c>
      <c r="B18" s="243" t="s">
        <v>87</v>
      </c>
      <c r="C18" s="736" t="s">
        <v>109</v>
      </c>
      <c r="D18" s="737" t="s">
        <v>91</v>
      </c>
      <c r="E18" s="733">
        <f>ROUNDUP(E16*2,0)</f>
        <v>216</v>
      </c>
      <c r="F18" s="728"/>
      <c r="G18" s="729"/>
      <c r="H18" s="208">
        <f t="shared" si="6"/>
        <v>0</v>
      </c>
      <c r="I18" s="728"/>
      <c r="J18" s="730"/>
      <c r="K18" s="204">
        <f t="shared" si="0"/>
        <v>0</v>
      </c>
      <c r="L18" s="204">
        <f t="shared" si="1"/>
        <v>0</v>
      </c>
      <c r="M18" s="204">
        <f t="shared" si="2"/>
        <v>0</v>
      </c>
      <c r="N18" s="204">
        <f t="shared" si="3"/>
        <v>0</v>
      </c>
      <c r="O18" s="204">
        <f t="shared" si="4"/>
        <v>0</v>
      </c>
      <c r="P18" s="204">
        <f t="shared" si="5"/>
        <v>0</v>
      </c>
    </row>
    <row r="19" spans="1:16" x14ac:dyDescent="0.25">
      <c r="A19" s="242">
        <f>IF(COUNTBLANK(B19)=1," ",COUNTA(B$14:B19))</f>
        <v>6</v>
      </c>
      <c r="B19" s="243" t="s">
        <v>87</v>
      </c>
      <c r="C19" s="734" t="s">
        <v>356</v>
      </c>
      <c r="D19" s="735" t="s">
        <v>92</v>
      </c>
      <c r="E19" s="733">
        <f>ROUNDUP(E16*0.4,0)</f>
        <v>44</v>
      </c>
      <c r="F19" s="728"/>
      <c r="G19" s="729"/>
      <c r="H19" s="208">
        <f t="shared" si="6"/>
        <v>0</v>
      </c>
      <c r="I19" s="728"/>
      <c r="J19" s="730"/>
      <c r="K19" s="204">
        <f t="shared" si="0"/>
        <v>0</v>
      </c>
      <c r="L19" s="204">
        <f t="shared" si="1"/>
        <v>0</v>
      </c>
      <c r="M19" s="204">
        <f t="shared" si="2"/>
        <v>0</v>
      </c>
      <c r="N19" s="204">
        <f t="shared" si="3"/>
        <v>0</v>
      </c>
      <c r="O19" s="204">
        <f t="shared" si="4"/>
        <v>0</v>
      </c>
      <c r="P19" s="204">
        <f t="shared" si="5"/>
        <v>0</v>
      </c>
    </row>
    <row r="20" spans="1:16" x14ac:dyDescent="0.25">
      <c r="A20" s="242">
        <f>IF(COUNTBLANK(B20)=1," ",COUNTA(B$14:B20))</f>
        <v>7</v>
      </c>
      <c r="B20" s="243" t="s">
        <v>87</v>
      </c>
      <c r="C20" s="738" t="s">
        <v>108</v>
      </c>
      <c r="D20" s="739" t="s">
        <v>91</v>
      </c>
      <c r="E20" s="740">
        <f>ROUNDUP(E16*2.5,0)</f>
        <v>270</v>
      </c>
      <c r="F20" s="728"/>
      <c r="G20" s="729"/>
      <c r="H20" s="208">
        <f t="shared" si="6"/>
        <v>0</v>
      </c>
      <c r="I20" s="728"/>
      <c r="J20" s="730"/>
      <c r="K20" s="204">
        <f t="shared" si="0"/>
        <v>0</v>
      </c>
      <c r="L20" s="204">
        <f t="shared" si="1"/>
        <v>0</v>
      </c>
      <c r="M20" s="204">
        <f t="shared" si="2"/>
        <v>0</v>
      </c>
      <c r="N20" s="204">
        <f t="shared" si="3"/>
        <v>0</v>
      </c>
      <c r="O20" s="204">
        <f t="shared" si="4"/>
        <v>0</v>
      </c>
      <c r="P20" s="204">
        <f t="shared" si="5"/>
        <v>0</v>
      </c>
    </row>
    <row r="21" spans="1:16" x14ac:dyDescent="0.25">
      <c r="A21" s="242">
        <f>IF(COUNTBLANK(B21)=1," ",COUNTA(B$14:B21))</f>
        <v>8</v>
      </c>
      <c r="B21" s="243" t="s">
        <v>87</v>
      </c>
      <c r="C21" s="734" t="s">
        <v>282</v>
      </c>
      <c r="D21" s="735" t="s">
        <v>92</v>
      </c>
      <c r="E21" s="733">
        <f>ROUNDUP(E16*0.25,2)</f>
        <v>26.95</v>
      </c>
      <c r="F21" s="728"/>
      <c r="G21" s="729"/>
      <c r="H21" s="208">
        <f t="shared" si="6"/>
        <v>0</v>
      </c>
      <c r="I21" s="728"/>
      <c r="J21" s="730"/>
      <c r="K21" s="204">
        <f t="shared" si="0"/>
        <v>0</v>
      </c>
      <c r="L21" s="204">
        <f t="shared" si="1"/>
        <v>0</v>
      </c>
      <c r="M21" s="204">
        <f t="shared" si="2"/>
        <v>0</v>
      </c>
      <c r="N21" s="204">
        <f t="shared" si="3"/>
        <v>0</v>
      </c>
      <c r="O21" s="204">
        <f t="shared" si="4"/>
        <v>0</v>
      </c>
      <c r="P21" s="204">
        <f t="shared" si="5"/>
        <v>0</v>
      </c>
    </row>
    <row r="22" spans="1:16" ht="21" x14ac:dyDescent="0.25">
      <c r="A22" s="242" t="str">
        <f>IF(COUNTBLANK(B22)=1," ",COUNTA(B$14:B22))</f>
        <v xml:space="preserve"> </v>
      </c>
      <c r="B22" s="243"/>
      <c r="C22" s="741" t="s">
        <v>456</v>
      </c>
      <c r="D22" s="244"/>
      <c r="E22" s="248"/>
      <c r="F22" s="249"/>
      <c r="G22" s="249"/>
      <c r="H22" s="208">
        <f t="shared" si="6"/>
        <v>0</v>
      </c>
      <c r="I22" s="249"/>
      <c r="J22" s="247"/>
      <c r="K22" s="204">
        <f t="shared" si="0"/>
        <v>0</v>
      </c>
      <c r="L22" s="204">
        <f t="shared" si="1"/>
        <v>0</v>
      </c>
      <c r="M22" s="204">
        <f t="shared" si="2"/>
        <v>0</v>
      </c>
      <c r="N22" s="204">
        <f t="shared" si="3"/>
        <v>0</v>
      </c>
      <c r="O22" s="204">
        <f t="shared" si="4"/>
        <v>0</v>
      </c>
      <c r="P22" s="204">
        <f t="shared" si="5"/>
        <v>0</v>
      </c>
    </row>
    <row r="23" spans="1:16" x14ac:dyDescent="0.25">
      <c r="A23" s="242">
        <f>IF(COUNTBLANK(B23)=1," ",COUNTA(B$14:B23))</f>
        <v>9</v>
      </c>
      <c r="B23" s="243" t="s">
        <v>87</v>
      </c>
      <c r="C23" s="415" t="s">
        <v>289</v>
      </c>
      <c r="D23" s="244" t="s">
        <v>83</v>
      </c>
      <c r="E23" s="248">
        <f>74*2</f>
        <v>148</v>
      </c>
      <c r="F23" s="250"/>
      <c r="G23" s="249"/>
      <c r="H23" s="208">
        <f t="shared" si="6"/>
        <v>0</v>
      </c>
      <c r="I23" s="250"/>
      <c r="J23" s="247"/>
      <c r="K23" s="204">
        <f t="shared" si="0"/>
        <v>0</v>
      </c>
      <c r="L23" s="204">
        <f t="shared" si="1"/>
        <v>0</v>
      </c>
      <c r="M23" s="204">
        <f t="shared" si="2"/>
        <v>0</v>
      </c>
      <c r="N23" s="204">
        <f t="shared" si="3"/>
        <v>0</v>
      </c>
      <c r="O23" s="204">
        <f t="shared" si="4"/>
        <v>0</v>
      </c>
      <c r="P23" s="204">
        <f t="shared" si="5"/>
        <v>0</v>
      </c>
    </row>
    <row r="24" spans="1:16" x14ac:dyDescent="0.25">
      <c r="A24" s="242">
        <f>IF(COUNTBLANK(B24)=1," ",COUNTA(B$14:B24))</f>
        <v>10</v>
      </c>
      <c r="B24" s="243" t="s">
        <v>87</v>
      </c>
      <c r="C24" s="416" t="s">
        <v>636</v>
      </c>
      <c r="D24" s="244" t="s">
        <v>90</v>
      </c>
      <c r="E24" s="418">
        <f>E23*1.57</f>
        <v>232.36</v>
      </c>
      <c r="F24" s="250"/>
      <c r="G24" s="249"/>
      <c r="H24" s="208">
        <f t="shared" si="6"/>
        <v>0</v>
      </c>
      <c r="I24" s="250"/>
      <c r="J24" s="247"/>
      <c r="K24" s="204">
        <f t="shared" si="0"/>
        <v>0</v>
      </c>
      <c r="L24" s="204">
        <f t="shared" si="1"/>
        <v>0</v>
      </c>
      <c r="M24" s="204">
        <f t="shared" si="2"/>
        <v>0</v>
      </c>
      <c r="N24" s="204">
        <f t="shared" si="3"/>
        <v>0</v>
      </c>
      <c r="O24" s="204">
        <f t="shared" si="4"/>
        <v>0</v>
      </c>
      <c r="P24" s="204">
        <f t="shared" si="5"/>
        <v>0</v>
      </c>
    </row>
    <row r="25" spans="1:16" x14ac:dyDescent="0.25">
      <c r="A25" s="242">
        <f>IF(COUNTBLANK(B25)=1," ",COUNTA(B$14:B25))</f>
        <v>11</v>
      </c>
      <c r="B25" s="243" t="s">
        <v>87</v>
      </c>
      <c r="C25" s="414" t="s">
        <v>290</v>
      </c>
      <c r="D25" s="252" t="s">
        <v>83</v>
      </c>
      <c r="E25" s="418">
        <f>E23*2</f>
        <v>296</v>
      </c>
      <c r="F25" s="250"/>
      <c r="G25" s="249"/>
      <c r="H25" s="208">
        <f t="shared" si="6"/>
        <v>0</v>
      </c>
      <c r="I25" s="250"/>
      <c r="J25" s="247"/>
      <c r="K25" s="204">
        <f t="shared" si="0"/>
        <v>0</v>
      </c>
      <c r="L25" s="204">
        <f t="shared" si="1"/>
        <v>0</v>
      </c>
      <c r="M25" s="204">
        <f t="shared" si="2"/>
        <v>0</v>
      </c>
      <c r="N25" s="204">
        <f t="shared" si="3"/>
        <v>0</v>
      </c>
      <c r="O25" s="204">
        <f t="shared" si="4"/>
        <v>0</v>
      </c>
      <c r="P25" s="204">
        <f t="shared" si="5"/>
        <v>0</v>
      </c>
    </row>
    <row r="26" spans="1:16" x14ac:dyDescent="0.25">
      <c r="A26" s="242">
        <f>IF(COUNTBLANK(B26)=1," ",COUNTA(B$14:B26))</f>
        <v>12</v>
      </c>
      <c r="B26" s="251" t="s">
        <v>87</v>
      </c>
      <c r="C26" s="742" t="s">
        <v>457</v>
      </c>
      <c r="D26" s="417" t="s">
        <v>89</v>
      </c>
      <c r="E26" s="743">
        <f>6.3*74</f>
        <v>466.2</v>
      </c>
      <c r="F26" s="250"/>
      <c r="G26" s="249"/>
      <c r="H26" s="208">
        <f t="shared" si="6"/>
        <v>0</v>
      </c>
      <c r="I26" s="250"/>
      <c r="J26" s="247"/>
      <c r="K26" s="204">
        <f t="shared" si="0"/>
        <v>0</v>
      </c>
      <c r="L26" s="204">
        <f t="shared" si="1"/>
        <v>0</v>
      </c>
      <c r="M26" s="204">
        <f t="shared" si="2"/>
        <v>0</v>
      </c>
      <c r="N26" s="204">
        <f t="shared" si="3"/>
        <v>0</v>
      </c>
      <c r="O26" s="204">
        <f t="shared" si="4"/>
        <v>0</v>
      </c>
      <c r="P26" s="204">
        <f t="shared" si="5"/>
        <v>0</v>
      </c>
    </row>
    <row r="27" spans="1:16" x14ac:dyDescent="0.25">
      <c r="A27" s="242">
        <f>IF(COUNTBLANK(B27)=1," ",COUNTA(B$14:B27))</f>
        <v>13</v>
      </c>
      <c r="B27" s="251" t="s">
        <v>87</v>
      </c>
      <c r="C27" s="927" t="s">
        <v>637</v>
      </c>
      <c r="D27" s="417" t="s">
        <v>90</v>
      </c>
      <c r="E27" s="418">
        <f>E26*9.22</f>
        <v>4298.3640000000005</v>
      </c>
      <c r="F27" s="254"/>
      <c r="G27" s="249"/>
      <c r="H27" s="208">
        <f t="shared" si="6"/>
        <v>0</v>
      </c>
      <c r="I27" s="254"/>
      <c r="J27" s="247"/>
      <c r="K27" s="204">
        <f t="shared" si="0"/>
        <v>0</v>
      </c>
      <c r="L27" s="204">
        <f t="shared" si="1"/>
        <v>0</v>
      </c>
      <c r="M27" s="204">
        <f t="shared" si="2"/>
        <v>0</v>
      </c>
      <c r="N27" s="204">
        <f t="shared" si="3"/>
        <v>0</v>
      </c>
      <c r="O27" s="204">
        <f t="shared" si="4"/>
        <v>0</v>
      </c>
      <c r="P27" s="204">
        <f t="shared" si="5"/>
        <v>0</v>
      </c>
    </row>
    <row r="28" spans="1:16" ht="16.5" customHeight="1" x14ac:dyDescent="0.25">
      <c r="A28" s="242">
        <f>IF(COUNTBLANK(B28)=1," ",COUNTA(B$14:B28))</f>
        <v>14</v>
      </c>
      <c r="B28" s="251" t="s">
        <v>87</v>
      </c>
      <c r="C28" s="745" t="s">
        <v>458</v>
      </c>
      <c r="D28" s="746" t="s">
        <v>89</v>
      </c>
      <c r="E28" s="747">
        <v>67</v>
      </c>
      <c r="F28" s="744"/>
      <c r="G28" s="629"/>
      <c r="H28" s="208">
        <f t="shared" si="6"/>
        <v>0</v>
      </c>
      <c r="I28" s="744"/>
      <c r="J28" s="730"/>
      <c r="K28" s="204">
        <f t="shared" si="0"/>
        <v>0</v>
      </c>
      <c r="L28" s="204">
        <f t="shared" si="1"/>
        <v>0</v>
      </c>
      <c r="M28" s="204">
        <f t="shared" si="2"/>
        <v>0</v>
      </c>
      <c r="N28" s="204">
        <f t="shared" si="3"/>
        <v>0</v>
      </c>
      <c r="O28" s="204">
        <f t="shared" si="4"/>
        <v>0</v>
      </c>
      <c r="P28" s="204">
        <f t="shared" si="5"/>
        <v>0</v>
      </c>
    </row>
    <row r="29" spans="1:16" x14ac:dyDescent="0.25">
      <c r="A29" s="242">
        <f>IF(COUNTBLANK(B29)=1," ",COUNTA(B$14:B29))</f>
        <v>15</v>
      </c>
      <c r="B29" s="251" t="s">
        <v>87</v>
      </c>
      <c r="C29" s="748" t="s">
        <v>637</v>
      </c>
      <c r="D29" s="746" t="s">
        <v>90</v>
      </c>
      <c r="E29" s="747">
        <f>E28*6.71</f>
        <v>449.57</v>
      </c>
      <c r="F29" s="744"/>
      <c r="G29" s="629"/>
      <c r="H29" s="208">
        <f t="shared" si="6"/>
        <v>0</v>
      </c>
      <c r="I29" s="744"/>
      <c r="J29" s="730"/>
      <c r="K29" s="204">
        <f t="shared" si="0"/>
        <v>0</v>
      </c>
      <c r="L29" s="204">
        <f t="shared" si="1"/>
        <v>0</v>
      </c>
      <c r="M29" s="204">
        <f t="shared" si="2"/>
        <v>0</v>
      </c>
      <c r="N29" s="204">
        <f t="shared" si="3"/>
        <v>0</v>
      </c>
      <c r="O29" s="204">
        <f t="shared" si="4"/>
        <v>0</v>
      </c>
      <c r="P29" s="204">
        <f t="shared" si="5"/>
        <v>0</v>
      </c>
    </row>
    <row r="30" spans="1:16" x14ac:dyDescent="0.25">
      <c r="A30" s="242">
        <f>IF(COUNTBLANK(B30)=1," ",COUNTA(B$14:B30))</f>
        <v>16</v>
      </c>
      <c r="B30" s="251" t="s">
        <v>87</v>
      </c>
      <c r="C30" s="745" t="s">
        <v>459</v>
      </c>
      <c r="D30" s="746" t="s">
        <v>89</v>
      </c>
      <c r="E30" s="743">
        <f>6.3*74</f>
        <v>466.2</v>
      </c>
      <c r="F30" s="744"/>
      <c r="G30" s="629"/>
      <c r="H30" s="208">
        <f t="shared" si="6"/>
        <v>0</v>
      </c>
      <c r="I30" s="744"/>
      <c r="J30" s="730"/>
      <c r="K30" s="204">
        <f t="shared" si="0"/>
        <v>0</v>
      </c>
      <c r="L30" s="204">
        <f t="shared" si="1"/>
        <v>0</v>
      </c>
      <c r="M30" s="204">
        <f t="shared" si="2"/>
        <v>0</v>
      </c>
      <c r="N30" s="204">
        <f t="shared" si="3"/>
        <v>0</v>
      </c>
      <c r="O30" s="204">
        <f t="shared" si="4"/>
        <v>0</v>
      </c>
      <c r="P30" s="204">
        <f t="shared" si="5"/>
        <v>0</v>
      </c>
    </row>
    <row r="31" spans="1:16" x14ac:dyDescent="0.25">
      <c r="A31" s="242">
        <f>IF(COUNTBLANK(B31)=1," ",COUNTA(B$14:B31))</f>
        <v>17</v>
      </c>
      <c r="B31" s="251" t="s">
        <v>87</v>
      </c>
      <c r="C31" s="745" t="s">
        <v>460</v>
      </c>
      <c r="D31" s="746" t="s">
        <v>83</v>
      </c>
      <c r="E31" s="747">
        <f>E30*2</f>
        <v>932.4</v>
      </c>
      <c r="F31" s="744"/>
      <c r="G31" s="629"/>
      <c r="H31" s="208">
        <f t="shared" si="6"/>
        <v>0</v>
      </c>
      <c r="I31" s="744"/>
      <c r="J31" s="730"/>
      <c r="K31" s="204">
        <f t="shared" si="0"/>
        <v>0</v>
      </c>
      <c r="L31" s="204">
        <f t="shared" si="1"/>
        <v>0</v>
      </c>
      <c r="M31" s="204">
        <f t="shared" si="2"/>
        <v>0</v>
      </c>
      <c r="N31" s="204">
        <f t="shared" si="3"/>
        <v>0</v>
      </c>
      <c r="O31" s="204">
        <f t="shared" si="4"/>
        <v>0</v>
      </c>
      <c r="P31" s="204">
        <f t="shared" si="5"/>
        <v>0</v>
      </c>
    </row>
    <row r="32" spans="1:16" ht="22.5" x14ac:dyDescent="0.25">
      <c r="A32" s="242">
        <f>IF(COUNTBLANK(B32)=1," ",COUNTA(B$14:B32))</f>
        <v>18</v>
      </c>
      <c r="B32" s="251" t="s">
        <v>87</v>
      </c>
      <c r="C32" s="745" t="s">
        <v>291</v>
      </c>
      <c r="D32" s="746" t="s">
        <v>157</v>
      </c>
      <c r="E32" s="747">
        <f>6.3*74*0.45</f>
        <v>209.79</v>
      </c>
      <c r="F32" s="744"/>
      <c r="G32" s="629"/>
      <c r="H32" s="208">
        <f t="shared" si="6"/>
        <v>0</v>
      </c>
      <c r="I32" s="744"/>
      <c r="J32" s="730"/>
      <c r="K32" s="204">
        <f t="shared" si="0"/>
        <v>0</v>
      </c>
      <c r="L32" s="204">
        <f t="shared" si="1"/>
        <v>0</v>
      </c>
      <c r="M32" s="204">
        <f t="shared" si="2"/>
        <v>0</v>
      </c>
      <c r="N32" s="204">
        <f t="shared" si="3"/>
        <v>0</v>
      </c>
      <c r="O32" s="204">
        <f t="shared" si="4"/>
        <v>0</v>
      </c>
      <c r="P32" s="204">
        <f t="shared" si="5"/>
        <v>0</v>
      </c>
    </row>
    <row r="33" spans="1:16" x14ac:dyDescent="0.25">
      <c r="A33" s="242">
        <f>IF(COUNTBLANK(B33)=1," ",COUNTA(B$14:B33))</f>
        <v>19</v>
      </c>
      <c r="B33" s="251" t="s">
        <v>87</v>
      </c>
      <c r="C33" s="745" t="s">
        <v>461</v>
      </c>
      <c r="D33" s="746" t="s">
        <v>90</v>
      </c>
      <c r="E33" s="747">
        <f>933*0.37*1.26</f>
        <v>434.96459999999996</v>
      </c>
      <c r="F33" s="744"/>
      <c r="G33" s="629"/>
      <c r="H33" s="208">
        <f t="shared" si="6"/>
        <v>0</v>
      </c>
      <c r="I33" s="744"/>
      <c r="J33" s="730"/>
      <c r="K33" s="204">
        <f t="shared" si="0"/>
        <v>0</v>
      </c>
      <c r="L33" s="204">
        <f t="shared" si="1"/>
        <v>0</v>
      </c>
      <c r="M33" s="204">
        <f t="shared" si="2"/>
        <v>0</v>
      </c>
      <c r="N33" s="204">
        <f t="shared" si="3"/>
        <v>0</v>
      </c>
      <c r="O33" s="204">
        <f t="shared" si="4"/>
        <v>0</v>
      </c>
      <c r="P33" s="204">
        <f t="shared" si="5"/>
        <v>0</v>
      </c>
    </row>
    <row r="34" spans="1:16" x14ac:dyDescent="0.25">
      <c r="A34" s="242">
        <f>IF(COUNTBLANK(B34)=1," ",COUNTA(B$14:B34))</f>
        <v>20</v>
      </c>
      <c r="B34" s="251" t="s">
        <v>87</v>
      </c>
      <c r="C34" s="745" t="s">
        <v>462</v>
      </c>
      <c r="D34" s="746" t="s">
        <v>83</v>
      </c>
      <c r="E34" s="747">
        <v>296</v>
      </c>
      <c r="F34" s="744"/>
      <c r="G34" s="629"/>
      <c r="H34" s="208">
        <f t="shared" si="6"/>
        <v>0</v>
      </c>
      <c r="I34" s="744"/>
      <c r="J34" s="730"/>
      <c r="K34" s="204">
        <f t="shared" si="0"/>
        <v>0</v>
      </c>
      <c r="L34" s="204">
        <f t="shared" si="1"/>
        <v>0</v>
      </c>
      <c r="M34" s="204">
        <f t="shared" si="2"/>
        <v>0</v>
      </c>
      <c r="N34" s="204">
        <f t="shared" si="3"/>
        <v>0</v>
      </c>
      <c r="O34" s="204">
        <f t="shared" si="4"/>
        <v>0</v>
      </c>
      <c r="P34" s="204">
        <f t="shared" si="5"/>
        <v>0</v>
      </c>
    </row>
    <row r="35" spans="1:16" x14ac:dyDescent="0.25">
      <c r="A35" s="242">
        <f>IF(COUNTBLANK(B35)=1," ",COUNTA(B$14:B35))</f>
        <v>21</v>
      </c>
      <c r="B35" s="251" t="s">
        <v>87</v>
      </c>
      <c r="C35" s="748" t="s">
        <v>637</v>
      </c>
      <c r="D35" s="746" t="s">
        <v>90</v>
      </c>
      <c r="E35" s="747">
        <f>E34*1.51</f>
        <v>446.96</v>
      </c>
      <c r="F35" s="254"/>
      <c r="G35" s="249"/>
      <c r="H35" s="208">
        <f t="shared" si="6"/>
        <v>0</v>
      </c>
      <c r="I35" s="254"/>
      <c r="J35" s="247"/>
      <c r="K35" s="204">
        <f t="shared" si="0"/>
        <v>0</v>
      </c>
      <c r="L35" s="204">
        <f t="shared" si="1"/>
        <v>0</v>
      </c>
      <c r="M35" s="204">
        <f t="shared" si="2"/>
        <v>0</v>
      </c>
      <c r="N35" s="204">
        <f t="shared" si="3"/>
        <v>0</v>
      </c>
      <c r="O35" s="204">
        <f t="shared" si="4"/>
        <v>0</v>
      </c>
      <c r="P35" s="204">
        <f t="shared" si="5"/>
        <v>0</v>
      </c>
    </row>
    <row r="36" spans="1:16" x14ac:dyDescent="0.25">
      <c r="A36" s="242">
        <f>IF(COUNTBLANK(B36)=1," ",COUNTA(B$14:B36))</f>
        <v>22</v>
      </c>
      <c r="B36" s="251" t="s">
        <v>87</v>
      </c>
      <c r="C36" s="745" t="s">
        <v>463</v>
      </c>
      <c r="D36" s="746" t="s">
        <v>83</v>
      </c>
      <c r="E36" s="747">
        <f>E34*8</f>
        <v>2368</v>
      </c>
      <c r="F36" s="254"/>
      <c r="G36" s="249"/>
      <c r="H36" s="208">
        <f t="shared" si="6"/>
        <v>0</v>
      </c>
      <c r="I36" s="254"/>
      <c r="J36" s="247"/>
      <c r="K36" s="204">
        <f t="shared" si="0"/>
        <v>0</v>
      </c>
      <c r="L36" s="204">
        <f t="shared" si="1"/>
        <v>0</v>
      </c>
      <c r="M36" s="204">
        <f t="shared" si="2"/>
        <v>0</v>
      </c>
      <c r="N36" s="204">
        <f t="shared" si="3"/>
        <v>0</v>
      </c>
      <c r="O36" s="204">
        <f t="shared" si="4"/>
        <v>0</v>
      </c>
      <c r="P36" s="204">
        <f t="shared" si="5"/>
        <v>0</v>
      </c>
    </row>
    <row r="37" spans="1:16" ht="22.5" x14ac:dyDescent="0.25">
      <c r="A37" s="242">
        <f>IF(COUNTBLANK(B37)=1," ",COUNTA(B$14:B37))</f>
        <v>23</v>
      </c>
      <c r="B37" s="255" t="s">
        <v>87</v>
      </c>
      <c r="C37" s="745" t="s">
        <v>464</v>
      </c>
      <c r="D37" s="746" t="s">
        <v>89</v>
      </c>
      <c r="E37" s="743">
        <v>466.2</v>
      </c>
      <c r="F37" s="254"/>
      <c r="G37" s="249"/>
      <c r="H37" s="208">
        <f t="shared" si="6"/>
        <v>0</v>
      </c>
      <c r="I37" s="254"/>
      <c r="J37" s="247"/>
      <c r="K37" s="204">
        <f t="shared" si="0"/>
        <v>0</v>
      </c>
      <c r="L37" s="204">
        <f t="shared" si="1"/>
        <v>0</v>
      </c>
      <c r="M37" s="204">
        <f t="shared" si="2"/>
        <v>0</v>
      </c>
      <c r="N37" s="204">
        <f t="shared" si="3"/>
        <v>0</v>
      </c>
      <c r="O37" s="204">
        <f t="shared" si="4"/>
        <v>0</v>
      </c>
      <c r="P37" s="204">
        <f t="shared" si="5"/>
        <v>0</v>
      </c>
    </row>
    <row r="38" spans="1:16" x14ac:dyDescent="0.25">
      <c r="A38" s="242">
        <f>IF(COUNTBLANK(B38)=1," ",COUNTA(B$14:B38))</f>
        <v>24</v>
      </c>
      <c r="B38" s="255" t="s">
        <v>87</v>
      </c>
      <c r="C38" s="748" t="s">
        <v>637</v>
      </c>
      <c r="D38" s="746" t="s">
        <v>90</v>
      </c>
      <c r="E38" s="747">
        <f>E37*8.98</f>
        <v>4186.4759999999997</v>
      </c>
      <c r="F38" s="253"/>
      <c r="G38" s="249"/>
      <c r="H38" s="208">
        <f t="shared" si="6"/>
        <v>0</v>
      </c>
      <c r="I38" s="253"/>
      <c r="J38" s="247"/>
      <c r="K38" s="204">
        <f t="shared" si="0"/>
        <v>0</v>
      </c>
      <c r="L38" s="204">
        <f t="shared" si="1"/>
        <v>0</v>
      </c>
      <c r="M38" s="204">
        <f t="shared" si="2"/>
        <v>0</v>
      </c>
      <c r="N38" s="204">
        <f t="shared" si="3"/>
        <v>0</v>
      </c>
      <c r="O38" s="204">
        <f t="shared" si="4"/>
        <v>0</v>
      </c>
      <c r="P38" s="204">
        <f t="shared" si="5"/>
        <v>0</v>
      </c>
    </row>
    <row r="39" spans="1:16" x14ac:dyDescent="0.25">
      <c r="A39" s="242">
        <f>IF(COUNTBLANK(B39)=1," ",COUNTA(B$14:B39))</f>
        <v>25</v>
      </c>
      <c r="B39" s="256" t="s">
        <v>87</v>
      </c>
      <c r="C39" s="745" t="s">
        <v>465</v>
      </c>
      <c r="D39" s="746" t="s">
        <v>83</v>
      </c>
      <c r="E39" s="747">
        <f>13*74</f>
        <v>962</v>
      </c>
      <c r="F39" s="253"/>
      <c r="G39" s="249"/>
      <c r="H39" s="208">
        <f t="shared" si="6"/>
        <v>0</v>
      </c>
      <c r="I39" s="253"/>
      <c r="J39" s="247"/>
      <c r="K39" s="204">
        <f t="shared" si="0"/>
        <v>0</v>
      </c>
      <c r="L39" s="204">
        <f t="shared" si="1"/>
        <v>0</v>
      </c>
      <c r="M39" s="204">
        <f t="shared" si="2"/>
        <v>0</v>
      </c>
      <c r="N39" s="204">
        <f t="shared" si="3"/>
        <v>0</v>
      </c>
      <c r="O39" s="204">
        <f t="shared" si="4"/>
        <v>0</v>
      </c>
      <c r="P39" s="204">
        <f t="shared" si="5"/>
        <v>0</v>
      </c>
    </row>
    <row r="40" spans="1:16" x14ac:dyDescent="0.25">
      <c r="A40" s="242" t="str">
        <f>IF(COUNTBLANK(B40)=1," ",COUNTA(B$14:B40))</f>
        <v xml:space="preserve"> </v>
      </c>
      <c r="B40" s="256"/>
      <c r="C40" s="751" t="s">
        <v>466</v>
      </c>
      <c r="D40" s="752"/>
      <c r="E40" s="253"/>
      <c r="F40" s="253"/>
      <c r="G40" s="249"/>
      <c r="H40" s="208">
        <f t="shared" si="6"/>
        <v>0</v>
      </c>
      <c r="I40" s="253"/>
      <c r="J40" s="247"/>
      <c r="K40" s="204">
        <f t="shared" si="0"/>
        <v>0</v>
      </c>
      <c r="L40" s="204">
        <f t="shared" si="1"/>
        <v>0</v>
      </c>
      <c r="M40" s="204">
        <f t="shared" si="2"/>
        <v>0</v>
      </c>
      <c r="N40" s="204">
        <f t="shared" si="3"/>
        <v>0</v>
      </c>
      <c r="O40" s="204">
        <f t="shared" si="4"/>
        <v>0</v>
      </c>
      <c r="P40" s="204">
        <f t="shared" si="5"/>
        <v>0</v>
      </c>
    </row>
    <row r="41" spans="1:16" ht="90" x14ac:dyDescent="0.25">
      <c r="A41" s="242">
        <f>IF(COUNTBLANK(B41)=1," ",COUNTA(B$14:B41))</f>
        <v>26</v>
      </c>
      <c r="B41" s="749" t="s">
        <v>87</v>
      </c>
      <c r="C41" s="727" t="s">
        <v>467</v>
      </c>
      <c r="D41" s="746" t="s">
        <v>157</v>
      </c>
      <c r="E41" s="747">
        <v>138.6</v>
      </c>
      <c r="F41" s="750"/>
      <c r="G41" s="629"/>
      <c r="H41" s="208">
        <f t="shared" si="6"/>
        <v>0</v>
      </c>
      <c r="I41" s="750"/>
      <c r="J41" s="730"/>
      <c r="K41" s="204">
        <f t="shared" si="0"/>
        <v>0</v>
      </c>
      <c r="L41" s="204">
        <f t="shared" si="1"/>
        <v>0</v>
      </c>
      <c r="M41" s="204">
        <f t="shared" si="2"/>
        <v>0</v>
      </c>
      <c r="N41" s="204">
        <f t="shared" si="3"/>
        <v>0</v>
      </c>
      <c r="O41" s="204">
        <f t="shared" si="4"/>
        <v>0</v>
      </c>
      <c r="P41" s="204">
        <f t="shared" si="5"/>
        <v>0</v>
      </c>
    </row>
    <row r="42" spans="1:16" ht="90" x14ac:dyDescent="0.25">
      <c r="A42" s="242">
        <f>IF(COUNTBLANK(B42)=1," ",COUNTA(B$14:B42))</f>
        <v>27</v>
      </c>
      <c r="B42" s="749" t="s">
        <v>87</v>
      </c>
      <c r="C42" s="727" t="s">
        <v>468</v>
      </c>
      <c r="D42" s="746" t="s">
        <v>157</v>
      </c>
      <c r="E42" s="747">
        <v>239.4</v>
      </c>
      <c r="F42" s="750"/>
      <c r="G42" s="629"/>
      <c r="H42" s="208">
        <f t="shared" si="6"/>
        <v>0</v>
      </c>
      <c r="I42" s="750"/>
      <c r="J42" s="730"/>
      <c r="K42" s="204">
        <f t="shared" si="0"/>
        <v>0</v>
      </c>
      <c r="L42" s="204">
        <f t="shared" si="1"/>
        <v>0</v>
      </c>
      <c r="M42" s="204">
        <f t="shared" si="2"/>
        <v>0</v>
      </c>
      <c r="N42" s="204">
        <f t="shared" si="3"/>
        <v>0</v>
      </c>
      <c r="O42" s="204">
        <f t="shared" si="4"/>
        <v>0</v>
      </c>
      <c r="P42" s="204">
        <f t="shared" si="5"/>
        <v>0</v>
      </c>
    </row>
    <row r="43" spans="1:16" ht="90" x14ac:dyDescent="0.25">
      <c r="A43" s="242">
        <f>IF(COUNTBLANK(B43)=1," ",COUNTA(B$14:B43))</f>
        <v>28</v>
      </c>
      <c r="B43" s="749" t="s">
        <v>87</v>
      </c>
      <c r="C43" s="727" t="s">
        <v>469</v>
      </c>
      <c r="D43" s="746" t="s">
        <v>157</v>
      </c>
      <c r="E43" s="747">
        <v>88.2</v>
      </c>
      <c r="F43" s="750"/>
      <c r="G43" s="629"/>
      <c r="H43" s="208">
        <f t="shared" si="6"/>
        <v>0</v>
      </c>
      <c r="I43" s="750"/>
      <c r="J43" s="730"/>
      <c r="K43" s="204">
        <f t="shared" si="0"/>
        <v>0</v>
      </c>
      <c r="L43" s="204">
        <f t="shared" si="1"/>
        <v>0</v>
      </c>
      <c r="M43" s="204">
        <f t="shared" si="2"/>
        <v>0</v>
      </c>
      <c r="N43" s="204">
        <f t="shared" si="3"/>
        <v>0</v>
      </c>
      <c r="O43" s="204">
        <f t="shared" si="4"/>
        <v>0</v>
      </c>
      <c r="P43" s="204">
        <f t="shared" si="5"/>
        <v>0</v>
      </c>
    </row>
    <row r="44" spans="1:16" x14ac:dyDescent="0.25">
      <c r="A44" s="242">
        <f>IF(COUNTBLANK(B44)=1," ",COUNTA(B$14:B44))</f>
        <v>29</v>
      </c>
      <c r="B44" s="749" t="s">
        <v>87</v>
      </c>
      <c r="C44" s="745" t="s">
        <v>470</v>
      </c>
      <c r="D44" s="746" t="s">
        <v>89</v>
      </c>
      <c r="E44" s="743">
        <v>468.4</v>
      </c>
      <c r="F44" s="750"/>
      <c r="G44" s="629"/>
      <c r="H44" s="208">
        <f t="shared" si="6"/>
        <v>0</v>
      </c>
      <c r="I44" s="750"/>
      <c r="J44" s="730"/>
      <c r="K44" s="204">
        <f t="shared" si="0"/>
        <v>0</v>
      </c>
      <c r="L44" s="204">
        <f t="shared" si="1"/>
        <v>0</v>
      </c>
      <c r="M44" s="204">
        <f t="shared" si="2"/>
        <v>0</v>
      </c>
      <c r="N44" s="204">
        <f t="shared" si="3"/>
        <v>0</v>
      </c>
      <c r="O44" s="204">
        <f t="shared" si="4"/>
        <v>0</v>
      </c>
      <c r="P44" s="204">
        <f t="shared" si="5"/>
        <v>0</v>
      </c>
    </row>
    <row r="45" spans="1:16" x14ac:dyDescent="0.25">
      <c r="A45" s="242">
        <f>IF(COUNTBLANK(B45)=1," ",COUNTA(B$14:B45))</f>
        <v>30</v>
      </c>
      <c r="B45" s="256" t="s">
        <v>87</v>
      </c>
      <c r="C45" s="710" t="s">
        <v>471</v>
      </c>
      <c r="D45" s="711" t="s">
        <v>89</v>
      </c>
      <c r="E45" s="753">
        <v>468.4</v>
      </c>
      <c r="F45" s="254"/>
      <c r="G45" s="249"/>
      <c r="H45" s="208">
        <f t="shared" si="6"/>
        <v>0</v>
      </c>
      <c r="I45" s="254"/>
      <c r="J45" s="247"/>
      <c r="K45" s="204">
        <f t="shared" si="0"/>
        <v>0</v>
      </c>
      <c r="L45" s="204">
        <f t="shared" si="1"/>
        <v>0</v>
      </c>
      <c r="M45" s="204">
        <f t="shared" si="2"/>
        <v>0</v>
      </c>
      <c r="N45" s="204">
        <f t="shared" si="3"/>
        <v>0</v>
      </c>
      <c r="O45" s="204">
        <f t="shared" si="4"/>
        <v>0</v>
      </c>
      <c r="P45" s="204">
        <f t="shared" si="5"/>
        <v>0</v>
      </c>
    </row>
    <row r="46" spans="1:16" x14ac:dyDescent="0.25">
      <c r="A46" s="242">
        <f>IF(COUNTBLANK(B46)=1," ",COUNTA(B$14:B46))</f>
        <v>31</v>
      </c>
      <c r="B46" s="324" t="s">
        <v>87</v>
      </c>
      <c r="C46" s="754" t="s">
        <v>86</v>
      </c>
      <c r="D46" s="700" t="s">
        <v>190</v>
      </c>
      <c r="E46" s="755">
        <v>46.6</v>
      </c>
      <c r="F46" s="419"/>
      <c r="G46" s="278"/>
      <c r="H46" s="208">
        <f t="shared" si="6"/>
        <v>0</v>
      </c>
      <c r="I46" s="419"/>
      <c r="J46" s="420"/>
      <c r="K46" s="204">
        <f t="shared" si="0"/>
        <v>0</v>
      </c>
      <c r="L46" s="204">
        <f t="shared" si="1"/>
        <v>0</v>
      </c>
      <c r="M46" s="204">
        <f t="shared" si="2"/>
        <v>0</v>
      </c>
      <c r="N46" s="204">
        <f t="shared" si="3"/>
        <v>0</v>
      </c>
      <c r="O46" s="204">
        <f t="shared" si="4"/>
        <v>0</v>
      </c>
      <c r="P46" s="204">
        <f t="shared" si="5"/>
        <v>0</v>
      </c>
    </row>
    <row r="47" spans="1:16" ht="15.75" thickBot="1" x14ac:dyDescent="0.3">
      <c r="A47" s="242">
        <f>IF(COUNTBLANK(B47)=1," ",COUNTA(B$14:B47))</f>
        <v>32</v>
      </c>
      <c r="B47" s="324" t="s">
        <v>87</v>
      </c>
      <c r="C47" s="754" t="s">
        <v>84</v>
      </c>
      <c r="D47" s="700" t="s">
        <v>83</v>
      </c>
      <c r="E47" s="621">
        <f>ROUNDUP(E46*0.14,0)</f>
        <v>7</v>
      </c>
      <c r="F47" s="253"/>
      <c r="G47" s="249"/>
      <c r="H47" s="208">
        <f t="shared" si="6"/>
        <v>0</v>
      </c>
      <c r="I47" s="253"/>
      <c r="J47" s="247"/>
      <c r="K47" s="204">
        <f t="shared" si="0"/>
        <v>0</v>
      </c>
      <c r="L47" s="204">
        <f t="shared" ref="L47" si="7">ROUND(E47*F47,2)</f>
        <v>0</v>
      </c>
      <c r="M47" s="204">
        <f t="shared" si="2"/>
        <v>0</v>
      </c>
      <c r="N47" s="204">
        <f t="shared" ref="N47" si="8">ROUND(E47*I47,2)</f>
        <v>0</v>
      </c>
      <c r="O47" s="204">
        <f t="shared" si="4"/>
        <v>0</v>
      </c>
      <c r="P47" s="204">
        <f t="shared" ref="P47" si="9">SUM(M47:O47)</f>
        <v>0</v>
      </c>
    </row>
    <row r="48" spans="1:16" s="1" customFormat="1" ht="12" customHeight="1" thickBot="1" x14ac:dyDescent="0.25">
      <c r="A48" s="965" t="s">
        <v>626</v>
      </c>
      <c r="B48" s="966"/>
      <c r="C48" s="966"/>
      <c r="D48" s="966"/>
      <c r="E48" s="966"/>
      <c r="F48" s="966"/>
      <c r="G48" s="966"/>
      <c r="H48" s="966"/>
      <c r="I48" s="966"/>
      <c r="J48" s="966"/>
      <c r="K48" s="967"/>
      <c r="L48" s="53">
        <f>SUM(L14:L47)</f>
        <v>0</v>
      </c>
      <c r="M48" s="53">
        <f>SUM(M14:M47)</f>
        <v>0</v>
      </c>
      <c r="N48" s="53">
        <f>SUM(N14:N47)</f>
        <v>0</v>
      </c>
      <c r="O48" s="53">
        <f>SUM(O14:O47)</f>
        <v>0</v>
      </c>
      <c r="P48" s="53">
        <f>SUM(P14:P47)</f>
        <v>0</v>
      </c>
    </row>
    <row r="49" spans="1:16" s="1" customFormat="1" ht="11.25" x14ac:dyDescent="0.2">
      <c r="A49" s="14"/>
      <c r="B49" s="14"/>
      <c r="C49" s="14"/>
      <c r="D49" s="14"/>
      <c r="E49" s="14"/>
      <c r="F49" s="14"/>
      <c r="G49" s="14"/>
      <c r="H49" s="14"/>
      <c r="I49" s="14"/>
      <c r="J49" s="14"/>
      <c r="K49" s="14"/>
      <c r="L49" s="14"/>
      <c r="M49" s="14"/>
      <c r="N49" s="14"/>
      <c r="O49" s="14"/>
      <c r="P49" s="14"/>
    </row>
    <row r="50" spans="1:16" s="1" customFormat="1" ht="11.25" x14ac:dyDescent="0.2">
      <c r="A50" s="14"/>
      <c r="B50" s="14"/>
      <c r="C50" s="14"/>
      <c r="D50" s="14"/>
      <c r="E50" s="14"/>
      <c r="F50" s="14"/>
      <c r="G50" s="14"/>
      <c r="H50" s="14"/>
      <c r="I50" s="14"/>
      <c r="J50" s="14"/>
      <c r="K50" s="14"/>
      <c r="L50" s="14"/>
      <c r="M50" s="14"/>
      <c r="N50" s="14"/>
      <c r="O50" s="14"/>
      <c r="P50" s="14"/>
    </row>
    <row r="51" spans="1:16" s="1" customFormat="1" ht="11.25" x14ac:dyDescent="0.2">
      <c r="A51" s="1" t="s">
        <v>14</v>
      </c>
      <c r="B51" s="14"/>
      <c r="C51" s="958">
        <f>sas</f>
        <v>0</v>
      </c>
      <c r="D51" s="958"/>
      <c r="E51" s="958"/>
      <c r="F51" s="958"/>
      <c r="G51" s="958"/>
      <c r="H51" s="958"/>
      <c r="I51" s="14"/>
      <c r="J51" s="14"/>
      <c r="K51" s="14"/>
      <c r="L51" s="14"/>
      <c r="M51" s="14"/>
      <c r="N51" s="14"/>
      <c r="O51" s="14"/>
      <c r="P51" s="14"/>
    </row>
    <row r="52" spans="1:16" s="1" customFormat="1" ht="11.25" x14ac:dyDescent="0.2">
      <c r="A52" s="14"/>
      <c r="B52" s="14"/>
      <c r="C52" s="931" t="s">
        <v>15</v>
      </c>
      <c r="D52" s="931"/>
      <c r="E52" s="931"/>
      <c r="F52" s="931"/>
      <c r="G52" s="931"/>
      <c r="H52" s="931"/>
      <c r="I52" s="14"/>
      <c r="J52" s="14"/>
      <c r="K52" s="14"/>
      <c r="L52" s="14"/>
      <c r="M52" s="14"/>
      <c r="N52" s="14"/>
      <c r="O52" s="14"/>
      <c r="P52" s="14"/>
    </row>
    <row r="53" spans="1:16" s="1" customFormat="1" ht="11.25" x14ac:dyDescent="0.2">
      <c r="A53" s="14"/>
      <c r="B53" s="14"/>
      <c r="C53" s="14"/>
      <c r="D53" s="14"/>
      <c r="E53" s="14"/>
      <c r="F53" s="14"/>
      <c r="G53" s="14"/>
      <c r="H53" s="14"/>
      <c r="I53" s="14"/>
      <c r="J53" s="14"/>
      <c r="K53" s="14"/>
      <c r="L53" s="14"/>
      <c r="M53" s="14"/>
      <c r="N53" s="14"/>
      <c r="O53" s="14"/>
      <c r="P53" s="14"/>
    </row>
    <row r="54" spans="1:16" s="1" customFormat="1" ht="11.25" x14ac:dyDescent="0.2">
      <c r="A54" s="34" t="str">
        <f>dat</f>
        <v>Tāme sastādīta 20__. gada __. _________</v>
      </c>
      <c r="B54" s="35"/>
      <c r="C54" s="35"/>
      <c r="D54" s="35"/>
      <c r="E54" s="14"/>
      <c r="F54" s="14"/>
      <c r="G54" s="14"/>
      <c r="H54" s="14"/>
      <c r="I54" s="14"/>
      <c r="J54" s="14"/>
      <c r="K54" s="14"/>
      <c r="L54" s="14"/>
      <c r="M54" s="14"/>
      <c r="N54" s="14"/>
      <c r="O54" s="14"/>
      <c r="P54" s="14"/>
    </row>
    <row r="55" spans="1:16" s="1" customFormat="1" ht="11.25" x14ac:dyDescent="0.2">
      <c r="A55" s="14"/>
      <c r="B55" s="14"/>
      <c r="C55" s="14"/>
      <c r="D55" s="14"/>
      <c r="E55" s="14"/>
      <c r="F55" s="14"/>
      <c r="G55" s="14"/>
      <c r="H55" s="14"/>
      <c r="I55" s="14"/>
      <c r="J55" s="14"/>
      <c r="K55" s="14"/>
      <c r="L55" s="14"/>
      <c r="M55" s="14"/>
      <c r="N55" s="14"/>
      <c r="O55" s="14"/>
      <c r="P55" s="14"/>
    </row>
    <row r="56" spans="1:16" s="1" customFormat="1" ht="11.25" x14ac:dyDescent="0.2">
      <c r="A56" s="1" t="s">
        <v>38</v>
      </c>
      <c r="B56" s="14"/>
      <c r="C56" s="958">
        <f>C51</f>
        <v>0</v>
      </c>
      <c r="D56" s="958"/>
      <c r="E56" s="958"/>
      <c r="F56" s="958"/>
      <c r="G56" s="958"/>
      <c r="H56" s="958"/>
      <c r="I56" s="14"/>
      <c r="J56" s="14"/>
      <c r="K56" s="14"/>
      <c r="L56" s="14"/>
      <c r="M56" s="14"/>
      <c r="N56" s="14"/>
      <c r="O56" s="14"/>
      <c r="P56" s="14"/>
    </row>
    <row r="57" spans="1:16" s="1" customFormat="1" ht="11.25" x14ac:dyDescent="0.2">
      <c r="A57" s="14"/>
      <c r="B57" s="14"/>
      <c r="C57" s="931" t="s">
        <v>15</v>
      </c>
      <c r="D57" s="931"/>
      <c r="E57" s="931"/>
      <c r="F57" s="931"/>
      <c r="G57" s="931"/>
      <c r="H57" s="931"/>
      <c r="I57" s="14"/>
      <c r="J57" s="14"/>
      <c r="K57" s="14"/>
      <c r="L57" s="14"/>
      <c r="M57" s="14"/>
      <c r="N57" s="14"/>
      <c r="O57" s="14"/>
      <c r="P57" s="14"/>
    </row>
    <row r="58" spans="1:16" s="1" customFormat="1" ht="11.25" x14ac:dyDescent="0.2">
      <c r="A58" s="14"/>
      <c r="B58" s="14"/>
      <c r="C58" s="14"/>
      <c r="D58" s="14"/>
      <c r="E58" s="14"/>
      <c r="F58" s="14"/>
      <c r="G58" s="14"/>
      <c r="H58" s="14"/>
      <c r="I58" s="14"/>
      <c r="J58" s="14"/>
      <c r="K58" s="14"/>
      <c r="L58" s="14"/>
      <c r="M58" s="14"/>
      <c r="N58" s="14"/>
      <c r="O58" s="14"/>
      <c r="P58" s="14"/>
    </row>
    <row r="59" spans="1:16" s="1" customFormat="1" ht="11.25" x14ac:dyDescent="0.2">
      <c r="A59" s="34" t="s">
        <v>54</v>
      </c>
      <c r="B59" s="35"/>
      <c r="C59" s="74">
        <f>sert.nr</f>
        <v>0</v>
      </c>
      <c r="D59" s="56"/>
      <c r="E59" s="14"/>
      <c r="F59" s="14"/>
      <c r="G59" s="14"/>
      <c r="H59" s="14"/>
      <c r="I59" s="14"/>
      <c r="J59" s="14"/>
      <c r="K59" s="14"/>
      <c r="L59" s="14"/>
      <c r="M59" s="14"/>
      <c r="N59" s="14"/>
      <c r="O59" s="14"/>
      <c r="P59" s="14"/>
    </row>
    <row r="61" spans="1:16" x14ac:dyDescent="0.25">
      <c r="C61" s="921" t="s">
        <v>623</v>
      </c>
    </row>
    <row r="62" spans="1:16" x14ac:dyDescent="0.25">
      <c r="C62" s="922" t="s">
        <v>624</v>
      </c>
    </row>
    <row r="63" spans="1:16" x14ac:dyDescent="0.25">
      <c r="C63" s="922" t="s">
        <v>625</v>
      </c>
    </row>
  </sheetData>
  <mergeCells count="22">
    <mergeCell ref="D7:L7"/>
    <mergeCell ref="C2:I2"/>
    <mergeCell ref="C3:I3"/>
    <mergeCell ref="C4:I4"/>
    <mergeCell ref="D5:L5"/>
    <mergeCell ref="D6:L6"/>
    <mergeCell ref="N9:O9"/>
    <mergeCell ref="A12:A13"/>
    <mergeCell ref="B12:B13"/>
    <mergeCell ref="C12:C13"/>
    <mergeCell ref="D12:D13"/>
    <mergeCell ref="E12:E13"/>
    <mergeCell ref="F12:K12"/>
    <mergeCell ref="L12:P12"/>
    <mergeCell ref="A48:K48"/>
    <mergeCell ref="C57:H57"/>
    <mergeCell ref="D8:L8"/>
    <mergeCell ref="A9:F9"/>
    <mergeCell ref="J9:M9"/>
    <mergeCell ref="C51:H51"/>
    <mergeCell ref="C52:H52"/>
    <mergeCell ref="C56:H56"/>
  </mergeCells>
  <conditionalFormatting sqref="D14:G22 C4:I4 D5:L8 E38:F44 D45:F47 G23:G47 I14:J47 D23:F37 B14:C47">
    <cfRule type="cellIs" dxfId="55" priority="18" operator="equal">
      <formula>0</formula>
    </cfRule>
  </conditionalFormatting>
  <conditionalFormatting sqref="N9:O9 C2:I2 A14:A47 H14:H47 K14:P47">
    <cfRule type="cellIs" dxfId="54" priority="19" operator="equal">
      <formula>0</formula>
    </cfRule>
  </conditionalFormatting>
  <conditionalFormatting sqref="A48:K48">
    <cfRule type="containsText" dxfId="53" priority="20" operator="containsText" text="Tāme sastādīta  20__. gada tirgus cenās, pamatojoties uz ___ daļas rasējumiem"/>
  </conditionalFormatting>
  <conditionalFormatting sqref="O10">
    <cfRule type="cellIs" dxfId="52" priority="22" operator="equal">
      <formula>"20__. gada __. _________"</formula>
    </cfRule>
  </conditionalFormatting>
  <conditionalFormatting sqref="L48:P48">
    <cfRule type="cellIs" dxfId="51" priority="24" operator="equal">
      <formula>0</formula>
    </cfRule>
  </conditionalFormatting>
  <conditionalFormatting sqref="P10">
    <cfRule type="cellIs" dxfId="50" priority="31" operator="equal">
      <formula>"20__. gada __. _________"</formula>
    </cfRule>
  </conditionalFormatting>
  <conditionalFormatting sqref="D1">
    <cfRule type="cellIs" dxfId="49" priority="35" operator="equal">
      <formula>0</formula>
    </cfRule>
  </conditionalFormatting>
  <conditionalFormatting sqref="D38:D44">
    <cfRule type="cellIs" dxfId="48" priority="7" operator="equal">
      <formula>0</formula>
    </cfRule>
  </conditionalFormatting>
  <conditionalFormatting sqref="C51:H51">
    <cfRule type="cellIs" dxfId="47" priority="2" operator="equal">
      <formula>0</formula>
    </cfRule>
  </conditionalFormatting>
  <conditionalFormatting sqref="C56:H56 C51:H51">
    <cfRule type="cellIs" dxfId="46" priority="3" operator="equal">
      <formula>0</formula>
    </cfRule>
  </conditionalFormatting>
  <conditionalFormatting sqref="C59">
    <cfRule type="cellIs" dxfId="45" priority="4" operator="equal">
      <formula>0</formula>
    </cfRule>
  </conditionalFormatting>
  <conditionalFormatting sqref="A9:F9">
    <cfRule type="containsText" dxfId="44" priority="1" operator="containsText" text="Tāme sastādīta  20__. gada tirgus cenās, pamatojoties uz ___ daļas rasējumiem"/>
  </conditionalFormatting>
  <pageMargins left="0.19685039370078741" right="0.19685039370078741" top="0.75196850393700787" bottom="0.39370078740157483" header="0.51181102362204722" footer="0.51181102362204722"/>
  <pageSetup paperSize="9" scale="62" firstPageNumber="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AMK138"/>
  <sheetViews>
    <sheetView view="pageBreakPreview" topLeftCell="A6" zoomScale="130" zoomScaleNormal="100" zoomScaleSheetLayoutView="130" workbookViewId="0">
      <selection activeCell="C90" sqref="C90"/>
    </sheetView>
  </sheetViews>
  <sheetFormatPr defaultRowHeight="15" x14ac:dyDescent="0.25"/>
  <cols>
    <col min="1" max="1" width="4.5703125" style="1" customWidth="1"/>
    <col min="2" max="2" width="5.28515625" style="1" customWidth="1"/>
    <col min="3" max="3" width="38.42578125" style="1" customWidth="1"/>
    <col min="4" max="4" width="5.85546875" style="1" customWidth="1"/>
    <col min="5" max="5" width="7.7109375" style="1" bestFit="1" customWidth="1"/>
    <col min="6" max="6" width="5.42578125" style="1" customWidth="1"/>
    <col min="7" max="7" width="7.7109375" style="285" customWidth="1"/>
    <col min="8" max="10" width="6.7109375" style="1" customWidth="1"/>
    <col min="11" max="11" width="7" style="1" customWidth="1"/>
    <col min="12" max="15" width="7.7109375" style="1" customWidth="1"/>
    <col min="16" max="16" width="9" style="1" customWidth="1"/>
    <col min="17" max="1025" width="9.140625" style="1" customWidth="1"/>
  </cols>
  <sheetData>
    <row r="1" spans="1:16" x14ac:dyDescent="0.25">
      <c r="A1" s="33"/>
      <c r="B1" s="33"/>
      <c r="C1" s="37" t="s">
        <v>39</v>
      </c>
      <c r="D1" s="38">
        <f>'Kops a'!A22</f>
        <v>8</v>
      </c>
      <c r="E1" s="33"/>
      <c r="F1" s="33"/>
      <c r="H1" s="33"/>
      <c r="I1" s="33"/>
      <c r="J1" s="33"/>
      <c r="N1" s="39"/>
      <c r="O1" s="37"/>
      <c r="P1" s="40"/>
    </row>
    <row r="2" spans="1:16" x14ac:dyDescent="0.25">
      <c r="A2" s="41"/>
      <c r="B2" s="41"/>
      <c r="C2" s="972" t="s">
        <v>131</v>
      </c>
      <c r="D2" s="972"/>
      <c r="E2" s="972"/>
      <c r="F2" s="972"/>
      <c r="G2" s="972"/>
      <c r="H2" s="972"/>
      <c r="I2" s="972"/>
      <c r="J2" s="41"/>
    </row>
    <row r="3" spans="1:16" x14ac:dyDescent="0.25">
      <c r="A3" s="42"/>
      <c r="B3" s="42"/>
      <c r="C3" s="946" t="s">
        <v>18</v>
      </c>
      <c r="D3" s="946"/>
      <c r="E3" s="946"/>
      <c r="F3" s="946"/>
      <c r="G3" s="946"/>
      <c r="H3" s="946"/>
      <c r="I3" s="946"/>
      <c r="J3" s="42"/>
    </row>
    <row r="4" spans="1:16" x14ac:dyDescent="0.25">
      <c r="A4" s="42"/>
      <c r="B4" s="42"/>
      <c r="C4" s="973" t="s">
        <v>4</v>
      </c>
      <c r="D4" s="973"/>
      <c r="E4" s="973"/>
      <c r="F4" s="973"/>
      <c r="G4" s="973"/>
      <c r="H4" s="973"/>
      <c r="I4" s="973"/>
      <c r="J4" s="42"/>
    </row>
    <row r="5" spans="1:16" x14ac:dyDescent="0.25">
      <c r="A5" s="33"/>
      <c r="B5" s="33"/>
      <c r="C5" s="37" t="s">
        <v>5</v>
      </c>
      <c r="D5" s="968" t="str">
        <f>'Kops a'!D6</f>
        <v>Daudzīvokļu dzīvojamā māja</v>
      </c>
      <c r="E5" s="968"/>
      <c r="F5" s="968"/>
      <c r="G5" s="968"/>
      <c r="H5" s="968"/>
      <c r="I5" s="968"/>
      <c r="J5" s="968"/>
      <c r="K5" s="968"/>
      <c r="L5" s="968"/>
      <c r="M5" s="14"/>
      <c r="N5" s="14"/>
      <c r="O5" s="14"/>
      <c r="P5" s="14"/>
    </row>
    <row r="6" spans="1:16" x14ac:dyDescent="0.25">
      <c r="A6" s="33"/>
      <c r="B6" s="33"/>
      <c r="C6" s="37" t="s">
        <v>6</v>
      </c>
      <c r="D6" s="968" t="str">
        <f>'Kops a'!D7</f>
        <v>fasādes vienkāršotā atjaunošana</v>
      </c>
      <c r="E6" s="968"/>
      <c r="F6" s="968"/>
      <c r="G6" s="968"/>
      <c r="H6" s="968"/>
      <c r="I6" s="968"/>
      <c r="J6" s="968"/>
      <c r="K6" s="968"/>
      <c r="L6" s="968"/>
      <c r="M6" s="14"/>
      <c r="N6" s="14"/>
      <c r="O6" s="14"/>
      <c r="P6" s="14"/>
    </row>
    <row r="7" spans="1:16" x14ac:dyDescent="0.25">
      <c r="A7" s="33"/>
      <c r="B7" s="33"/>
      <c r="C7" s="37" t="s">
        <v>7</v>
      </c>
      <c r="D7" s="968" t="str">
        <f>'Kops a'!D8</f>
        <v>Reiņu meža iela 3, Liepāja</v>
      </c>
      <c r="E7" s="968"/>
      <c r="F7" s="968"/>
      <c r="G7" s="968"/>
      <c r="H7" s="968"/>
      <c r="I7" s="968"/>
      <c r="J7" s="968"/>
      <c r="K7" s="968"/>
      <c r="L7" s="968"/>
      <c r="M7" s="14"/>
      <c r="N7" s="14"/>
      <c r="O7" s="14"/>
      <c r="P7" s="14"/>
    </row>
    <row r="8" spans="1:16" x14ac:dyDescent="0.25">
      <c r="A8" s="33"/>
      <c r="B8" s="33"/>
      <c r="C8" s="4" t="s">
        <v>21</v>
      </c>
      <c r="D8" s="968" t="str">
        <f>'Kops a'!D9</f>
        <v>EA-45-17</v>
      </c>
      <c r="E8" s="968"/>
      <c r="F8" s="968"/>
      <c r="G8" s="968"/>
      <c r="H8" s="968"/>
      <c r="I8" s="968"/>
      <c r="J8" s="968"/>
      <c r="K8" s="968"/>
      <c r="L8" s="968"/>
      <c r="M8" s="14"/>
      <c r="N8" s="14"/>
      <c r="O8" s="14"/>
      <c r="P8" s="14"/>
    </row>
    <row r="9" spans="1:16" ht="15" customHeight="1" x14ac:dyDescent="0.25">
      <c r="A9" s="969" t="s">
        <v>627</v>
      </c>
      <c r="B9" s="969"/>
      <c r="C9" s="969"/>
      <c r="D9" s="969"/>
      <c r="E9" s="969"/>
      <c r="F9" s="969"/>
      <c r="G9" s="286"/>
      <c r="H9" s="43"/>
      <c r="I9" s="43"/>
      <c r="J9" s="970" t="s">
        <v>40</v>
      </c>
      <c r="K9" s="970"/>
      <c r="L9" s="970"/>
      <c r="M9" s="970"/>
      <c r="N9" s="971">
        <f>P123</f>
        <v>0</v>
      </c>
      <c r="O9" s="971"/>
      <c r="P9" s="43"/>
    </row>
    <row r="10" spans="1:16" x14ac:dyDescent="0.25">
      <c r="A10" s="44"/>
      <c r="B10" s="45"/>
      <c r="C10" s="4"/>
      <c r="D10" s="33"/>
      <c r="E10" s="33"/>
      <c r="F10" s="33"/>
      <c r="H10" s="33"/>
      <c r="I10" s="33"/>
      <c r="J10" s="33"/>
      <c r="K10" s="33"/>
      <c r="L10" s="41"/>
      <c r="M10" s="41"/>
      <c r="O10" s="57"/>
      <c r="P10" s="47" t="str">
        <f>A129</f>
        <v>Tāme sastādīta 20__. gada __. _________</v>
      </c>
    </row>
    <row r="11" spans="1:16" ht="15.75" thickBot="1" x14ac:dyDescent="0.3">
      <c r="A11" s="44"/>
      <c r="B11" s="45"/>
      <c r="C11" s="4"/>
      <c r="D11" s="33"/>
      <c r="E11" s="33"/>
      <c r="F11" s="33"/>
      <c r="H11" s="33"/>
      <c r="I11" s="33"/>
      <c r="J11" s="33"/>
      <c r="K11" s="33"/>
      <c r="L11" s="48"/>
      <c r="M11" s="48"/>
      <c r="N11" s="49"/>
      <c r="O11" s="39"/>
      <c r="P11" s="33"/>
    </row>
    <row r="12" spans="1:16" ht="15.75" thickBot="1" x14ac:dyDescent="0.3">
      <c r="A12" s="960" t="s">
        <v>24</v>
      </c>
      <c r="B12" s="961" t="s">
        <v>41</v>
      </c>
      <c r="C12" s="962" t="s">
        <v>42</v>
      </c>
      <c r="D12" s="963" t="s">
        <v>43</v>
      </c>
      <c r="E12" s="964" t="s">
        <v>44</v>
      </c>
      <c r="F12" s="959" t="s">
        <v>45</v>
      </c>
      <c r="G12" s="959"/>
      <c r="H12" s="959"/>
      <c r="I12" s="959"/>
      <c r="J12" s="959"/>
      <c r="K12" s="959"/>
      <c r="L12" s="959" t="s">
        <v>46</v>
      </c>
      <c r="M12" s="959"/>
      <c r="N12" s="959"/>
      <c r="O12" s="959"/>
      <c r="P12" s="959"/>
    </row>
    <row r="13" spans="1:16" ht="64.5" thickBot="1" x14ac:dyDescent="0.3">
      <c r="A13" s="960"/>
      <c r="B13" s="961"/>
      <c r="C13" s="1024"/>
      <c r="D13" s="963"/>
      <c r="E13" s="964"/>
      <c r="F13" s="50" t="s">
        <v>47</v>
      </c>
      <c r="G13" s="51" t="s">
        <v>48</v>
      </c>
      <c r="H13" s="51" t="s">
        <v>49</v>
      </c>
      <c r="I13" s="51" t="s">
        <v>50</v>
      </c>
      <c r="J13" s="51" t="s">
        <v>51</v>
      </c>
      <c r="K13" s="52" t="s">
        <v>52</v>
      </c>
      <c r="L13" s="50" t="s">
        <v>47</v>
      </c>
      <c r="M13" s="51" t="s">
        <v>49</v>
      </c>
      <c r="N13" s="51" t="s">
        <v>50</v>
      </c>
      <c r="O13" s="51" t="s">
        <v>51</v>
      </c>
      <c r="P13" s="52" t="s">
        <v>52</v>
      </c>
    </row>
    <row r="14" spans="1:16" x14ac:dyDescent="0.25">
      <c r="A14" s="242" t="str">
        <f>IF(COUNTBLANK(B14)=1," ",COUNTA(B$14:B14))</f>
        <v xml:space="preserve"> </v>
      </c>
      <c r="B14" s="73"/>
      <c r="C14" s="759" t="s">
        <v>472</v>
      </c>
      <c r="D14" s="101"/>
      <c r="E14" s="101"/>
      <c r="F14" s="69"/>
      <c r="G14" s="70"/>
      <c r="H14" s="284">
        <f t="shared" ref="H14:H82" si="0">G14*F14</f>
        <v>0</v>
      </c>
      <c r="I14" s="69"/>
      <c r="J14" s="69"/>
      <c r="K14" s="258">
        <f t="shared" ref="K14:K82" si="1">ROUND(H14+I14+J14,2)</f>
        <v>0</v>
      </c>
      <c r="L14" s="259">
        <f t="shared" ref="L14:L82" si="2">ROUND(E14*F14,2)</f>
        <v>0</v>
      </c>
      <c r="M14" s="259">
        <f t="shared" ref="M14:M82" si="3">ROUND(E14*H14,2)</f>
        <v>0</v>
      </c>
      <c r="N14" s="259">
        <f t="shared" ref="N14:N82" si="4">ROUND(E14*I14,2)</f>
        <v>0</v>
      </c>
      <c r="O14" s="259">
        <f t="shared" ref="O14:O82" si="5">ROUND(J14*E14,2)</f>
        <v>0</v>
      </c>
      <c r="P14" s="259">
        <f t="shared" ref="P14:P82" si="6">ROUND(M14+N14+O14,2)</f>
        <v>0</v>
      </c>
    </row>
    <row r="15" spans="1:16" x14ac:dyDescent="0.25">
      <c r="A15" s="242">
        <f>IF(COUNTBLANK(B15)=1," ",COUNTA(B$14:B15))</f>
        <v>1</v>
      </c>
      <c r="B15" s="757" t="s">
        <v>87</v>
      </c>
      <c r="C15" s="760" t="s">
        <v>473</v>
      </c>
      <c r="D15" s="718" t="s">
        <v>89</v>
      </c>
      <c r="E15" s="718">
        <v>104</v>
      </c>
      <c r="F15" s="713"/>
      <c r="G15" s="636"/>
      <c r="H15" s="284">
        <f t="shared" si="0"/>
        <v>0</v>
      </c>
      <c r="I15" s="713"/>
      <c r="J15" s="713"/>
      <c r="K15" s="258">
        <f t="shared" si="1"/>
        <v>0</v>
      </c>
      <c r="L15" s="259">
        <f t="shared" si="2"/>
        <v>0</v>
      </c>
      <c r="M15" s="259">
        <f t="shared" si="3"/>
        <v>0</v>
      </c>
      <c r="N15" s="259">
        <f t="shared" si="4"/>
        <v>0</v>
      </c>
      <c r="O15" s="259">
        <f t="shared" si="5"/>
        <v>0</v>
      </c>
      <c r="P15" s="259">
        <f t="shared" si="6"/>
        <v>0</v>
      </c>
    </row>
    <row r="16" spans="1:16" ht="23.25" customHeight="1" x14ac:dyDescent="0.25">
      <c r="A16" s="242">
        <f>IF(COUNTBLANK(B16)=1," ",COUNTA(B$14:B16))</f>
        <v>2</v>
      </c>
      <c r="B16" s="757" t="s">
        <v>87</v>
      </c>
      <c r="C16" s="760" t="s">
        <v>474</v>
      </c>
      <c r="D16" s="718" t="s">
        <v>83</v>
      </c>
      <c r="E16" s="718">
        <v>15</v>
      </c>
      <c r="F16" s="713"/>
      <c r="G16" s="636"/>
      <c r="H16" s="284">
        <f t="shared" si="0"/>
        <v>0</v>
      </c>
      <c r="I16" s="713"/>
      <c r="J16" s="713"/>
      <c r="K16" s="258">
        <f t="shared" si="1"/>
        <v>0</v>
      </c>
      <c r="L16" s="259">
        <f t="shared" si="2"/>
        <v>0</v>
      </c>
      <c r="M16" s="259">
        <f t="shared" si="3"/>
        <v>0</v>
      </c>
      <c r="N16" s="259">
        <f t="shared" si="4"/>
        <v>0</v>
      </c>
      <c r="O16" s="259">
        <f t="shared" si="5"/>
        <v>0</v>
      </c>
      <c r="P16" s="259">
        <f t="shared" si="6"/>
        <v>0</v>
      </c>
    </row>
    <row r="17" spans="1:16" x14ac:dyDescent="0.25">
      <c r="A17" s="242">
        <f>IF(COUNTBLANK(B17)=1," ",COUNTA(B$14:B17))</f>
        <v>3</v>
      </c>
      <c r="B17" s="73" t="s">
        <v>87</v>
      </c>
      <c r="C17" s="761" t="s">
        <v>475</v>
      </c>
      <c r="D17" s="638" t="s">
        <v>157</v>
      </c>
      <c r="E17" s="638">
        <v>71.400000000000006</v>
      </c>
      <c r="F17" s="69"/>
      <c r="G17" s="69"/>
      <c r="H17" s="284">
        <f t="shared" si="0"/>
        <v>0</v>
      </c>
      <c r="I17" s="69"/>
      <c r="J17" s="758"/>
      <c r="K17" s="258">
        <f t="shared" si="1"/>
        <v>0</v>
      </c>
      <c r="L17" s="259">
        <f t="shared" si="2"/>
        <v>0</v>
      </c>
      <c r="M17" s="259">
        <f t="shared" si="3"/>
        <v>0</v>
      </c>
      <c r="N17" s="259">
        <f t="shared" si="4"/>
        <v>0</v>
      </c>
      <c r="O17" s="259">
        <f t="shared" si="5"/>
        <v>0</v>
      </c>
      <c r="P17" s="259">
        <f t="shared" si="6"/>
        <v>0</v>
      </c>
    </row>
    <row r="18" spans="1:16" ht="15.75" thickBot="1" x14ac:dyDescent="0.3">
      <c r="A18" s="242" t="str">
        <f>IF(COUNTBLANK(B18)=1," ",COUNTA(B$14:B18))</f>
        <v xml:space="preserve"> </v>
      </c>
      <c r="B18" s="456"/>
      <c r="C18" s="764" t="s">
        <v>476</v>
      </c>
      <c r="D18" s="457"/>
      <c r="E18" s="457"/>
      <c r="F18" s="450"/>
      <c r="G18" s="450"/>
      <c r="H18" s="284">
        <f t="shared" si="0"/>
        <v>0</v>
      </c>
      <c r="I18" s="450"/>
      <c r="J18" s="458"/>
      <c r="K18" s="258">
        <f t="shared" si="1"/>
        <v>0</v>
      </c>
      <c r="L18" s="259">
        <f t="shared" si="2"/>
        <v>0</v>
      </c>
      <c r="M18" s="259">
        <f t="shared" si="3"/>
        <v>0</v>
      </c>
      <c r="N18" s="259">
        <f t="shared" si="4"/>
        <v>0</v>
      </c>
      <c r="O18" s="259">
        <f t="shared" si="5"/>
        <v>0</v>
      </c>
      <c r="P18" s="259">
        <f t="shared" si="6"/>
        <v>0</v>
      </c>
    </row>
    <row r="19" spans="1:16" ht="22.5" x14ac:dyDescent="0.25">
      <c r="A19" s="242">
        <f>IF(COUNTBLANK(B19)=1," ",COUNTA(B$14:B19))</f>
        <v>4</v>
      </c>
      <c r="B19" s="73" t="s">
        <v>87</v>
      </c>
      <c r="C19" s="762" t="s">
        <v>477</v>
      </c>
      <c r="D19" s="694" t="s">
        <v>89</v>
      </c>
      <c r="E19" s="696">
        <v>106.4</v>
      </c>
      <c r="F19" s="69"/>
      <c r="G19" s="69"/>
      <c r="H19" s="284">
        <f t="shared" si="0"/>
        <v>0</v>
      </c>
      <c r="I19" s="69"/>
      <c r="J19" s="247"/>
      <c r="K19" s="258">
        <f t="shared" si="1"/>
        <v>0</v>
      </c>
      <c r="L19" s="259">
        <f t="shared" si="2"/>
        <v>0</v>
      </c>
      <c r="M19" s="259">
        <f t="shared" si="3"/>
        <v>0</v>
      </c>
      <c r="N19" s="259">
        <f t="shared" si="4"/>
        <v>0</v>
      </c>
      <c r="O19" s="259">
        <f t="shared" si="5"/>
        <v>0</v>
      </c>
      <c r="P19" s="259">
        <f t="shared" si="6"/>
        <v>0</v>
      </c>
    </row>
    <row r="20" spans="1:16" ht="22.5" x14ac:dyDescent="0.25">
      <c r="A20" s="242">
        <f>IF(COUNTBLANK(B20)=1," ",COUNTA(B$14:B20))</f>
        <v>5</v>
      </c>
      <c r="B20" s="73" t="s">
        <v>87</v>
      </c>
      <c r="C20" s="693" t="s">
        <v>424</v>
      </c>
      <c r="D20" s="694" t="s">
        <v>89</v>
      </c>
      <c r="E20" s="696">
        <v>97.5</v>
      </c>
      <c r="F20" s="69"/>
      <c r="G20" s="69"/>
      <c r="H20" s="284">
        <f t="shared" si="0"/>
        <v>0</v>
      </c>
      <c r="I20" s="69"/>
      <c r="J20" s="247"/>
      <c r="K20" s="258">
        <f t="shared" si="1"/>
        <v>0</v>
      </c>
      <c r="L20" s="259">
        <f t="shared" si="2"/>
        <v>0</v>
      </c>
      <c r="M20" s="259">
        <f t="shared" si="3"/>
        <v>0</v>
      </c>
      <c r="N20" s="259">
        <f t="shared" si="4"/>
        <v>0</v>
      </c>
      <c r="O20" s="259">
        <f t="shared" si="5"/>
        <v>0</v>
      </c>
      <c r="P20" s="259">
        <f t="shared" si="6"/>
        <v>0</v>
      </c>
    </row>
    <row r="21" spans="1:16" ht="22.5" x14ac:dyDescent="0.25">
      <c r="A21" s="242">
        <f>IF(COUNTBLANK(B21)=1," ",COUNTA(B$14:B21))</f>
        <v>6</v>
      </c>
      <c r="B21" s="73" t="s">
        <v>87</v>
      </c>
      <c r="C21" s="762" t="s">
        <v>478</v>
      </c>
      <c r="D21" s="694" t="s">
        <v>157</v>
      </c>
      <c r="E21" s="696">
        <v>146</v>
      </c>
      <c r="F21" s="79"/>
      <c r="G21" s="69"/>
      <c r="H21" s="284">
        <f t="shared" si="0"/>
        <v>0</v>
      </c>
      <c r="I21" s="69"/>
      <c r="J21" s="247"/>
      <c r="K21" s="258">
        <f t="shared" si="1"/>
        <v>0</v>
      </c>
      <c r="L21" s="259">
        <f t="shared" si="2"/>
        <v>0</v>
      </c>
      <c r="M21" s="259">
        <f t="shared" si="3"/>
        <v>0</v>
      </c>
      <c r="N21" s="259">
        <f t="shared" si="4"/>
        <v>0</v>
      </c>
      <c r="O21" s="259">
        <f t="shared" si="5"/>
        <v>0</v>
      </c>
      <c r="P21" s="259">
        <f t="shared" si="6"/>
        <v>0</v>
      </c>
    </row>
    <row r="22" spans="1:16" s="1" customFormat="1" ht="11.25" x14ac:dyDescent="0.2">
      <c r="A22" s="242">
        <f>IF(COUNTBLANK(B22)=1," ",COUNTA(B$14:B22))</f>
        <v>7</v>
      </c>
      <c r="B22" s="73" t="s">
        <v>87</v>
      </c>
      <c r="C22" s="762" t="s">
        <v>479</v>
      </c>
      <c r="D22" s="694" t="s">
        <v>89</v>
      </c>
      <c r="E22" s="696">
        <v>168</v>
      </c>
      <c r="F22" s="79"/>
      <c r="G22" s="69"/>
      <c r="H22" s="284">
        <f t="shared" si="0"/>
        <v>0</v>
      </c>
      <c r="I22" s="69"/>
      <c r="J22" s="247"/>
      <c r="K22" s="258">
        <f t="shared" si="1"/>
        <v>0</v>
      </c>
      <c r="L22" s="259">
        <f t="shared" si="2"/>
        <v>0</v>
      </c>
      <c r="M22" s="259">
        <f t="shared" si="3"/>
        <v>0</v>
      </c>
      <c r="N22" s="259">
        <f t="shared" si="4"/>
        <v>0</v>
      </c>
      <c r="O22" s="259">
        <f t="shared" si="5"/>
        <v>0</v>
      </c>
      <c r="P22" s="259">
        <f t="shared" si="6"/>
        <v>0</v>
      </c>
    </row>
    <row r="23" spans="1:16" s="1" customFormat="1" ht="11.25" x14ac:dyDescent="0.2">
      <c r="A23" s="242">
        <f>IF(COUNTBLANK(B23)=1," ",COUNTA(B$14:B23))</f>
        <v>8</v>
      </c>
      <c r="B23" s="237" t="s">
        <v>87</v>
      </c>
      <c r="C23" s="762" t="s">
        <v>480</v>
      </c>
      <c r="D23" s="694" t="s">
        <v>89</v>
      </c>
      <c r="E23" s="696">
        <v>197</v>
      </c>
      <c r="F23" s="240"/>
      <c r="G23" s="69"/>
      <c r="H23" s="284">
        <f t="shared" si="0"/>
        <v>0</v>
      </c>
      <c r="I23" s="241"/>
      <c r="J23" s="247"/>
      <c r="K23" s="258">
        <f t="shared" si="1"/>
        <v>0</v>
      </c>
      <c r="L23" s="259">
        <f t="shared" si="2"/>
        <v>0</v>
      </c>
      <c r="M23" s="259">
        <f t="shared" si="3"/>
        <v>0</v>
      </c>
      <c r="N23" s="259">
        <f t="shared" si="4"/>
        <v>0</v>
      </c>
      <c r="O23" s="259">
        <f t="shared" si="5"/>
        <v>0</v>
      </c>
      <c r="P23" s="259">
        <f t="shared" si="6"/>
        <v>0</v>
      </c>
    </row>
    <row r="24" spans="1:16" s="1" customFormat="1" ht="22.5" x14ac:dyDescent="0.2">
      <c r="A24" s="242">
        <f>IF(COUNTBLANK(B24)=1," ",COUNTA(B$14:B24))</f>
        <v>9</v>
      </c>
      <c r="B24" s="237" t="s">
        <v>87</v>
      </c>
      <c r="C24" s="762" t="s">
        <v>481</v>
      </c>
      <c r="D24" s="694" t="s">
        <v>157</v>
      </c>
      <c r="E24" s="696">
        <v>147.69999999999999</v>
      </c>
      <c r="F24" s="240"/>
      <c r="G24" s="69"/>
      <c r="H24" s="284">
        <f t="shared" si="0"/>
        <v>0</v>
      </c>
      <c r="I24" s="241"/>
      <c r="J24" s="247"/>
      <c r="K24" s="258">
        <f t="shared" si="1"/>
        <v>0</v>
      </c>
      <c r="L24" s="259">
        <f t="shared" si="2"/>
        <v>0</v>
      </c>
      <c r="M24" s="259">
        <f t="shared" si="3"/>
        <v>0</v>
      </c>
      <c r="N24" s="259">
        <f t="shared" si="4"/>
        <v>0</v>
      </c>
      <c r="O24" s="259">
        <f t="shared" si="5"/>
        <v>0</v>
      </c>
      <c r="P24" s="259">
        <f t="shared" si="6"/>
        <v>0</v>
      </c>
    </row>
    <row r="25" spans="1:16" s="1" customFormat="1" ht="11.25" x14ac:dyDescent="0.2">
      <c r="A25" s="242">
        <f>IF(COUNTBLANK(B25)=1," ",COUNTA(B$14:B25))</f>
        <v>10</v>
      </c>
      <c r="B25" s="237" t="s">
        <v>87</v>
      </c>
      <c r="C25" s="762" t="s">
        <v>482</v>
      </c>
      <c r="D25" s="694" t="s">
        <v>157</v>
      </c>
      <c r="E25" s="696">
        <v>147.69999999999999</v>
      </c>
      <c r="F25" s="240"/>
      <c r="G25" s="69"/>
      <c r="H25" s="284">
        <f t="shared" si="0"/>
        <v>0</v>
      </c>
      <c r="I25" s="241"/>
      <c r="J25" s="247"/>
      <c r="K25" s="258">
        <f t="shared" si="1"/>
        <v>0</v>
      </c>
      <c r="L25" s="259">
        <f t="shared" si="2"/>
        <v>0</v>
      </c>
      <c r="M25" s="259">
        <f t="shared" si="3"/>
        <v>0</v>
      </c>
      <c r="N25" s="259">
        <f t="shared" si="4"/>
        <v>0</v>
      </c>
      <c r="O25" s="259">
        <f t="shared" si="5"/>
        <v>0</v>
      </c>
      <c r="P25" s="259">
        <f t="shared" si="6"/>
        <v>0</v>
      </c>
    </row>
    <row r="26" spans="1:16" s="1" customFormat="1" ht="22.5" x14ac:dyDescent="0.2">
      <c r="A26" s="242">
        <f>IF(COUNTBLANK(B26)=1," ",COUNTA(B$14:B26))</f>
        <v>11</v>
      </c>
      <c r="B26" s="237" t="s">
        <v>87</v>
      </c>
      <c r="C26" s="762" t="s">
        <v>483</v>
      </c>
      <c r="D26" s="694" t="s">
        <v>89</v>
      </c>
      <c r="E26" s="696">
        <v>98.4</v>
      </c>
      <c r="F26" s="240"/>
      <c r="G26" s="69"/>
      <c r="H26" s="284">
        <f t="shared" si="0"/>
        <v>0</v>
      </c>
      <c r="I26" s="241"/>
      <c r="J26" s="247"/>
      <c r="K26" s="258">
        <f t="shared" si="1"/>
        <v>0</v>
      </c>
      <c r="L26" s="259">
        <f t="shared" si="2"/>
        <v>0</v>
      </c>
      <c r="M26" s="259">
        <f t="shared" si="3"/>
        <v>0</v>
      </c>
      <c r="N26" s="259">
        <f t="shared" si="4"/>
        <v>0</v>
      </c>
      <c r="O26" s="259">
        <f t="shared" si="5"/>
        <v>0</v>
      </c>
      <c r="P26" s="259">
        <f t="shared" si="6"/>
        <v>0</v>
      </c>
    </row>
    <row r="27" spans="1:16" s="1" customFormat="1" ht="11.25" x14ac:dyDescent="0.2">
      <c r="A27" s="242">
        <f>IF(COUNTBLANK(B27)=1," ",COUNTA(B$14:B27))</f>
        <v>12</v>
      </c>
      <c r="B27" s="237" t="s">
        <v>87</v>
      </c>
      <c r="C27" s="762" t="s">
        <v>484</v>
      </c>
      <c r="D27" s="694" t="s">
        <v>157</v>
      </c>
      <c r="E27" s="696">
        <v>147.69999999999999</v>
      </c>
      <c r="F27" s="240"/>
      <c r="G27" s="69"/>
      <c r="H27" s="284">
        <f t="shared" si="0"/>
        <v>0</v>
      </c>
      <c r="I27" s="241"/>
      <c r="J27" s="247"/>
      <c r="K27" s="258">
        <f t="shared" si="1"/>
        <v>0</v>
      </c>
      <c r="L27" s="259">
        <f t="shared" si="2"/>
        <v>0</v>
      </c>
      <c r="M27" s="259">
        <f t="shared" si="3"/>
        <v>0</v>
      </c>
      <c r="N27" s="259">
        <f t="shared" si="4"/>
        <v>0</v>
      </c>
      <c r="O27" s="259">
        <f t="shared" si="5"/>
        <v>0</v>
      </c>
      <c r="P27" s="259">
        <f t="shared" si="6"/>
        <v>0</v>
      </c>
    </row>
    <row r="28" spans="1:16" s="1" customFormat="1" ht="11.25" x14ac:dyDescent="0.2">
      <c r="A28" s="242">
        <f>IF(COUNTBLANK(B28)=1," ",COUNTA(B$14:B28))</f>
        <v>13</v>
      </c>
      <c r="B28" s="237" t="s">
        <v>87</v>
      </c>
      <c r="C28" s="763" t="s">
        <v>485</v>
      </c>
      <c r="D28" s="694" t="s">
        <v>157</v>
      </c>
      <c r="E28" s="696">
        <v>147.69999999999999</v>
      </c>
      <c r="F28" s="240"/>
      <c r="G28" s="69"/>
      <c r="H28" s="284">
        <f t="shared" si="0"/>
        <v>0</v>
      </c>
      <c r="I28" s="241"/>
      <c r="J28" s="247"/>
      <c r="K28" s="258">
        <f t="shared" si="1"/>
        <v>0</v>
      </c>
      <c r="L28" s="259">
        <f t="shared" si="2"/>
        <v>0</v>
      </c>
      <c r="M28" s="259">
        <f t="shared" si="3"/>
        <v>0</v>
      </c>
      <c r="N28" s="259">
        <f t="shared" si="4"/>
        <v>0</v>
      </c>
      <c r="O28" s="259">
        <f t="shared" si="5"/>
        <v>0</v>
      </c>
      <c r="P28" s="259">
        <f t="shared" si="6"/>
        <v>0</v>
      </c>
    </row>
    <row r="29" spans="1:16" s="1" customFormat="1" ht="12" thickBot="1" x14ac:dyDescent="0.25">
      <c r="A29" s="242" t="str">
        <f>IF(COUNTBLANK(B29)=1," ",COUNTA(B$14:B29))</f>
        <v xml:space="preserve"> </v>
      </c>
      <c r="B29" s="456"/>
      <c r="C29" s="764" t="s">
        <v>486</v>
      </c>
      <c r="D29" s="457"/>
      <c r="E29" s="457"/>
      <c r="F29" s="459"/>
      <c r="G29" s="450"/>
      <c r="H29" s="284">
        <f t="shared" si="0"/>
        <v>0</v>
      </c>
      <c r="I29" s="450"/>
      <c r="J29" s="458"/>
      <c r="K29" s="258">
        <f t="shared" si="1"/>
        <v>0</v>
      </c>
      <c r="L29" s="259">
        <f t="shared" si="2"/>
        <v>0</v>
      </c>
      <c r="M29" s="259">
        <f t="shared" si="3"/>
        <v>0</v>
      </c>
      <c r="N29" s="259">
        <f t="shared" si="4"/>
        <v>0</v>
      </c>
      <c r="O29" s="259">
        <f t="shared" si="5"/>
        <v>0</v>
      </c>
      <c r="P29" s="259">
        <f t="shared" si="6"/>
        <v>0</v>
      </c>
    </row>
    <row r="30" spans="1:16" s="1" customFormat="1" ht="22.5" x14ac:dyDescent="0.2">
      <c r="A30" s="242">
        <f>IF(COUNTBLANK(B30)=1," ",COUNTA(B$14:B30))</f>
        <v>14</v>
      </c>
      <c r="B30" s="237" t="s">
        <v>87</v>
      </c>
      <c r="C30" s="762" t="s">
        <v>487</v>
      </c>
      <c r="D30" s="694" t="s">
        <v>89</v>
      </c>
      <c r="E30" s="696">
        <v>98.4</v>
      </c>
      <c r="F30" s="459"/>
      <c r="G30" s="450"/>
      <c r="H30" s="284">
        <f t="shared" si="0"/>
        <v>0</v>
      </c>
      <c r="I30" s="450"/>
      <c r="J30" s="458"/>
      <c r="K30" s="258">
        <f t="shared" si="1"/>
        <v>0</v>
      </c>
      <c r="L30" s="259">
        <f t="shared" si="2"/>
        <v>0</v>
      </c>
      <c r="M30" s="259">
        <f t="shared" si="3"/>
        <v>0</v>
      </c>
      <c r="N30" s="259">
        <f t="shared" si="4"/>
        <v>0</v>
      </c>
      <c r="O30" s="259">
        <f t="shared" si="5"/>
        <v>0</v>
      </c>
      <c r="P30" s="259">
        <f t="shared" si="6"/>
        <v>0</v>
      </c>
    </row>
    <row r="31" spans="1:16" s="1" customFormat="1" ht="22.5" x14ac:dyDescent="0.2">
      <c r="A31" s="242">
        <f>IF(COUNTBLANK(B31)=1," ",COUNTA(B$14:B31))</f>
        <v>15</v>
      </c>
      <c r="B31" s="237" t="s">
        <v>87</v>
      </c>
      <c r="C31" s="762" t="s">
        <v>488</v>
      </c>
      <c r="D31" s="694" t="s">
        <v>157</v>
      </c>
      <c r="E31" s="696">
        <f>E30*0.3</f>
        <v>29.52</v>
      </c>
      <c r="F31" s="459"/>
      <c r="G31" s="450"/>
      <c r="H31" s="284">
        <f t="shared" si="0"/>
        <v>0</v>
      </c>
      <c r="I31" s="450"/>
      <c r="J31" s="458"/>
      <c r="K31" s="258">
        <f t="shared" si="1"/>
        <v>0</v>
      </c>
      <c r="L31" s="259">
        <f t="shared" si="2"/>
        <v>0</v>
      </c>
      <c r="M31" s="259">
        <f t="shared" si="3"/>
        <v>0</v>
      </c>
      <c r="N31" s="259">
        <f t="shared" si="4"/>
        <v>0</v>
      </c>
      <c r="O31" s="259">
        <f t="shared" si="5"/>
        <v>0</v>
      </c>
      <c r="P31" s="259">
        <f t="shared" si="6"/>
        <v>0</v>
      </c>
    </row>
    <row r="32" spans="1:16" s="1" customFormat="1" ht="22.5" x14ac:dyDescent="0.2">
      <c r="A32" s="242">
        <f>IF(COUNTBLANK(B32)=1," ",COUNTA(B$14:B32))</f>
        <v>16</v>
      </c>
      <c r="B32" s="237" t="s">
        <v>87</v>
      </c>
      <c r="C32" s="762" t="s">
        <v>489</v>
      </c>
      <c r="D32" s="694" t="s">
        <v>157</v>
      </c>
      <c r="E32" s="696">
        <f>E31</f>
        <v>29.52</v>
      </c>
      <c r="F32" s="459"/>
      <c r="G32" s="450"/>
      <c r="H32" s="284">
        <f t="shared" si="0"/>
        <v>0</v>
      </c>
      <c r="I32" s="450"/>
      <c r="J32" s="458"/>
      <c r="K32" s="258">
        <f t="shared" si="1"/>
        <v>0</v>
      </c>
      <c r="L32" s="259">
        <f t="shared" si="2"/>
        <v>0</v>
      </c>
      <c r="M32" s="259">
        <f t="shared" si="3"/>
        <v>0</v>
      </c>
      <c r="N32" s="259">
        <f t="shared" si="4"/>
        <v>0</v>
      </c>
      <c r="O32" s="259">
        <f t="shared" si="5"/>
        <v>0</v>
      </c>
      <c r="P32" s="259">
        <f t="shared" si="6"/>
        <v>0</v>
      </c>
    </row>
    <row r="33" spans="1:16" s="1" customFormat="1" ht="11.25" x14ac:dyDescent="0.2">
      <c r="A33" s="242">
        <f>IF(COUNTBLANK(B33)=1," ",COUNTA(B$14:B33))</f>
        <v>17</v>
      </c>
      <c r="B33" s="237" t="s">
        <v>87</v>
      </c>
      <c r="C33" s="762" t="s">
        <v>490</v>
      </c>
      <c r="D33" s="694" t="s">
        <v>89</v>
      </c>
      <c r="E33" s="696">
        <f>E30</f>
        <v>98.4</v>
      </c>
      <c r="F33" s="459"/>
      <c r="G33" s="450"/>
      <c r="H33" s="284">
        <f t="shared" si="0"/>
        <v>0</v>
      </c>
      <c r="I33" s="450"/>
      <c r="J33" s="458"/>
      <c r="K33" s="258">
        <f t="shared" si="1"/>
        <v>0</v>
      </c>
      <c r="L33" s="259">
        <f t="shared" si="2"/>
        <v>0</v>
      </c>
      <c r="M33" s="259">
        <f t="shared" si="3"/>
        <v>0</v>
      </c>
      <c r="N33" s="259">
        <f t="shared" si="4"/>
        <v>0</v>
      </c>
      <c r="O33" s="259">
        <f t="shared" si="5"/>
        <v>0</v>
      </c>
      <c r="P33" s="259">
        <f t="shared" si="6"/>
        <v>0</v>
      </c>
    </row>
    <row r="34" spans="1:16" s="1" customFormat="1" ht="11.25" x14ac:dyDescent="0.2">
      <c r="A34" s="242">
        <f>IF(COUNTBLANK(B34)=1," ",COUNTA(B$14:B34))</f>
        <v>18</v>
      </c>
      <c r="B34" s="237" t="s">
        <v>87</v>
      </c>
      <c r="C34" s="762" t="s">
        <v>491</v>
      </c>
      <c r="D34" s="694" t="s">
        <v>157</v>
      </c>
      <c r="E34" s="696">
        <f>E30*0.8</f>
        <v>78.720000000000013</v>
      </c>
      <c r="F34" s="459"/>
      <c r="G34" s="450"/>
      <c r="H34" s="284">
        <f t="shared" si="0"/>
        <v>0</v>
      </c>
      <c r="I34" s="450"/>
      <c r="J34" s="458"/>
      <c r="K34" s="258">
        <f t="shared" si="1"/>
        <v>0</v>
      </c>
      <c r="L34" s="259">
        <f t="shared" si="2"/>
        <v>0</v>
      </c>
      <c r="M34" s="259">
        <f t="shared" si="3"/>
        <v>0</v>
      </c>
      <c r="N34" s="259">
        <f t="shared" si="4"/>
        <v>0</v>
      </c>
      <c r="O34" s="259">
        <f t="shared" si="5"/>
        <v>0</v>
      </c>
      <c r="P34" s="259">
        <f t="shared" si="6"/>
        <v>0</v>
      </c>
    </row>
    <row r="35" spans="1:16" s="1" customFormat="1" ht="11.25" x14ac:dyDescent="0.2">
      <c r="A35" s="242">
        <f>IF(COUNTBLANK(B35)=1," ",COUNTA(B$14:B35))</f>
        <v>19</v>
      </c>
      <c r="B35" s="237" t="s">
        <v>87</v>
      </c>
      <c r="C35" s="762" t="s">
        <v>492</v>
      </c>
      <c r="D35" s="694" t="s">
        <v>89</v>
      </c>
      <c r="E35" s="696">
        <f>E30</f>
        <v>98.4</v>
      </c>
      <c r="F35" s="459"/>
      <c r="G35" s="450"/>
      <c r="H35" s="284">
        <f t="shared" si="0"/>
        <v>0</v>
      </c>
      <c r="I35" s="450"/>
      <c r="J35" s="458"/>
      <c r="K35" s="258">
        <f t="shared" si="1"/>
        <v>0</v>
      </c>
      <c r="L35" s="259">
        <f t="shared" si="2"/>
        <v>0</v>
      </c>
      <c r="M35" s="259">
        <f t="shared" si="3"/>
        <v>0</v>
      </c>
      <c r="N35" s="259">
        <f t="shared" si="4"/>
        <v>0</v>
      </c>
      <c r="O35" s="259">
        <f t="shared" si="5"/>
        <v>0</v>
      </c>
      <c r="P35" s="259">
        <f t="shared" si="6"/>
        <v>0</v>
      </c>
    </row>
    <row r="36" spans="1:16" s="1" customFormat="1" ht="22.5" x14ac:dyDescent="0.2">
      <c r="A36" s="242">
        <f>IF(COUNTBLANK(B36)=1," ",COUNTA(B$14:B36))</f>
        <v>20</v>
      </c>
      <c r="B36" s="237" t="s">
        <v>87</v>
      </c>
      <c r="C36" s="762" t="s">
        <v>493</v>
      </c>
      <c r="D36" s="694" t="s">
        <v>157</v>
      </c>
      <c r="E36" s="696">
        <v>48.4</v>
      </c>
      <c r="F36" s="459"/>
      <c r="G36" s="450"/>
      <c r="H36" s="284">
        <f t="shared" si="0"/>
        <v>0</v>
      </c>
      <c r="I36" s="450"/>
      <c r="J36" s="458"/>
      <c r="K36" s="258">
        <f t="shared" si="1"/>
        <v>0</v>
      </c>
      <c r="L36" s="259">
        <f t="shared" si="2"/>
        <v>0</v>
      </c>
      <c r="M36" s="259">
        <f t="shared" si="3"/>
        <v>0</v>
      </c>
      <c r="N36" s="259">
        <f t="shared" si="4"/>
        <v>0</v>
      </c>
      <c r="O36" s="259">
        <f t="shared" si="5"/>
        <v>0</v>
      </c>
      <c r="P36" s="259">
        <f t="shared" si="6"/>
        <v>0</v>
      </c>
    </row>
    <row r="37" spans="1:16" s="1" customFormat="1" ht="22.5" x14ac:dyDescent="0.2">
      <c r="A37" s="242">
        <f>IF(COUNTBLANK(B37)=1," ",COUNTA(B$14:B37))</f>
        <v>21</v>
      </c>
      <c r="B37" s="237" t="s">
        <v>87</v>
      </c>
      <c r="C37" s="640" t="s">
        <v>494</v>
      </c>
      <c r="D37" s="638" t="s">
        <v>90</v>
      </c>
      <c r="E37" s="639">
        <v>38.799999999999997</v>
      </c>
      <c r="F37" s="459"/>
      <c r="G37" s="450"/>
      <c r="H37" s="284">
        <f t="shared" si="0"/>
        <v>0</v>
      </c>
      <c r="I37" s="450"/>
      <c r="J37" s="458"/>
      <c r="K37" s="258">
        <f t="shared" si="1"/>
        <v>0</v>
      </c>
      <c r="L37" s="259">
        <f t="shared" si="2"/>
        <v>0</v>
      </c>
      <c r="M37" s="259">
        <f t="shared" si="3"/>
        <v>0</v>
      </c>
      <c r="N37" s="259">
        <f t="shared" si="4"/>
        <v>0</v>
      </c>
      <c r="O37" s="259">
        <f t="shared" si="5"/>
        <v>0</v>
      </c>
      <c r="P37" s="259">
        <f t="shared" si="6"/>
        <v>0</v>
      </c>
    </row>
    <row r="38" spans="1:16" s="1" customFormat="1" ht="11.25" x14ac:dyDescent="0.2">
      <c r="A38" s="242">
        <f>IF(COUNTBLANK(B38)=1," ",COUNTA(B$14:B38))</f>
        <v>22</v>
      </c>
      <c r="B38" s="237" t="s">
        <v>87</v>
      </c>
      <c r="C38" s="640" t="s">
        <v>495</v>
      </c>
      <c r="D38" s="638" t="s">
        <v>89</v>
      </c>
      <c r="E38" s="639">
        <f>E33</f>
        <v>98.4</v>
      </c>
      <c r="F38" s="240"/>
      <c r="G38" s="69"/>
      <c r="H38" s="284">
        <f t="shared" si="0"/>
        <v>0</v>
      </c>
      <c r="I38" s="241"/>
      <c r="J38" s="247"/>
      <c r="K38" s="258">
        <f t="shared" si="1"/>
        <v>0</v>
      </c>
      <c r="L38" s="259">
        <f t="shared" si="2"/>
        <v>0</v>
      </c>
      <c r="M38" s="259">
        <f t="shared" si="3"/>
        <v>0</v>
      </c>
      <c r="N38" s="259">
        <f t="shared" si="4"/>
        <v>0</v>
      </c>
      <c r="O38" s="259">
        <f t="shared" si="5"/>
        <v>0</v>
      </c>
      <c r="P38" s="259">
        <f t="shared" si="6"/>
        <v>0</v>
      </c>
    </row>
    <row r="39" spans="1:16" s="1" customFormat="1" ht="11.25" x14ac:dyDescent="0.2">
      <c r="A39" s="242">
        <f>IF(COUNTBLANK(B39)=1," ",COUNTA(B$14:B39))</f>
        <v>23</v>
      </c>
      <c r="B39" s="237" t="s">
        <v>87</v>
      </c>
      <c r="C39" s="640" t="s">
        <v>496</v>
      </c>
      <c r="D39" s="638" t="s">
        <v>83</v>
      </c>
      <c r="E39" s="639">
        <v>15</v>
      </c>
      <c r="F39" s="240"/>
      <c r="G39" s="69"/>
      <c r="H39" s="284">
        <f t="shared" si="0"/>
        <v>0</v>
      </c>
      <c r="I39" s="241"/>
      <c r="J39" s="247"/>
      <c r="K39" s="258">
        <f t="shared" si="1"/>
        <v>0</v>
      </c>
      <c r="L39" s="259">
        <f t="shared" si="2"/>
        <v>0</v>
      </c>
      <c r="M39" s="259">
        <f t="shared" si="3"/>
        <v>0</v>
      </c>
      <c r="N39" s="259">
        <f t="shared" si="4"/>
        <v>0</v>
      </c>
      <c r="O39" s="259">
        <f t="shared" si="5"/>
        <v>0</v>
      </c>
      <c r="P39" s="259">
        <f t="shared" si="6"/>
        <v>0</v>
      </c>
    </row>
    <row r="40" spans="1:16" s="1" customFormat="1" ht="11.25" x14ac:dyDescent="0.2">
      <c r="A40" s="242">
        <f>IF(COUNTBLANK(B40)=1," ",COUNTA(B$14:B40))</f>
        <v>24</v>
      </c>
      <c r="B40" s="237" t="s">
        <v>87</v>
      </c>
      <c r="C40" s="640" t="s">
        <v>497</v>
      </c>
      <c r="D40" s="638" t="s">
        <v>89</v>
      </c>
      <c r="E40" s="639">
        <v>98.4</v>
      </c>
      <c r="F40" s="765"/>
      <c r="G40" s="713"/>
      <c r="H40" s="284">
        <f t="shared" si="0"/>
        <v>0</v>
      </c>
      <c r="I40" s="713"/>
      <c r="J40" s="730"/>
      <c r="K40" s="258">
        <f t="shared" si="1"/>
        <v>0</v>
      </c>
      <c r="L40" s="259">
        <f t="shared" si="2"/>
        <v>0</v>
      </c>
      <c r="M40" s="259">
        <f t="shared" si="3"/>
        <v>0</v>
      </c>
      <c r="N40" s="259">
        <f t="shared" si="4"/>
        <v>0</v>
      </c>
      <c r="O40" s="259">
        <f t="shared" si="5"/>
        <v>0</v>
      </c>
      <c r="P40" s="259">
        <f t="shared" si="6"/>
        <v>0</v>
      </c>
    </row>
    <row r="41" spans="1:16" s="1" customFormat="1" ht="11.25" x14ac:dyDescent="0.2">
      <c r="A41" s="242">
        <f>IF(COUNTBLANK(B41)=1," ",COUNTA(B$14:B41))</f>
        <v>25</v>
      </c>
      <c r="B41" s="237" t="s">
        <v>87</v>
      </c>
      <c r="C41" s="761" t="s">
        <v>498</v>
      </c>
      <c r="D41" s="638" t="s">
        <v>89</v>
      </c>
      <c r="E41" s="639">
        <v>61</v>
      </c>
      <c r="F41" s="240"/>
      <c r="G41" s="69"/>
      <c r="H41" s="284">
        <f t="shared" si="0"/>
        <v>0</v>
      </c>
      <c r="I41" s="241"/>
      <c r="J41" s="247"/>
      <c r="K41" s="258">
        <f t="shared" si="1"/>
        <v>0</v>
      </c>
      <c r="L41" s="259">
        <f t="shared" si="2"/>
        <v>0</v>
      </c>
      <c r="M41" s="259">
        <f t="shared" si="3"/>
        <v>0</v>
      </c>
      <c r="N41" s="259">
        <f t="shared" si="4"/>
        <v>0</v>
      </c>
      <c r="O41" s="259">
        <f t="shared" si="5"/>
        <v>0</v>
      </c>
      <c r="P41" s="259">
        <f t="shared" si="6"/>
        <v>0</v>
      </c>
    </row>
    <row r="42" spans="1:16" s="1" customFormat="1" ht="21" x14ac:dyDescent="0.2">
      <c r="A42" s="242" t="str">
        <f>IF(COUNTBLANK(B42)=1," ",COUNTA(B$14:B42))</f>
        <v xml:space="preserve"> </v>
      </c>
      <c r="B42" s="456"/>
      <c r="C42" s="767" t="s">
        <v>185</v>
      </c>
      <c r="D42" s="457"/>
      <c r="E42" s="457"/>
      <c r="F42" s="459"/>
      <c r="G42" s="450"/>
      <c r="H42" s="284">
        <f t="shared" si="0"/>
        <v>0</v>
      </c>
      <c r="I42" s="450"/>
      <c r="J42" s="458"/>
      <c r="K42" s="258">
        <f t="shared" si="1"/>
        <v>0</v>
      </c>
      <c r="L42" s="259">
        <f t="shared" si="2"/>
        <v>0</v>
      </c>
      <c r="M42" s="259">
        <f t="shared" si="3"/>
        <v>0</v>
      </c>
      <c r="N42" s="259">
        <f t="shared" si="4"/>
        <v>0</v>
      </c>
      <c r="O42" s="259">
        <f t="shared" si="5"/>
        <v>0</v>
      </c>
      <c r="P42" s="259">
        <f t="shared" si="6"/>
        <v>0</v>
      </c>
    </row>
    <row r="43" spans="1:16" s="1" customFormat="1" ht="22.5" x14ac:dyDescent="0.2">
      <c r="A43" s="242">
        <f>IF(COUNTBLANK(B43)=1," ",COUNTA(B$14:B43))</f>
        <v>26</v>
      </c>
      <c r="B43" s="766" t="s">
        <v>87</v>
      </c>
      <c r="C43" s="640" t="s">
        <v>499</v>
      </c>
      <c r="D43" s="638" t="s">
        <v>89</v>
      </c>
      <c r="E43" s="639">
        <v>104.4</v>
      </c>
      <c r="F43" s="765"/>
      <c r="G43" s="713"/>
      <c r="H43" s="284">
        <f t="shared" si="0"/>
        <v>0</v>
      </c>
      <c r="I43" s="713"/>
      <c r="J43" s="730"/>
      <c r="K43" s="258">
        <f t="shared" si="1"/>
        <v>0</v>
      </c>
      <c r="L43" s="259">
        <f t="shared" si="2"/>
        <v>0</v>
      </c>
      <c r="M43" s="259">
        <f t="shared" si="3"/>
        <v>0</v>
      </c>
      <c r="N43" s="259">
        <f t="shared" si="4"/>
        <v>0</v>
      </c>
      <c r="O43" s="259">
        <f t="shared" si="5"/>
        <v>0</v>
      </c>
      <c r="P43" s="259">
        <f t="shared" si="6"/>
        <v>0</v>
      </c>
    </row>
    <row r="44" spans="1:16" s="1" customFormat="1" ht="22.5" x14ac:dyDescent="0.2">
      <c r="A44" s="242">
        <f>IF(COUNTBLANK(B44)=1," ",COUNTA(B$14:B44))</f>
        <v>27</v>
      </c>
      <c r="B44" s="766" t="s">
        <v>87</v>
      </c>
      <c r="C44" s="640" t="s">
        <v>500</v>
      </c>
      <c r="D44" s="721" t="s">
        <v>57</v>
      </c>
      <c r="E44" s="639">
        <f>E43*0.3</f>
        <v>31.32</v>
      </c>
      <c r="F44" s="765"/>
      <c r="G44" s="713"/>
      <c r="H44" s="284">
        <f t="shared" si="0"/>
        <v>0</v>
      </c>
      <c r="I44" s="713"/>
      <c r="J44" s="730"/>
      <c r="K44" s="258">
        <f t="shared" si="1"/>
        <v>0</v>
      </c>
      <c r="L44" s="259">
        <f t="shared" si="2"/>
        <v>0</v>
      </c>
      <c r="M44" s="259">
        <f t="shared" si="3"/>
        <v>0</v>
      </c>
      <c r="N44" s="259">
        <f t="shared" si="4"/>
        <v>0</v>
      </c>
      <c r="O44" s="259">
        <f t="shared" si="5"/>
        <v>0</v>
      </c>
      <c r="P44" s="259">
        <f t="shared" si="6"/>
        <v>0</v>
      </c>
    </row>
    <row r="45" spans="1:16" s="1" customFormat="1" ht="22.5" x14ac:dyDescent="0.2">
      <c r="A45" s="242">
        <f>IF(COUNTBLANK(B45)=1," ",COUNTA(B$14:B45))</f>
        <v>28</v>
      </c>
      <c r="B45" s="766" t="s">
        <v>87</v>
      </c>
      <c r="C45" s="762" t="s">
        <v>189</v>
      </c>
      <c r="D45" s="768" t="s">
        <v>85</v>
      </c>
      <c r="E45" s="769">
        <v>0.21</v>
      </c>
      <c r="F45" s="459"/>
      <c r="G45" s="450"/>
      <c r="H45" s="284">
        <f t="shared" si="0"/>
        <v>0</v>
      </c>
      <c r="I45" s="450"/>
      <c r="J45" s="458"/>
      <c r="K45" s="258">
        <f t="shared" si="1"/>
        <v>0</v>
      </c>
      <c r="L45" s="259">
        <f t="shared" si="2"/>
        <v>0</v>
      </c>
      <c r="M45" s="259">
        <f t="shared" si="3"/>
        <v>0</v>
      </c>
      <c r="N45" s="259">
        <f t="shared" si="4"/>
        <v>0</v>
      </c>
      <c r="O45" s="259">
        <f t="shared" si="5"/>
        <v>0</v>
      </c>
      <c r="P45" s="259">
        <f t="shared" si="6"/>
        <v>0</v>
      </c>
    </row>
    <row r="46" spans="1:16" s="1" customFormat="1" ht="11.25" x14ac:dyDescent="0.2">
      <c r="A46" s="242">
        <f>IF(COUNTBLANK(B46)=1," ",COUNTA(B$14:B46))</f>
        <v>29</v>
      </c>
      <c r="B46" s="237" t="s">
        <v>87</v>
      </c>
      <c r="C46" s="762" t="s">
        <v>332</v>
      </c>
      <c r="D46" s="768" t="s">
        <v>190</v>
      </c>
      <c r="E46" s="696">
        <f>E45*1.05</f>
        <v>0.2205</v>
      </c>
      <c r="F46" s="459"/>
      <c r="G46" s="450"/>
      <c r="H46" s="284">
        <f t="shared" si="0"/>
        <v>0</v>
      </c>
      <c r="I46" s="450"/>
      <c r="J46" s="458"/>
      <c r="K46" s="258">
        <f t="shared" si="1"/>
        <v>0</v>
      </c>
      <c r="L46" s="259">
        <f t="shared" si="2"/>
        <v>0</v>
      </c>
      <c r="M46" s="259">
        <f t="shared" si="3"/>
        <v>0</v>
      </c>
      <c r="N46" s="259">
        <f t="shared" si="4"/>
        <v>0</v>
      </c>
      <c r="O46" s="259">
        <f t="shared" si="5"/>
        <v>0</v>
      </c>
      <c r="P46" s="259">
        <f t="shared" si="6"/>
        <v>0</v>
      </c>
    </row>
    <row r="47" spans="1:16" s="1" customFormat="1" ht="22.5" x14ac:dyDescent="0.2">
      <c r="A47" s="242">
        <f>IF(COUNTBLANK(B47)=1," ",COUNTA(B$14:B47))</f>
        <v>30</v>
      </c>
      <c r="B47" s="237" t="s">
        <v>87</v>
      </c>
      <c r="C47" s="640" t="s">
        <v>186</v>
      </c>
      <c r="D47" s="638" t="s">
        <v>85</v>
      </c>
      <c r="E47" s="645">
        <v>0.63</v>
      </c>
      <c r="F47" s="459"/>
      <c r="G47" s="450"/>
      <c r="H47" s="284">
        <f t="shared" si="0"/>
        <v>0</v>
      </c>
      <c r="I47" s="450"/>
      <c r="J47" s="458"/>
      <c r="K47" s="258">
        <f t="shared" si="1"/>
        <v>0</v>
      </c>
      <c r="L47" s="259">
        <f t="shared" si="2"/>
        <v>0</v>
      </c>
      <c r="M47" s="259">
        <f t="shared" si="3"/>
        <v>0</v>
      </c>
      <c r="N47" s="259">
        <f t="shared" si="4"/>
        <v>0</v>
      </c>
      <c r="O47" s="259">
        <f t="shared" si="5"/>
        <v>0</v>
      </c>
      <c r="P47" s="259">
        <f t="shared" si="6"/>
        <v>0</v>
      </c>
    </row>
    <row r="48" spans="1:16" s="1" customFormat="1" ht="11.25" x14ac:dyDescent="0.2">
      <c r="A48" s="242">
        <f>IF(COUNTBLANK(B48)=1," ",COUNTA(B$14:B48))</f>
        <v>31</v>
      </c>
      <c r="B48" s="237" t="s">
        <v>87</v>
      </c>
      <c r="C48" s="640" t="s">
        <v>187</v>
      </c>
      <c r="D48" s="638" t="s">
        <v>85</v>
      </c>
      <c r="E48" s="696">
        <f>E47*1.1</f>
        <v>0.69300000000000006</v>
      </c>
      <c r="F48" s="459"/>
      <c r="G48" s="450"/>
      <c r="H48" s="284">
        <f t="shared" si="0"/>
        <v>0</v>
      </c>
      <c r="I48" s="450"/>
      <c r="J48" s="458"/>
      <c r="K48" s="258">
        <f t="shared" si="1"/>
        <v>0</v>
      </c>
      <c r="L48" s="259">
        <f t="shared" si="2"/>
        <v>0</v>
      </c>
      <c r="M48" s="259">
        <f t="shared" si="3"/>
        <v>0</v>
      </c>
      <c r="N48" s="259">
        <f t="shared" si="4"/>
        <v>0</v>
      </c>
      <c r="O48" s="259">
        <f t="shared" si="5"/>
        <v>0</v>
      </c>
      <c r="P48" s="259">
        <f t="shared" si="6"/>
        <v>0</v>
      </c>
    </row>
    <row r="49" spans="1:16" s="1" customFormat="1" ht="22.5" x14ac:dyDescent="0.2">
      <c r="A49" s="242">
        <f>IF(COUNTBLANK(B49)=1," ",COUNTA(B$14:B49))</f>
        <v>32</v>
      </c>
      <c r="B49" s="237" t="s">
        <v>87</v>
      </c>
      <c r="C49" s="640" t="s">
        <v>188</v>
      </c>
      <c r="D49" s="638" t="s">
        <v>83</v>
      </c>
      <c r="E49" s="696">
        <v>209</v>
      </c>
      <c r="F49" s="459"/>
      <c r="G49" s="450"/>
      <c r="H49" s="284">
        <f t="shared" si="0"/>
        <v>0</v>
      </c>
      <c r="I49" s="450"/>
      <c r="J49" s="458"/>
      <c r="K49" s="258">
        <f t="shared" si="1"/>
        <v>0</v>
      </c>
      <c r="L49" s="259">
        <f t="shared" si="2"/>
        <v>0</v>
      </c>
      <c r="M49" s="259">
        <f t="shared" si="3"/>
        <v>0</v>
      </c>
      <c r="N49" s="259">
        <f t="shared" si="4"/>
        <v>0</v>
      </c>
      <c r="O49" s="259">
        <f t="shared" si="5"/>
        <v>0</v>
      </c>
      <c r="P49" s="259">
        <f t="shared" si="6"/>
        <v>0</v>
      </c>
    </row>
    <row r="50" spans="1:16" s="1" customFormat="1" ht="22.5" x14ac:dyDescent="0.2">
      <c r="A50" s="242">
        <f>IF(COUNTBLANK(B50)=1," ",COUNTA(B$14:B50))</f>
        <v>33</v>
      </c>
      <c r="B50" s="237" t="s">
        <v>87</v>
      </c>
      <c r="C50" s="640" t="s">
        <v>501</v>
      </c>
      <c r="D50" s="638" t="s">
        <v>57</v>
      </c>
      <c r="E50" s="639">
        <f>E43*0.5</f>
        <v>52.2</v>
      </c>
      <c r="F50" s="459"/>
      <c r="G50" s="450"/>
      <c r="H50" s="284">
        <f t="shared" si="0"/>
        <v>0</v>
      </c>
      <c r="I50" s="450"/>
      <c r="J50" s="458"/>
      <c r="K50" s="258">
        <f t="shared" si="1"/>
        <v>0</v>
      </c>
      <c r="L50" s="259">
        <f t="shared" si="2"/>
        <v>0</v>
      </c>
      <c r="M50" s="259">
        <f t="shared" si="3"/>
        <v>0</v>
      </c>
      <c r="N50" s="259">
        <f t="shared" si="4"/>
        <v>0</v>
      </c>
      <c r="O50" s="259">
        <f t="shared" si="5"/>
        <v>0</v>
      </c>
      <c r="P50" s="259">
        <f t="shared" si="6"/>
        <v>0</v>
      </c>
    </row>
    <row r="51" spans="1:16" s="1" customFormat="1" ht="11.25" x14ac:dyDescent="0.2">
      <c r="A51" s="242">
        <f>IF(COUNTBLANK(B51)=1," ",COUNTA(B$14:B51))</f>
        <v>34</v>
      </c>
      <c r="B51" s="237" t="s">
        <v>87</v>
      </c>
      <c r="C51" s="640" t="s">
        <v>191</v>
      </c>
      <c r="D51" s="638" t="s">
        <v>57</v>
      </c>
      <c r="E51" s="648">
        <f>E50*1.05</f>
        <v>54.81</v>
      </c>
      <c r="F51" s="459"/>
      <c r="G51" s="450"/>
      <c r="H51" s="284">
        <f t="shared" si="0"/>
        <v>0</v>
      </c>
      <c r="I51" s="450"/>
      <c r="J51" s="458"/>
      <c r="K51" s="258">
        <f t="shared" si="1"/>
        <v>0</v>
      </c>
      <c r="L51" s="259">
        <f t="shared" si="2"/>
        <v>0</v>
      </c>
      <c r="M51" s="259">
        <f t="shared" si="3"/>
        <v>0</v>
      </c>
      <c r="N51" s="259">
        <f t="shared" si="4"/>
        <v>0</v>
      </c>
      <c r="O51" s="259">
        <f t="shared" si="5"/>
        <v>0</v>
      </c>
      <c r="P51" s="259">
        <f t="shared" si="6"/>
        <v>0</v>
      </c>
    </row>
    <row r="52" spans="1:16" s="1" customFormat="1" ht="22.5" x14ac:dyDescent="0.2">
      <c r="A52" s="242">
        <f>IF(COUNTBLANK(B52)=1," ",COUNTA(B$14:B52))</f>
        <v>35</v>
      </c>
      <c r="B52" s="237" t="s">
        <v>87</v>
      </c>
      <c r="C52" s="640" t="s">
        <v>502</v>
      </c>
      <c r="D52" s="638" t="s">
        <v>90</v>
      </c>
      <c r="E52" s="648">
        <f>0.3*210*1.26</f>
        <v>79.38</v>
      </c>
      <c r="F52" s="459"/>
      <c r="G52" s="450"/>
      <c r="H52" s="284">
        <f t="shared" si="0"/>
        <v>0</v>
      </c>
      <c r="I52" s="450"/>
      <c r="J52" s="458"/>
      <c r="K52" s="258">
        <f t="shared" si="1"/>
        <v>0</v>
      </c>
      <c r="L52" s="259">
        <f t="shared" si="2"/>
        <v>0</v>
      </c>
      <c r="M52" s="259">
        <f t="shared" si="3"/>
        <v>0</v>
      </c>
      <c r="N52" s="259">
        <f t="shared" si="4"/>
        <v>0</v>
      </c>
      <c r="O52" s="259">
        <f t="shared" si="5"/>
        <v>0</v>
      </c>
      <c r="P52" s="259">
        <f t="shared" si="6"/>
        <v>0</v>
      </c>
    </row>
    <row r="53" spans="1:16" s="1" customFormat="1" ht="22.5" x14ac:dyDescent="0.2">
      <c r="A53" s="242">
        <f>IF(COUNTBLANK(B53)=1," ",COUNTA(B$14:B53))</f>
        <v>36</v>
      </c>
      <c r="B53" s="237" t="s">
        <v>87</v>
      </c>
      <c r="C53" s="640" t="s">
        <v>503</v>
      </c>
      <c r="D53" s="638" t="s">
        <v>83</v>
      </c>
      <c r="E53" s="648">
        <f>210*2</f>
        <v>420</v>
      </c>
      <c r="F53" s="240"/>
      <c r="G53" s="69"/>
      <c r="H53" s="284">
        <f t="shared" si="0"/>
        <v>0</v>
      </c>
      <c r="I53" s="241"/>
      <c r="J53" s="247"/>
      <c r="K53" s="258">
        <f t="shared" si="1"/>
        <v>0</v>
      </c>
      <c r="L53" s="259">
        <f t="shared" si="2"/>
        <v>0</v>
      </c>
      <c r="M53" s="259">
        <f t="shared" si="3"/>
        <v>0</v>
      </c>
      <c r="N53" s="259">
        <f t="shared" si="4"/>
        <v>0</v>
      </c>
      <c r="O53" s="259">
        <f t="shared" si="5"/>
        <v>0</v>
      </c>
      <c r="P53" s="259">
        <f t="shared" si="6"/>
        <v>0</v>
      </c>
    </row>
    <row r="54" spans="1:16" s="1" customFormat="1" ht="22.5" x14ac:dyDescent="0.2">
      <c r="A54" s="242">
        <f>IF(COUNTBLANK(B54)=1," ",COUNTA(B$14:B54))</f>
        <v>37</v>
      </c>
      <c r="B54" s="237" t="s">
        <v>87</v>
      </c>
      <c r="C54" s="761" t="s">
        <v>638</v>
      </c>
      <c r="D54" s="638" t="s">
        <v>89</v>
      </c>
      <c r="E54" s="639">
        <f>E43</f>
        <v>104.4</v>
      </c>
      <c r="F54" s="240"/>
      <c r="G54" s="69"/>
      <c r="H54" s="284">
        <f t="shared" si="0"/>
        <v>0</v>
      </c>
      <c r="I54" s="241"/>
      <c r="J54" s="247"/>
      <c r="K54" s="258">
        <f t="shared" si="1"/>
        <v>0</v>
      </c>
      <c r="L54" s="259">
        <f t="shared" si="2"/>
        <v>0</v>
      </c>
      <c r="M54" s="259">
        <f t="shared" si="3"/>
        <v>0</v>
      </c>
      <c r="N54" s="259">
        <f t="shared" si="4"/>
        <v>0</v>
      </c>
      <c r="O54" s="259">
        <f t="shared" si="5"/>
        <v>0</v>
      </c>
      <c r="P54" s="259">
        <f t="shared" si="6"/>
        <v>0</v>
      </c>
    </row>
    <row r="55" spans="1:16" s="1" customFormat="1" ht="21.75" thickBot="1" x14ac:dyDescent="0.25">
      <c r="A55" s="242" t="str">
        <f>IF(COUNTBLANK(B55)=1," ",COUNTA(B$14:B55))</f>
        <v xml:space="preserve"> </v>
      </c>
      <c r="B55" s="456"/>
      <c r="C55" s="770" t="s">
        <v>504</v>
      </c>
      <c r="D55" s="457"/>
      <c r="E55" s="457"/>
      <c r="F55" s="459"/>
      <c r="G55" s="450"/>
      <c r="H55" s="284">
        <f t="shared" si="0"/>
        <v>0</v>
      </c>
      <c r="I55" s="450"/>
      <c r="J55" s="458"/>
      <c r="K55" s="258">
        <f t="shared" si="1"/>
        <v>0</v>
      </c>
      <c r="L55" s="259">
        <f t="shared" si="2"/>
        <v>0</v>
      </c>
      <c r="M55" s="259">
        <f t="shared" si="3"/>
        <v>0</v>
      </c>
      <c r="N55" s="259">
        <f t="shared" si="4"/>
        <v>0</v>
      </c>
      <c r="O55" s="259">
        <f t="shared" si="5"/>
        <v>0</v>
      </c>
      <c r="P55" s="259">
        <f t="shared" si="6"/>
        <v>0</v>
      </c>
    </row>
    <row r="56" spans="1:16" s="1" customFormat="1" ht="22.5" x14ac:dyDescent="0.2">
      <c r="A56" s="242">
        <f>IF(COUNTBLANK(B56)=1," ",COUNTA(B$14:B56))</f>
        <v>38</v>
      </c>
      <c r="B56" s="456" t="s">
        <v>87</v>
      </c>
      <c r="C56" s="640" t="s">
        <v>505</v>
      </c>
      <c r="D56" s="638" t="s">
        <v>89</v>
      </c>
      <c r="E56" s="639">
        <v>59.6</v>
      </c>
      <c r="F56" s="459"/>
      <c r="G56" s="450"/>
      <c r="H56" s="284">
        <f t="shared" si="0"/>
        <v>0</v>
      </c>
      <c r="I56" s="450"/>
      <c r="J56" s="458"/>
      <c r="K56" s="258">
        <f t="shared" si="1"/>
        <v>0</v>
      </c>
      <c r="L56" s="259">
        <f t="shared" si="2"/>
        <v>0</v>
      </c>
      <c r="M56" s="259">
        <f t="shared" si="3"/>
        <v>0</v>
      </c>
      <c r="N56" s="259">
        <f t="shared" si="4"/>
        <v>0</v>
      </c>
      <c r="O56" s="259">
        <f t="shared" si="5"/>
        <v>0</v>
      </c>
      <c r="P56" s="259">
        <f t="shared" si="6"/>
        <v>0</v>
      </c>
    </row>
    <row r="57" spans="1:16" s="1" customFormat="1" ht="22.5" x14ac:dyDescent="0.2">
      <c r="A57" s="242">
        <f>IF(COUNTBLANK(B57)=1," ",COUNTA(B$14:B57))</f>
        <v>39</v>
      </c>
      <c r="B57" s="456" t="s">
        <v>87</v>
      </c>
      <c r="C57" s="640" t="s">
        <v>506</v>
      </c>
      <c r="D57" s="638" t="s">
        <v>85</v>
      </c>
      <c r="E57" s="645">
        <v>1</v>
      </c>
      <c r="F57" s="459"/>
      <c r="G57" s="450"/>
      <c r="H57" s="284">
        <f t="shared" si="0"/>
        <v>0</v>
      </c>
      <c r="I57" s="450"/>
      <c r="J57" s="458"/>
      <c r="K57" s="258">
        <f t="shared" si="1"/>
        <v>0</v>
      </c>
      <c r="L57" s="259">
        <f t="shared" si="2"/>
        <v>0</v>
      </c>
      <c r="M57" s="259">
        <f t="shared" si="3"/>
        <v>0</v>
      </c>
      <c r="N57" s="259">
        <f t="shared" si="4"/>
        <v>0</v>
      </c>
      <c r="O57" s="259">
        <f t="shared" si="5"/>
        <v>0</v>
      </c>
      <c r="P57" s="259">
        <f t="shared" si="6"/>
        <v>0</v>
      </c>
    </row>
    <row r="58" spans="1:16" s="1" customFormat="1" ht="11.25" x14ac:dyDescent="0.2">
      <c r="A58" s="242">
        <f>IF(COUNTBLANK(B58)=1," ",COUNTA(B$14:B58))</f>
        <v>40</v>
      </c>
      <c r="B58" s="456" t="s">
        <v>87</v>
      </c>
      <c r="C58" s="762" t="s">
        <v>332</v>
      </c>
      <c r="D58" s="768" t="s">
        <v>190</v>
      </c>
      <c r="E58" s="696">
        <f>E57*1.05</f>
        <v>1.05</v>
      </c>
      <c r="F58" s="459"/>
      <c r="G58" s="450"/>
      <c r="H58" s="284">
        <f t="shared" si="0"/>
        <v>0</v>
      </c>
      <c r="I58" s="450"/>
      <c r="J58" s="458"/>
      <c r="K58" s="258">
        <f t="shared" si="1"/>
        <v>0</v>
      </c>
      <c r="L58" s="259">
        <f t="shared" si="2"/>
        <v>0</v>
      </c>
      <c r="M58" s="259">
        <f t="shared" si="3"/>
        <v>0</v>
      </c>
      <c r="N58" s="259">
        <f t="shared" si="4"/>
        <v>0</v>
      </c>
      <c r="O58" s="259">
        <f t="shared" si="5"/>
        <v>0</v>
      </c>
      <c r="P58" s="259">
        <f t="shared" si="6"/>
        <v>0</v>
      </c>
    </row>
    <row r="59" spans="1:16" s="1" customFormat="1" ht="22.5" x14ac:dyDescent="0.2">
      <c r="A59" s="242">
        <f>IF(COUNTBLANK(B59)=1," ",COUNTA(B$14:B59))</f>
        <v>41</v>
      </c>
      <c r="B59" s="456" t="s">
        <v>87</v>
      </c>
      <c r="C59" s="640" t="s">
        <v>507</v>
      </c>
      <c r="D59" s="638" t="s">
        <v>57</v>
      </c>
      <c r="E59" s="639">
        <v>34.6</v>
      </c>
      <c r="F59" s="459"/>
      <c r="G59" s="450"/>
      <c r="H59" s="284">
        <f t="shared" si="0"/>
        <v>0</v>
      </c>
      <c r="I59" s="450"/>
      <c r="J59" s="458"/>
      <c r="K59" s="258">
        <f t="shared" si="1"/>
        <v>0</v>
      </c>
      <c r="L59" s="259">
        <f t="shared" si="2"/>
        <v>0</v>
      </c>
      <c r="M59" s="259">
        <f t="shared" si="3"/>
        <v>0</v>
      </c>
      <c r="N59" s="259">
        <f t="shared" si="4"/>
        <v>0</v>
      </c>
      <c r="O59" s="259">
        <f t="shared" si="5"/>
        <v>0</v>
      </c>
      <c r="P59" s="259">
        <f t="shared" si="6"/>
        <v>0</v>
      </c>
    </row>
    <row r="60" spans="1:16" s="1" customFormat="1" ht="22.5" x14ac:dyDescent="0.2">
      <c r="A60" s="242">
        <f>IF(COUNTBLANK(B60)=1," ",COUNTA(B$14:B60))</f>
        <v>42</v>
      </c>
      <c r="B60" s="456" t="s">
        <v>87</v>
      </c>
      <c r="C60" s="640" t="s">
        <v>508</v>
      </c>
      <c r="D60" s="638" t="s">
        <v>57</v>
      </c>
      <c r="E60" s="639">
        <v>30.4</v>
      </c>
      <c r="F60" s="459"/>
      <c r="G60" s="450"/>
      <c r="H60" s="284">
        <f t="shared" si="0"/>
        <v>0</v>
      </c>
      <c r="I60" s="450"/>
      <c r="J60" s="458"/>
      <c r="K60" s="258">
        <f t="shared" si="1"/>
        <v>0</v>
      </c>
      <c r="L60" s="259">
        <f t="shared" si="2"/>
        <v>0</v>
      </c>
      <c r="M60" s="259">
        <f t="shared" si="3"/>
        <v>0</v>
      </c>
      <c r="N60" s="259">
        <f t="shared" si="4"/>
        <v>0</v>
      </c>
      <c r="O60" s="259">
        <f t="shared" si="5"/>
        <v>0</v>
      </c>
      <c r="P60" s="259">
        <f t="shared" si="6"/>
        <v>0</v>
      </c>
    </row>
    <row r="61" spans="1:16" s="1" customFormat="1" ht="11.25" x14ac:dyDescent="0.2">
      <c r="A61" s="242">
        <f>IF(COUNTBLANK(B61)=1," ",COUNTA(B$14:B61))</f>
        <v>43</v>
      </c>
      <c r="B61" s="456" t="s">
        <v>87</v>
      </c>
      <c r="C61" s="640" t="s">
        <v>191</v>
      </c>
      <c r="D61" s="638" t="s">
        <v>57</v>
      </c>
      <c r="E61" s="648">
        <f>E60*1.05</f>
        <v>31.919999999999998</v>
      </c>
      <c r="F61" s="459"/>
      <c r="G61" s="450"/>
      <c r="H61" s="284">
        <f t="shared" si="0"/>
        <v>0</v>
      </c>
      <c r="I61" s="450"/>
      <c r="J61" s="458"/>
      <c r="K61" s="258">
        <f t="shared" si="1"/>
        <v>0</v>
      </c>
      <c r="L61" s="259">
        <f t="shared" si="2"/>
        <v>0</v>
      </c>
      <c r="M61" s="259">
        <f t="shared" si="3"/>
        <v>0</v>
      </c>
      <c r="N61" s="259">
        <f t="shared" si="4"/>
        <v>0</v>
      </c>
      <c r="O61" s="259">
        <f t="shared" si="5"/>
        <v>0</v>
      </c>
      <c r="P61" s="259">
        <f t="shared" si="6"/>
        <v>0</v>
      </c>
    </row>
    <row r="62" spans="1:16" s="1" customFormat="1" ht="22.5" x14ac:dyDescent="0.2">
      <c r="A62" s="242">
        <f>IF(COUNTBLANK(B62)=1," ",COUNTA(B$14:B62))</f>
        <v>44</v>
      </c>
      <c r="B62" s="456" t="s">
        <v>87</v>
      </c>
      <c r="C62" s="640" t="s">
        <v>509</v>
      </c>
      <c r="D62" s="638" t="s">
        <v>90</v>
      </c>
      <c r="E62" s="648">
        <f>0.75*64*1.26</f>
        <v>60.480000000000004</v>
      </c>
      <c r="F62" s="459"/>
      <c r="G62" s="450"/>
      <c r="H62" s="284">
        <f t="shared" si="0"/>
        <v>0</v>
      </c>
      <c r="I62" s="450"/>
      <c r="J62" s="458"/>
      <c r="K62" s="258">
        <f t="shared" si="1"/>
        <v>0</v>
      </c>
      <c r="L62" s="259">
        <f t="shared" si="2"/>
        <v>0</v>
      </c>
      <c r="M62" s="259">
        <f t="shared" si="3"/>
        <v>0</v>
      </c>
      <c r="N62" s="259">
        <f t="shared" si="4"/>
        <v>0</v>
      </c>
      <c r="O62" s="259">
        <f t="shared" si="5"/>
        <v>0</v>
      </c>
      <c r="P62" s="259">
        <f t="shared" si="6"/>
        <v>0</v>
      </c>
    </row>
    <row r="63" spans="1:16" s="1" customFormat="1" ht="22.5" x14ac:dyDescent="0.2">
      <c r="A63" s="242">
        <f>IF(COUNTBLANK(B63)=1," ",COUNTA(B$14:B63))</f>
        <v>45</v>
      </c>
      <c r="B63" s="456" t="s">
        <v>87</v>
      </c>
      <c r="C63" s="640" t="s">
        <v>510</v>
      </c>
      <c r="D63" s="638" t="s">
        <v>91</v>
      </c>
      <c r="E63" s="648">
        <f>64*2</f>
        <v>128</v>
      </c>
      <c r="F63" s="459"/>
      <c r="G63" s="450"/>
      <c r="H63" s="284">
        <f t="shared" si="0"/>
        <v>0</v>
      </c>
      <c r="I63" s="450"/>
      <c r="J63" s="458"/>
      <c r="K63" s="258">
        <f t="shared" si="1"/>
        <v>0</v>
      </c>
      <c r="L63" s="259">
        <f t="shared" si="2"/>
        <v>0</v>
      </c>
      <c r="M63" s="259">
        <f t="shared" si="3"/>
        <v>0</v>
      </c>
      <c r="N63" s="259">
        <f t="shared" si="4"/>
        <v>0</v>
      </c>
      <c r="O63" s="259">
        <f t="shared" si="5"/>
        <v>0</v>
      </c>
      <c r="P63" s="259">
        <f t="shared" si="6"/>
        <v>0</v>
      </c>
    </row>
    <row r="64" spans="1:16" s="1" customFormat="1" ht="22.5" x14ac:dyDescent="0.2">
      <c r="A64" s="242">
        <f>IF(COUNTBLANK(B64)=1," ",COUNTA(B$14:B64))</f>
        <v>46</v>
      </c>
      <c r="B64" s="456" t="s">
        <v>87</v>
      </c>
      <c r="C64" s="821" t="s">
        <v>511</v>
      </c>
      <c r="D64" s="822" t="s">
        <v>89</v>
      </c>
      <c r="E64" s="639">
        <v>60.5</v>
      </c>
      <c r="F64" s="459"/>
      <c r="G64" s="450"/>
      <c r="H64" s="284">
        <f t="shared" si="0"/>
        <v>0</v>
      </c>
      <c r="I64" s="450"/>
      <c r="J64" s="458"/>
      <c r="K64" s="258">
        <f t="shared" si="1"/>
        <v>0</v>
      </c>
      <c r="L64" s="259">
        <f t="shared" si="2"/>
        <v>0</v>
      </c>
      <c r="M64" s="259">
        <f t="shared" si="3"/>
        <v>0</v>
      </c>
      <c r="N64" s="259">
        <f t="shared" si="4"/>
        <v>0</v>
      </c>
      <c r="O64" s="259">
        <f t="shared" si="5"/>
        <v>0</v>
      </c>
      <c r="P64" s="259">
        <f t="shared" si="6"/>
        <v>0</v>
      </c>
    </row>
    <row r="65" spans="1:16" s="1" customFormat="1" ht="12" thickBot="1" x14ac:dyDescent="0.25">
      <c r="A65" s="242" t="str">
        <f>IF(COUNTBLANK(B65)=1," ",COUNTA(B$14:B65))</f>
        <v xml:space="preserve"> </v>
      </c>
      <c r="B65" s="819"/>
      <c r="C65" s="826" t="s">
        <v>600</v>
      </c>
      <c r="D65" s="823"/>
      <c r="E65" s="820"/>
      <c r="F65" s="816"/>
      <c r="G65" s="817"/>
      <c r="H65" s="284">
        <f t="shared" si="0"/>
        <v>0</v>
      </c>
      <c r="I65" s="817"/>
      <c r="J65" s="818"/>
      <c r="K65" s="258">
        <f t="shared" si="1"/>
        <v>0</v>
      </c>
      <c r="L65" s="259">
        <f t="shared" si="2"/>
        <v>0</v>
      </c>
      <c r="M65" s="259">
        <f t="shared" si="3"/>
        <v>0</v>
      </c>
      <c r="N65" s="259">
        <f t="shared" si="4"/>
        <v>0</v>
      </c>
      <c r="O65" s="259">
        <f t="shared" si="5"/>
        <v>0</v>
      </c>
      <c r="P65" s="259">
        <f t="shared" si="6"/>
        <v>0</v>
      </c>
    </row>
    <row r="66" spans="1:16" s="1" customFormat="1" ht="33.75" x14ac:dyDescent="0.2">
      <c r="A66" s="242">
        <f>IF(COUNTBLANK(B66)=1," ",COUNTA(B$14:B66))</f>
        <v>47</v>
      </c>
      <c r="B66" s="456" t="s">
        <v>87</v>
      </c>
      <c r="C66" s="643" t="s">
        <v>601</v>
      </c>
      <c r="D66" s="825" t="s">
        <v>57</v>
      </c>
      <c r="E66" s="815">
        <v>96</v>
      </c>
      <c r="F66" s="816"/>
      <c r="G66" s="817"/>
      <c r="H66" s="284">
        <f t="shared" si="0"/>
        <v>0</v>
      </c>
      <c r="I66" s="817"/>
      <c r="J66" s="818"/>
      <c r="K66" s="258">
        <f t="shared" si="1"/>
        <v>0</v>
      </c>
      <c r="L66" s="259">
        <f t="shared" si="2"/>
        <v>0</v>
      </c>
      <c r="M66" s="259">
        <f t="shared" si="3"/>
        <v>0</v>
      </c>
      <c r="N66" s="259">
        <f t="shared" si="4"/>
        <v>0</v>
      </c>
      <c r="O66" s="259">
        <f t="shared" si="5"/>
        <v>0</v>
      </c>
      <c r="P66" s="259">
        <f t="shared" si="6"/>
        <v>0</v>
      </c>
    </row>
    <row r="67" spans="1:16" s="1" customFormat="1" ht="22.5" x14ac:dyDescent="0.2">
      <c r="A67" s="242">
        <f>IF(COUNTBLANK(B67)=1," ",COUNTA(B$14:B67))</f>
        <v>48</v>
      </c>
      <c r="B67" s="456" t="s">
        <v>87</v>
      </c>
      <c r="C67" s="824" t="s">
        <v>602</v>
      </c>
      <c r="D67" s="825" t="s">
        <v>89</v>
      </c>
      <c r="E67" s="815">
        <v>112.8</v>
      </c>
      <c r="F67" s="816"/>
      <c r="G67" s="817"/>
      <c r="H67" s="284">
        <f t="shared" si="0"/>
        <v>0</v>
      </c>
      <c r="I67" s="817"/>
      <c r="J67" s="818"/>
      <c r="K67" s="258">
        <f t="shared" si="1"/>
        <v>0</v>
      </c>
      <c r="L67" s="259">
        <f t="shared" si="2"/>
        <v>0</v>
      </c>
      <c r="M67" s="259">
        <f t="shared" si="3"/>
        <v>0</v>
      </c>
      <c r="N67" s="259">
        <f t="shared" si="4"/>
        <v>0</v>
      </c>
      <c r="O67" s="259">
        <f t="shared" si="5"/>
        <v>0</v>
      </c>
      <c r="P67" s="259">
        <f t="shared" si="6"/>
        <v>0</v>
      </c>
    </row>
    <row r="68" spans="1:16" s="1" customFormat="1" ht="11.25" x14ac:dyDescent="0.2">
      <c r="A68" s="242">
        <f>IF(COUNTBLANK(B68)=1," ",COUNTA(B$14:B68))</f>
        <v>49</v>
      </c>
      <c r="B68" s="456" t="s">
        <v>87</v>
      </c>
      <c r="C68" s="824" t="s">
        <v>603</v>
      </c>
      <c r="D68" s="825" t="s">
        <v>89</v>
      </c>
      <c r="E68" s="815">
        <v>200</v>
      </c>
      <c r="F68" s="816"/>
      <c r="G68" s="817"/>
      <c r="H68" s="284">
        <f t="shared" si="0"/>
        <v>0</v>
      </c>
      <c r="I68" s="817"/>
      <c r="J68" s="818"/>
      <c r="K68" s="258">
        <f t="shared" si="1"/>
        <v>0</v>
      </c>
      <c r="L68" s="259">
        <f t="shared" si="2"/>
        <v>0</v>
      </c>
      <c r="M68" s="259">
        <f t="shared" si="3"/>
        <v>0</v>
      </c>
      <c r="N68" s="259">
        <f t="shared" si="4"/>
        <v>0</v>
      </c>
      <c r="O68" s="259">
        <f t="shared" si="5"/>
        <v>0</v>
      </c>
      <c r="P68" s="259">
        <f t="shared" si="6"/>
        <v>0</v>
      </c>
    </row>
    <row r="69" spans="1:16" s="1" customFormat="1" ht="33.75" x14ac:dyDescent="0.2">
      <c r="A69" s="242">
        <f>IF(COUNTBLANK(B69)=1," ",COUNTA(B$14:B69))</f>
        <v>50</v>
      </c>
      <c r="B69" s="456" t="s">
        <v>87</v>
      </c>
      <c r="C69" s="824" t="s">
        <v>604</v>
      </c>
      <c r="D69" s="825" t="s">
        <v>253</v>
      </c>
      <c r="E69" s="815">
        <v>8</v>
      </c>
      <c r="F69" s="816"/>
      <c r="G69" s="817"/>
      <c r="H69" s="284">
        <f t="shared" si="0"/>
        <v>0</v>
      </c>
      <c r="I69" s="817"/>
      <c r="J69" s="818"/>
      <c r="K69" s="258">
        <f t="shared" si="1"/>
        <v>0</v>
      </c>
      <c r="L69" s="259">
        <f t="shared" si="2"/>
        <v>0</v>
      </c>
      <c r="M69" s="259">
        <f t="shared" si="3"/>
        <v>0</v>
      </c>
      <c r="N69" s="259">
        <f t="shared" si="4"/>
        <v>0</v>
      </c>
      <c r="O69" s="259">
        <f t="shared" si="5"/>
        <v>0</v>
      </c>
      <c r="P69" s="259">
        <f t="shared" si="6"/>
        <v>0</v>
      </c>
    </row>
    <row r="70" spans="1:16" s="1" customFormat="1" ht="22.5" x14ac:dyDescent="0.2">
      <c r="A70" s="242" t="str">
        <f>IF(COUNTBLANK(B70)=1," ",COUNTA(B$14:B70))</f>
        <v xml:space="preserve"> </v>
      </c>
      <c r="B70" s="456"/>
      <c r="C70" s="824" t="s">
        <v>605</v>
      </c>
      <c r="D70" s="825"/>
      <c r="E70" s="815"/>
      <c r="F70" s="459"/>
      <c r="G70" s="450"/>
      <c r="H70" s="284">
        <f t="shared" si="0"/>
        <v>0</v>
      </c>
      <c r="I70" s="450"/>
      <c r="J70" s="458"/>
      <c r="K70" s="258">
        <f t="shared" si="1"/>
        <v>0</v>
      </c>
      <c r="L70" s="259">
        <f t="shared" si="2"/>
        <v>0</v>
      </c>
      <c r="M70" s="259">
        <f t="shared" si="3"/>
        <v>0</v>
      </c>
      <c r="N70" s="259">
        <f t="shared" si="4"/>
        <v>0</v>
      </c>
      <c r="O70" s="259">
        <f t="shared" si="5"/>
        <v>0</v>
      </c>
      <c r="P70" s="259">
        <f t="shared" si="6"/>
        <v>0</v>
      </c>
    </row>
    <row r="71" spans="1:16" s="1" customFormat="1" ht="21.75" thickBot="1" x14ac:dyDescent="0.25">
      <c r="A71" s="242" t="str">
        <f>IF(COUNTBLANK(B71)=1," ",COUNTA(B$14:B71))</f>
        <v xml:space="preserve"> </v>
      </c>
      <c r="B71" s="237"/>
      <c r="C71" s="756" t="s">
        <v>192</v>
      </c>
      <c r="D71" s="239"/>
      <c r="E71" s="239"/>
      <c r="F71" s="240"/>
      <c r="G71" s="69"/>
      <c r="H71" s="284">
        <f t="shared" si="0"/>
        <v>0</v>
      </c>
      <c r="I71" s="241"/>
      <c r="J71" s="247"/>
      <c r="K71" s="258">
        <f t="shared" si="1"/>
        <v>0</v>
      </c>
      <c r="L71" s="259">
        <f t="shared" si="2"/>
        <v>0</v>
      </c>
      <c r="M71" s="259">
        <f t="shared" si="3"/>
        <v>0</v>
      </c>
      <c r="N71" s="259">
        <f t="shared" si="4"/>
        <v>0</v>
      </c>
      <c r="O71" s="259">
        <f t="shared" si="5"/>
        <v>0</v>
      </c>
      <c r="P71" s="259">
        <f t="shared" si="6"/>
        <v>0</v>
      </c>
    </row>
    <row r="72" spans="1:16" s="1" customFormat="1" ht="22.5" x14ac:dyDescent="0.2">
      <c r="A72" s="242">
        <f>IF(COUNTBLANK(B72)=1," ",COUNTA(B$14:B72))</f>
        <v>51</v>
      </c>
      <c r="B72" s="237" t="s">
        <v>87</v>
      </c>
      <c r="C72" s="640" t="s">
        <v>193</v>
      </c>
      <c r="D72" s="638" t="s">
        <v>57</v>
      </c>
      <c r="E72" s="638">
        <v>124.7</v>
      </c>
      <c r="F72" s="459"/>
      <c r="G72" s="450"/>
      <c r="H72" s="284">
        <f t="shared" si="0"/>
        <v>0</v>
      </c>
      <c r="I72" s="450"/>
      <c r="J72" s="458"/>
      <c r="K72" s="258">
        <f t="shared" si="1"/>
        <v>0</v>
      </c>
      <c r="L72" s="259">
        <f t="shared" si="2"/>
        <v>0</v>
      </c>
      <c r="M72" s="259">
        <f t="shared" si="3"/>
        <v>0</v>
      </c>
      <c r="N72" s="259">
        <f t="shared" si="4"/>
        <v>0</v>
      </c>
      <c r="O72" s="259">
        <f t="shared" si="5"/>
        <v>0</v>
      </c>
      <c r="P72" s="259">
        <f t="shared" si="6"/>
        <v>0</v>
      </c>
    </row>
    <row r="73" spans="1:16" s="1" customFormat="1" ht="11.25" x14ac:dyDescent="0.2">
      <c r="A73" s="242">
        <f>IF(COUNTBLANK(B73)=1," ",COUNTA(B$14:B73))</f>
        <v>52</v>
      </c>
      <c r="B73" s="237" t="s">
        <v>87</v>
      </c>
      <c r="C73" s="640" t="s">
        <v>512</v>
      </c>
      <c r="D73" s="638" t="s">
        <v>89</v>
      </c>
      <c r="E73" s="638">
        <v>50</v>
      </c>
      <c r="F73" s="240"/>
      <c r="G73" s="69"/>
      <c r="H73" s="284">
        <f t="shared" si="0"/>
        <v>0</v>
      </c>
      <c r="I73" s="241"/>
      <c r="J73" s="247"/>
      <c r="K73" s="258">
        <f t="shared" si="1"/>
        <v>0</v>
      </c>
      <c r="L73" s="259">
        <f t="shared" si="2"/>
        <v>0</v>
      </c>
      <c r="M73" s="259">
        <f t="shared" si="3"/>
        <v>0</v>
      </c>
      <c r="N73" s="259">
        <f t="shared" si="4"/>
        <v>0</v>
      </c>
      <c r="O73" s="259">
        <f t="shared" si="5"/>
        <v>0</v>
      </c>
      <c r="P73" s="259">
        <f t="shared" si="6"/>
        <v>0</v>
      </c>
    </row>
    <row r="74" spans="1:16" s="1" customFormat="1" ht="22.5" x14ac:dyDescent="0.2">
      <c r="A74" s="242">
        <f>IF(COUNTBLANK(B74)=1," ",COUNTA(B$14:B74))</f>
        <v>53</v>
      </c>
      <c r="B74" s="237" t="s">
        <v>87</v>
      </c>
      <c r="C74" s="640" t="s">
        <v>513</v>
      </c>
      <c r="D74" s="638" t="s">
        <v>157</v>
      </c>
      <c r="E74" s="638">
        <f>E72</f>
        <v>124.7</v>
      </c>
      <c r="F74" s="459"/>
      <c r="G74" s="450"/>
      <c r="H74" s="284">
        <f t="shared" si="0"/>
        <v>0</v>
      </c>
      <c r="I74" s="450"/>
      <c r="J74" s="458"/>
      <c r="K74" s="258">
        <f t="shared" si="1"/>
        <v>0</v>
      </c>
      <c r="L74" s="259">
        <f t="shared" si="2"/>
        <v>0</v>
      </c>
      <c r="M74" s="259">
        <f t="shared" si="3"/>
        <v>0</v>
      </c>
      <c r="N74" s="259">
        <f t="shared" si="4"/>
        <v>0</v>
      </c>
      <c r="O74" s="259">
        <f t="shared" si="5"/>
        <v>0</v>
      </c>
      <c r="P74" s="259">
        <f t="shared" si="6"/>
        <v>0</v>
      </c>
    </row>
    <row r="75" spans="1:16" s="1" customFormat="1" ht="11.25" x14ac:dyDescent="0.2">
      <c r="A75" s="242">
        <f>IF(COUNTBLANK(B75)=1," ",COUNTA(B$14:B75))</f>
        <v>54</v>
      </c>
      <c r="B75" s="237" t="s">
        <v>87</v>
      </c>
      <c r="C75" s="640" t="s">
        <v>514</v>
      </c>
      <c r="D75" s="638" t="s">
        <v>157</v>
      </c>
      <c r="E75" s="638">
        <f>E72</f>
        <v>124.7</v>
      </c>
      <c r="F75" s="459"/>
      <c r="G75" s="450"/>
      <c r="H75" s="284">
        <f t="shared" si="0"/>
        <v>0</v>
      </c>
      <c r="I75" s="450"/>
      <c r="J75" s="458"/>
      <c r="K75" s="258">
        <f t="shared" si="1"/>
        <v>0</v>
      </c>
      <c r="L75" s="259">
        <f t="shared" si="2"/>
        <v>0</v>
      </c>
      <c r="M75" s="259">
        <f t="shared" si="3"/>
        <v>0</v>
      </c>
      <c r="N75" s="259">
        <f t="shared" si="4"/>
        <v>0</v>
      </c>
      <c r="O75" s="259">
        <f t="shared" si="5"/>
        <v>0</v>
      </c>
      <c r="P75" s="259">
        <f t="shared" si="6"/>
        <v>0</v>
      </c>
    </row>
    <row r="76" spans="1:16" s="1" customFormat="1" ht="11.25" x14ac:dyDescent="0.2">
      <c r="A76" s="242">
        <f>IF(COUNTBLANK(B76)=1," ",COUNTA(B$14:B76))</f>
        <v>55</v>
      </c>
      <c r="B76" s="237" t="s">
        <v>87</v>
      </c>
      <c r="C76" s="821" t="s">
        <v>515</v>
      </c>
      <c r="D76" s="638" t="s">
        <v>157</v>
      </c>
      <c r="E76" s="638">
        <f>E72</f>
        <v>124.7</v>
      </c>
      <c r="F76" s="459"/>
      <c r="G76" s="450"/>
      <c r="H76" s="284">
        <f t="shared" si="0"/>
        <v>0</v>
      </c>
      <c r="I76" s="450"/>
      <c r="J76" s="458"/>
      <c r="K76" s="258">
        <f t="shared" si="1"/>
        <v>0</v>
      </c>
      <c r="L76" s="259">
        <f t="shared" si="2"/>
        <v>0</v>
      </c>
      <c r="M76" s="259">
        <f t="shared" si="3"/>
        <v>0</v>
      </c>
      <c r="N76" s="259">
        <f t="shared" si="4"/>
        <v>0</v>
      </c>
      <c r="O76" s="259">
        <f t="shared" si="5"/>
        <v>0</v>
      </c>
      <c r="P76" s="259">
        <f t="shared" si="6"/>
        <v>0</v>
      </c>
    </row>
    <row r="77" spans="1:16" s="1" customFormat="1" ht="21.75" thickBot="1" x14ac:dyDescent="0.25">
      <c r="A77" s="242" t="str">
        <f>IF(COUNTBLANK(B77)=1," ",COUNTA(B$14:B77))</f>
        <v xml:space="preserve"> </v>
      </c>
      <c r="B77" s="237"/>
      <c r="C77" s="826" t="s">
        <v>606</v>
      </c>
      <c r="D77" s="239"/>
      <c r="E77" s="239"/>
      <c r="F77" s="240"/>
      <c r="G77" s="69"/>
      <c r="H77" s="284">
        <f t="shared" si="0"/>
        <v>0</v>
      </c>
      <c r="I77" s="241"/>
      <c r="J77" s="247"/>
      <c r="K77" s="258">
        <f t="shared" si="1"/>
        <v>0</v>
      </c>
      <c r="L77" s="259">
        <f t="shared" si="2"/>
        <v>0</v>
      </c>
      <c r="M77" s="259">
        <f t="shared" si="3"/>
        <v>0</v>
      </c>
      <c r="N77" s="259">
        <f t="shared" si="4"/>
        <v>0</v>
      </c>
      <c r="O77" s="259">
        <f t="shared" si="5"/>
        <v>0</v>
      </c>
      <c r="P77" s="259">
        <f t="shared" si="6"/>
        <v>0</v>
      </c>
    </row>
    <row r="78" spans="1:16" s="1" customFormat="1" ht="22.5" x14ac:dyDescent="0.2">
      <c r="A78" s="242">
        <f>IF(COUNTBLANK(B78)=1," ",COUNTA(B$14:B78))</f>
        <v>56</v>
      </c>
      <c r="B78" s="237" t="s">
        <v>87</v>
      </c>
      <c r="C78" s="643" t="s">
        <v>516</v>
      </c>
      <c r="D78" s="638" t="s">
        <v>157</v>
      </c>
      <c r="E78" s="639">
        <v>6.3</v>
      </c>
      <c r="F78" s="459"/>
      <c r="G78" s="450"/>
      <c r="H78" s="284">
        <f t="shared" si="0"/>
        <v>0</v>
      </c>
      <c r="I78" s="450"/>
      <c r="J78" s="458"/>
      <c r="K78" s="258">
        <f t="shared" si="1"/>
        <v>0</v>
      </c>
      <c r="L78" s="259">
        <f t="shared" si="2"/>
        <v>0</v>
      </c>
      <c r="M78" s="259">
        <f t="shared" si="3"/>
        <v>0</v>
      </c>
      <c r="N78" s="259">
        <f t="shared" si="4"/>
        <v>0</v>
      </c>
      <c r="O78" s="259">
        <f t="shared" si="5"/>
        <v>0</v>
      </c>
      <c r="P78" s="259">
        <f t="shared" si="6"/>
        <v>0</v>
      </c>
    </row>
    <row r="79" spans="1:16" s="1" customFormat="1" ht="11.25" x14ac:dyDescent="0.2">
      <c r="A79" s="242">
        <f>IF(COUNTBLANK(B79)=1," ",COUNTA(B$14:B79))</f>
        <v>57</v>
      </c>
      <c r="B79" s="237" t="s">
        <v>87</v>
      </c>
      <c r="C79" s="762" t="s">
        <v>332</v>
      </c>
      <c r="D79" s="768" t="s">
        <v>190</v>
      </c>
      <c r="E79" s="696">
        <f>E78*0.03</f>
        <v>0.189</v>
      </c>
      <c r="F79" s="240"/>
      <c r="G79" s="69"/>
      <c r="H79" s="284">
        <f t="shared" si="0"/>
        <v>0</v>
      </c>
      <c r="I79" s="241"/>
      <c r="J79" s="247"/>
      <c r="K79" s="258">
        <f t="shared" si="1"/>
        <v>0</v>
      </c>
      <c r="L79" s="259">
        <f t="shared" si="2"/>
        <v>0</v>
      </c>
      <c r="M79" s="259">
        <f t="shared" si="3"/>
        <v>0</v>
      </c>
      <c r="N79" s="259">
        <f t="shared" si="4"/>
        <v>0</v>
      </c>
      <c r="O79" s="259">
        <f t="shared" si="5"/>
        <v>0</v>
      </c>
      <c r="P79" s="259">
        <f t="shared" si="6"/>
        <v>0</v>
      </c>
    </row>
    <row r="80" spans="1:16" s="1" customFormat="1" ht="11.25" x14ac:dyDescent="0.2">
      <c r="A80" s="242">
        <f>IF(COUNTBLANK(B80)=1," ",COUNTA(B$14:B80))</f>
        <v>58</v>
      </c>
      <c r="B80" s="237" t="s">
        <v>87</v>
      </c>
      <c r="C80" s="640" t="s">
        <v>517</v>
      </c>
      <c r="D80" s="638" t="s">
        <v>157</v>
      </c>
      <c r="E80" s="639">
        <v>6.3</v>
      </c>
      <c r="F80" s="240"/>
      <c r="G80" s="69"/>
      <c r="H80" s="284">
        <f t="shared" si="0"/>
        <v>0</v>
      </c>
      <c r="I80" s="241"/>
      <c r="J80" s="247"/>
      <c r="K80" s="258">
        <f t="shared" si="1"/>
        <v>0</v>
      </c>
      <c r="L80" s="259">
        <f t="shared" si="2"/>
        <v>0</v>
      </c>
      <c r="M80" s="259">
        <f t="shared" si="3"/>
        <v>0</v>
      </c>
      <c r="N80" s="259">
        <f t="shared" si="4"/>
        <v>0</v>
      </c>
      <c r="O80" s="259">
        <f t="shared" si="5"/>
        <v>0</v>
      </c>
      <c r="P80" s="259">
        <f t="shared" si="6"/>
        <v>0</v>
      </c>
    </row>
    <row r="81" spans="1:16" s="1" customFormat="1" ht="45" x14ac:dyDescent="0.2">
      <c r="A81" s="242">
        <f>IF(COUNTBLANK(B81)=1," ",COUNTA(B$14:B81))</f>
        <v>59</v>
      </c>
      <c r="B81" s="237" t="s">
        <v>87</v>
      </c>
      <c r="C81" s="640" t="s">
        <v>518</v>
      </c>
      <c r="D81" s="638" t="s">
        <v>157</v>
      </c>
      <c r="E81" s="639">
        <v>6.3</v>
      </c>
      <c r="F81" s="240"/>
      <c r="G81" s="69"/>
      <c r="H81" s="284">
        <f t="shared" si="0"/>
        <v>0</v>
      </c>
      <c r="I81" s="241"/>
      <c r="J81" s="247"/>
      <c r="K81" s="258">
        <f t="shared" si="1"/>
        <v>0</v>
      </c>
      <c r="L81" s="259">
        <f t="shared" si="2"/>
        <v>0</v>
      </c>
      <c r="M81" s="259">
        <f t="shared" si="3"/>
        <v>0</v>
      </c>
      <c r="N81" s="259">
        <f t="shared" si="4"/>
        <v>0</v>
      </c>
      <c r="O81" s="259">
        <f t="shared" si="5"/>
        <v>0</v>
      </c>
      <c r="P81" s="259">
        <f t="shared" si="6"/>
        <v>0</v>
      </c>
    </row>
    <row r="82" spans="1:16" s="1" customFormat="1" ht="11.25" x14ac:dyDescent="0.2">
      <c r="A82" s="242">
        <f>IF(COUNTBLANK(B82)=1," ",COUNTA(B$14:B82))</f>
        <v>60</v>
      </c>
      <c r="B82" s="237" t="s">
        <v>87</v>
      </c>
      <c r="C82" s="640" t="s">
        <v>519</v>
      </c>
      <c r="D82" s="638" t="s">
        <v>57</v>
      </c>
      <c r="E82" s="639">
        <v>6.3</v>
      </c>
      <c r="F82" s="240"/>
      <c r="G82" s="69"/>
      <c r="H82" s="284">
        <f t="shared" si="0"/>
        <v>0</v>
      </c>
      <c r="I82" s="241"/>
      <c r="J82" s="247"/>
      <c r="K82" s="258">
        <f t="shared" si="1"/>
        <v>0</v>
      </c>
      <c r="L82" s="259">
        <f t="shared" si="2"/>
        <v>0</v>
      </c>
      <c r="M82" s="259">
        <f t="shared" si="3"/>
        <v>0</v>
      </c>
      <c r="N82" s="259">
        <f t="shared" si="4"/>
        <v>0</v>
      </c>
      <c r="O82" s="259">
        <f t="shared" si="5"/>
        <v>0</v>
      </c>
      <c r="P82" s="259">
        <f t="shared" si="6"/>
        <v>0</v>
      </c>
    </row>
    <row r="83" spans="1:16" s="1" customFormat="1" ht="11.25" x14ac:dyDescent="0.2">
      <c r="A83" s="242">
        <f>IF(COUNTBLANK(B83)=1," ",COUNTA(B$14:B83))</f>
        <v>61</v>
      </c>
      <c r="B83" s="237" t="s">
        <v>87</v>
      </c>
      <c r="C83" s="761" t="s">
        <v>520</v>
      </c>
      <c r="D83" s="771" t="s">
        <v>57</v>
      </c>
      <c r="E83" s="772">
        <v>6.3</v>
      </c>
      <c r="F83" s="240"/>
      <c r="G83" s="69"/>
      <c r="H83" s="284">
        <f t="shared" ref="H83:H122" si="7">G83*F83</f>
        <v>0</v>
      </c>
      <c r="I83" s="241"/>
      <c r="J83" s="247"/>
      <c r="K83" s="258">
        <f t="shared" ref="K83:K122" si="8">ROUND(H83+I83+J83,2)</f>
        <v>0</v>
      </c>
      <c r="L83" s="259">
        <f t="shared" ref="L83:L122" si="9">ROUND(E83*F83,2)</f>
        <v>0</v>
      </c>
      <c r="M83" s="259">
        <f t="shared" ref="M83:M122" si="10">ROUND(E83*H83,2)</f>
        <v>0</v>
      </c>
      <c r="N83" s="259">
        <f t="shared" ref="N83:N122" si="11">ROUND(E83*I83,2)</f>
        <v>0</v>
      </c>
      <c r="O83" s="259">
        <f t="shared" ref="O83:O122" si="12">ROUND(J83*E83,2)</f>
        <v>0</v>
      </c>
      <c r="P83" s="259">
        <f t="shared" ref="P83:P122" si="13">ROUND(M83+N83+O83,2)</f>
        <v>0</v>
      </c>
    </row>
    <row r="84" spans="1:16" s="1" customFormat="1" ht="21.75" thickBot="1" x14ac:dyDescent="0.25">
      <c r="A84" s="242" t="str">
        <f>IF(COUNTBLANK(B84)=1," ",COUNTA(B$14:B84))</f>
        <v xml:space="preserve"> </v>
      </c>
      <c r="B84" s="766"/>
      <c r="C84" s="770" t="s">
        <v>521</v>
      </c>
      <c r="D84" s="711"/>
      <c r="E84" s="712"/>
      <c r="F84" s="765"/>
      <c r="G84" s="713"/>
      <c r="H84" s="284">
        <f t="shared" si="7"/>
        <v>0</v>
      </c>
      <c r="I84" s="713"/>
      <c r="J84" s="730"/>
      <c r="K84" s="258">
        <f t="shared" si="8"/>
        <v>0</v>
      </c>
      <c r="L84" s="259">
        <f t="shared" si="9"/>
        <v>0</v>
      </c>
      <c r="M84" s="259">
        <f t="shared" si="10"/>
        <v>0</v>
      </c>
      <c r="N84" s="259">
        <f t="shared" si="11"/>
        <v>0</v>
      </c>
      <c r="O84" s="259">
        <f t="shared" si="12"/>
        <v>0</v>
      </c>
      <c r="P84" s="259">
        <f t="shared" si="13"/>
        <v>0</v>
      </c>
    </row>
    <row r="85" spans="1:16" s="1" customFormat="1" ht="22.5" x14ac:dyDescent="0.2">
      <c r="A85" s="242">
        <f>IF(COUNTBLANK(B85)=1," ",COUNTA(B$14:B85))</f>
        <v>62</v>
      </c>
      <c r="B85" s="766" t="s">
        <v>87</v>
      </c>
      <c r="C85" s="640" t="s">
        <v>522</v>
      </c>
      <c r="D85" s="638" t="s">
        <v>57</v>
      </c>
      <c r="E85" s="639">
        <v>178.55</v>
      </c>
      <c r="F85" s="765"/>
      <c r="G85" s="713"/>
      <c r="H85" s="284">
        <f t="shared" si="7"/>
        <v>0</v>
      </c>
      <c r="I85" s="713"/>
      <c r="J85" s="730"/>
      <c r="K85" s="258">
        <f t="shared" si="8"/>
        <v>0</v>
      </c>
      <c r="L85" s="259">
        <f t="shared" si="9"/>
        <v>0</v>
      </c>
      <c r="M85" s="259">
        <f t="shared" si="10"/>
        <v>0</v>
      </c>
      <c r="N85" s="259">
        <f t="shared" si="11"/>
        <v>0</v>
      </c>
      <c r="O85" s="259">
        <f t="shared" si="12"/>
        <v>0</v>
      </c>
      <c r="P85" s="259">
        <f t="shared" si="13"/>
        <v>0</v>
      </c>
    </row>
    <row r="86" spans="1:16" s="1" customFormat="1" ht="11.25" x14ac:dyDescent="0.2">
      <c r="A86" s="242">
        <f>IF(COUNTBLANK(B86)=1," ",COUNTA(B$14:B86))</f>
        <v>63</v>
      </c>
      <c r="B86" s="766" t="s">
        <v>87</v>
      </c>
      <c r="C86" s="722" t="s">
        <v>523</v>
      </c>
      <c r="D86" s="721" t="s">
        <v>90</v>
      </c>
      <c r="E86" s="530">
        <f>E85*1.7</f>
        <v>303.53500000000003</v>
      </c>
      <c r="F86" s="765"/>
      <c r="G86" s="713"/>
      <c r="H86" s="284">
        <f t="shared" si="7"/>
        <v>0</v>
      </c>
      <c r="I86" s="713"/>
      <c r="J86" s="730"/>
      <c r="K86" s="258">
        <f t="shared" si="8"/>
        <v>0</v>
      </c>
      <c r="L86" s="259">
        <f t="shared" si="9"/>
        <v>0</v>
      </c>
      <c r="M86" s="259">
        <f t="shared" si="10"/>
        <v>0</v>
      </c>
      <c r="N86" s="259">
        <f t="shared" si="11"/>
        <v>0</v>
      </c>
      <c r="O86" s="259">
        <f t="shared" si="12"/>
        <v>0</v>
      </c>
      <c r="P86" s="259">
        <f t="shared" si="13"/>
        <v>0</v>
      </c>
    </row>
    <row r="87" spans="1:16" s="1" customFormat="1" ht="22.5" x14ac:dyDescent="0.2">
      <c r="A87" s="242">
        <f>IF(COUNTBLANK(B87)=1," ",COUNTA(B$14:B87))</f>
        <v>64</v>
      </c>
      <c r="B87" s="766" t="s">
        <v>87</v>
      </c>
      <c r="C87" s="640" t="s">
        <v>524</v>
      </c>
      <c r="D87" s="638" t="s">
        <v>57</v>
      </c>
      <c r="E87" s="639">
        <f>E85</f>
        <v>178.55</v>
      </c>
      <c r="F87" s="765"/>
      <c r="G87" s="713"/>
      <c r="H87" s="284">
        <f t="shared" si="7"/>
        <v>0</v>
      </c>
      <c r="I87" s="713"/>
      <c r="J87" s="730"/>
      <c r="K87" s="258">
        <f t="shared" si="8"/>
        <v>0</v>
      </c>
      <c r="L87" s="259">
        <f t="shared" si="9"/>
        <v>0</v>
      </c>
      <c r="M87" s="259">
        <f t="shared" si="10"/>
        <v>0</v>
      </c>
      <c r="N87" s="259">
        <f t="shared" si="11"/>
        <v>0</v>
      </c>
      <c r="O87" s="259">
        <f t="shared" si="12"/>
        <v>0</v>
      </c>
      <c r="P87" s="259">
        <f t="shared" si="13"/>
        <v>0</v>
      </c>
    </row>
    <row r="88" spans="1:16" s="1" customFormat="1" ht="11.25" x14ac:dyDescent="0.2">
      <c r="A88" s="242">
        <f>IF(COUNTBLANK(B88)=1," ",COUNTA(B$14:B88))</f>
        <v>65</v>
      </c>
      <c r="B88" s="766" t="s">
        <v>87</v>
      </c>
      <c r="C88" s="640" t="s">
        <v>525</v>
      </c>
      <c r="D88" s="638" t="s">
        <v>57</v>
      </c>
      <c r="E88" s="639">
        <f>E85</f>
        <v>178.55</v>
      </c>
      <c r="F88" s="765"/>
      <c r="G88" s="713"/>
      <c r="H88" s="284">
        <f t="shared" si="7"/>
        <v>0</v>
      </c>
      <c r="I88" s="713"/>
      <c r="J88" s="730"/>
      <c r="K88" s="258">
        <f t="shared" si="8"/>
        <v>0</v>
      </c>
      <c r="L88" s="259">
        <f t="shared" si="9"/>
        <v>0</v>
      </c>
      <c r="M88" s="259">
        <f t="shared" si="10"/>
        <v>0</v>
      </c>
      <c r="N88" s="259">
        <f t="shared" si="11"/>
        <v>0</v>
      </c>
      <c r="O88" s="259">
        <f t="shared" si="12"/>
        <v>0</v>
      </c>
      <c r="P88" s="259">
        <f t="shared" si="13"/>
        <v>0</v>
      </c>
    </row>
    <row r="89" spans="1:16" s="1" customFormat="1" ht="11.25" x14ac:dyDescent="0.2">
      <c r="A89" s="242">
        <f>IF(COUNTBLANK(B89)=1," ",COUNTA(B$14:B89))</f>
        <v>66</v>
      </c>
      <c r="B89" s="766" t="s">
        <v>87</v>
      </c>
      <c r="C89" s="722" t="s">
        <v>639</v>
      </c>
      <c r="D89" s="721" t="s">
        <v>90</v>
      </c>
      <c r="E89" s="530">
        <f>E88*2</f>
        <v>357.1</v>
      </c>
      <c r="F89" s="765"/>
      <c r="G89" s="713"/>
      <c r="H89" s="284">
        <f t="shared" si="7"/>
        <v>0</v>
      </c>
      <c r="I89" s="713"/>
      <c r="J89" s="730"/>
      <c r="K89" s="258">
        <f t="shared" si="8"/>
        <v>0</v>
      </c>
      <c r="L89" s="259">
        <f t="shared" si="9"/>
        <v>0</v>
      </c>
      <c r="M89" s="259">
        <f t="shared" si="10"/>
        <v>0</v>
      </c>
      <c r="N89" s="259">
        <f t="shared" si="11"/>
        <v>0</v>
      </c>
      <c r="O89" s="259">
        <f t="shared" si="12"/>
        <v>0</v>
      </c>
      <c r="P89" s="259">
        <f t="shared" si="13"/>
        <v>0</v>
      </c>
    </row>
    <row r="90" spans="1:16" s="1" customFormat="1" ht="12" thickBot="1" x14ac:dyDescent="0.25">
      <c r="A90" s="242" t="str">
        <f>IF(COUNTBLANK(B90)=1," ",COUNTA(B$14:B90))</f>
        <v xml:space="preserve"> </v>
      </c>
      <c r="B90" s="237"/>
      <c r="C90" s="756" t="s">
        <v>526</v>
      </c>
      <c r="D90" s="239"/>
      <c r="E90" s="239"/>
      <c r="F90" s="240"/>
      <c r="G90" s="69"/>
      <c r="H90" s="284">
        <f t="shared" si="7"/>
        <v>0</v>
      </c>
      <c r="I90" s="241"/>
      <c r="J90" s="247"/>
      <c r="K90" s="258">
        <f t="shared" si="8"/>
        <v>0</v>
      </c>
      <c r="L90" s="259">
        <f t="shared" si="9"/>
        <v>0</v>
      </c>
      <c r="M90" s="259">
        <f t="shared" si="10"/>
        <v>0</v>
      </c>
      <c r="N90" s="259">
        <f t="shared" si="11"/>
        <v>0</v>
      </c>
      <c r="O90" s="259">
        <f t="shared" si="12"/>
        <v>0</v>
      </c>
      <c r="P90" s="259">
        <f t="shared" si="13"/>
        <v>0</v>
      </c>
    </row>
    <row r="91" spans="1:16" s="1" customFormat="1" ht="22.5" x14ac:dyDescent="0.2">
      <c r="A91" s="242">
        <f>IF(COUNTBLANK(B91)=1," ",COUNTA(B$14:B91))</f>
        <v>67</v>
      </c>
      <c r="B91" s="237" t="s">
        <v>87</v>
      </c>
      <c r="C91" s="464" t="s">
        <v>222</v>
      </c>
      <c r="D91" s="239" t="s">
        <v>89</v>
      </c>
      <c r="E91" s="239">
        <v>100</v>
      </c>
      <c r="F91" s="240"/>
      <c r="G91" s="69"/>
      <c r="H91" s="284">
        <f t="shared" si="7"/>
        <v>0</v>
      </c>
      <c r="I91" s="241"/>
      <c r="J91" s="247"/>
      <c r="K91" s="258">
        <f t="shared" si="8"/>
        <v>0</v>
      </c>
      <c r="L91" s="259">
        <f t="shared" si="9"/>
        <v>0</v>
      </c>
      <c r="M91" s="259">
        <f t="shared" si="10"/>
        <v>0</v>
      </c>
      <c r="N91" s="259">
        <f t="shared" si="11"/>
        <v>0</v>
      </c>
      <c r="O91" s="259">
        <f t="shared" si="12"/>
        <v>0</v>
      </c>
      <c r="P91" s="259">
        <f t="shared" si="13"/>
        <v>0</v>
      </c>
    </row>
    <row r="92" spans="1:16" s="1" customFormat="1" ht="22.5" x14ac:dyDescent="0.2">
      <c r="A92" s="242">
        <f>IF(COUNTBLANK(B92)=1," ",COUNTA(B$14:B92))</f>
        <v>68</v>
      </c>
      <c r="B92" s="237" t="s">
        <v>87</v>
      </c>
      <c r="C92" s="238" t="s">
        <v>527</v>
      </c>
      <c r="D92" s="239" t="s">
        <v>89</v>
      </c>
      <c r="E92" s="239">
        <v>100</v>
      </c>
      <c r="F92" s="240"/>
      <c r="G92" s="69"/>
      <c r="H92" s="284">
        <f t="shared" si="7"/>
        <v>0</v>
      </c>
      <c r="I92" s="241"/>
      <c r="J92" s="247"/>
      <c r="K92" s="258">
        <f t="shared" si="8"/>
        <v>0</v>
      </c>
      <c r="L92" s="259">
        <f t="shared" si="9"/>
        <v>0</v>
      </c>
      <c r="M92" s="259">
        <f t="shared" si="10"/>
        <v>0</v>
      </c>
      <c r="N92" s="259">
        <f t="shared" si="11"/>
        <v>0</v>
      </c>
      <c r="O92" s="259">
        <f t="shared" si="12"/>
        <v>0</v>
      </c>
      <c r="P92" s="259">
        <f t="shared" si="13"/>
        <v>0</v>
      </c>
    </row>
    <row r="93" spans="1:16" s="1" customFormat="1" ht="34.5" thickBot="1" x14ac:dyDescent="0.25">
      <c r="A93" s="242" t="str">
        <f>IF(COUNTBLANK(B93)=1," ",COUNTA(B$14:B93))</f>
        <v xml:space="preserve"> </v>
      </c>
      <c r="B93" s="757"/>
      <c r="C93" s="774" t="s">
        <v>536</v>
      </c>
      <c r="D93" s="638"/>
      <c r="E93" s="639"/>
      <c r="F93" s="765"/>
      <c r="G93" s="713"/>
      <c r="H93" s="284">
        <f t="shared" si="7"/>
        <v>0</v>
      </c>
      <c r="I93" s="713"/>
      <c r="J93" s="730"/>
      <c r="K93" s="258">
        <f t="shared" si="8"/>
        <v>0</v>
      </c>
      <c r="L93" s="259">
        <f t="shared" si="9"/>
        <v>0</v>
      </c>
      <c r="M93" s="259">
        <f t="shared" si="10"/>
        <v>0</v>
      </c>
      <c r="N93" s="259">
        <f t="shared" si="11"/>
        <v>0</v>
      </c>
      <c r="O93" s="259">
        <f t="shared" si="12"/>
        <v>0</v>
      </c>
      <c r="P93" s="259">
        <f t="shared" si="13"/>
        <v>0</v>
      </c>
    </row>
    <row r="94" spans="1:16" s="1" customFormat="1" ht="22.5" x14ac:dyDescent="0.2">
      <c r="A94" s="242">
        <f>IF(COUNTBLANK(B94)=1," ",COUNTA(B$14:B94))</f>
        <v>69</v>
      </c>
      <c r="B94" s="757" t="s">
        <v>87</v>
      </c>
      <c r="C94" s="643" t="s">
        <v>528</v>
      </c>
      <c r="D94" s="638" t="s">
        <v>157</v>
      </c>
      <c r="E94" s="622">
        <v>478.6</v>
      </c>
      <c r="F94" s="765"/>
      <c r="G94" s="713"/>
      <c r="H94" s="284">
        <f t="shared" si="7"/>
        <v>0</v>
      </c>
      <c r="I94" s="713"/>
      <c r="J94" s="730"/>
      <c r="K94" s="258">
        <f t="shared" si="8"/>
        <v>0</v>
      </c>
      <c r="L94" s="259">
        <f t="shared" si="9"/>
        <v>0</v>
      </c>
      <c r="M94" s="259">
        <f t="shared" si="10"/>
        <v>0</v>
      </c>
      <c r="N94" s="259">
        <f t="shared" si="11"/>
        <v>0</v>
      </c>
      <c r="O94" s="259">
        <f t="shared" si="12"/>
        <v>0</v>
      </c>
      <c r="P94" s="259">
        <f t="shared" si="13"/>
        <v>0</v>
      </c>
    </row>
    <row r="95" spans="1:16" s="1" customFormat="1" ht="22.5" x14ac:dyDescent="0.2">
      <c r="A95" s="242">
        <f>IF(COUNTBLANK(B95)=1," ",COUNTA(B$14:B95))</f>
        <v>70</v>
      </c>
      <c r="B95" s="757" t="s">
        <v>87</v>
      </c>
      <c r="C95" s="640" t="s">
        <v>529</v>
      </c>
      <c r="D95" s="638" t="s">
        <v>89</v>
      </c>
      <c r="E95" s="622">
        <v>468.8</v>
      </c>
      <c r="F95" s="765"/>
      <c r="G95" s="713"/>
      <c r="H95" s="284">
        <f t="shared" si="7"/>
        <v>0</v>
      </c>
      <c r="I95" s="713"/>
      <c r="J95" s="730"/>
      <c r="K95" s="258">
        <f t="shared" si="8"/>
        <v>0</v>
      </c>
      <c r="L95" s="259">
        <f t="shared" si="9"/>
        <v>0</v>
      </c>
      <c r="M95" s="259">
        <f t="shared" si="10"/>
        <v>0</v>
      </c>
      <c r="N95" s="259">
        <f t="shared" si="11"/>
        <v>0</v>
      </c>
      <c r="O95" s="259">
        <f t="shared" si="12"/>
        <v>0</v>
      </c>
      <c r="P95" s="259">
        <f t="shared" si="13"/>
        <v>0</v>
      </c>
    </row>
    <row r="96" spans="1:16" s="1" customFormat="1" ht="22.5" x14ac:dyDescent="0.2">
      <c r="A96" s="242">
        <f>IF(COUNTBLANK(B96)=1," ",COUNTA(B$14:B96))</f>
        <v>71</v>
      </c>
      <c r="B96" s="757" t="s">
        <v>87</v>
      </c>
      <c r="C96" s="640" t="s">
        <v>530</v>
      </c>
      <c r="D96" s="638" t="s">
        <v>157</v>
      </c>
      <c r="E96" s="639">
        <f>E94</f>
        <v>478.6</v>
      </c>
      <c r="F96" s="765"/>
      <c r="G96" s="713"/>
      <c r="H96" s="284">
        <f t="shared" si="7"/>
        <v>0</v>
      </c>
      <c r="I96" s="713"/>
      <c r="J96" s="730"/>
      <c r="K96" s="258">
        <f t="shared" si="8"/>
        <v>0</v>
      </c>
      <c r="L96" s="259">
        <f t="shared" si="9"/>
        <v>0</v>
      </c>
      <c r="M96" s="259">
        <f t="shared" si="10"/>
        <v>0</v>
      </c>
      <c r="N96" s="259">
        <f t="shared" si="11"/>
        <v>0</v>
      </c>
      <c r="O96" s="259">
        <f t="shared" si="12"/>
        <v>0</v>
      </c>
      <c r="P96" s="259">
        <f t="shared" si="13"/>
        <v>0</v>
      </c>
    </row>
    <row r="97" spans="1:16" s="1" customFormat="1" ht="22.5" x14ac:dyDescent="0.2">
      <c r="A97" s="242">
        <f>IF(COUNTBLANK(B97)=1," ",COUNTA(B$14:B97))</f>
        <v>72</v>
      </c>
      <c r="B97" s="757" t="s">
        <v>87</v>
      </c>
      <c r="C97" s="640" t="s">
        <v>531</v>
      </c>
      <c r="D97" s="638" t="s">
        <v>157</v>
      </c>
      <c r="E97" s="639">
        <f>E94</f>
        <v>478.6</v>
      </c>
      <c r="F97" s="765"/>
      <c r="G97" s="713"/>
      <c r="H97" s="284">
        <f t="shared" si="7"/>
        <v>0</v>
      </c>
      <c r="I97" s="713"/>
      <c r="J97" s="730"/>
      <c r="K97" s="258">
        <f t="shared" si="8"/>
        <v>0</v>
      </c>
      <c r="L97" s="259">
        <f t="shared" si="9"/>
        <v>0</v>
      </c>
      <c r="M97" s="259">
        <f t="shared" si="10"/>
        <v>0</v>
      </c>
      <c r="N97" s="259">
        <f t="shared" si="11"/>
        <v>0</v>
      </c>
      <c r="O97" s="259">
        <f t="shared" si="12"/>
        <v>0</v>
      </c>
      <c r="P97" s="259">
        <f t="shared" si="13"/>
        <v>0</v>
      </c>
    </row>
    <row r="98" spans="1:16" s="1" customFormat="1" ht="11.25" x14ac:dyDescent="0.2">
      <c r="A98" s="242">
        <f>IF(COUNTBLANK(B98)=1," ",COUNTA(B$14:B98))</f>
        <v>73</v>
      </c>
      <c r="B98" s="757" t="s">
        <v>87</v>
      </c>
      <c r="C98" s="640" t="s">
        <v>532</v>
      </c>
      <c r="D98" s="638" t="s">
        <v>157</v>
      </c>
      <c r="E98" s="639">
        <f>E94</f>
        <v>478.6</v>
      </c>
      <c r="F98" s="765"/>
      <c r="G98" s="713"/>
      <c r="H98" s="284">
        <f t="shared" si="7"/>
        <v>0</v>
      </c>
      <c r="I98" s="713"/>
      <c r="J98" s="730"/>
      <c r="K98" s="258">
        <f t="shared" si="8"/>
        <v>0</v>
      </c>
      <c r="L98" s="259">
        <f t="shared" si="9"/>
        <v>0</v>
      </c>
      <c r="M98" s="259">
        <f t="shared" si="10"/>
        <v>0</v>
      </c>
      <c r="N98" s="259">
        <f t="shared" si="11"/>
        <v>0</v>
      </c>
      <c r="O98" s="259">
        <f t="shared" si="12"/>
        <v>0</v>
      </c>
      <c r="P98" s="259">
        <f t="shared" si="13"/>
        <v>0</v>
      </c>
    </row>
    <row r="99" spans="1:16" s="1" customFormat="1" ht="11.25" x14ac:dyDescent="0.2">
      <c r="A99" s="242">
        <f>IF(COUNTBLANK(B99)=1," ",COUNTA(B$14:B99))</f>
        <v>74</v>
      </c>
      <c r="B99" s="757" t="s">
        <v>87</v>
      </c>
      <c r="C99" s="640" t="s">
        <v>533</v>
      </c>
      <c r="D99" s="638" t="s">
        <v>89</v>
      </c>
      <c r="E99" s="639">
        <f>E95</f>
        <v>468.8</v>
      </c>
      <c r="F99" s="765"/>
      <c r="G99" s="713"/>
      <c r="H99" s="284">
        <f t="shared" si="7"/>
        <v>0</v>
      </c>
      <c r="I99" s="713"/>
      <c r="J99" s="730"/>
      <c r="K99" s="258">
        <f t="shared" si="8"/>
        <v>0</v>
      </c>
      <c r="L99" s="259">
        <f t="shared" si="9"/>
        <v>0</v>
      </c>
      <c r="M99" s="259">
        <f t="shared" si="10"/>
        <v>0</v>
      </c>
      <c r="N99" s="259">
        <f t="shared" si="11"/>
        <v>0</v>
      </c>
      <c r="O99" s="259">
        <f t="shared" si="12"/>
        <v>0</v>
      </c>
      <c r="P99" s="259">
        <f t="shared" si="13"/>
        <v>0</v>
      </c>
    </row>
    <row r="100" spans="1:16" s="1" customFormat="1" ht="11.25" x14ac:dyDescent="0.2">
      <c r="A100" s="242">
        <f>IF(COUNTBLANK(B100)=1," ",COUNTA(B$14:B100))</f>
        <v>75</v>
      </c>
      <c r="B100" s="757" t="s">
        <v>87</v>
      </c>
      <c r="C100" s="640" t="s">
        <v>534</v>
      </c>
      <c r="D100" s="638" t="s">
        <v>89</v>
      </c>
      <c r="E100" s="639">
        <f>E95</f>
        <v>468.8</v>
      </c>
      <c r="F100" s="765"/>
      <c r="G100" s="713"/>
      <c r="H100" s="284">
        <f t="shared" si="7"/>
        <v>0</v>
      </c>
      <c r="I100" s="713"/>
      <c r="J100" s="730"/>
      <c r="K100" s="258">
        <f t="shared" si="8"/>
        <v>0</v>
      </c>
      <c r="L100" s="259">
        <f t="shared" si="9"/>
        <v>0</v>
      </c>
      <c r="M100" s="259">
        <f t="shared" si="10"/>
        <v>0</v>
      </c>
      <c r="N100" s="259">
        <f t="shared" si="11"/>
        <v>0</v>
      </c>
      <c r="O100" s="259">
        <f t="shared" si="12"/>
        <v>0</v>
      </c>
      <c r="P100" s="259">
        <f t="shared" si="13"/>
        <v>0</v>
      </c>
    </row>
    <row r="101" spans="1:16" s="1" customFormat="1" ht="11.25" x14ac:dyDescent="0.2">
      <c r="A101" s="242">
        <f>IF(COUNTBLANK(B101)=1," ",COUNTA(B$14:B101))</f>
        <v>76</v>
      </c>
      <c r="B101" s="757" t="s">
        <v>87</v>
      </c>
      <c r="C101" s="640" t="s">
        <v>535</v>
      </c>
      <c r="D101" s="638" t="s">
        <v>89</v>
      </c>
      <c r="E101" s="639">
        <f>E95</f>
        <v>468.8</v>
      </c>
      <c r="F101" s="765"/>
      <c r="G101" s="713"/>
      <c r="H101" s="284">
        <f t="shared" si="7"/>
        <v>0</v>
      </c>
      <c r="I101" s="713"/>
      <c r="J101" s="730"/>
      <c r="K101" s="258">
        <f t="shared" si="8"/>
        <v>0</v>
      </c>
      <c r="L101" s="259">
        <f t="shared" si="9"/>
        <v>0</v>
      </c>
      <c r="M101" s="259">
        <f t="shared" si="10"/>
        <v>0</v>
      </c>
      <c r="N101" s="259">
        <f t="shared" si="11"/>
        <v>0</v>
      </c>
      <c r="O101" s="259">
        <f t="shared" si="12"/>
        <v>0</v>
      </c>
      <c r="P101" s="259">
        <f t="shared" si="13"/>
        <v>0</v>
      </c>
    </row>
    <row r="102" spans="1:16" s="1" customFormat="1" ht="12" thickBot="1" x14ac:dyDescent="0.25">
      <c r="A102" s="242" t="str">
        <f>IF(COUNTBLANK(B102)=1," ",COUNTA(B$14:B102))</f>
        <v xml:space="preserve"> </v>
      </c>
      <c r="B102" s="237"/>
      <c r="C102" s="773" t="s">
        <v>194</v>
      </c>
      <c r="D102" s="239"/>
      <c r="E102" s="239"/>
      <c r="F102" s="240"/>
      <c r="G102" s="69"/>
      <c r="H102" s="284">
        <f t="shared" si="7"/>
        <v>0</v>
      </c>
      <c r="I102" s="241"/>
      <c r="J102" s="247"/>
      <c r="K102" s="258">
        <f t="shared" si="8"/>
        <v>0</v>
      </c>
      <c r="L102" s="259">
        <f t="shared" si="9"/>
        <v>0</v>
      </c>
      <c r="M102" s="259">
        <f t="shared" si="10"/>
        <v>0</v>
      </c>
      <c r="N102" s="259">
        <f t="shared" si="11"/>
        <v>0</v>
      </c>
      <c r="O102" s="259">
        <f t="shared" si="12"/>
        <v>0</v>
      </c>
      <c r="P102" s="259">
        <f t="shared" si="13"/>
        <v>0</v>
      </c>
    </row>
    <row r="103" spans="1:16" s="1" customFormat="1" ht="22.5" x14ac:dyDescent="0.2">
      <c r="A103" s="242">
        <f>IF(COUNTBLANK(B103)=1," ",COUNTA(B$14:B103))</f>
        <v>77</v>
      </c>
      <c r="B103" s="237" t="s">
        <v>87</v>
      </c>
      <c r="C103" s="640" t="s">
        <v>607</v>
      </c>
      <c r="D103" s="638" t="s">
        <v>157</v>
      </c>
      <c r="E103" s="639">
        <v>892.75</v>
      </c>
      <c r="F103" s="240"/>
      <c r="G103" s="69"/>
      <c r="H103" s="284">
        <f t="shared" si="7"/>
        <v>0</v>
      </c>
      <c r="I103" s="241"/>
      <c r="J103" s="247"/>
      <c r="K103" s="258">
        <f t="shared" si="8"/>
        <v>0</v>
      </c>
      <c r="L103" s="259">
        <f t="shared" si="9"/>
        <v>0</v>
      </c>
      <c r="M103" s="259">
        <f t="shared" si="10"/>
        <v>0</v>
      </c>
      <c r="N103" s="259">
        <f t="shared" si="11"/>
        <v>0</v>
      </c>
      <c r="O103" s="259">
        <f t="shared" si="12"/>
        <v>0</v>
      </c>
      <c r="P103" s="259">
        <f t="shared" si="13"/>
        <v>0</v>
      </c>
    </row>
    <row r="104" spans="1:16" s="1" customFormat="1" ht="22.5" x14ac:dyDescent="0.2">
      <c r="A104" s="242">
        <f>IF(COUNTBLANK(B104)=1," ",COUNTA(B$14:B104))</f>
        <v>78</v>
      </c>
      <c r="B104" s="237" t="s">
        <v>87</v>
      </c>
      <c r="C104" s="640" t="s">
        <v>537</v>
      </c>
      <c r="D104" s="638" t="s">
        <v>57</v>
      </c>
      <c r="E104" s="639">
        <v>988.75</v>
      </c>
      <c r="F104" s="240"/>
      <c r="G104" s="69"/>
      <c r="H104" s="284">
        <f t="shared" si="7"/>
        <v>0</v>
      </c>
      <c r="I104" s="241"/>
      <c r="J104" s="247"/>
      <c r="K104" s="258">
        <f t="shared" si="8"/>
        <v>0</v>
      </c>
      <c r="L104" s="259">
        <f t="shared" si="9"/>
        <v>0</v>
      </c>
      <c r="M104" s="259">
        <f t="shared" si="10"/>
        <v>0</v>
      </c>
      <c r="N104" s="259">
        <f t="shared" si="11"/>
        <v>0</v>
      </c>
      <c r="O104" s="259">
        <f t="shared" si="12"/>
        <v>0</v>
      </c>
      <c r="P104" s="259">
        <f t="shared" si="13"/>
        <v>0</v>
      </c>
    </row>
    <row r="105" spans="1:16" s="1" customFormat="1" ht="22.5" x14ac:dyDescent="0.2">
      <c r="A105" s="242">
        <f>IF(COUNTBLANK(B105)=1," ",COUNTA(B$14:B105))</f>
        <v>79</v>
      </c>
      <c r="B105" s="237" t="s">
        <v>87</v>
      </c>
      <c r="C105" s="640" t="s">
        <v>538</v>
      </c>
      <c r="D105" s="638" t="s">
        <v>57</v>
      </c>
      <c r="E105" s="639">
        <f>E104</f>
        <v>988.75</v>
      </c>
      <c r="F105" s="240"/>
      <c r="G105" s="69"/>
      <c r="H105" s="284">
        <f t="shared" si="7"/>
        <v>0</v>
      </c>
      <c r="I105" s="241"/>
      <c r="J105" s="247"/>
      <c r="K105" s="258">
        <f t="shared" si="8"/>
        <v>0</v>
      </c>
      <c r="L105" s="259">
        <f t="shared" si="9"/>
        <v>0</v>
      </c>
      <c r="M105" s="259">
        <f t="shared" si="10"/>
        <v>0</v>
      </c>
      <c r="N105" s="259">
        <f t="shared" si="11"/>
        <v>0</v>
      </c>
      <c r="O105" s="259">
        <f t="shared" si="12"/>
        <v>0</v>
      </c>
      <c r="P105" s="259">
        <f t="shared" si="13"/>
        <v>0</v>
      </c>
    </row>
    <row r="106" spans="1:16" s="1" customFormat="1" ht="11.25" x14ac:dyDescent="0.2">
      <c r="A106" s="242">
        <f>IF(COUNTBLANK(B106)=1," ",COUNTA(B$14:B106))</f>
        <v>80</v>
      </c>
      <c r="B106" s="237" t="s">
        <v>87</v>
      </c>
      <c r="C106" s="640" t="s">
        <v>539</v>
      </c>
      <c r="D106" s="638" t="s">
        <v>57</v>
      </c>
      <c r="E106" s="639">
        <f>E105</f>
        <v>988.75</v>
      </c>
      <c r="F106" s="240"/>
      <c r="G106" s="69"/>
      <c r="H106" s="284">
        <f t="shared" si="7"/>
        <v>0</v>
      </c>
      <c r="I106" s="241"/>
      <c r="J106" s="247"/>
      <c r="K106" s="258">
        <f t="shared" si="8"/>
        <v>0</v>
      </c>
      <c r="L106" s="259">
        <f t="shared" si="9"/>
        <v>0</v>
      </c>
      <c r="M106" s="259">
        <f t="shared" si="10"/>
        <v>0</v>
      </c>
      <c r="N106" s="259">
        <f t="shared" si="11"/>
        <v>0</v>
      </c>
      <c r="O106" s="259">
        <f t="shared" si="12"/>
        <v>0</v>
      </c>
      <c r="P106" s="259">
        <f t="shared" si="13"/>
        <v>0</v>
      </c>
    </row>
    <row r="107" spans="1:16" s="1" customFormat="1" ht="22.5" x14ac:dyDescent="0.2">
      <c r="A107" s="242">
        <f>IF(COUNTBLANK(B107)=1," ",COUNTA(B$14:B107))</f>
        <v>81</v>
      </c>
      <c r="B107" s="237" t="s">
        <v>87</v>
      </c>
      <c r="C107" s="640" t="s">
        <v>538</v>
      </c>
      <c r="D107" s="638" t="s">
        <v>57</v>
      </c>
      <c r="E107" s="639">
        <f>E106</f>
        <v>988.75</v>
      </c>
      <c r="F107" s="240"/>
      <c r="G107" s="69"/>
      <c r="H107" s="284">
        <f t="shared" si="7"/>
        <v>0</v>
      </c>
      <c r="I107" s="241"/>
      <c r="J107" s="247"/>
      <c r="K107" s="258">
        <f t="shared" si="8"/>
        <v>0</v>
      </c>
      <c r="L107" s="259">
        <f t="shared" si="9"/>
        <v>0</v>
      </c>
      <c r="M107" s="259">
        <f t="shared" si="10"/>
        <v>0</v>
      </c>
      <c r="N107" s="259">
        <f t="shared" si="11"/>
        <v>0</v>
      </c>
      <c r="O107" s="259">
        <f t="shared" si="12"/>
        <v>0</v>
      </c>
      <c r="P107" s="259">
        <f t="shared" si="13"/>
        <v>0</v>
      </c>
    </row>
    <row r="108" spans="1:16" s="1" customFormat="1" ht="22.5" x14ac:dyDescent="0.2">
      <c r="A108" s="242">
        <f>IF(COUNTBLANK(B108)=1," ",COUNTA(B$14:B108))</f>
        <v>82</v>
      </c>
      <c r="B108" s="237" t="s">
        <v>87</v>
      </c>
      <c r="C108" s="761" t="s">
        <v>540</v>
      </c>
      <c r="D108" s="638" t="s">
        <v>57</v>
      </c>
      <c r="E108" s="639">
        <f>E107</f>
        <v>988.75</v>
      </c>
      <c r="F108" s="240"/>
      <c r="G108" s="69"/>
      <c r="H108" s="284">
        <f t="shared" si="7"/>
        <v>0</v>
      </c>
      <c r="I108" s="241"/>
      <c r="J108" s="247"/>
      <c r="K108" s="258">
        <f t="shared" si="8"/>
        <v>0</v>
      </c>
      <c r="L108" s="259">
        <f t="shared" si="9"/>
        <v>0</v>
      </c>
      <c r="M108" s="259">
        <f t="shared" si="10"/>
        <v>0</v>
      </c>
      <c r="N108" s="259">
        <f t="shared" si="11"/>
        <v>0</v>
      </c>
      <c r="O108" s="259">
        <f t="shared" si="12"/>
        <v>0</v>
      </c>
      <c r="P108" s="259">
        <f t="shared" si="13"/>
        <v>0</v>
      </c>
    </row>
    <row r="109" spans="1:16" s="1" customFormat="1" ht="21.75" thickBot="1" x14ac:dyDescent="0.25">
      <c r="A109" s="242" t="str">
        <f>IF(COUNTBLANK(B109)=1," ",COUNTA(B$14:B109))</f>
        <v xml:space="preserve"> </v>
      </c>
      <c r="B109" s="456"/>
      <c r="C109" s="770" t="s">
        <v>541</v>
      </c>
      <c r="D109" s="457"/>
      <c r="E109" s="457"/>
      <c r="F109" s="459"/>
      <c r="G109" s="450"/>
      <c r="H109" s="284">
        <f t="shared" si="7"/>
        <v>0</v>
      </c>
      <c r="I109" s="450"/>
      <c r="J109" s="458"/>
      <c r="K109" s="258">
        <f t="shared" si="8"/>
        <v>0</v>
      </c>
      <c r="L109" s="259">
        <f t="shared" si="9"/>
        <v>0</v>
      </c>
      <c r="M109" s="259">
        <f t="shared" si="10"/>
        <v>0</v>
      </c>
      <c r="N109" s="259">
        <f t="shared" si="11"/>
        <v>0</v>
      </c>
      <c r="O109" s="259">
        <f t="shared" si="12"/>
        <v>0</v>
      </c>
      <c r="P109" s="259">
        <f t="shared" si="13"/>
        <v>0</v>
      </c>
    </row>
    <row r="110" spans="1:16" s="1" customFormat="1" ht="11.25" x14ac:dyDescent="0.2">
      <c r="A110" s="242">
        <f>IF(COUNTBLANK(B110)=1," ",COUNTA(B$14:B110))</f>
        <v>83</v>
      </c>
      <c r="B110" s="237" t="s">
        <v>87</v>
      </c>
      <c r="C110" s="640" t="s">
        <v>542</v>
      </c>
      <c r="D110" s="638" t="s">
        <v>157</v>
      </c>
      <c r="E110" s="638">
        <v>15</v>
      </c>
      <c r="F110" s="240"/>
      <c r="G110" s="69"/>
      <c r="H110" s="284">
        <f t="shared" si="7"/>
        <v>0</v>
      </c>
      <c r="I110" s="241"/>
      <c r="J110" s="247"/>
      <c r="K110" s="258">
        <f t="shared" si="8"/>
        <v>0</v>
      </c>
      <c r="L110" s="259">
        <f t="shared" si="9"/>
        <v>0</v>
      </c>
      <c r="M110" s="259">
        <f t="shared" si="10"/>
        <v>0</v>
      </c>
      <c r="N110" s="259">
        <f t="shared" si="11"/>
        <v>0</v>
      </c>
      <c r="O110" s="259">
        <f t="shared" si="12"/>
        <v>0</v>
      </c>
      <c r="P110" s="259">
        <f t="shared" si="13"/>
        <v>0</v>
      </c>
    </row>
    <row r="111" spans="1:16" s="1" customFormat="1" ht="33.75" x14ac:dyDescent="0.2">
      <c r="A111" s="242">
        <f>IF(COUNTBLANK(B111)=1," ",COUNTA(B$14:B111))</f>
        <v>84</v>
      </c>
      <c r="B111" s="237" t="s">
        <v>87</v>
      </c>
      <c r="C111" s="640" t="s">
        <v>543</v>
      </c>
      <c r="D111" s="638" t="s">
        <v>57</v>
      </c>
      <c r="E111" s="638">
        <v>10.6</v>
      </c>
      <c r="F111" s="240"/>
      <c r="G111" s="69"/>
      <c r="H111" s="284">
        <f t="shared" si="7"/>
        <v>0</v>
      </c>
      <c r="I111" s="241"/>
      <c r="J111" s="247"/>
      <c r="K111" s="258">
        <f t="shared" si="8"/>
        <v>0</v>
      </c>
      <c r="L111" s="259">
        <f t="shared" si="9"/>
        <v>0</v>
      </c>
      <c r="M111" s="259">
        <f t="shared" si="10"/>
        <v>0</v>
      </c>
      <c r="N111" s="259">
        <f t="shared" si="11"/>
        <v>0</v>
      </c>
      <c r="O111" s="259">
        <f t="shared" si="12"/>
        <v>0</v>
      </c>
      <c r="P111" s="259">
        <f t="shared" si="13"/>
        <v>0</v>
      </c>
    </row>
    <row r="112" spans="1:16" s="1" customFormat="1" ht="11.25" x14ac:dyDescent="0.2">
      <c r="A112" s="242">
        <f>IF(COUNTBLANK(B112)=1," ",COUNTA(B$14:B112))</f>
        <v>85</v>
      </c>
      <c r="B112" s="237" t="s">
        <v>87</v>
      </c>
      <c r="C112" s="640" t="s">
        <v>544</v>
      </c>
      <c r="D112" s="638" t="s">
        <v>57</v>
      </c>
      <c r="E112" s="638">
        <v>10.6</v>
      </c>
      <c r="F112" s="240"/>
      <c r="G112" s="69"/>
      <c r="H112" s="284">
        <f t="shared" si="7"/>
        <v>0</v>
      </c>
      <c r="I112" s="241"/>
      <c r="J112" s="247"/>
      <c r="K112" s="258">
        <f t="shared" si="8"/>
        <v>0</v>
      </c>
      <c r="L112" s="259">
        <f t="shared" si="9"/>
        <v>0</v>
      </c>
      <c r="M112" s="259">
        <f t="shared" si="10"/>
        <v>0</v>
      </c>
      <c r="N112" s="259">
        <f t="shared" si="11"/>
        <v>0</v>
      </c>
      <c r="O112" s="259">
        <f t="shared" si="12"/>
        <v>0</v>
      </c>
      <c r="P112" s="259">
        <f t="shared" si="13"/>
        <v>0</v>
      </c>
    </row>
    <row r="113" spans="1:16" s="1" customFormat="1" ht="11.25" x14ac:dyDescent="0.2">
      <c r="A113" s="242">
        <f>IF(COUNTBLANK(B113)=1," ",COUNTA(B$14:B113))</f>
        <v>86</v>
      </c>
      <c r="B113" s="237" t="s">
        <v>87</v>
      </c>
      <c r="C113" s="640" t="s">
        <v>545</v>
      </c>
      <c r="D113" s="638" t="s">
        <v>57</v>
      </c>
      <c r="E113" s="638">
        <v>10.6</v>
      </c>
      <c r="F113" s="240"/>
      <c r="G113" s="69"/>
      <c r="H113" s="284">
        <f t="shared" si="7"/>
        <v>0</v>
      </c>
      <c r="I113" s="241"/>
      <c r="J113" s="247"/>
      <c r="K113" s="258">
        <f t="shared" si="8"/>
        <v>0</v>
      </c>
      <c r="L113" s="259">
        <f t="shared" si="9"/>
        <v>0</v>
      </c>
      <c r="M113" s="259">
        <f t="shared" si="10"/>
        <v>0</v>
      </c>
      <c r="N113" s="259">
        <f t="shared" si="11"/>
        <v>0</v>
      </c>
      <c r="O113" s="259">
        <f t="shared" si="12"/>
        <v>0</v>
      </c>
      <c r="P113" s="259">
        <f t="shared" si="13"/>
        <v>0</v>
      </c>
    </row>
    <row r="114" spans="1:16" s="1" customFormat="1" ht="22.5" x14ac:dyDescent="0.2">
      <c r="A114" s="242">
        <f>IF(COUNTBLANK(B114)=1," ",COUNTA(B$14:B114))</f>
        <v>87</v>
      </c>
      <c r="B114" s="237" t="s">
        <v>87</v>
      </c>
      <c r="C114" s="640" t="s">
        <v>546</v>
      </c>
      <c r="D114" s="638" t="s">
        <v>157</v>
      </c>
      <c r="E114" s="638">
        <v>10.6</v>
      </c>
      <c r="F114" s="240"/>
      <c r="G114" s="69"/>
      <c r="H114" s="284">
        <f t="shared" si="7"/>
        <v>0</v>
      </c>
      <c r="I114" s="241"/>
      <c r="J114" s="247"/>
      <c r="K114" s="258">
        <f t="shared" si="8"/>
        <v>0</v>
      </c>
      <c r="L114" s="259">
        <f t="shared" si="9"/>
        <v>0</v>
      </c>
      <c r="M114" s="259">
        <f t="shared" si="10"/>
        <v>0</v>
      </c>
      <c r="N114" s="259">
        <f t="shared" si="11"/>
        <v>0</v>
      </c>
      <c r="O114" s="259">
        <f t="shared" si="12"/>
        <v>0</v>
      </c>
      <c r="P114" s="259">
        <f t="shared" si="13"/>
        <v>0</v>
      </c>
    </row>
    <row r="115" spans="1:16" s="1" customFormat="1" ht="12" thickBot="1" x14ac:dyDescent="0.25">
      <c r="A115" s="242" t="str">
        <f>IF(COUNTBLANK(B115)=1," ",COUNTA(B$14:B115))</f>
        <v xml:space="preserve"> </v>
      </c>
      <c r="B115" s="456"/>
      <c r="C115" s="465" t="s">
        <v>302</v>
      </c>
      <c r="D115" s="457"/>
      <c r="E115" s="457"/>
      <c r="F115" s="459"/>
      <c r="G115" s="450"/>
      <c r="H115" s="284">
        <f t="shared" si="7"/>
        <v>0</v>
      </c>
      <c r="I115" s="450"/>
      <c r="J115" s="458"/>
      <c r="K115" s="258">
        <f t="shared" si="8"/>
        <v>0</v>
      </c>
      <c r="L115" s="259">
        <f t="shared" si="9"/>
        <v>0</v>
      </c>
      <c r="M115" s="259">
        <f t="shared" si="10"/>
        <v>0</v>
      </c>
      <c r="N115" s="259">
        <f t="shared" si="11"/>
        <v>0</v>
      </c>
      <c r="O115" s="259">
        <f t="shared" si="12"/>
        <v>0</v>
      </c>
      <c r="P115" s="259">
        <f t="shared" si="13"/>
        <v>0</v>
      </c>
    </row>
    <row r="116" spans="1:16" s="1" customFormat="1" ht="22.5" x14ac:dyDescent="0.2">
      <c r="A116" s="242">
        <f>IF(COUNTBLANK(B116)=1," ",COUNTA(B$14:B116))</f>
        <v>88</v>
      </c>
      <c r="B116" s="237" t="s">
        <v>87</v>
      </c>
      <c r="C116" s="640" t="s">
        <v>547</v>
      </c>
      <c r="D116" s="638" t="s">
        <v>253</v>
      </c>
      <c r="E116" s="638">
        <v>15</v>
      </c>
      <c r="F116" s="240"/>
      <c r="G116" s="69"/>
      <c r="H116" s="284">
        <f t="shared" si="7"/>
        <v>0</v>
      </c>
      <c r="I116" s="241"/>
      <c r="J116" s="247"/>
      <c r="K116" s="258">
        <f t="shared" si="8"/>
        <v>0</v>
      </c>
      <c r="L116" s="259">
        <f t="shared" si="9"/>
        <v>0</v>
      </c>
      <c r="M116" s="259">
        <f t="shared" si="10"/>
        <v>0</v>
      </c>
      <c r="N116" s="259">
        <f t="shared" si="11"/>
        <v>0</v>
      </c>
      <c r="O116" s="259">
        <f t="shared" si="12"/>
        <v>0</v>
      </c>
      <c r="P116" s="259">
        <f t="shared" si="13"/>
        <v>0</v>
      </c>
    </row>
    <row r="117" spans="1:16" s="1" customFormat="1" ht="12" thickBot="1" x14ac:dyDescent="0.25">
      <c r="A117" s="242" t="str">
        <f>IF(COUNTBLANK(B117)=1," ",COUNTA(B$14:B117))</f>
        <v xml:space="preserve"> </v>
      </c>
      <c r="B117" s="462"/>
      <c r="C117" s="775" t="s">
        <v>301</v>
      </c>
      <c r="D117" s="457"/>
      <c r="E117" s="457"/>
      <c r="F117" s="461"/>
      <c r="G117" s="450"/>
      <c r="H117" s="284">
        <f t="shared" si="7"/>
        <v>0</v>
      </c>
      <c r="I117" s="450"/>
      <c r="J117" s="458"/>
      <c r="K117" s="258">
        <f t="shared" si="8"/>
        <v>0</v>
      </c>
      <c r="L117" s="259">
        <f t="shared" si="9"/>
        <v>0</v>
      </c>
      <c r="M117" s="259">
        <f t="shared" si="10"/>
        <v>0</v>
      </c>
      <c r="N117" s="259">
        <f t="shared" si="11"/>
        <v>0</v>
      </c>
      <c r="O117" s="259">
        <f t="shared" si="12"/>
        <v>0</v>
      </c>
      <c r="P117" s="259">
        <f t="shared" si="13"/>
        <v>0</v>
      </c>
    </row>
    <row r="118" spans="1:16" s="1" customFormat="1" ht="11.25" x14ac:dyDescent="0.2">
      <c r="A118" s="242">
        <f>IF(COUNTBLANK(B118)=1," ",COUNTA(B$14:B118))</f>
        <v>89</v>
      </c>
      <c r="B118" s="462" t="s">
        <v>87</v>
      </c>
      <c r="C118" s="464" t="s">
        <v>548</v>
      </c>
      <c r="D118" s="457" t="s">
        <v>89</v>
      </c>
      <c r="E118" s="457">
        <v>120</v>
      </c>
      <c r="F118" s="461"/>
      <c r="G118" s="450"/>
      <c r="H118" s="284">
        <f t="shared" si="7"/>
        <v>0</v>
      </c>
      <c r="I118" s="450"/>
      <c r="J118" s="458"/>
      <c r="K118" s="258">
        <f t="shared" si="8"/>
        <v>0</v>
      </c>
      <c r="L118" s="259">
        <f t="shared" si="9"/>
        <v>0</v>
      </c>
      <c r="M118" s="259">
        <f t="shared" si="10"/>
        <v>0</v>
      </c>
      <c r="N118" s="259">
        <f t="shared" si="11"/>
        <v>0</v>
      </c>
      <c r="O118" s="259">
        <f t="shared" si="12"/>
        <v>0</v>
      </c>
      <c r="P118" s="259">
        <f t="shared" si="13"/>
        <v>0</v>
      </c>
    </row>
    <row r="119" spans="1:16" s="1" customFormat="1" ht="11.25" x14ac:dyDescent="0.2">
      <c r="A119" s="242" t="str">
        <f>IF(COUNTBLANK(B119)=1," ",COUNTA(B$14:B119))</f>
        <v xml:space="preserve"> </v>
      </c>
      <c r="B119" s="462"/>
      <c r="C119" s="776" t="s">
        <v>549</v>
      </c>
      <c r="D119" s="457"/>
      <c r="E119" s="457"/>
      <c r="F119" s="461"/>
      <c r="G119" s="450"/>
      <c r="H119" s="284">
        <f t="shared" si="7"/>
        <v>0</v>
      </c>
      <c r="I119" s="450"/>
      <c r="J119" s="458"/>
      <c r="K119" s="258">
        <f t="shared" si="8"/>
        <v>0</v>
      </c>
      <c r="L119" s="259">
        <f t="shared" si="9"/>
        <v>0</v>
      </c>
      <c r="M119" s="259">
        <f t="shared" si="10"/>
        <v>0</v>
      </c>
      <c r="N119" s="259">
        <f t="shared" si="11"/>
        <v>0</v>
      </c>
      <c r="O119" s="259">
        <f t="shared" si="12"/>
        <v>0</v>
      </c>
      <c r="P119" s="259">
        <f t="shared" si="13"/>
        <v>0</v>
      </c>
    </row>
    <row r="120" spans="1:16" s="1" customFormat="1" ht="22.5" x14ac:dyDescent="0.2">
      <c r="A120" s="242">
        <f>IF(COUNTBLANK(B120)=1," ",COUNTA(B$14:B120))</f>
        <v>90</v>
      </c>
      <c r="B120" s="462" t="s">
        <v>87</v>
      </c>
      <c r="C120" s="640" t="s">
        <v>550</v>
      </c>
      <c r="D120" s="638" t="s">
        <v>83</v>
      </c>
      <c r="E120" s="638">
        <v>1</v>
      </c>
      <c r="F120" s="461"/>
      <c r="G120" s="450"/>
      <c r="H120" s="284">
        <f t="shared" si="7"/>
        <v>0</v>
      </c>
      <c r="I120" s="450"/>
      <c r="J120" s="458"/>
      <c r="K120" s="258">
        <f t="shared" si="8"/>
        <v>0</v>
      </c>
      <c r="L120" s="259">
        <f t="shared" si="9"/>
        <v>0</v>
      </c>
      <c r="M120" s="259">
        <f t="shared" si="10"/>
        <v>0</v>
      </c>
      <c r="N120" s="259">
        <f t="shared" si="11"/>
        <v>0</v>
      </c>
      <c r="O120" s="259">
        <f t="shared" si="12"/>
        <v>0</v>
      </c>
      <c r="P120" s="259">
        <f t="shared" si="13"/>
        <v>0</v>
      </c>
    </row>
    <row r="121" spans="1:16" s="1" customFormat="1" ht="11.25" x14ac:dyDescent="0.2">
      <c r="A121" s="242">
        <f>IF(COUNTBLANK(B121)=1," ",COUNTA(B$14:B121))</f>
        <v>91</v>
      </c>
      <c r="B121" s="462" t="s">
        <v>87</v>
      </c>
      <c r="C121" s="463" t="s">
        <v>86</v>
      </c>
      <c r="D121" s="441" t="s">
        <v>85</v>
      </c>
      <c r="E121" s="460">
        <v>0.8</v>
      </c>
      <c r="F121" s="461"/>
      <c r="G121" s="69"/>
      <c r="H121" s="284">
        <f t="shared" si="7"/>
        <v>0</v>
      </c>
      <c r="I121" s="241"/>
      <c r="J121" s="247"/>
      <c r="K121" s="258">
        <f t="shared" si="8"/>
        <v>0</v>
      </c>
      <c r="L121" s="259">
        <f t="shared" si="9"/>
        <v>0</v>
      </c>
      <c r="M121" s="259">
        <f t="shared" si="10"/>
        <v>0</v>
      </c>
      <c r="N121" s="259">
        <f t="shared" si="11"/>
        <v>0</v>
      </c>
      <c r="O121" s="259">
        <f t="shared" si="12"/>
        <v>0</v>
      </c>
      <c r="P121" s="259">
        <f t="shared" si="13"/>
        <v>0</v>
      </c>
    </row>
    <row r="122" spans="1:16" s="1" customFormat="1" ht="12" thickBot="1" x14ac:dyDescent="0.25">
      <c r="A122" s="242">
        <f>IF(COUNTBLANK(B122)=1," ",COUNTA(B$14:B122))</f>
        <v>92</v>
      </c>
      <c r="B122" s="462" t="s">
        <v>87</v>
      </c>
      <c r="C122" s="182" t="s">
        <v>84</v>
      </c>
      <c r="D122" s="181" t="s">
        <v>83</v>
      </c>
      <c r="E122" s="341">
        <f>ROUNDUP(E121*0.14,0)</f>
        <v>1</v>
      </c>
      <c r="F122" s="240"/>
      <c r="G122" s="69"/>
      <c r="H122" s="284">
        <f t="shared" si="7"/>
        <v>0</v>
      </c>
      <c r="I122" s="241"/>
      <c r="J122" s="247"/>
      <c r="K122" s="258">
        <f t="shared" si="8"/>
        <v>0</v>
      </c>
      <c r="L122" s="259">
        <f t="shared" si="9"/>
        <v>0</v>
      </c>
      <c r="M122" s="259">
        <f t="shared" si="10"/>
        <v>0</v>
      </c>
      <c r="N122" s="259">
        <f t="shared" si="11"/>
        <v>0</v>
      </c>
      <c r="O122" s="259">
        <f t="shared" si="12"/>
        <v>0</v>
      </c>
      <c r="P122" s="259">
        <f t="shared" si="13"/>
        <v>0</v>
      </c>
    </row>
    <row r="123" spans="1:16" s="1" customFormat="1" ht="12" customHeight="1" thickBot="1" x14ac:dyDescent="0.25">
      <c r="A123" s="965" t="s">
        <v>626</v>
      </c>
      <c r="B123" s="966"/>
      <c r="C123" s="966"/>
      <c r="D123" s="966"/>
      <c r="E123" s="966"/>
      <c r="F123" s="966"/>
      <c r="G123" s="966"/>
      <c r="H123" s="966"/>
      <c r="I123" s="966"/>
      <c r="J123" s="966"/>
      <c r="K123" s="967"/>
      <c r="L123" s="281">
        <f>SUM(L14:L122)</f>
        <v>0</v>
      </c>
      <c r="M123" s="282">
        <f>SUM(M14:M122)</f>
        <v>0</v>
      </c>
      <c r="N123" s="282">
        <f>SUM(N14:N122)</f>
        <v>0</v>
      </c>
      <c r="O123" s="282">
        <f>SUM(O14:O122)</f>
        <v>0</v>
      </c>
      <c r="P123" s="283">
        <f>SUM(P14:P122)</f>
        <v>0</v>
      </c>
    </row>
    <row r="124" spans="1:16" s="1" customFormat="1" ht="11.25" x14ac:dyDescent="0.2">
      <c r="A124" s="14"/>
      <c r="B124" s="14"/>
      <c r="C124" s="14"/>
      <c r="D124" s="14"/>
      <c r="E124" s="14"/>
      <c r="F124" s="14"/>
      <c r="G124" s="286"/>
      <c r="H124" s="14"/>
      <c r="I124" s="14"/>
      <c r="J124" s="14"/>
      <c r="K124" s="14"/>
      <c r="L124" s="14"/>
      <c r="M124" s="14"/>
      <c r="N124" s="14"/>
      <c r="O124" s="14"/>
      <c r="P124" s="14"/>
    </row>
    <row r="125" spans="1:16" s="1" customFormat="1" ht="11.25" x14ac:dyDescent="0.2">
      <c r="A125" s="14"/>
      <c r="B125" s="14"/>
      <c r="C125" s="14"/>
      <c r="D125" s="14"/>
      <c r="E125" s="14"/>
      <c r="F125" s="14"/>
      <c r="G125" s="286"/>
      <c r="H125" s="14"/>
      <c r="I125" s="14"/>
      <c r="J125" s="14"/>
      <c r="K125" s="14"/>
      <c r="L125" s="14"/>
      <c r="M125" s="14"/>
      <c r="N125" s="14"/>
      <c r="O125" s="14"/>
      <c r="P125" s="14"/>
    </row>
    <row r="126" spans="1:16" s="1" customFormat="1" ht="11.25" x14ac:dyDescent="0.2">
      <c r="A126" s="1" t="s">
        <v>14</v>
      </c>
      <c r="B126" s="14"/>
      <c r="C126" s="958">
        <f>sas</f>
        <v>0</v>
      </c>
      <c r="D126" s="958"/>
      <c r="E126" s="958"/>
      <c r="F126" s="958"/>
      <c r="G126" s="958"/>
      <c r="H126" s="958"/>
      <c r="I126" s="14"/>
      <c r="J126" s="14"/>
      <c r="K126" s="14"/>
      <c r="L126" s="14"/>
      <c r="M126" s="14"/>
      <c r="N126" s="14"/>
      <c r="O126" s="14"/>
      <c r="P126" s="14"/>
    </row>
    <row r="127" spans="1:16" s="1" customFormat="1" ht="11.25" x14ac:dyDescent="0.2">
      <c r="A127" s="14"/>
      <c r="B127" s="14"/>
      <c r="C127" s="931" t="s">
        <v>15</v>
      </c>
      <c r="D127" s="931"/>
      <c r="E127" s="931"/>
      <c r="F127" s="931"/>
      <c r="G127" s="931"/>
      <c r="H127" s="931"/>
      <c r="I127" s="14"/>
      <c r="J127" s="14"/>
      <c r="K127" s="14"/>
      <c r="L127" s="14"/>
      <c r="M127" s="14"/>
      <c r="N127" s="14"/>
      <c r="O127" s="14"/>
      <c r="P127" s="14"/>
    </row>
    <row r="128" spans="1:16" s="1" customFormat="1" ht="11.25" x14ac:dyDescent="0.2">
      <c r="A128" s="14"/>
      <c r="B128" s="14"/>
      <c r="C128" s="14"/>
      <c r="D128" s="14"/>
      <c r="E128" s="14"/>
      <c r="F128" s="14"/>
      <c r="G128" s="14"/>
      <c r="H128" s="14"/>
      <c r="I128" s="14"/>
      <c r="J128" s="14"/>
      <c r="K128" s="14"/>
      <c r="L128" s="14"/>
      <c r="M128" s="14"/>
      <c r="N128" s="14"/>
      <c r="O128" s="14"/>
      <c r="P128" s="14"/>
    </row>
    <row r="129" spans="1:16" s="1" customFormat="1" ht="11.25" x14ac:dyDescent="0.2">
      <c r="A129" s="34" t="str">
        <f>dat</f>
        <v>Tāme sastādīta 20__. gada __. _________</v>
      </c>
      <c r="B129" s="35"/>
      <c r="C129" s="35"/>
      <c r="D129" s="35"/>
      <c r="E129" s="14"/>
      <c r="F129" s="14"/>
      <c r="G129" s="14"/>
      <c r="H129" s="14"/>
      <c r="I129" s="14"/>
      <c r="J129" s="14"/>
      <c r="K129" s="14"/>
      <c r="L129" s="14"/>
      <c r="M129" s="14"/>
      <c r="N129" s="14"/>
      <c r="O129" s="14"/>
      <c r="P129" s="14"/>
    </row>
    <row r="130" spans="1:16" s="1" customFormat="1" ht="11.25" x14ac:dyDescent="0.2">
      <c r="A130" s="14"/>
      <c r="B130" s="14"/>
      <c r="C130" s="14"/>
      <c r="D130" s="14"/>
      <c r="E130" s="14"/>
      <c r="F130" s="14"/>
      <c r="G130" s="14"/>
      <c r="H130" s="14"/>
      <c r="I130" s="14"/>
      <c r="J130" s="14"/>
      <c r="K130" s="14"/>
      <c r="L130" s="14"/>
      <c r="M130" s="14"/>
      <c r="N130" s="14"/>
      <c r="O130" s="14"/>
      <c r="P130" s="14"/>
    </row>
    <row r="131" spans="1:16" s="1" customFormat="1" ht="11.25" x14ac:dyDescent="0.2">
      <c r="A131" s="1" t="s">
        <v>38</v>
      </c>
      <c r="B131" s="14"/>
      <c r="C131" s="958">
        <f>C126</f>
        <v>0</v>
      </c>
      <c r="D131" s="958"/>
      <c r="E131" s="958"/>
      <c r="F131" s="958"/>
      <c r="G131" s="958"/>
      <c r="H131" s="958"/>
      <c r="I131" s="14"/>
      <c r="J131" s="14"/>
      <c r="K131" s="14"/>
      <c r="L131" s="14"/>
      <c r="M131" s="14"/>
      <c r="N131" s="14"/>
      <c r="O131" s="14"/>
      <c r="P131" s="14"/>
    </row>
    <row r="132" spans="1:16" s="1" customFormat="1" ht="11.25" x14ac:dyDescent="0.2">
      <c r="A132" s="14"/>
      <c r="B132" s="14"/>
      <c r="C132" s="931" t="s">
        <v>15</v>
      </c>
      <c r="D132" s="931"/>
      <c r="E132" s="931"/>
      <c r="F132" s="931"/>
      <c r="G132" s="931"/>
      <c r="H132" s="931"/>
      <c r="I132" s="14"/>
      <c r="J132" s="14"/>
      <c r="K132" s="14"/>
      <c r="L132" s="14"/>
      <c r="M132" s="14"/>
      <c r="N132" s="14"/>
      <c r="O132" s="14"/>
      <c r="P132" s="14"/>
    </row>
    <row r="133" spans="1:16" s="1" customFormat="1" ht="11.25" x14ac:dyDescent="0.2">
      <c r="A133" s="14"/>
      <c r="B133" s="14"/>
      <c r="C133" s="14"/>
      <c r="D133" s="14"/>
      <c r="E133" s="14"/>
      <c r="F133" s="14"/>
      <c r="G133" s="14"/>
      <c r="H133" s="14"/>
      <c r="I133" s="14"/>
      <c r="J133" s="14"/>
      <c r="K133" s="14"/>
      <c r="L133" s="14"/>
      <c r="M133" s="14"/>
      <c r="N133" s="14"/>
      <c r="O133" s="14"/>
      <c r="P133" s="14"/>
    </row>
    <row r="134" spans="1:16" s="1" customFormat="1" ht="11.25" x14ac:dyDescent="0.2">
      <c r="A134" s="34" t="s">
        <v>54</v>
      </c>
      <c r="B134" s="35"/>
      <c r="C134" s="74">
        <f>sert.nr</f>
        <v>0</v>
      </c>
      <c r="D134" s="56"/>
      <c r="E134" s="14"/>
      <c r="F134" s="14"/>
      <c r="G134" s="14"/>
      <c r="H134" s="14"/>
      <c r="I134" s="14"/>
      <c r="J134" s="14"/>
      <c r="K134" s="14"/>
      <c r="L134" s="14"/>
      <c r="M134" s="14"/>
      <c r="N134" s="14"/>
      <c r="O134" s="14"/>
      <c r="P134" s="14"/>
    </row>
    <row r="135" spans="1:16" x14ac:dyDescent="0.25">
      <c r="G135" s="1"/>
    </row>
    <row r="136" spans="1:16" x14ac:dyDescent="0.25">
      <c r="C136" s="923" t="s">
        <v>623</v>
      </c>
    </row>
    <row r="137" spans="1:16" x14ac:dyDescent="0.25">
      <c r="C137" s="924" t="s">
        <v>624</v>
      </c>
    </row>
    <row r="138" spans="1:16" x14ac:dyDescent="0.25">
      <c r="C138" s="924" t="s">
        <v>625</v>
      </c>
    </row>
  </sheetData>
  <mergeCells count="22">
    <mergeCell ref="D7:L7"/>
    <mergeCell ref="C2:I2"/>
    <mergeCell ref="C3:I3"/>
    <mergeCell ref="C4:I4"/>
    <mergeCell ref="D5:L5"/>
    <mergeCell ref="D6:L6"/>
    <mergeCell ref="N9:O9"/>
    <mergeCell ref="A12:A13"/>
    <mergeCell ref="B12:B13"/>
    <mergeCell ref="C12:C13"/>
    <mergeCell ref="D12:D13"/>
    <mergeCell ref="E12:E13"/>
    <mergeCell ref="F12:K12"/>
    <mergeCell ref="L12:P12"/>
    <mergeCell ref="A123:K123"/>
    <mergeCell ref="C132:H132"/>
    <mergeCell ref="D8:L8"/>
    <mergeCell ref="A9:F9"/>
    <mergeCell ref="J9:M9"/>
    <mergeCell ref="C126:H126"/>
    <mergeCell ref="C127:H127"/>
    <mergeCell ref="C131:H131"/>
  </mergeCells>
  <phoneticPr fontId="28" type="noConversion"/>
  <conditionalFormatting sqref="C4:I4 D5:L8 F121:F122 C46:E56 F74:F76 F30:F70 C59:E70 B74:B76 B71:F73 C119:F120 B14:G19 B20:F29 B77:F118 B119:B122 I14:J122 G20:G122 B30:B70">
    <cfRule type="cellIs" dxfId="43" priority="27" operator="equal">
      <formula>0</formula>
    </cfRule>
  </conditionalFormatting>
  <conditionalFormatting sqref="N9:O9 C2:I2 A14 H14:H122 K14:P122">
    <cfRule type="cellIs" dxfId="42" priority="28" operator="equal">
      <formula>0</formula>
    </cfRule>
  </conditionalFormatting>
  <conditionalFormatting sqref="A123:K123">
    <cfRule type="containsText" dxfId="41" priority="29" operator="containsText" text="Tāme sastādīta  20__. gada tirgus cenās, pamatojoties uz ___ daļas rasējumiem"/>
  </conditionalFormatting>
  <conditionalFormatting sqref="O10">
    <cfRule type="cellIs" dxfId="40" priority="30" operator="equal">
      <formula>"20__. gada __. _________"</formula>
    </cfRule>
  </conditionalFormatting>
  <conditionalFormatting sqref="L123:P123">
    <cfRule type="cellIs" dxfId="39" priority="31" operator="equal">
      <formula>0</formula>
    </cfRule>
  </conditionalFormatting>
  <conditionalFormatting sqref="P10">
    <cfRule type="cellIs" dxfId="38" priority="33" operator="equal">
      <formula>"20__. gada __. _________"</formula>
    </cfRule>
  </conditionalFormatting>
  <conditionalFormatting sqref="D1">
    <cfRule type="cellIs" dxfId="37" priority="35" operator="equal">
      <formula>0</formula>
    </cfRule>
  </conditionalFormatting>
  <conditionalFormatting sqref="C30:E45">
    <cfRule type="cellIs" dxfId="36" priority="10" operator="equal">
      <formula>0</formula>
    </cfRule>
  </conditionalFormatting>
  <conditionalFormatting sqref="C121:E122">
    <cfRule type="cellIs" dxfId="35" priority="8" operator="equal">
      <formula>0</formula>
    </cfRule>
  </conditionalFormatting>
  <conditionalFormatting sqref="C57:E58">
    <cfRule type="cellIs" dxfId="34" priority="7" operator="equal">
      <formula>0</formula>
    </cfRule>
  </conditionalFormatting>
  <conditionalFormatting sqref="C74:E76">
    <cfRule type="cellIs" dxfId="33" priority="6" operator="equal">
      <formula>0</formula>
    </cfRule>
  </conditionalFormatting>
  <conditionalFormatting sqref="A15:A122">
    <cfRule type="cellIs" dxfId="32" priority="5" operator="equal">
      <formula>0</formula>
    </cfRule>
  </conditionalFormatting>
  <conditionalFormatting sqref="C126:H126">
    <cfRule type="cellIs" dxfId="31" priority="2" operator="equal">
      <formula>0</formula>
    </cfRule>
  </conditionalFormatting>
  <conditionalFormatting sqref="C131:H131 C126:H126">
    <cfRule type="cellIs" dxfId="30" priority="3" operator="equal">
      <formula>0</formula>
    </cfRule>
  </conditionalFormatting>
  <conditionalFormatting sqref="C134">
    <cfRule type="cellIs" dxfId="29" priority="4" operator="equal">
      <formula>0</formula>
    </cfRule>
  </conditionalFormatting>
  <conditionalFormatting sqref="A9:F9">
    <cfRule type="containsText" dxfId="28" priority="1" operator="containsText" text="Tāme sastādīta  20__. gada tirgus cenās, pamatojoties uz ___ daļas rasējumiem"/>
  </conditionalFormatting>
  <pageMargins left="0.19685039370078741" right="0.19685039370078741" top="0.75196850393700787" bottom="0.39370078740157483" header="0.51181102362204722" footer="0.51181102362204722"/>
  <pageSetup paperSize="9" scale="62" firstPageNumber="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MK79"/>
  <sheetViews>
    <sheetView view="pageBreakPreview" topLeftCell="A49" zoomScale="115" zoomScaleNormal="115" zoomScaleSheetLayoutView="115" workbookViewId="0">
      <selection activeCell="C56" sqref="C56"/>
    </sheetView>
  </sheetViews>
  <sheetFormatPr defaultRowHeight="15" x14ac:dyDescent="0.25"/>
  <cols>
    <col min="1" max="1" width="9.7109375" style="1" customWidth="1"/>
    <col min="2" max="2" width="10" style="1" customWidth="1"/>
    <col min="3" max="3" width="38.42578125" style="1" customWidth="1"/>
    <col min="4" max="4" width="5.85546875" style="1" customWidth="1"/>
    <col min="5" max="5" width="8.7109375" style="1" customWidth="1"/>
    <col min="6" max="6" width="5.42578125" style="1" customWidth="1"/>
    <col min="7" max="7" width="6.5703125" style="1" customWidth="1"/>
    <col min="8" max="10" width="6.7109375" style="1" customWidth="1"/>
    <col min="11" max="11" width="7" style="1" customWidth="1"/>
    <col min="12" max="15" width="7.7109375" style="1" customWidth="1"/>
    <col min="16" max="16" width="9" style="1" customWidth="1"/>
    <col min="17" max="1025" width="9.140625" style="1" customWidth="1"/>
  </cols>
  <sheetData>
    <row r="1" spans="1:1025" x14ac:dyDescent="0.25">
      <c r="A1" s="33"/>
      <c r="B1" s="33"/>
      <c r="C1" s="37" t="s">
        <v>39</v>
      </c>
      <c r="D1" s="38">
        <v>10</v>
      </c>
      <c r="E1" s="33"/>
      <c r="F1" s="33"/>
      <c r="G1" s="33"/>
      <c r="H1" s="33"/>
      <c r="I1" s="33"/>
      <c r="J1" s="33"/>
      <c r="N1" s="39"/>
      <c r="O1" s="37"/>
      <c r="P1" s="40"/>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5" x14ac:dyDescent="0.25">
      <c r="A2" s="41"/>
      <c r="B2" s="41"/>
      <c r="C2" s="972" t="s">
        <v>559</v>
      </c>
      <c r="D2" s="972"/>
      <c r="E2" s="972"/>
      <c r="F2" s="972"/>
      <c r="G2" s="972"/>
      <c r="H2" s="972"/>
      <c r="I2" s="972"/>
      <c r="J2" s="41"/>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5" x14ac:dyDescent="0.25">
      <c r="A3" s="42"/>
      <c r="B3" s="42"/>
      <c r="C3" s="946" t="s">
        <v>18</v>
      </c>
      <c r="D3" s="946"/>
      <c r="E3" s="946"/>
      <c r="F3" s="946"/>
      <c r="G3" s="946"/>
      <c r="H3" s="946"/>
      <c r="I3" s="946"/>
      <c r="J3" s="42"/>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5" x14ac:dyDescent="0.25">
      <c r="A4" s="42"/>
      <c r="B4" s="42"/>
      <c r="C4" s="973" t="s">
        <v>4</v>
      </c>
      <c r="D4" s="973"/>
      <c r="E4" s="973"/>
      <c r="F4" s="973"/>
      <c r="G4" s="973"/>
      <c r="H4" s="973"/>
      <c r="I4" s="973"/>
      <c r="J4" s="42"/>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5" x14ac:dyDescent="0.25">
      <c r="A5" s="33"/>
      <c r="B5" s="33"/>
      <c r="C5" s="37" t="s">
        <v>5</v>
      </c>
      <c r="D5" s="968" t="str">
        <f>'Kops a'!D6</f>
        <v>Daudzīvokļu dzīvojamā māja</v>
      </c>
      <c r="E5" s="968"/>
      <c r="F5" s="968"/>
      <c r="G5" s="968"/>
      <c r="H5" s="968"/>
      <c r="I5" s="968"/>
      <c r="J5" s="968"/>
      <c r="K5" s="968"/>
      <c r="L5" s="968"/>
      <c r="M5" s="14"/>
      <c r="N5" s="14"/>
      <c r="O5" s="14"/>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c r="AMK5"/>
    </row>
    <row r="6" spans="1:1025" x14ac:dyDescent="0.25">
      <c r="A6" s="33"/>
      <c r="B6" s="33"/>
      <c r="C6" s="37" t="s">
        <v>6</v>
      </c>
      <c r="D6" s="968" t="str">
        <f>'Kops a'!D7</f>
        <v>fasādes vienkāršotā atjaunošana</v>
      </c>
      <c r="E6" s="968"/>
      <c r="F6" s="968"/>
      <c r="G6" s="968"/>
      <c r="H6" s="968"/>
      <c r="I6" s="968"/>
      <c r="J6" s="968"/>
      <c r="K6" s="968"/>
      <c r="L6" s="968"/>
      <c r="M6" s="14"/>
      <c r="N6" s="14"/>
      <c r="O6" s="14"/>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c r="AMK6"/>
    </row>
    <row r="7" spans="1:1025" x14ac:dyDescent="0.25">
      <c r="A7" s="33"/>
      <c r="B7" s="33"/>
      <c r="C7" s="37" t="s">
        <v>7</v>
      </c>
      <c r="D7" s="968" t="str">
        <f>'Kops a'!D8</f>
        <v>Reiņu meža iela 3, Liepāja</v>
      </c>
      <c r="E7" s="968"/>
      <c r="F7" s="968"/>
      <c r="G7" s="968"/>
      <c r="H7" s="968"/>
      <c r="I7" s="968"/>
      <c r="J7" s="968"/>
      <c r="K7" s="968"/>
      <c r="L7" s="968"/>
      <c r="M7" s="14"/>
      <c r="N7" s="14"/>
      <c r="O7" s="14"/>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row>
    <row r="8" spans="1:1025" x14ac:dyDescent="0.25">
      <c r="A8" s="33"/>
      <c r="B8" s="33"/>
      <c r="C8" s="4" t="s">
        <v>21</v>
      </c>
      <c r="D8" s="968" t="str">
        <f>'Kops a'!D9</f>
        <v>EA-45-17</v>
      </c>
      <c r="E8" s="968"/>
      <c r="F8" s="968"/>
      <c r="G8" s="968"/>
      <c r="H8" s="968"/>
      <c r="I8" s="968"/>
      <c r="J8" s="968"/>
      <c r="K8" s="968"/>
      <c r="L8" s="968"/>
      <c r="M8" s="14"/>
      <c r="N8" s="14"/>
      <c r="O8" s="14"/>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row>
    <row r="9" spans="1:1025" x14ac:dyDescent="0.25">
      <c r="A9" s="969" t="s">
        <v>628</v>
      </c>
      <c r="B9" s="969"/>
      <c r="C9" s="969"/>
      <c r="D9" s="969"/>
      <c r="E9" s="969"/>
      <c r="F9" s="969"/>
      <c r="G9" s="43"/>
      <c r="H9" s="43"/>
      <c r="I9" s="43"/>
      <c r="J9" s="970" t="s">
        <v>40</v>
      </c>
      <c r="K9" s="970"/>
      <c r="L9" s="970"/>
      <c r="M9" s="970"/>
      <c r="N9" s="971">
        <f>P64</f>
        <v>0</v>
      </c>
      <c r="O9" s="971"/>
      <c r="P9" s="43"/>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5" x14ac:dyDescent="0.25">
      <c r="A10" s="44"/>
      <c r="B10" s="45"/>
      <c r="C10" s="4"/>
      <c r="D10" s="33"/>
      <c r="E10" s="33"/>
      <c r="F10" s="33"/>
      <c r="G10" s="33"/>
      <c r="H10" s="33"/>
      <c r="I10" s="33"/>
      <c r="J10" s="33"/>
      <c r="K10" s="33"/>
      <c r="L10" s="41"/>
      <c r="M10" s="41"/>
      <c r="O10" s="57"/>
      <c r="P10" s="47" t="str">
        <f>'Kops a'!A37</f>
        <v>Tāme sastādīta 20__. gada __. _________</v>
      </c>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5" x14ac:dyDescent="0.25">
      <c r="A11" s="44"/>
      <c r="B11" s="45"/>
      <c r="C11" s="4"/>
      <c r="D11" s="33"/>
      <c r="E11" s="33"/>
      <c r="F11" s="33"/>
      <c r="G11" s="33"/>
      <c r="H11" s="33"/>
      <c r="I11" s="33"/>
      <c r="J11" s="33"/>
      <c r="K11" s="33"/>
      <c r="L11" s="48"/>
      <c r="M11" s="48"/>
      <c r="N11" s="49"/>
      <c r="O11" s="39"/>
      <c r="P11" s="33"/>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5" ht="15.75" thickBot="1" x14ac:dyDescent="0.3">
      <c r="A12" s="960" t="s">
        <v>24</v>
      </c>
      <c r="B12" s="961" t="s">
        <v>41</v>
      </c>
      <c r="C12" s="1030" t="s">
        <v>42</v>
      </c>
      <c r="D12" s="963" t="s">
        <v>43</v>
      </c>
      <c r="E12" s="964" t="s">
        <v>44</v>
      </c>
      <c r="F12" s="959" t="s">
        <v>45</v>
      </c>
      <c r="G12" s="959"/>
      <c r="H12" s="959"/>
      <c r="I12" s="959"/>
      <c r="J12" s="959"/>
      <c r="K12" s="959"/>
      <c r="L12" s="959" t="s">
        <v>46</v>
      </c>
      <c r="M12" s="959"/>
      <c r="N12" s="959"/>
      <c r="O12" s="959"/>
      <c r="P12" s="959"/>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5" ht="69" thickBot="1" x14ac:dyDescent="0.3">
      <c r="A13" s="960"/>
      <c r="B13" s="961"/>
      <c r="C13" s="1031"/>
      <c r="D13" s="963"/>
      <c r="E13" s="964"/>
      <c r="F13" s="777" t="s">
        <v>47</v>
      </c>
      <c r="G13" s="778" t="s">
        <v>48</v>
      </c>
      <c r="H13" s="778" t="s">
        <v>49</v>
      </c>
      <c r="I13" s="778" t="s">
        <v>50</v>
      </c>
      <c r="J13" s="778" t="s">
        <v>51</v>
      </c>
      <c r="K13" s="779" t="s">
        <v>52</v>
      </c>
      <c r="L13" s="777" t="s">
        <v>47</v>
      </c>
      <c r="M13" s="778" t="s">
        <v>49</v>
      </c>
      <c r="N13" s="778" t="s">
        <v>50</v>
      </c>
      <c r="O13" s="778" t="s">
        <v>51</v>
      </c>
      <c r="P13" s="779" t="s">
        <v>52</v>
      </c>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5" x14ac:dyDescent="0.25">
      <c r="A14" s="242">
        <v>1</v>
      </c>
      <c r="B14" s="257" t="s">
        <v>303</v>
      </c>
      <c r="C14" s="785" t="s">
        <v>560</v>
      </c>
      <c r="D14" s="582" t="s">
        <v>253</v>
      </c>
      <c r="E14" s="780">
        <v>1</v>
      </c>
      <c r="F14" s="781"/>
      <c r="G14" s="782"/>
      <c r="H14" s="781">
        <f t="shared" ref="H14:H63" si="0">F14*G14</f>
        <v>0</v>
      </c>
      <c r="I14" s="781"/>
      <c r="J14" s="783"/>
      <c r="K14" s="784">
        <f>ROUND(H14+I14+J14,2)</f>
        <v>0</v>
      </c>
      <c r="L14" s="784">
        <f t="shared" ref="L14:L63" si="1">ROUND(E14*F14,2)</f>
        <v>0</v>
      </c>
      <c r="M14" s="784">
        <f t="shared" ref="M14:M63" si="2">ROUND(E14*H14,2)</f>
        <v>0</v>
      </c>
      <c r="N14" s="784">
        <f t="shared" ref="N14:N63" si="3">ROUND(E14*I14,2)</f>
        <v>0</v>
      </c>
      <c r="O14" s="784">
        <f t="shared" ref="O14:O63" si="4">ROUND(J14*E14,2)</f>
        <v>0</v>
      </c>
      <c r="P14" s="784">
        <f t="shared" ref="P14:P63" si="5">ROUND(M14+N14+O14,2)</f>
        <v>0</v>
      </c>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5" s="1" customFormat="1" ht="11.25" x14ac:dyDescent="0.2">
      <c r="A15" s="242">
        <f>A14+1</f>
        <v>2</v>
      </c>
      <c r="B15" s="582" t="s">
        <v>552</v>
      </c>
      <c r="C15" s="1025" t="s">
        <v>561</v>
      </c>
      <c r="D15" s="582" t="s">
        <v>89</v>
      </c>
      <c r="E15" s="780">
        <v>4</v>
      </c>
      <c r="F15" s="781"/>
      <c r="G15" s="782"/>
      <c r="H15" s="781">
        <f t="shared" si="0"/>
        <v>0</v>
      </c>
      <c r="I15" s="781"/>
      <c r="J15" s="783"/>
      <c r="K15" s="784">
        <f t="shared" ref="K15:K63" si="6">ROUND(H15+I15+J15,2)</f>
        <v>0</v>
      </c>
      <c r="L15" s="784">
        <f t="shared" si="1"/>
        <v>0</v>
      </c>
      <c r="M15" s="784">
        <f t="shared" si="2"/>
        <v>0</v>
      </c>
      <c r="N15" s="784">
        <f t="shared" si="3"/>
        <v>0</v>
      </c>
      <c r="O15" s="784">
        <f t="shared" si="4"/>
        <v>0</v>
      </c>
      <c r="P15" s="784">
        <f t="shared" si="5"/>
        <v>0</v>
      </c>
    </row>
    <row r="16" spans="1:1025" s="1" customFormat="1" ht="11.25" x14ac:dyDescent="0.2">
      <c r="A16" s="242">
        <f t="shared" ref="A16:A63" si="7">A15+1</f>
        <v>3</v>
      </c>
      <c r="B16" s="582" t="s">
        <v>553</v>
      </c>
      <c r="C16" s="1026"/>
      <c r="D16" s="582" t="s">
        <v>89</v>
      </c>
      <c r="E16" s="780">
        <v>40</v>
      </c>
      <c r="F16" s="781"/>
      <c r="G16" s="782"/>
      <c r="H16" s="781">
        <f t="shared" si="0"/>
        <v>0</v>
      </c>
      <c r="I16" s="781"/>
      <c r="J16" s="783"/>
      <c r="K16" s="784">
        <f t="shared" si="6"/>
        <v>0</v>
      </c>
      <c r="L16" s="784">
        <f t="shared" si="1"/>
        <v>0</v>
      </c>
      <c r="M16" s="784">
        <f t="shared" si="2"/>
        <v>0</v>
      </c>
      <c r="N16" s="784">
        <f t="shared" si="3"/>
        <v>0</v>
      </c>
      <c r="O16" s="784">
        <f t="shared" si="4"/>
        <v>0</v>
      </c>
      <c r="P16" s="784">
        <f t="shared" si="5"/>
        <v>0</v>
      </c>
    </row>
    <row r="17" spans="1:16" s="1" customFormat="1" ht="11.25" x14ac:dyDescent="0.2">
      <c r="A17" s="242">
        <f t="shared" si="7"/>
        <v>4</v>
      </c>
      <c r="B17" s="582" t="s">
        <v>556</v>
      </c>
      <c r="C17" s="1026"/>
      <c r="D17" s="582" t="s">
        <v>89</v>
      </c>
      <c r="E17" s="780">
        <v>34</v>
      </c>
      <c r="F17" s="781"/>
      <c r="G17" s="782"/>
      <c r="H17" s="781">
        <f t="shared" si="0"/>
        <v>0</v>
      </c>
      <c r="I17" s="781"/>
      <c r="J17" s="783"/>
      <c r="K17" s="784">
        <f t="shared" si="6"/>
        <v>0</v>
      </c>
      <c r="L17" s="784">
        <f t="shared" si="1"/>
        <v>0</v>
      </c>
      <c r="M17" s="784">
        <f t="shared" si="2"/>
        <v>0</v>
      </c>
      <c r="N17" s="784">
        <f t="shared" si="3"/>
        <v>0</v>
      </c>
      <c r="O17" s="784">
        <f t="shared" si="4"/>
        <v>0</v>
      </c>
      <c r="P17" s="784">
        <f t="shared" si="5"/>
        <v>0</v>
      </c>
    </row>
    <row r="18" spans="1:16" s="1" customFormat="1" ht="11.25" x14ac:dyDescent="0.2">
      <c r="A18" s="242">
        <f t="shared" si="7"/>
        <v>5</v>
      </c>
      <c r="B18" s="582" t="s">
        <v>555</v>
      </c>
      <c r="C18" s="1026"/>
      <c r="D18" s="582" t="s">
        <v>89</v>
      </c>
      <c r="E18" s="780">
        <v>90</v>
      </c>
      <c r="F18" s="781"/>
      <c r="G18" s="782"/>
      <c r="H18" s="781">
        <f t="shared" si="0"/>
        <v>0</v>
      </c>
      <c r="I18" s="781"/>
      <c r="J18" s="783"/>
      <c r="K18" s="784">
        <f t="shared" si="6"/>
        <v>0</v>
      </c>
      <c r="L18" s="784">
        <f t="shared" si="1"/>
        <v>0</v>
      </c>
      <c r="M18" s="784">
        <f t="shared" si="2"/>
        <v>0</v>
      </c>
      <c r="N18" s="784">
        <f t="shared" si="3"/>
        <v>0</v>
      </c>
      <c r="O18" s="784">
        <f t="shared" si="4"/>
        <v>0</v>
      </c>
      <c r="P18" s="784">
        <f t="shared" si="5"/>
        <v>0</v>
      </c>
    </row>
    <row r="19" spans="1:16" s="1" customFormat="1" ht="11.25" x14ac:dyDescent="0.2">
      <c r="A19" s="242">
        <f t="shared" si="7"/>
        <v>6</v>
      </c>
      <c r="B19" s="582" t="s">
        <v>554</v>
      </c>
      <c r="C19" s="1026"/>
      <c r="D19" s="582" t="s">
        <v>89</v>
      </c>
      <c r="E19" s="780">
        <v>48</v>
      </c>
      <c r="F19" s="781"/>
      <c r="G19" s="782"/>
      <c r="H19" s="781">
        <f t="shared" si="0"/>
        <v>0</v>
      </c>
      <c r="I19" s="781"/>
      <c r="J19" s="783"/>
      <c r="K19" s="784">
        <f t="shared" si="6"/>
        <v>0</v>
      </c>
      <c r="L19" s="784">
        <f t="shared" si="1"/>
        <v>0</v>
      </c>
      <c r="M19" s="784">
        <f t="shared" si="2"/>
        <v>0</v>
      </c>
      <c r="N19" s="784">
        <f t="shared" si="3"/>
        <v>0</v>
      </c>
      <c r="O19" s="784">
        <f t="shared" si="4"/>
        <v>0</v>
      </c>
      <c r="P19" s="784">
        <f t="shared" si="5"/>
        <v>0</v>
      </c>
    </row>
    <row r="20" spans="1:16" s="1" customFormat="1" ht="11.25" x14ac:dyDescent="0.2">
      <c r="A20" s="242">
        <f t="shared" si="7"/>
        <v>7</v>
      </c>
      <c r="B20" s="582" t="s">
        <v>551</v>
      </c>
      <c r="C20" s="1027"/>
      <c r="D20" s="582" t="s">
        <v>89</v>
      </c>
      <c r="E20" s="780">
        <v>1072</v>
      </c>
      <c r="F20" s="781"/>
      <c r="G20" s="782"/>
      <c r="H20" s="781">
        <f t="shared" si="0"/>
        <v>0</v>
      </c>
      <c r="I20" s="781"/>
      <c r="J20" s="783"/>
      <c r="K20" s="784">
        <f t="shared" si="6"/>
        <v>0</v>
      </c>
      <c r="L20" s="784">
        <f t="shared" si="1"/>
        <v>0</v>
      </c>
      <c r="M20" s="784">
        <f t="shared" si="2"/>
        <v>0</v>
      </c>
      <c r="N20" s="784">
        <f t="shared" si="3"/>
        <v>0</v>
      </c>
      <c r="O20" s="784">
        <f t="shared" si="4"/>
        <v>0</v>
      </c>
      <c r="P20" s="784">
        <f t="shared" si="5"/>
        <v>0</v>
      </c>
    </row>
    <row r="21" spans="1:16" s="1" customFormat="1" ht="11.25" x14ac:dyDescent="0.2">
      <c r="A21" s="242">
        <f t="shared" si="7"/>
        <v>8</v>
      </c>
      <c r="B21" s="582" t="s">
        <v>552</v>
      </c>
      <c r="C21" s="1025" t="s">
        <v>575</v>
      </c>
      <c r="D21" s="582" t="s">
        <v>83</v>
      </c>
      <c r="E21" s="780">
        <v>2</v>
      </c>
      <c r="F21" s="781"/>
      <c r="G21" s="782"/>
      <c r="H21" s="781">
        <f t="shared" si="0"/>
        <v>0</v>
      </c>
      <c r="I21" s="781"/>
      <c r="J21" s="783"/>
      <c r="K21" s="784">
        <f t="shared" si="6"/>
        <v>0</v>
      </c>
      <c r="L21" s="784">
        <f t="shared" si="1"/>
        <v>0</v>
      </c>
      <c r="M21" s="784">
        <f t="shared" si="2"/>
        <v>0</v>
      </c>
      <c r="N21" s="784">
        <f t="shared" si="3"/>
        <v>0</v>
      </c>
      <c r="O21" s="784">
        <f t="shared" si="4"/>
        <v>0</v>
      </c>
      <c r="P21" s="784">
        <f t="shared" si="5"/>
        <v>0</v>
      </c>
    </row>
    <row r="22" spans="1:16" s="1" customFormat="1" ht="11.25" x14ac:dyDescent="0.2">
      <c r="A22" s="242">
        <f t="shared" si="7"/>
        <v>9</v>
      </c>
      <c r="B22" s="582" t="s">
        <v>553</v>
      </c>
      <c r="C22" s="1026"/>
      <c r="D22" s="582" t="s">
        <v>83</v>
      </c>
      <c r="E22" s="780">
        <v>4</v>
      </c>
      <c r="F22" s="781"/>
      <c r="G22" s="782"/>
      <c r="H22" s="781">
        <f t="shared" si="0"/>
        <v>0</v>
      </c>
      <c r="I22" s="781"/>
      <c r="J22" s="783"/>
      <c r="K22" s="784">
        <f t="shared" si="6"/>
        <v>0</v>
      </c>
      <c r="L22" s="784">
        <f t="shared" si="1"/>
        <v>0</v>
      </c>
      <c r="M22" s="784">
        <f t="shared" si="2"/>
        <v>0</v>
      </c>
      <c r="N22" s="784">
        <f t="shared" si="3"/>
        <v>0</v>
      </c>
      <c r="O22" s="784">
        <f t="shared" si="4"/>
        <v>0</v>
      </c>
      <c r="P22" s="784">
        <f t="shared" si="5"/>
        <v>0</v>
      </c>
    </row>
    <row r="23" spans="1:16" s="1" customFormat="1" ht="11.25" x14ac:dyDescent="0.2">
      <c r="A23" s="242">
        <f t="shared" si="7"/>
        <v>10</v>
      </c>
      <c r="B23" s="582" t="s">
        <v>556</v>
      </c>
      <c r="C23" s="1026"/>
      <c r="D23" s="582" t="s">
        <v>83</v>
      </c>
      <c r="E23" s="780">
        <v>14</v>
      </c>
      <c r="F23" s="781"/>
      <c r="G23" s="782"/>
      <c r="H23" s="781">
        <f t="shared" si="0"/>
        <v>0</v>
      </c>
      <c r="I23" s="781"/>
      <c r="J23" s="783"/>
      <c r="K23" s="784">
        <f t="shared" si="6"/>
        <v>0</v>
      </c>
      <c r="L23" s="784">
        <f t="shared" si="1"/>
        <v>0</v>
      </c>
      <c r="M23" s="784">
        <f t="shared" si="2"/>
        <v>0</v>
      </c>
      <c r="N23" s="784">
        <f t="shared" si="3"/>
        <v>0</v>
      </c>
      <c r="O23" s="784">
        <f t="shared" si="4"/>
        <v>0</v>
      </c>
      <c r="P23" s="784">
        <f t="shared" si="5"/>
        <v>0</v>
      </c>
    </row>
    <row r="24" spans="1:16" s="1" customFormat="1" ht="11.25" x14ac:dyDescent="0.2">
      <c r="A24" s="242">
        <f t="shared" si="7"/>
        <v>11</v>
      </c>
      <c r="B24" s="582" t="s">
        <v>555</v>
      </c>
      <c r="C24" s="1026"/>
      <c r="D24" s="582" t="s">
        <v>83</v>
      </c>
      <c r="E24" s="780">
        <v>12</v>
      </c>
      <c r="F24" s="781"/>
      <c r="G24" s="782"/>
      <c r="H24" s="781">
        <f t="shared" si="0"/>
        <v>0</v>
      </c>
      <c r="I24" s="781"/>
      <c r="J24" s="783"/>
      <c r="K24" s="784">
        <f t="shared" si="6"/>
        <v>0</v>
      </c>
      <c r="L24" s="784">
        <f t="shared" si="1"/>
        <v>0</v>
      </c>
      <c r="M24" s="784">
        <f t="shared" si="2"/>
        <v>0</v>
      </c>
      <c r="N24" s="784">
        <f t="shared" si="3"/>
        <v>0</v>
      </c>
      <c r="O24" s="784">
        <f t="shared" si="4"/>
        <v>0</v>
      </c>
      <c r="P24" s="784">
        <f t="shared" si="5"/>
        <v>0</v>
      </c>
    </row>
    <row r="25" spans="1:16" s="1" customFormat="1" ht="11.25" x14ac:dyDescent="0.2">
      <c r="A25" s="242">
        <f t="shared" si="7"/>
        <v>12</v>
      </c>
      <c r="B25" s="582" t="s">
        <v>554</v>
      </c>
      <c r="C25" s="1026"/>
      <c r="D25" s="582" t="s">
        <v>83</v>
      </c>
      <c r="E25" s="780">
        <v>8</v>
      </c>
      <c r="F25" s="781"/>
      <c r="G25" s="782"/>
      <c r="H25" s="781">
        <f t="shared" si="0"/>
        <v>0</v>
      </c>
      <c r="I25" s="781"/>
      <c r="J25" s="783"/>
      <c r="K25" s="784">
        <f t="shared" si="6"/>
        <v>0</v>
      </c>
      <c r="L25" s="784">
        <f t="shared" si="1"/>
        <v>0</v>
      </c>
      <c r="M25" s="784">
        <f t="shared" si="2"/>
        <v>0</v>
      </c>
      <c r="N25" s="784">
        <f t="shared" si="3"/>
        <v>0</v>
      </c>
      <c r="O25" s="784">
        <f t="shared" si="4"/>
        <v>0</v>
      </c>
      <c r="P25" s="784">
        <f t="shared" si="5"/>
        <v>0</v>
      </c>
    </row>
    <row r="26" spans="1:16" s="1" customFormat="1" ht="11.25" x14ac:dyDescent="0.2">
      <c r="A26" s="242">
        <f t="shared" si="7"/>
        <v>13</v>
      </c>
      <c r="B26" s="582" t="s">
        <v>551</v>
      </c>
      <c r="C26" s="1027"/>
      <c r="D26" s="582" t="s">
        <v>83</v>
      </c>
      <c r="E26" s="780">
        <v>160</v>
      </c>
      <c r="F26" s="781"/>
      <c r="G26" s="782"/>
      <c r="H26" s="781">
        <f t="shared" si="0"/>
        <v>0</v>
      </c>
      <c r="I26" s="781"/>
      <c r="J26" s="783"/>
      <c r="K26" s="784">
        <f t="shared" si="6"/>
        <v>0</v>
      </c>
      <c r="L26" s="784">
        <f t="shared" si="1"/>
        <v>0</v>
      </c>
      <c r="M26" s="784">
        <f t="shared" si="2"/>
        <v>0</v>
      </c>
      <c r="N26" s="784">
        <f t="shared" si="3"/>
        <v>0</v>
      </c>
      <c r="O26" s="784">
        <f t="shared" si="4"/>
        <v>0</v>
      </c>
      <c r="P26" s="784">
        <f t="shared" si="5"/>
        <v>0</v>
      </c>
    </row>
    <row r="27" spans="1:16" s="1" customFormat="1" ht="11.25" x14ac:dyDescent="0.2">
      <c r="A27" s="242">
        <f t="shared" si="7"/>
        <v>14</v>
      </c>
      <c r="B27" s="257" t="s">
        <v>303</v>
      </c>
      <c r="C27" s="785" t="s">
        <v>562</v>
      </c>
      <c r="D27" s="786" t="s">
        <v>83</v>
      </c>
      <c r="E27" s="787">
        <v>12</v>
      </c>
      <c r="F27" s="788"/>
      <c r="G27" s="789"/>
      <c r="H27" s="781">
        <f t="shared" si="0"/>
        <v>0</v>
      </c>
      <c r="I27" s="788"/>
      <c r="J27" s="790"/>
      <c r="K27" s="784">
        <f t="shared" si="6"/>
        <v>0</v>
      </c>
      <c r="L27" s="784">
        <f t="shared" si="1"/>
        <v>0</v>
      </c>
      <c r="M27" s="784">
        <f t="shared" si="2"/>
        <v>0</v>
      </c>
      <c r="N27" s="784">
        <f t="shared" si="3"/>
        <v>0</v>
      </c>
      <c r="O27" s="784">
        <f t="shared" si="4"/>
        <v>0</v>
      </c>
      <c r="P27" s="784">
        <f t="shared" si="5"/>
        <v>0</v>
      </c>
    </row>
    <row r="28" spans="1:16" s="1" customFormat="1" ht="11.25" x14ac:dyDescent="0.2">
      <c r="A28" s="242">
        <f t="shared" si="7"/>
        <v>15</v>
      </c>
      <c r="B28" s="582" t="s">
        <v>557</v>
      </c>
      <c r="C28" s="1025" t="s">
        <v>644</v>
      </c>
      <c r="D28" s="786" t="s">
        <v>565</v>
      </c>
      <c r="E28" s="787">
        <v>8</v>
      </c>
      <c r="F28" s="788"/>
      <c r="G28" s="789"/>
      <c r="H28" s="781">
        <f t="shared" si="0"/>
        <v>0</v>
      </c>
      <c r="I28" s="788"/>
      <c r="J28" s="790"/>
      <c r="K28" s="784">
        <f t="shared" si="6"/>
        <v>0</v>
      </c>
      <c r="L28" s="784">
        <f t="shared" si="1"/>
        <v>0</v>
      </c>
      <c r="M28" s="784">
        <f t="shared" si="2"/>
        <v>0</v>
      </c>
      <c r="N28" s="784">
        <f t="shared" si="3"/>
        <v>0</v>
      </c>
      <c r="O28" s="784">
        <f t="shared" si="4"/>
        <v>0</v>
      </c>
      <c r="P28" s="784">
        <f t="shared" si="5"/>
        <v>0</v>
      </c>
    </row>
    <row r="29" spans="1:16" s="1" customFormat="1" ht="11.25" x14ac:dyDescent="0.2">
      <c r="A29" s="242">
        <f t="shared" si="7"/>
        <v>16</v>
      </c>
      <c r="B29" s="582" t="s">
        <v>563</v>
      </c>
      <c r="C29" s="1026"/>
      <c r="D29" s="786" t="s">
        <v>565</v>
      </c>
      <c r="E29" s="787">
        <v>8</v>
      </c>
      <c r="F29" s="788"/>
      <c r="G29" s="789"/>
      <c r="H29" s="781">
        <f t="shared" si="0"/>
        <v>0</v>
      </c>
      <c r="I29" s="788"/>
      <c r="J29" s="790"/>
      <c r="K29" s="784">
        <f t="shared" si="6"/>
        <v>0</v>
      </c>
      <c r="L29" s="784">
        <f t="shared" si="1"/>
        <v>0</v>
      </c>
      <c r="M29" s="784">
        <f t="shared" si="2"/>
        <v>0</v>
      </c>
      <c r="N29" s="784">
        <f t="shared" si="3"/>
        <v>0</v>
      </c>
      <c r="O29" s="784">
        <f t="shared" si="4"/>
        <v>0</v>
      </c>
      <c r="P29" s="784">
        <f t="shared" si="5"/>
        <v>0</v>
      </c>
    </row>
    <row r="30" spans="1:16" s="1" customFormat="1" ht="11.25" x14ac:dyDescent="0.2">
      <c r="A30" s="242">
        <f t="shared" si="7"/>
        <v>17</v>
      </c>
      <c r="B30" s="582" t="s">
        <v>564</v>
      </c>
      <c r="C30" s="1026"/>
      <c r="D30" s="786" t="s">
        <v>565</v>
      </c>
      <c r="E30" s="787">
        <v>8</v>
      </c>
      <c r="F30" s="788"/>
      <c r="G30" s="789"/>
      <c r="H30" s="781">
        <f t="shared" si="0"/>
        <v>0</v>
      </c>
      <c r="I30" s="788"/>
      <c r="J30" s="790"/>
      <c r="K30" s="784">
        <f t="shared" si="6"/>
        <v>0</v>
      </c>
      <c r="L30" s="784">
        <f t="shared" si="1"/>
        <v>0</v>
      </c>
      <c r="M30" s="784">
        <f t="shared" si="2"/>
        <v>0</v>
      </c>
      <c r="N30" s="784">
        <f t="shared" si="3"/>
        <v>0</v>
      </c>
      <c r="O30" s="784">
        <f t="shared" si="4"/>
        <v>0</v>
      </c>
      <c r="P30" s="784">
        <f t="shared" si="5"/>
        <v>0</v>
      </c>
    </row>
    <row r="31" spans="1:16" s="1" customFormat="1" ht="11.25" x14ac:dyDescent="0.2">
      <c r="A31" s="242">
        <f t="shared" si="7"/>
        <v>18</v>
      </c>
      <c r="B31" s="582" t="s">
        <v>558</v>
      </c>
      <c r="C31" s="1027"/>
      <c r="D31" s="786" t="s">
        <v>565</v>
      </c>
      <c r="E31" s="787">
        <v>8</v>
      </c>
      <c r="F31" s="788"/>
      <c r="G31" s="789"/>
      <c r="H31" s="781">
        <f t="shared" si="0"/>
        <v>0</v>
      </c>
      <c r="I31" s="788"/>
      <c r="J31" s="790"/>
      <c r="K31" s="784">
        <f t="shared" si="6"/>
        <v>0</v>
      </c>
      <c r="L31" s="784">
        <f t="shared" si="1"/>
        <v>0</v>
      </c>
      <c r="M31" s="784">
        <f t="shared" si="2"/>
        <v>0</v>
      </c>
      <c r="N31" s="784">
        <f t="shared" si="3"/>
        <v>0</v>
      </c>
      <c r="O31" s="784">
        <f t="shared" si="4"/>
        <v>0</v>
      </c>
      <c r="P31" s="784">
        <f t="shared" si="5"/>
        <v>0</v>
      </c>
    </row>
    <row r="32" spans="1:16" s="1" customFormat="1" ht="11.25" x14ac:dyDescent="0.2">
      <c r="A32" s="242">
        <f t="shared" si="7"/>
        <v>19</v>
      </c>
      <c r="B32" s="257" t="s">
        <v>303</v>
      </c>
      <c r="C32" s="785" t="s">
        <v>566</v>
      </c>
      <c r="D32" s="786" t="s">
        <v>83</v>
      </c>
      <c r="E32" s="787">
        <v>4</v>
      </c>
      <c r="F32" s="788"/>
      <c r="G32" s="789"/>
      <c r="H32" s="781">
        <f t="shared" si="0"/>
        <v>0</v>
      </c>
      <c r="I32" s="788"/>
      <c r="J32" s="790"/>
      <c r="K32" s="784">
        <f t="shared" si="6"/>
        <v>0</v>
      </c>
      <c r="L32" s="784">
        <f t="shared" si="1"/>
        <v>0</v>
      </c>
      <c r="M32" s="784">
        <f t="shared" si="2"/>
        <v>0</v>
      </c>
      <c r="N32" s="784">
        <f t="shared" si="3"/>
        <v>0</v>
      </c>
      <c r="O32" s="784">
        <f t="shared" si="4"/>
        <v>0</v>
      </c>
      <c r="P32" s="784">
        <f t="shared" si="5"/>
        <v>0</v>
      </c>
    </row>
    <row r="33" spans="1:16" s="1" customFormat="1" ht="11.25" x14ac:dyDescent="0.2">
      <c r="A33" s="242">
        <f t="shared" si="7"/>
        <v>20</v>
      </c>
      <c r="B33" s="582" t="s">
        <v>552</v>
      </c>
      <c r="C33" s="1025" t="s">
        <v>567</v>
      </c>
      <c r="D33" s="582" t="s">
        <v>83</v>
      </c>
      <c r="E33" s="780">
        <v>2</v>
      </c>
      <c r="F33" s="781"/>
      <c r="G33" s="782"/>
      <c r="H33" s="781">
        <f t="shared" si="0"/>
        <v>0</v>
      </c>
      <c r="I33" s="781"/>
      <c r="J33" s="783"/>
      <c r="K33" s="784">
        <f t="shared" si="6"/>
        <v>0</v>
      </c>
      <c r="L33" s="784">
        <f t="shared" si="1"/>
        <v>0</v>
      </c>
      <c r="M33" s="784">
        <f t="shared" si="2"/>
        <v>0</v>
      </c>
      <c r="N33" s="784">
        <f t="shared" si="3"/>
        <v>0</v>
      </c>
      <c r="O33" s="784">
        <f t="shared" si="4"/>
        <v>0</v>
      </c>
      <c r="P33" s="784">
        <f t="shared" si="5"/>
        <v>0</v>
      </c>
    </row>
    <row r="34" spans="1:16" s="1" customFormat="1" ht="11.25" x14ac:dyDescent="0.2">
      <c r="A34" s="242">
        <f t="shared" si="7"/>
        <v>21</v>
      </c>
      <c r="B34" s="582" t="s">
        <v>551</v>
      </c>
      <c r="C34" s="1027"/>
      <c r="D34" s="582" t="s">
        <v>83</v>
      </c>
      <c r="E34" s="780">
        <v>80</v>
      </c>
      <c r="F34" s="781"/>
      <c r="G34" s="782"/>
      <c r="H34" s="781">
        <f t="shared" si="0"/>
        <v>0</v>
      </c>
      <c r="I34" s="781"/>
      <c r="J34" s="783"/>
      <c r="K34" s="784">
        <f t="shared" si="6"/>
        <v>0</v>
      </c>
      <c r="L34" s="784">
        <f t="shared" si="1"/>
        <v>0</v>
      </c>
      <c r="M34" s="784">
        <f t="shared" si="2"/>
        <v>0</v>
      </c>
      <c r="N34" s="784">
        <f t="shared" si="3"/>
        <v>0</v>
      </c>
      <c r="O34" s="784">
        <f t="shared" si="4"/>
        <v>0</v>
      </c>
      <c r="P34" s="784">
        <f t="shared" si="5"/>
        <v>0</v>
      </c>
    </row>
    <row r="35" spans="1:16" s="1" customFormat="1" ht="22.5" x14ac:dyDescent="0.2">
      <c r="A35" s="242">
        <f t="shared" si="7"/>
        <v>22</v>
      </c>
      <c r="B35" s="786" t="s">
        <v>551</v>
      </c>
      <c r="C35" s="791" t="s">
        <v>645</v>
      </c>
      <c r="D35" s="786" t="s">
        <v>83</v>
      </c>
      <c r="E35" s="780">
        <v>18</v>
      </c>
      <c r="F35" s="781"/>
      <c r="G35" s="782"/>
      <c r="H35" s="781">
        <f t="shared" si="0"/>
        <v>0</v>
      </c>
      <c r="I35" s="781"/>
      <c r="J35" s="783"/>
      <c r="K35" s="784">
        <f t="shared" si="6"/>
        <v>0</v>
      </c>
      <c r="L35" s="784">
        <f t="shared" si="1"/>
        <v>0</v>
      </c>
      <c r="M35" s="784">
        <f t="shared" si="2"/>
        <v>0</v>
      </c>
      <c r="N35" s="784">
        <f t="shared" si="3"/>
        <v>0</v>
      </c>
      <c r="O35" s="784">
        <f t="shared" si="4"/>
        <v>0</v>
      </c>
      <c r="P35" s="784">
        <f t="shared" si="5"/>
        <v>0</v>
      </c>
    </row>
    <row r="36" spans="1:16" s="1" customFormat="1" ht="22.5" x14ac:dyDescent="0.2">
      <c r="A36" s="242">
        <f t="shared" si="7"/>
        <v>23</v>
      </c>
      <c r="B36" s="786" t="s">
        <v>551</v>
      </c>
      <c r="C36" s="791" t="s">
        <v>646</v>
      </c>
      <c r="D36" s="786" t="s">
        <v>83</v>
      </c>
      <c r="E36" s="780">
        <v>18</v>
      </c>
      <c r="F36" s="781"/>
      <c r="G36" s="782"/>
      <c r="H36" s="781">
        <f t="shared" si="0"/>
        <v>0</v>
      </c>
      <c r="I36" s="781"/>
      <c r="J36" s="783"/>
      <c r="K36" s="784">
        <f t="shared" si="6"/>
        <v>0</v>
      </c>
      <c r="L36" s="784">
        <f t="shared" si="1"/>
        <v>0</v>
      </c>
      <c r="M36" s="784">
        <f t="shared" si="2"/>
        <v>0</v>
      </c>
      <c r="N36" s="784">
        <f t="shared" si="3"/>
        <v>0</v>
      </c>
      <c r="O36" s="784">
        <f t="shared" si="4"/>
        <v>0</v>
      </c>
      <c r="P36" s="784">
        <f t="shared" si="5"/>
        <v>0</v>
      </c>
    </row>
    <row r="37" spans="1:16" s="1" customFormat="1" ht="11.25" customHeight="1" x14ac:dyDescent="0.2">
      <c r="A37" s="242">
        <f t="shared" si="7"/>
        <v>24</v>
      </c>
      <c r="B37" s="582" t="s">
        <v>552</v>
      </c>
      <c r="C37" s="1025" t="s">
        <v>568</v>
      </c>
      <c r="D37" s="582" t="s">
        <v>89</v>
      </c>
      <c r="E37" s="780">
        <v>4</v>
      </c>
      <c r="F37" s="781"/>
      <c r="G37" s="782"/>
      <c r="H37" s="781">
        <f t="shared" si="0"/>
        <v>0</v>
      </c>
      <c r="I37" s="781"/>
      <c r="J37" s="783"/>
      <c r="K37" s="784">
        <f t="shared" si="6"/>
        <v>0</v>
      </c>
      <c r="L37" s="784">
        <f t="shared" si="1"/>
        <v>0</v>
      </c>
      <c r="M37" s="784">
        <f t="shared" si="2"/>
        <v>0</v>
      </c>
      <c r="N37" s="784">
        <f t="shared" si="3"/>
        <v>0</v>
      </c>
      <c r="O37" s="784">
        <f t="shared" si="4"/>
        <v>0</v>
      </c>
      <c r="P37" s="784">
        <f t="shared" si="5"/>
        <v>0</v>
      </c>
    </row>
    <row r="38" spans="1:16" s="1" customFormat="1" ht="11.25" x14ac:dyDescent="0.2">
      <c r="A38" s="242">
        <f t="shared" si="7"/>
        <v>25</v>
      </c>
      <c r="B38" s="582" t="s">
        <v>553</v>
      </c>
      <c r="C38" s="1026"/>
      <c r="D38" s="582" t="s">
        <v>89</v>
      </c>
      <c r="E38" s="780">
        <v>40</v>
      </c>
      <c r="F38" s="781"/>
      <c r="G38" s="782"/>
      <c r="H38" s="781">
        <f t="shared" si="0"/>
        <v>0</v>
      </c>
      <c r="I38" s="781"/>
      <c r="J38" s="783"/>
      <c r="K38" s="784">
        <f t="shared" si="6"/>
        <v>0</v>
      </c>
      <c r="L38" s="784">
        <f t="shared" si="1"/>
        <v>0</v>
      </c>
      <c r="M38" s="784">
        <f t="shared" si="2"/>
        <v>0</v>
      </c>
      <c r="N38" s="784">
        <f t="shared" si="3"/>
        <v>0</v>
      </c>
      <c r="O38" s="784">
        <f t="shared" si="4"/>
        <v>0</v>
      </c>
      <c r="P38" s="784">
        <f t="shared" si="5"/>
        <v>0</v>
      </c>
    </row>
    <row r="39" spans="1:16" s="1" customFormat="1" ht="11.25" x14ac:dyDescent="0.2">
      <c r="A39" s="242">
        <f t="shared" si="7"/>
        <v>26</v>
      </c>
      <c r="B39" s="582" t="s">
        <v>556</v>
      </c>
      <c r="C39" s="1026"/>
      <c r="D39" s="582" t="s">
        <v>89</v>
      </c>
      <c r="E39" s="780">
        <v>34</v>
      </c>
      <c r="F39" s="781"/>
      <c r="G39" s="782"/>
      <c r="H39" s="781">
        <f t="shared" si="0"/>
        <v>0</v>
      </c>
      <c r="I39" s="781"/>
      <c r="J39" s="783"/>
      <c r="K39" s="784">
        <f t="shared" si="6"/>
        <v>0</v>
      </c>
      <c r="L39" s="784">
        <f t="shared" si="1"/>
        <v>0</v>
      </c>
      <c r="M39" s="784">
        <f t="shared" si="2"/>
        <v>0</v>
      </c>
      <c r="N39" s="784">
        <f t="shared" si="3"/>
        <v>0</v>
      </c>
      <c r="O39" s="784">
        <f t="shared" si="4"/>
        <v>0</v>
      </c>
      <c r="P39" s="784">
        <f t="shared" si="5"/>
        <v>0</v>
      </c>
    </row>
    <row r="40" spans="1:16" s="1" customFormat="1" ht="11.25" x14ac:dyDescent="0.2">
      <c r="A40" s="242">
        <f t="shared" si="7"/>
        <v>27</v>
      </c>
      <c r="B40" s="786" t="s">
        <v>555</v>
      </c>
      <c r="C40" s="1026"/>
      <c r="D40" s="786"/>
      <c r="E40" s="787">
        <v>90</v>
      </c>
      <c r="F40" s="788"/>
      <c r="G40" s="789"/>
      <c r="H40" s="781">
        <f t="shared" si="0"/>
        <v>0</v>
      </c>
      <c r="I40" s="788"/>
      <c r="J40" s="790"/>
      <c r="K40" s="784">
        <f t="shared" si="6"/>
        <v>0</v>
      </c>
      <c r="L40" s="784">
        <f t="shared" si="1"/>
        <v>0</v>
      </c>
      <c r="M40" s="784">
        <f t="shared" si="2"/>
        <v>0</v>
      </c>
      <c r="N40" s="784">
        <f t="shared" si="3"/>
        <v>0</v>
      </c>
      <c r="O40" s="784">
        <f t="shared" si="4"/>
        <v>0</v>
      </c>
      <c r="P40" s="784">
        <f t="shared" si="5"/>
        <v>0</v>
      </c>
    </row>
    <row r="41" spans="1:16" s="1" customFormat="1" ht="11.25" x14ac:dyDescent="0.2">
      <c r="A41" s="242">
        <f t="shared" si="7"/>
        <v>28</v>
      </c>
      <c r="B41" s="582" t="s">
        <v>554</v>
      </c>
      <c r="C41" s="1026"/>
      <c r="D41" s="582" t="s">
        <v>89</v>
      </c>
      <c r="E41" s="780">
        <v>48</v>
      </c>
      <c r="F41" s="781"/>
      <c r="G41" s="782"/>
      <c r="H41" s="781">
        <f t="shared" si="0"/>
        <v>0</v>
      </c>
      <c r="I41" s="781"/>
      <c r="J41" s="783"/>
      <c r="K41" s="784">
        <f t="shared" si="6"/>
        <v>0</v>
      </c>
      <c r="L41" s="784">
        <f t="shared" si="1"/>
        <v>0</v>
      </c>
      <c r="M41" s="784">
        <f t="shared" si="2"/>
        <v>0</v>
      </c>
      <c r="N41" s="784">
        <f t="shared" si="3"/>
        <v>0</v>
      </c>
      <c r="O41" s="784">
        <f t="shared" si="4"/>
        <v>0</v>
      </c>
      <c r="P41" s="784">
        <f t="shared" si="5"/>
        <v>0</v>
      </c>
    </row>
    <row r="42" spans="1:16" s="1" customFormat="1" ht="11.25" x14ac:dyDescent="0.2">
      <c r="A42" s="242">
        <f t="shared" si="7"/>
        <v>29</v>
      </c>
      <c r="B42" s="582" t="s">
        <v>551</v>
      </c>
      <c r="C42" s="1027"/>
      <c r="D42" s="582" t="s">
        <v>89</v>
      </c>
      <c r="E42" s="780">
        <v>84</v>
      </c>
      <c r="F42" s="781"/>
      <c r="G42" s="782"/>
      <c r="H42" s="781">
        <f t="shared" si="0"/>
        <v>0</v>
      </c>
      <c r="I42" s="781"/>
      <c r="J42" s="783"/>
      <c r="K42" s="784">
        <f t="shared" si="6"/>
        <v>0</v>
      </c>
      <c r="L42" s="784">
        <f t="shared" si="1"/>
        <v>0</v>
      </c>
      <c r="M42" s="784">
        <f t="shared" si="2"/>
        <v>0</v>
      </c>
      <c r="N42" s="784">
        <f t="shared" si="3"/>
        <v>0</v>
      </c>
      <c r="O42" s="784">
        <f t="shared" si="4"/>
        <v>0</v>
      </c>
      <c r="P42" s="784">
        <f t="shared" si="5"/>
        <v>0</v>
      </c>
    </row>
    <row r="43" spans="1:16" s="1" customFormat="1" ht="11.25" x14ac:dyDescent="0.2">
      <c r="A43" s="242">
        <f t="shared" si="7"/>
        <v>30</v>
      </c>
      <c r="B43" s="582" t="s">
        <v>553</v>
      </c>
      <c r="C43" s="1028" t="s">
        <v>647</v>
      </c>
      <c r="D43" s="582" t="s">
        <v>83</v>
      </c>
      <c r="E43" s="780">
        <v>18</v>
      </c>
      <c r="F43" s="781"/>
      <c r="G43" s="782"/>
      <c r="H43" s="781">
        <f t="shared" si="0"/>
        <v>0</v>
      </c>
      <c r="I43" s="781"/>
      <c r="J43" s="783"/>
      <c r="K43" s="784">
        <f t="shared" si="6"/>
        <v>0</v>
      </c>
      <c r="L43" s="784">
        <f t="shared" si="1"/>
        <v>0</v>
      </c>
      <c r="M43" s="784">
        <f t="shared" si="2"/>
        <v>0</v>
      </c>
      <c r="N43" s="784">
        <f t="shared" si="3"/>
        <v>0</v>
      </c>
      <c r="O43" s="784">
        <f t="shared" si="4"/>
        <v>0</v>
      </c>
      <c r="P43" s="784">
        <f t="shared" si="5"/>
        <v>0</v>
      </c>
    </row>
    <row r="44" spans="1:16" s="1" customFormat="1" ht="11.25" x14ac:dyDescent="0.2">
      <c r="A44" s="242">
        <f t="shared" si="7"/>
        <v>31</v>
      </c>
      <c r="B44" s="582" t="s">
        <v>556</v>
      </c>
      <c r="C44" s="1029"/>
      <c r="D44" s="582" t="s">
        <v>83</v>
      </c>
      <c r="E44" s="780">
        <v>12</v>
      </c>
      <c r="F44" s="781"/>
      <c r="G44" s="782"/>
      <c r="H44" s="781">
        <f t="shared" si="0"/>
        <v>0</v>
      </c>
      <c r="I44" s="781"/>
      <c r="J44" s="783"/>
      <c r="K44" s="784">
        <f t="shared" si="6"/>
        <v>0</v>
      </c>
      <c r="L44" s="784">
        <f t="shared" si="1"/>
        <v>0</v>
      </c>
      <c r="M44" s="784">
        <f t="shared" si="2"/>
        <v>0</v>
      </c>
      <c r="N44" s="784">
        <f t="shared" si="3"/>
        <v>0</v>
      </c>
      <c r="O44" s="784">
        <f t="shared" si="4"/>
        <v>0</v>
      </c>
      <c r="P44" s="784">
        <f t="shared" si="5"/>
        <v>0</v>
      </c>
    </row>
    <row r="45" spans="1:16" s="1" customFormat="1" ht="11.25" x14ac:dyDescent="0.2">
      <c r="A45" s="242">
        <f t="shared" si="7"/>
        <v>32</v>
      </c>
      <c r="B45" s="786" t="s">
        <v>555</v>
      </c>
      <c r="C45" s="1029"/>
      <c r="D45" s="582" t="s">
        <v>83</v>
      </c>
      <c r="E45" s="780">
        <v>45</v>
      </c>
      <c r="F45" s="781"/>
      <c r="G45" s="782"/>
      <c r="H45" s="781">
        <f t="shared" si="0"/>
        <v>0</v>
      </c>
      <c r="I45" s="781"/>
      <c r="J45" s="783"/>
      <c r="K45" s="784">
        <f t="shared" si="6"/>
        <v>0</v>
      </c>
      <c r="L45" s="784">
        <f t="shared" si="1"/>
        <v>0</v>
      </c>
      <c r="M45" s="784">
        <f t="shared" si="2"/>
        <v>0</v>
      </c>
      <c r="N45" s="784">
        <f t="shared" si="3"/>
        <v>0</v>
      </c>
      <c r="O45" s="784">
        <f t="shared" si="4"/>
        <v>0</v>
      </c>
      <c r="P45" s="784">
        <f t="shared" si="5"/>
        <v>0</v>
      </c>
    </row>
    <row r="46" spans="1:16" s="1" customFormat="1" ht="11.25" x14ac:dyDescent="0.2">
      <c r="A46" s="242">
        <f t="shared" si="7"/>
        <v>33</v>
      </c>
      <c r="B46" s="582" t="s">
        <v>554</v>
      </c>
      <c r="C46" s="1029"/>
      <c r="D46" s="582" t="s">
        <v>83</v>
      </c>
      <c r="E46" s="780">
        <v>24</v>
      </c>
      <c r="F46" s="781"/>
      <c r="G46" s="782"/>
      <c r="H46" s="781">
        <f t="shared" si="0"/>
        <v>0</v>
      </c>
      <c r="I46" s="781"/>
      <c r="J46" s="783"/>
      <c r="K46" s="784">
        <f t="shared" si="6"/>
        <v>0</v>
      </c>
      <c r="L46" s="784">
        <f t="shared" si="1"/>
        <v>0</v>
      </c>
      <c r="M46" s="784">
        <f t="shared" si="2"/>
        <v>0</v>
      </c>
      <c r="N46" s="784">
        <f t="shared" si="3"/>
        <v>0</v>
      </c>
      <c r="O46" s="784">
        <f t="shared" si="4"/>
        <v>0</v>
      </c>
      <c r="P46" s="784">
        <f t="shared" si="5"/>
        <v>0</v>
      </c>
    </row>
    <row r="47" spans="1:16" s="1" customFormat="1" ht="11.25" x14ac:dyDescent="0.2">
      <c r="A47" s="242">
        <f t="shared" si="7"/>
        <v>34</v>
      </c>
      <c r="B47" s="582" t="s">
        <v>551</v>
      </c>
      <c r="C47" s="1029"/>
      <c r="D47" s="582" t="s">
        <v>83</v>
      </c>
      <c r="E47" s="780">
        <v>12</v>
      </c>
      <c r="F47" s="781"/>
      <c r="G47" s="782"/>
      <c r="H47" s="781">
        <f t="shared" si="0"/>
        <v>0</v>
      </c>
      <c r="I47" s="781"/>
      <c r="J47" s="783"/>
      <c r="K47" s="784">
        <f t="shared" si="6"/>
        <v>0</v>
      </c>
      <c r="L47" s="784">
        <f t="shared" si="1"/>
        <v>0</v>
      </c>
      <c r="M47" s="784">
        <f t="shared" si="2"/>
        <v>0</v>
      </c>
      <c r="N47" s="784">
        <f t="shared" si="3"/>
        <v>0</v>
      </c>
      <c r="O47" s="784">
        <f t="shared" si="4"/>
        <v>0</v>
      </c>
      <c r="P47" s="784">
        <f t="shared" si="5"/>
        <v>0</v>
      </c>
    </row>
    <row r="48" spans="1:16" s="1" customFormat="1" ht="22.5" x14ac:dyDescent="0.2">
      <c r="A48" s="242">
        <f t="shared" si="7"/>
        <v>35</v>
      </c>
      <c r="B48" s="257" t="s">
        <v>303</v>
      </c>
      <c r="C48" s="785" t="s">
        <v>569</v>
      </c>
      <c r="D48" s="786" t="s">
        <v>236</v>
      </c>
      <c r="E48" s="787">
        <v>1</v>
      </c>
      <c r="F48" s="788"/>
      <c r="G48" s="789"/>
      <c r="H48" s="781">
        <f t="shared" si="0"/>
        <v>0</v>
      </c>
      <c r="I48" s="788"/>
      <c r="J48" s="790"/>
      <c r="K48" s="784">
        <f t="shared" si="6"/>
        <v>0</v>
      </c>
      <c r="L48" s="784">
        <f t="shared" si="1"/>
        <v>0</v>
      </c>
      <c r="M48" s="784">
        <f t="shared" si="2"/>
        <v>0</v>
      </c>
      <c r="N48" s="784">
        <f t="shared" si="3"/>
        <v>0</v>
      </c>
      <c r="O48" s="784">
        <f t="shared" si="4"/>
        <v>0</v>
      </c>
      <c r="P48" s="784">
        <f t="shared" si="5"/>
        <v>0</v>
      </c>
    </row>
    <row r="49" spans="1:16" s="1" customFormat="1" ht="11.25" x14ac:dyDescent="0.2">
      <c r="A49" s="242">
        <f t="shared" si="7"/>
        <v>36</v>
      </c>
      <c r="B49" s="257" t="s">
        <v>303</v>
      </c>
      <c r="C49" s="785" t="s">
        <v>570</v>
      </c>
      <c r="D49" s="786" t="s">
        <v>236</v>
      </c>
      <c r="E49" s="787">
        <v>1</v>
      </c>
      <c r="F49" s="788"/>
      <c r="G49" s="789"/>
      <c r="H49" s="781">
        <f t="shared" si="0"/>
        <v>0</v>
      </c>
      <c r="I49" s="788"/>
      <c r="J49" s="790"/>
      <c r="K49" s="784">
        <f t="shared" si="6"/>
        <v>0</v>
      </c>
      <c r="L49" s="784">
        <f t="shared" si="1"/>
        <v>0</v>
      </c>
      <c r="M49" s="784">
        <f t="shared" si="2"/>
        <v>0</v>
      </c>
      <c r="N49" s="784">
        <f t="shared" si="3"/>
        <v>0</v>
      </c>
      <c r="O49" s="784">
        <f t="shared" si="4"/>
        <v>0</v>
      </c>
      <c r="P49" s="784">
        <f t="shared" si="5"/>
        <v>0</v>
      </c>
    </row>
    <row r="50" spans="1:16" s="1" customFormat="1" ht="67.5" x14ac:dyDescent="0.2">
      <c r="A50" s="242">
        <f t="shared" si="7"/>
        <v>37</v>
      </c>
      <c r="B50" s="257" t="s">
        <v>303</v>
      </c>
      <c r="C50" s="785" t="s">
        <v>571</v>
      </c>
      <c r="D50" s="786" t="s">
        <v>236</v>
      </c>
      <c r="E50" s="787">
        <v>164</v>
      </c>
      <c r="F50" s="788"/>
      <c r="G50" s="789"/>
      <c r="H50" s="781">
        <f t="shared" si="0"/>
        <v>0</v>
      </c>
      <c r="I50" s="788"/>
      <c r="J50" s="790"/>
      <c r="K50" s="784">
        <f t="shared" si="6"/>
        <v>0</v>
      </c>
      <c r="L50" s="784">
        <f t="shared" si="1"/>
        <v>0</v>
      </c>
      <c r="M50" s="784">
        <f t="shared" si="2"/>
        <v>0</v>
      </c>
      <c r="N50" s="784">
        <f t="shared" si="3"/>
        <v>0</v>
      </c>
      <c r="O50" s="784">
        <f t="shared" si="4"/>
        <v>0</v>
      </c>
      <c r="P50" s="784">
        <f t="shared" si="5"/>
        <v>0</v>
      </c>
    </row>
    <row r="51" spans="1:16" s="1" customFormat="1" ht="33.75" x14ac:dyDescent="0.2">
      <c r="A51" s="242">
        <f>A50+1</f>
        <v>38</v>
      </c>
      <c r="B51" s="257" t="s">
        <v>303</v>
      </c>
      <c r="C51" s="785" t="s">
        <v>648</v>
      </c>
      <c r="D51" s="786" t="s">
        <v>236</v>
      </c>
      <c r="E51" s="780">
        <v>8</v>
      </c>
      <c r="F51" s="781"/>
      <c r="G51" s="782"/>
      <c r="H51" s="781">
        <f t="shared" si="0"/>
        <v>0</v>
      </c>
      <c r="I51" s="781"/>
      <c r="J51" s="783"/>
      <c r="K51" s="784">
        <f t="shared" si="6"/>
        <v>0</v>
      </c>
      <c r="L51" s="784">
        <f t="shared" si="1"/>
        <v>0</v>
      </c>
      <c r="M51" s="784">
        <f t="shared" si="2"/>
        <v>0</v>
      </c>
      <c r="N51" s="784">
        <f t="shared" si="3"/>
        <v>0</v>
      </c>
      <c r="O51" s="784">
        <f t="shared" si="4"/>
        <v>0</v>
      </c>
      <c r="P51" s="784">
        <f t="shared" si="5"/>
        <v>0</v>
      </c>
    </row>
    <row r="52" spans="1:16" s="1" customFormat="1" ht="33.75" x14ac:dyDescent="0.2">
      <c r="A52" s="242">
        <f t="shared" si="7"/>
        <v>39</v>
      </c>
      <c r="B52" s="257" t="s">
        <v>303</v>
      </c>
      <c r="C52" s="785" t="s">
        <v>649</v>
      </c>
      <c r="D52" s="786" t="s">
        <v>236</v>
      </c>
      <c r="E52" s="780">
        <v>68</v>
      </c>
      <c r="F52" s="781"/>
      <c r="G52" s="782"/>
      <c r="H52" s="781">
        <f t="shared" si="0"/>
        <v>0</v>
      </c>
      <c r="I52" s="781"/>
      <c r="J52" s="783"/>
      <c r="K52" s="784">
        <f t="shared" si="6"/>
        <v>0</v>
      </c>
      <c r="L52" s="784">
        <f t="shared" si="1"/>
        <v>0</v>
      </c>
      <c r="M52" s="784">
        <f t="shared" si="2"/>
        <v>0</v>
      </c>
      <c r="N52" s="784">
        <f t="shared" si="3"/>
        <v>0</v>
      </c>
      <c r="O52" s="784">
        <f t="shared" si="4"/>
        <v>0</v>
      </c>
      <c r="P52" s="784">
        <f t="shared" si="5"/>
        <v>0</v>
      </c>
    </row>
    <row r="53" spans="1:16" s="1" customFormat="1" ht="33.75" x14ac:dyDescent="0.2">
      <c r="A53" s="242">
        <f t="shared" si="7"/>
        <v>40</v>
      </c>
      <c r="B53" s="257" t="s">
        <v>303</v>
      </c>
      <c r="C53" s="785" t="s">
        <v>650</v>
      </c>
      <c r="D53" s="786" t="s">
        <v>236</v>
      </c>
      <c r="E53" s="780">
        <v>2</v>
      </c>
      <c r="F53" s="781"/>
      <c r="G53" s="782"/>
      <c r="H53" s="781">
        <f t="shared" si="0"/>
        <v>0</v>
      </c>
      <c r="I53" s="781"/>
      <c r="J53" s="783"/>
      <c r="K53" s="784">
        <f t="shared" si="6"/>
        <v>0</v>
      </c>
      <c r="L53" s="784">
        <f t="shared" si="1"/>
        <v>0</v>
      </c>
      <c r="M53" s="784">
        <f t="shared" si="2"/>
        <v>0</v>
      </c>
      <c r="N53" s="784">
        <f t="shared" si="3"/>
        <v>0</v>
      </c>
      <c r="O53" s="784">
        <f t="shared" si="4"/>
        <v>0</v>
      </c>
      <c r="P53" s="784">
        <f t="shared" si="5"/>
        <v>0</v>
      </c>
    </row>
    <row r="54" spans="1:16" s="1" customFormat="1" ht="33.75" x14ac:dyDescent="0.2">
      <c r="A54" s="242">
        <f t="shared" si="7"/>
        <v>41</v>
      </c>
      <c r="B54" s="257" t="s">
        <v>303</v>
      </c>
      <c r="C54" s="785" t="s">
        <v>651</v>
      </c>
      <c r="D54" s="786" t="s">
        <v>236</v>
      </c>
      <c r="E54" s="780">
        <v>11</v>
      </c>
      <c r="F54" s="781"/>
      <c r="G54" s="782"/>
      <c r="H54" s="781">
        <f t="shared" si="0"/>
        <v>0</v>
      </c>
      <c r="I54" s="781"/>
      <c r="J54" s="783"/>
      <c r="K54" s="784">
        <f t="shared" si="6"/>
        <v>0</v>
      </c>
      <c r="L54" s="784">
        <f t="shared" si="1"/>
        <v>0</v>
      </c>
      <c r="M54" s="784">
        <f t="shared" si="2"/>
        <v>0</v>
      </c>
      <c r="N54" s="784">
        <f t="shared" si="3"/>
        <v>0</v>
      </c>
      <c r="O54" s="784">
        <f t="shared" si="4"/>
        <v>0</v>
      </c>
      <c r="P54" s="784">
        <f t="shared" si="5"/>
        <v>0</v>
      </c>
    </row>
    <row r="55" spans="1:16" s="1" customFormat="1" ht="33.75" x14ac:dyDescent="0.2">
      <c r="A55" s="242">
        <f t="shared" si="7"/>
        <v>42</v>
      </c>
      <c r="B55" s="257" t="s">
        <v>303</v>
      </c>
      <c r="C55" s="785" t="s">
        <v>652</v>
      </c>
      <c r="D55" s="786" t="s">
        <v>236</v>
      </c>
      <c r="E55" s="780">
        <v>1</v>
      </c>
      <c r="F55" s="781"/>
      <c r="G55" s="782"/>
      <c r="H55" s="781">
        <f t="shared" si="0"/>
        <v>0</v>
      </c>
      <c r="I55" s="781"/>
      <c r="J55" s="783"/>
      <c r="K55" s="784">
        <f t="shared" si="6"/>
        <v>0</v>
      </c>
      <c r="L55" s="784">
        <f t="shared" si="1"/>
        <v>0</v>
      </c>
      <c r="M55" s="784">
        <f t="shared" si="2"/>
        <v>0</v>
      </c>
      <c r="N55" s="784">
        <f t="shared" si="3"/>
        <v>0</v>
      </c>
      <c r="O55" s="784">
        <f t="shared" si="4"/>
        <v>0</v>
      </c>
      <c r="P55" s="784">
        <f t="shared" si="5"/>
        <v>0</v>
      </c>
    </row>
    <row r="56" spans="1:16" s="1" customFormat="1" ht="33.75" x14ac:dyDescent="0.2">
      <c r="A56" s="242">
        <f t="shared" si="7"/>
        <v>43</v>
      </c>
      <c r="B56" s="257" t="s">
        <v>303</v>
      </c>
      <c r="C56" s="785" t="s">
        <v>653</v>
      </c>
      <c r="D56" s="786" t="s">
        <v>236</v>
      </c>
      <c r="E56" s="780">
        <v>74</v>
      </c>
      <c r="F56" s="781"/>
      <c r="G56" s="782"/>
      <c r="H56" s="781">
        <f t="shared" si="0"/>
        <v>0</v>
      </c>
      <c r="I56" s="781"/>
      <c r="J56" s="783"/>
      <c r="K56" s="784">
        <f t="shared" si="6"/>
        <v>0</v>
      </c>
      <c r="L56" s="784">
        <f t="shared" si="1"/>
        <v>0</v>
      </c>
      <c r="M56" s="784">
        <f t="shared" si="2"/>
        <v>0</v>
      </c>
      <c r="N56" s="784">
        <f t="shared" si="3"/>
        <v>0</v>
      </c>
      <c r="O56" s="784">
        <f t="shared" si="4"/>
        <v>0</v>
      </c>
      <c r="P56" s="784">
        <f t="shared" si="5"/>
        <v>0</v>
      </c>
    </row>
    <row r="57" spans="1:16" s="1" customFormat="1" ht="22.5" x14ac:dyDescent="0.2">
      <c r="A57" s="242">
        <f t="shared" si="7"/>
        <v>44</v>
      </c>
      <c r="B57" s="257" t="s">
        <v>303</v>
      </c>
      <c r="C57" s="785" t="s">
        <v>640</v>
      </c>
      <c r="D57" s="786" t="s">
        <v>83</v>
      </c>
      <c r="E57" s="787">
        <v>164</v>
      </c>
      <c r="F57" s="788"/>
      <c r="G57" s="789"/>
      <c r="H57" s="781">
        <f t="shared" si="0"/>
        <v>0</v>
      </c>
      <c r="I57" s="788"/>
      <c r="J57" s="790"/>
      <c r="K57" s="784">
        <f t="shared" si="6"/>
        <v>0</v>
      </c>
      <c r="L57" s="784">
        <f t="shared" si="1"/>
        <v>0</v>
      </c>
      <c r="M57" s="784">
        <f t="shared" si="2"/>
        <v>0</v>
      </c>
      <c r="N57" s="784">
        <f t="shared" si="3"/>
        <v>0</v>
      </c>
      <c r="O57" s="784">
        <f t="shared" si="4"/>
        <v>0</v>
      </c>
      <c r="P57" s="784">
        <f t="shared" si="5"/>
        <v>0</v>
      </c>
    </row>
    <row r="58" spans="1:16" s="1" customFormat="1" ht="22.5" x14ac:dyDescent="0.2">
      <c r="A58" s="242">
        <f t="shared" si="7"/>
        <v>45</v>
      </c>
      <c r="B58" s="257" t="s">
        <v>303</v>
      </c>
      <c r="C58" s="785" t="s">
        <v>641</v>
      </c>
      <c r="D58" s="786" t="s">
        <v>83</v>
      </c>
      <c r="E58" s="787">
        <v>164</v>
      </c>
      <c r="F58" s="788"/>
      <c r="G58" s="789"/>
      <c r="H58" s="781">
        <f t="shared" si="0"/>
        <v>0</v>
      </c>
      <c r="I58" s="788"/>
      <c r="J58" s="790"/>
      <c r="K58" s="784">
        <f t="shared" si="6"/>
        <v>0</v>
      </c>
      <c r="L58" s="784">
        <f t="shared" si="1"/>
        <v>0</v>
      </c>
      <c r="M58" s="784">
        <f t="shared" si="2"/>
        <v>0</v>
      </c>
      <c r="N58" s="784">
        <f t="shared" si="3"/>
        <v>0</v>
      </c>
      <c r="O58" s="784">
        <f t="shared" si="4"/>
        <v>0</v>
      </c>
      <c r="P58" s="784">
        <f t="shared" si="5"/>
        <v>0</v>
      </c>
    </row>
    <row r="59" spans="1:16" s="1" customFormat="1" ht="11.25" x14ac:dyDescent="0.2">
      <c r="A59" s="242">
        <f t="shared" si="7"/>
        <v>46</v>
      </c>
      <c r="B59" s="257" t="s">
        <v>303</v>
      </c>
      <c r="C59" s="785" t="s">
        <v>642</v>
      </c>
      <c r="D59" s="786" t="s">
        <v>83</v>
      </c>
      <c r="E59" s="787">
        <v>164</v>
      </c>
      <c r="F59" s="788"/>
      <c r="G59" s="789"/>
      <c r="H59" s="781">
        <f t="shared" si="0"/>
        <v>0</v>
      </c>
      <c r="I59" s="788"/>
      <c r="J59" s="790"/>
      <c r="K59" s="784">
        <f t="shared" si="6"/>
        <v>0</v>
      </c>
      <c r="L59" s="784">
        <f t="shared" si="1"/>
        <v>0</v>
      </c>
      <c r="M59" s="784">
        <f t="shared" si="2"/>
        <v>0</v>
      </c>
      <c r="N59" s="784">
        <f t="shared" si="3"/>
        <v>0</v>
      </c>
      <c r="O59" s="784">
        <f t="shared" si="4"/>
        <v>0</v>
      </c>
      <c r="P59" s="784">
        <f t="shared" si="5"/>
        <v>0</v>
      </c>
    </row>
    <row r="60" spans="1:16" s="1" customFormat="1" ht="22.5" x14ac:dyDescent="0.2">
      <c r="A60" s="242">
        <f t="shared" si="7"/>
        <v>47</v>
      </c>
      <c r="B60" s="257" t="s">
        <v>303</v>
      </c>
      <c r="C60" s="785" t="s">
        <v>572</v>
      </c>
      <c r="D60" s="786" t="s">
        <v>236</v>
      </c>
      <c r="E60" s="787">
        <v>1</v>
      </c>
      <c r="F60" s="788"/>
      <c r="G60" s="789"/>
      <c r="H60" s="781">
        <f t="shared" si="0"/>
        <v>0</v>
      </c>
      <c r="I60" s="788"/>
      <c r="J60" s="790"/>
      <c r="K60" s="784">
        <f t="shared" si="6"/>
        <v>0</v>
      </c>
      <c r="L60" s="784">
        <f t="shared" si="1"/>
        <v>0</v>
      </c>
      <c r="M60" s="784">
        <f t="shared" si="2"/>
        <v>0</v>
      </c>
      <c r="N60" s="784">
        <f t="shared" si="3"/>
        <v>0</v>
      </c>
      <c r="O60" s="784">
        <f t="shared" si="4"/>
        <v>0</v>
      </c>
      <c r="P60" s="784">
        <f t="shared" si="5"/>
        <v>0</v>
      </c>
    </row>
    <row r="61" spans="1:16" s="1" customFormat="1" ht="12" thickBot="1" x14ac:dyDescent="0.25">
      <c r="A61" s="242">
        <f t="shared" si="7"/>
        <v>48</v>
      </c>
      <c r="B61" s="786"/>
      <c r="C61" s="792" t="s">
        <v>573</v>
      </c>
      <c r="D61" s="786"/>
      <c r="E61" s="787"/>
      <c r="F61" s="788"/>
      <c r="G61" s="789"/>
      <c r="H61" s="781">
        <f t="shared" si="0"/>
        <v>0</v>
      </c>
      <c r="I61" s="788"/>
      <c r="J61" s="790"/>
      <c r="K61" s="784">
        <f t="shared" si="6"/>
        <v>0</v>
      </c>
      <c r="L61" s="784">
        <f t="shared" si="1"/>
        <v>0</v>
      </c>
      <c r="M61" s="784">
        <f t="shared" si="2"/>
        <v>0</v>
      </c>
      <c r="N61" s="784">
        <f t="shared" si="3"/>
        <v>0</v>
      </c>
      <c r="O61" s="784">
        <f t="shared" si="4"/>
        <v>0</v>
      </c>
      <c r="P61" s="784">
        <f t="shared" si="5"/>
        <v>0</v>
      </c>
    </row>
    <row r="62" spans="1:16" s="1" customFormat="1" ht="22.5" x14ac:dyDescent="0.2">
      <c r="A62" s="242">
        <f t="shared" si="7"/>
        <v>49</v>
      </c>
      <c r="B62" s="257" t="s">
        <v>303</v>
      </c>
      <c r="C62" s="793" t="s">
        <v>574</v>
      </c>
      <c r="D62" s="582" t="s">
        <v>236</v>
      </c>
      <c r="E62" s="780">
        <v>74</v>
      </c>
      <c r="F62" s="781"/>
      <c r="G62" s="782"/>
      <c r="H62" s="781">
        <f t="shared" si="0"/>
        <v>0</v>
      </c>
      <c r="I62" s="781"/>
      <c r="J62" s="783"/>
      <c r="K62" s="784">
        <f t="shared" si="6"/>
        <v>0</v>
      </c>
      <c r="L62" s="784">
        <f t="shared" si="1"/>
        <v>0</v>
      </c>
      <c r="M62" s="784">
        <f t="shared" si="2"/>
        <v>0</v>
      </c>
      <c r="N62" s="784">
        <f t="shared" si="3"/>
        <v>0</v>
      </c>
      <c r="O62" s="784">
        <f t="shared" si="4"/>
        <v>0</v>
      </c>
      <c r="P62" s="784">
        <f t="shared" si="5"/>
        <v>0</v>
      </c>
    </row>
    <row r="63" spans="1:16" s="1" customFormat="1" ht="12" thickBot="1" x14ac:dyDescent="0.25">
      <c r="A63" s="242">
        <f t="shared" si="7"/>
        <v>50</v>
      </c>
      <c r="B63" s="257" t="s">
        <v>303</v>
      </c>
      <c r="C63" s="794" t="s">
        <v>643</v>
      </c>
      <c r="D63" s="582" t="s">
        <v>236</v>
      </c>
      <c r="E63" s="780">
        <v>74</v>
      </c>
      <c r="F63" s="781"/>
      <c r="G63" s="782"/>
      <c r="H63" s="781">
        <f t="shared" si="0"/>
        <v>0</v>
      </c>
      <c r="I63" s="781"/>
      <c r="J63" s="783"/>
      <c r="K63" s="784">
        <f t="shared" si="6"/>
        <v>0</v>
      </c>
      <c r="L63" s="784">
        <f t="shared" si="1"/>
        <v>0</v>
      </c>
      <c r="M63" s="784">
        <f t="shared" si="2"/>
        <v>0</v>
      </c>
      <c r="N63" s="784">
        <f t="shared" si="3"/>
        <v>0</v>
      </c>
      <c r="O63" s="784">
        <f t="shared" si="4"/>
        <v>0</v>
      </c>
      <c r="P63" s="784">
        <f t="shared" si="5"/>
        <v>0</v>
      </c>
    </row>
    <row r="64" spans="1:16" s="1" customFormat="1" ht="12" customHeight="1" thickBot="1" x14ac:dyDescent="0.25">
      <c r="A64" s="261"/>
      <c r="B64" s="965" t="s">
        <v>626</v>
      </c>
      <c r="C64" s="966"/>
      <c r="D64" s="966"/>
      <c r="E64" s="966"/>
      <c r="F64" s="966"/>
      <c r="G64" s="966"/>
      <c r="H64" s="966"/>
      <c r="I64" s="966"/>
      <c r="J64" s="966"/>
      <c r="K64" s="966"/>
      <c r="L64" s="967"/>
      <c r="M64" s="53">
        <f>SUM(M14:M63)</f>
        <v>0</v>
      </c>
      <c r="N64" s="53">
        <f>SUM(N14:N63)</f>
        <v>0</v>
      </c>
      <c r="O64" s="53">
        <f>SUM(O14:O63)</f>
        <v>0</v>
      </c>
      <c r="P64" s="53">
        <f>SUM(P14:P63)</f>
        <v>0</v>
      </c>
    </row>
    <row r="65" spans="1:16" s="1" customFormat="1" ht="11.25" x14ac:dyDescent="0.2">
      <c r="A65" s="261"/>
      <c r="B65" s="262"/>
      <c r="C65" s="263"/>
      <c r="D65" s="264"/>
      <c r="E65" s="265"/>
      <c r="F65" s="266"/>
      <c r="G65" s="267"/>
      <c r="H65" s="266"/>
      <c r="I65" s="268"/>
      <c r="J65" s="267"/>
      <c r="K65" s="269"/>
      <c r="L65" s="269"/>
      <c r="M65" s="269"/>
      <c r="N65" s="269"/>
      <c r="O65" s="269"/>
      <c r="P65" s="269"/>
    </row>
    <row r="66" spans="1:16" s="1" customFormat="1" ht="11.25" x14ac:dyDescent="0.2">
      <c r="A66" s="14"/>
      <c r="B66" s="14"/>
      <c r="C66" s="14"/>
      <c r="D66" s="14"/>
      <c r="E66" s="14"/>
      <c r="F66" s="14"/>
      <c r="G66" s="14"/>
      <c r="H66" s="14"/>
      <c r="I66" s="14"/>
      <c r="J66" s="14"/>
      <c r="K66" s="14"/>
      <c r="L66" s="14"/>
      <c r="M66" s="14"/>
      <c r="N66" s="14"/>
      <c r="O66" s="14"/>
      <c r="P66" s="14"/>
    </row>
    <row r="67" spans="1:16" s="1" customFormat="1" ht="11.25" x14ac:dyDescent="0.2">
      <c r="A67" s="1" t="s">
        <v>14</v>
      </c>
      <c r="B67" s="14"/>
      <c r="C67" s="958">
        <f>sas</f>
        <v>0</v>
      </c>
      <c r="D67" s="958"/>
      <c r="E67" s="958"/>
      <c r="F67" s="958"/>
      <c r="G67" s="958"/>
      <c r="H67" s="958"/>
      <c r="I67" s="14"/>
      <c r="J67" s="14"/>
      <c r="K67" s="14"/>
      <c r="L67" s="14"/>
      <c r="M67" s="14"/>
      <c r="N67" s="14"/>
      <c r="O67" s="14"/>
      <c r="P67" s="14"/>
    </row>
    <row r="68" spans="1:16" s="1" customFormat="1" ht="11.25" x14ac:dyDescent="0.2">
      <c r="A68" s="14"/>
      <c r="B68" s="14"/>
      <c r="C68" s="931" t="s">
        <v>15</v>
      </c>
      <c r="D68" s="931"/>
      <c r="E68" s="931"/>
      <c r="F68" s="931"/>
      <c r="G68" s="931"/>
      <c r="H68" s="931"/>
      <c r="I68" s="14"/>
      <c r="J68" s="14"/>
      <c r="K68" s="14"/>
      <c r="L68" s="14"/>
      <c r="M68" s="14"/>
      <c r="N68" s="14"/>
      <c r="O68" s="14"/>
      <c r="P68" s="14"/>
    </row>
    <row r="69" spans="1:16" s="1" customFormat="1" ht="11.25" x14ac:dyDescent="0.2">
      <c r="A69" s="14"/>
      <c r="B69" s="14"/>
      <c r="C69" s="14"/>
      <c r="D69" s="14"/>
      <c r="E69" s="14"/>
      <c r="F69" s="14"/>
      <c r="G69" s="14"/>
      <c r="H69" s="14"/>
      <c r="I69" s="14"/>
      <c r="J69" s="14"/>
      <c r="K69" s="14"/>
      <c r="L69" s="14"/>
      <c r="M69" s="14"/>
      <c r="N69" s="14"/>
      <c r="O69" s="14"/>
      <c r="P69" s="14"/>
    </row>
    <row r="70" spans="1:16" s="1" customFormat="1" ht="11.25" x14ac:dyDescent="0.2">
      <c r="A70" s="34" t="str">
        <f>dat</f>
        <v>Tāme sastādīta 20__. gada __. _________</v>
      </c>
      <c r="B70" s="35"/>
      <c r="C70" s="35"/>
      <c r="D70" s="35"/>
      <c r="E70" s="14"/>
      <c r="F70" s="14"/>
      <c r="G70" s="14"/>
      <c r="H70" s="14"/>
      <c r="I70" s="14"/>
      <c r="J70" s="14"/>
      <c r="K70" s="14"/>
      <c r="L70" s="14"/>
      <c r="M70" s="14"/>
      <c r="N70" s="14"/>
      <c r="O70" s="14"/>
      <c r="P70" s="14"/>
    </row>
    <row r="71" spans="1:16" s="1" customFormat="1" ht="11.25" x14ac:dyDescent="0.2">
      <c r="A71" s="14"/>
      <c r="B71" s="14"/>
      <c r="C71" s="14"/>
      <c r="D71" s="14"/>
      <c r="E71" s="14"/>
      <c r="F71" s="14"/>
      <c r="G71" s="14"/>
      <c r="H71" s="14"/>
      <c r="I71" s="14"/>
      <c r="J71" s="14"/>
      <c r="K71" s="14"/>
      <c r="L71" s="14"/>
      <c r="M71" s="14"/>
      <c r="N71" s="14"/>
      <c r="O71" s="14"/>
      <c r="P71" s="14"/>
    </row>
    <row r="72" spans="1:16" s="1" customFormat="1" ht="11.25" x14ac:dyDescent="0.2">
      <c r="A72" s="1" t="s">
        <v>38</v>
      </c>
      <c r="B72" s="14"/>
      <c r="C72" s="958">
        <f>C67</f>
        <v>0</v>
      </c>
      <c r="D72" s="958"/>
      <c r="E72" s="958"/>
      <c r="F72" s="958"/>
      <c r="G72" s="958"/>
      <c r="H72" s="958"/>
      <c r="I72" s="14"/>
      <c r="J72" s="14"/>
      <c r="K72" s="14"/>
      <c r="L72" s="14"/>
      <c r="M72" s="14"/>
      <c r="N72" s="14"/>
      <c r="O72" s="14"/>
      <c r="P72" s="14"/>
    </row>
    <row r="73" spans="1:16" s="1" customFormat="1" ht="11.25" x14ac:dyDescent="0.2">
      <c r="A73" s="14"/>
      <c r="B73" s="14"/>
      <c r="C73" s="931" t="s">
        <v>15</v>
      </c>
      <c r="D73" s="931"/>
      <c r="E73" s="931"/>
      <c r="F73" s="931"/>
      <c r="G73" s="931"/>
      <c r="H73" s="931"/>
      <c r="I73" s="14"/>
      <c r="J73" s="14"/>
      <c r="K73" s="14"/>
      <c r="L73" s="14"/>
      <c r="M73" s="14"/>
      <c r="N73" s="14"/>
      <c r="O73" s="14"/>
      <c r="P73" s="14"/>
    </row>
    <row r="74" spans="1:16" s="1" customFormat="1" ht="11.25" x14ac:dyDescent="0.2">
      <c r="A74" s="14"/>
      <c r="B74" s="14"/>
      <c r="C74" s="14"/>
      <c r="D74" s="14"/>
      <c r="E74" s="14"/>
      <c r="F74" s="14"/>
      <c r="G74" s="14"/>
      <c r="H74" s="14"/>
      <c r="I74" s="14"/>
      <c r="J74" s="14"/>
      <c r="K74" s="14"/>
      <c r="L74" s="14"/>
      <c r="M74" s="14"/>
      <c r="N74" s="14"/>
      <c r="O74" s="14"/>
      <c r="P74" s="14"/>
    </row>
    <row r="75" spans="1:16" s="1" customFormat="1" ht="11.25" x14ac:dyDescent="0.2">
      <c r="A75" s="34" t="s">
        <v>54</v>
      </c>
      <c r="B75" s="35"/>
      <c r="C75" s="74">
        <f>sert.nr</f>
        <v>0</v>
      </c>
      <c r="D75" s="56"/>
      <c r="E75" s="14"/>
      <c r="F75" s="14"/>
      <c r="G75" s="14"/>
      <c r="H75" s="14"/>
      <c r="I75" s="14"/>
      <c r="J75" s="14"/>
      <c r="K75" s="14"/>
      <c r="L75" s="14"/>
      <c r="M75" s="14"/>
      <c r="N75" s="14"/>
      <c r="O75" s="14"/>
      <c r="P75" s="14"/>
    </row>
    <row r="77" spans="1:16" x14ac:dyDescent="0.25">
      <c r="C77" s="925" t="s">
        <v>623</v>
      </c>
    </row>
    <row r="78" spans="1:16" x14ac:dyDescent="0.25">
      <c r="C78" s="926" t="s">
        <v>624</v>
      </c>
    </row>
    <row r="79" spans="1:16" x14ac:dyDescent="0.25">
      <c r="C79" s="926" t="s">
        <v>625</v>
      </c>
    </row>
  </sheetData>
  <mergeCells count="28">
    <mergeCell ref="D5:L5"/>
    <mergeCell ref="D6:L6"/>
    <mergeCell ref="D7:L7"/>
    <mergeCell ref="D8:L8"/>
    <mergeCell ref="C2:I2"/>
    <mergeCell ref="C3:I3"/>
    <mergeCell ref="C4:I4"/>
    <mergeCell ref="L12:P12"/>
    <mergeCell ref="C43:C47"/>
    <mergeCell ref="C37:C42"/>
    <mergeCell ref="A9:F9"/>
    <mergeCell ref="J9:M9"/>
    <mergeCell ref="N9:O9"/>
    <mergeCell ref="A12:A13"/>
    <mergeCell ref="B12:B13"/>
    <mergeCell ref="C12:C13"/>
    <mergeCell ref="D12:D13"/>
    <mergeCell ref="E12:E13"/>
    <mergeCell ref="F12:K12"/>
    <mergeCell ref="C68:H68"/>
    <mergeCell ref="C72:H72"/>
    <mergeCell ref="C73:H73"/>
    <mergeCell ref="C15:C20"/>
    <mergeCell ref="C21:C26"/>
    <mergeCell ref="C28:C31"/>
    <mergeCell ref="C33:C34"/>
    <mergeCell ref="C67:H67"/>
    <mergeCell ref="B64:L64"/>
  </mergeCells>
  <conditionalFormatting sqref="F16:G20 E14:G15 C4:I4 E21:G63 I14:J63 B49:B60">
    <cfRule type="cellIs" dxfId="27" priority="18" operator="equal">
      <formula>0</formula>
    </cfRule>
  </conditionalFormatting>
  <conditionalFormatting sqref="N9:O9 C2:I2 H14:H63 K14:P63 A14:A63">
    <cfRule type="cellIs" dxfId="26" priority="19" operator="equal">
      <formula>0</formula>
    </cfRule>
  </conditionalFormatting>
  <conditionalFormatting sqref="A9:F9 B64:K64">
    <cfRule type="containsText" dxfId="25" priority="20" operator="containsText" text="Tāme sastādīta  20__. gada tirgus cenās, pamatojoties uz ___ daļas rasējumiem"/>
  </conditionalFormatting>
  <conditionalFormatting sqref="O10">
    <cfRule type="cellIs" dxfId="24" priority="21" operator="equal">
      <formula>"20__. gada __. _________"</formula>
    </cfRule>
  </conditionalFormatting>
  <conditionalFormatting sqref="P10">
    <cfRule type="cellIs" dxfId="23" priority="22" operator="equal">
      <formula>"20__. gada __. _________"</formula>
    </cfRule>
  </conditionalFormatting>
  <conditionalFormatting sqref="D1">
    <cfRule type="cellIs" dxfId="22" priority="24" operator="equal">
      <formula>0</formula>
    </cfRule>
  </conditionalFormatting>
  <conditionalFormatting sqref="L64:P64">
    <cfRule type="cellIs" dxfId="21" priority="16" operator="equal">
      <formula>0</formula>
    </cfRule>
  </conditionalFormatting>
  <conditionalFormatting sqref="E15:E20">
    <cfRule type="cellIs" dxfId="20" priority="12" operator="equal">
      <formula>0</formula>
    </cfRule>
  </conditionalFormatting>
  <conditionalFormatting sqref="D5:L8">
    <cfRule type="cellIs" dxfId="19" priority="10" operator="equal">
      <formula>0</formula>
    </cfRule>
  </conditionalFormatting>
  <conditionalFormatting sqref="C67:H67">
    <cfRule type="cellIs" dxfId="18" priority="7" operator="equal">
      <formula>0</formula>
    </cfRule>
  </conditionalFormatting>
  <conditionalFormatting sqref="C72:H72 C67:H67">
    <cfRule type="cellIs" dxfId="17" priority="8" operator="equal">
      <formula>0</formula>
    </cfRule>
  </conditionalFormatting>
  <conditionalFormatting sqref="C75">
    <cfRule type="cellIs" dxfId="16" priority="9" operator="equal">
      <formula>0</formula>
    </cfRule>
  </conditionalFormatting>
  <conditionalFormatting sqref="B14">
    <cfRule type="cellIs" dxfId="15" priority="6" operator="equal">
      <formula>0</formula>
    </cfRule>
  </conditionalFormatting>
  <conditionalFormatting sqref="B27">
    <cfRule type="cellIs" dxfId="14" priority="5" operator="equal">
      <formula>0</formula>
    </cfRule>
  </conditionalFormatting>
  <conditionalFormatting sqref="B32">
    <cfRule type="cellIs" dxfId="13" priority="4" operator="equal">
      <formula>0</formula>
    </cfRule>
  </conditionalFormatting>
  <conditionalFormatting sqref="B48">
    <cfRule type="cellIs" dxfId="12" priority="3" operator="equal">
      <formula>0</formula>
    </cfRule>
  </conditionalFormatting>
  <conditionalFormatting sqref="B62:B63">
    <cfRule type="cellIs" dxfId="11" priority="1" operator="equal">
      <formula>0</formula>
    </cfRule>
  </conditionalFormatting>
  <pageMargins left="0.7" right="0.7" top="0.75" bottom="0.75" header="0.3" footer="0.3"/>
  <pageSetup paperSize="9" scale="86"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MK53"/>
  <sheetViews>
    <sheetView view="pageBreakPreview" topLeftCell="A22" zoomScaleNormal="100" zoomScaleSheetLayoutView="100" workbookViewId="0">
      <selection activeCell="A10" sqref="A10"/>
    </sheetView>
  </sheetViews>
  <sheetFormatPr defaultRowHeight="15" x14ac:dyDescent="0.25"/>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025" width="9.140625" style="1" customWidth="1"/>
  </cols>
  <sheetData>
    <row r="1" spans="1:16 1025:1025" x14ac:dyDescent="0.25">
      <c r="A1" s="33"/>
      <c r="B1" s="33"/>
      <c r="C1" s="37" t="s">
        <v>39</v>
      </c>
      <c r="D1" s="38">
        <f>'Kops a'!A24</f>
        <v>10</v>
      </c>
      <c r="E1" s="33"/>
      <c r="F1" s="33"/>
      <c r="G1" s="33"/>
      <c r="H1" s="33"/>
      <c r="I1" s="33"/>
      <c r="J1" s="33"/>
      <c r="N1" s="39"/>
      <c r="O1" s="37"/>
      <c r="P1" s="40"/>
    </row>
    <row r="2" spans="1:16 1025:1025" x14ac:dyDescent="0.25">
      <c r="A2" s="41"/>
      <c r="B2" s="41"/>
      <c r="C2" s="972" t="s">
        <v>235</v>
      </c>
      <c r="D2" s="972"/>
      <c r="E2" s="972"/>
      <c r="F2" s="972"/>
      <c r="G2" s="972"/>
      <c r="H2" s="972"/>
      <c r="I2" s="972"/>
      <c r="J2" s="41"/>
    </row>
    <row r="3" spans="1:16 1025:1025" x14ac:dyDescent="0.25">
      <c r="A3" s="42"/>
      <c r="B3" s="42"/>
      <c r="C3" s="946" t="s">
        <v>18</v>
      </c>
      <c r="D3" s="946"/>
      <c r="E3" s="946"/>
      <c r="F3" s="946"/>
      <c r="G3" s="946"/>
      <c r="H3" s="946"/>
      <c r="I3" s="946"/>
      <c r="J3" s="42"/>
    </row>
    <row r="4" spans="1:16 1025:1025" x14ac:dyDescent="0.25">
      <c r="A4" s="42"/>
      <c r="B4" s="42"/>
      <c r="C4" s="973" t="s">
        <v>4</v>
      </c>
      <c r="D4" s="973"/>
      <c r="E4" s="973"/>
      <c r="F4" s="973"/>
      <c r="G4" s="973"/>
      <c r="H4" s="973"/>
      <c r="I4" s="973"/>
      <c r="J4" s="42"/>
    </row>
    <row r="5" spans="1:16 1025:1025" ht="15" customHeight="1" x14ac:dyDescent="0.25">
      <c r="A5" s="33"/>
      <c r="B5" s="33"/>
      <c r="C5" s="37" t="s">
        <v>5</v>
      </c>
      <c r="D5" s="968" t="str">
        <f>'Kops a'!D6</f>
        <v>Daudzīvokļu dzīvojamā māja</v>
      </c>
      <c r="E5" s="968"/>
      <c r="F5" s="968"/>
      <c r="G5" s="968"/>
      <c r="H5" s="968"/>
      <c r="I5" s="968"/>
      <c r="J5" s="968"/>
      <c r="K5" s="968"/>
      <c r="L5" s="968"/>
      <c r="M5" s="14"/>
      <c r="N5" s="14"/>
      <c r="O5" s="14"/>
      <c r="AMK5"/>
    </row>
    <row r="6" spans="1:16 1025:1025" ht="15" customHeight="1" x14ac:dyDescent="0.25">
      <c r="A6" s="33"/>
      <c r="B6" s="33"/>
      <c r="C6" s="37" t="s">
        <v>6</v>
      </c>
      <c r="D6" s="968" t="str">
        <f>'Kops a'!D7</f>
        <v>fasādes vienkāršotā atjaunošana</v>
      </c>
      <c r="E6" s="968"/>
      <c r="F6" s="968"/>
      <c r="G6" s="968"/>
      <c r="H6" s="968"/>
      <c r="I6" s="968"/>
      <c r="J6" s="968"/>
      <c r="K6" s="968"/>
      <c r="L6" s="968"/>
      <c r="M6" s="14"/>
      <c r="N6" s="14"/>
      <c r="O6" s="14"/>
      <c r="AMK6"/>
    </row>
    <row r="7" spans="1:16 1025:1025" ht="15" customHeight="1" x14ac:dyDescent="0.25">
      <c r="A7" s="33"/>
      <c r="B7" s="33"/>
      <c r="C7" s="37" t="s">
        <v>7</v>
      </c>
      <c r="D7" s="968" t="str">
        <f>'Kops a'!D8</f>
        <v>Reiņu meža iela 3, Liepāja</v>
      </c>
      <c r="E7" s="968"/>
      <c r="F7" s="968"/>
      <c r="G7" s="968"/>
      <c r="H7" s="968"/>
      <c r="I7" s="968"/>
      <c r="J7" s="968"/>
      <c r="K7" s="968"/>
      <c r="L7" s="968"/>
      <c r="M7" s="14"/>
      <c r="N7" s="14"/>
      <c r="O7" s="14"/>
      <c r="AMK7"/>
    </row>
    <row r="8" spans="1:16 1025:1025" x14ac:dyDescent="0.25">
      <c r="A8" s="33"/>
      <c r="B8" s="33"/>
      <c r="C8" s="4" t="s">
        <v>21</v>
      </c>
      <c r="D8" s="968" t="str">
        <f>'Kops a'!D9</f>
        <v>EA-45-17</v>
      </c>
      <c r="E8" s="968"/>
      <c r="F8" s="968"/>
      <c r="G8" s="968"/>
      <c r="H8" s="968"/>
      <c r="I8" s="968"/>
      <c r="J8" s="968"/>
      <c r="K8" s="968"/>
      <c r="L8" s="968"/>
      <c r="M8" s="14"/>
      <c r="N8" s="14"/>
      <c r="O8" s="14"/>
      <c r="AMK8"/>
    </row>
    <row r="9" spans="1:16 1025:1025" ht="15" customHeight="1" x14ac:dyDescent="0.25">
      <c r="A9" s="969" t="s">
        <v>615</v>
      </c>
      <c r="B9" s="969"/>
      <c r="C9" s="969"/>
      <c r="D9" s="969"/>
      <c r="E9" s="969"/>
      <c r="F9" s="969"/>
      <c r="G9" s="43"/>
      <c r="H9" s="43"/>
      <c r="I9" s="43"/>
      <c r="J9" s="970" t="s">
        <v>40</v>
      </c>
      <c r="K9" s="970"/>
      <c r="L9" s="970"/>
      <c r="M9" s="970"/>
      <c r="N9" s="971">
        <f>P42</f>
        <v>0</v>
      </c>
      <c r="O9" s="971"/>
      <c r="P9" s="43"/>
    </row>
    <row r="10" spans="1:16 1025:1025" x14ac:dyDescent="0.25">
      <c r="A10" s="44"/>
      <c r="B10" s="45"/>
      <c r="C10" s="4"/>
      <c r="D10" s="33"/>
      <c r="E10" s="33"/>
      <c r="F10" s="33"/>
      <c r="G10" s="33"/>
      <c r="H10" s="33"/>
      <c r="I10" s="33"/>
      <c r="J10" s="33"/>
      <c r="K10" s="33"/>
      <c r="L10" s="41"/>
      <c r="M10" s="41"/>
      <c r="O10" s="57"/>
      <c r="P10" s="47" t="str">
        <f>A48</f>
        <v>Tāme sastādīta 20__. gada __. _________</v>
      </c>
    </row>
    <row r="11" spans="1:16 1025:1025" ht="15.75" thickBot="1" x14ac:dyDescent="0.3">
      <c r="A11" s="44"/>
      <c r="B11" s="45"/>
      <c r="C11" s="4"/>
      <c r="D11" s="33"/>
      <c r="E11" s="33"/>
      <c r="F11" s="33"/>
      <c r="G11" s="33"/>
      <c r="H11" s="33"/>
      <c r="I11" s="33"/>
      <c r="J11" s="33"/>
      <c r="K11" s="33"/>
      <c r="L11" s="48"/>
      <c r="M11" s="48"/>
      <c r="N11" s="49"/>
      <c r="O11" s="39"/>
      <c r="P11" s="33"/>
    </row>
    <row r="12" spans="1:16 1025:1025" ht="15.75" customHeight="1" x14ac:dyDescent="0.25">
      <c r="A12" s="951" t="s">
        <v>24</v>
      </c>
      <c r="B12" s="1038" t="s">
        <v>41</v>
      </c>
      <c r="C12" s="1030" t="s">
        <v>42</v>
      </c>
      <c r="D12" s="1041" t="s">
        <v>43</v>
      </c>
      <c r="E12" s="1043" t="s">
        <v>44</v>
      </c>
      <c r="F12" s="1035" t="s">
        <v>45</v>
      </c>
      <c r="G12" s="1036"/>
      <c r="H12" s="1036"/>
      <c r="I12" s="1036"/>
      <c r="J12" s="1036"/>
      <c r="K12" s="1037"/>
      <c r="L12" s="1035" t="s">
        <v>46</v>
      </c>
      <c r="M12" s="1036"/>
      <c r="N12" s="1036"/>
      <c r="O12" s="1036"/>
      <c r="P12" s="1037"/>
    </row>
    <row r="13" spans="1:16 1025:1025" ht="119.25" thickBot="1" x14ac:dyDescent="0.3">
      <c r="A13" s="1023"/>
      <c r="B13" s="1039"/>
      <c r="C13" s="1040"/>
      <c r="D13" s="1042"/>
      <c r="E13" s="1044"/>
      <c r="F13" s="50" t="s">
        <v>47</v>
      </c>
      <c r="G13" s="51" t="s">
        <v>48</v>
      </c>
      <c r="H13" s="51" t="s">
        <v>49</v>
      </c>
      <c r="I13" s="51" t="s">
        <v>50</v>
      </c>
      <c r="J13" s="51" t="s">
        <v>51</v>
      </c>
      <c r="K13" s="52" t="s">
        <v>52</v>
      </c>
      <c r="L13" s="50" t="s">
        <v>47</v>
      </c>
      <c r="M13" s="51" t="s">
        <v>49</v>
      </c>
      <c r="N13" s="51" t="s">
        <v>50</v>
      </c>
      <c r="O13" s="51" t="s">
        <v>51</v>
      </c>
      <c r="P13" s="52" t="s">
        <v>52</v>
      </c>
    </row>
    <row r="14" spans="1:16 1025:1025" x14ac:dyDescent="0.25">
      <c r="A14" s="315"/>
      <c r="B14" s="315"/>
      <c r="C14" s="321" t="s">
        <v>241</v>
      </c>
      <c r="D14" s="316"/>
      <c r="E14" s="317"/>
      <c r="F14" s="318"/>
      <c r="G14" s="319"/>
      <c r="H14" s="319"/>
      <c r="I14" s="319"/>
      <c r="J14" s="319"/>
      <c r="K14" s="320"/>
      <c r="L14" s="318"/>
      <c r="M14" s="319"/>
      <c r="N14" s="319"/>
      <c r="O14" s="319"/>
      <c r="P14" s="320"/>
    </row>
    <row r="15" spans="1:16 1025:1025" ht="22.5" customHeight="1" x14ac:dyDescent="0.25">
      <c r="A15" s="242">
        <f>IF(COUNTBLANK(B15)=1," ",COUNTA(B$15:B15))</f>
        <v>1</v>
      </c>
      <c r="B15" s="243" t="s">
        <v>87</v>
      </c>
      <c r="C15" s="802" t="s">
        <v>576</v>
      </c>
      <c r="D15" s="467" t="s">
        <v>236</v>
      </c>
      <c r="E15" s="467">
        <v>19</v>
      </c>
      <c r="F15" s="271"/>
      <c r="G15" s="272"/>
      <c r="H15" s="275">
        <f t="shared" ref="H15:H41" si="0">ROUND(F15*G15,2)</f>
        <v>0</v>
      </c>
      <c r="I15" s="271"/>
      <c r="J15" s="273"/>
      <c r="K15" s="275">
        <f t="shared" ref="K15:K40" si="1">ROUND(H15+I15+J15,2)</f>
        <v>0</v>
      </c>
      <c r="L15" s="474">
        <f t="shared" ref="L15:L40" si="2">ROUND(E15*F15,2)</f>
        <v>0</v>
      </c>
      <c r="M15" s="474">
        <f t="shared" ref="M15:M41" si="3">ROUND(E15*H15,2)</f>
        <v>0</v>
      </c>
      <c r="N15" s="474">
        <f t="shared" ref="N15:N41" si="4">ROUND(E15*I15,2)</f>
        <v>0</v>
      </c>
      <c r="O15" s="474">
        <f t="shared" ref="O15:O41" si="5">ROUND(J15*E15,2)</f>
        <v>0</v>
      </c>
      <c r="P15" s="474">
        <f t="shared" ref="P15:P41" si="6">ROUND(M15+N15+O15,2)</f>
        <v>0</v>
      </c>
    </row>
    <row r="16" spans="1:16 1025:1025" ht="22.5" customHeight="1" x14ac:dyDescent="0.25">
      <c r="A16" s="242">
        <f>IF(COUNTBLANK(B16)=1," ",COUNTA(B$15:B16))</f>
        <v>2</v>
      </c>
      <c r="B16" s="243" t="s">
        <v>87</v>
      </c>
      <c r="C16" s="801" t="s">
        <v>577</v>
      </c>
      <c r="D16" s="467" t="s">
        <v>236</v>
      </c>
      <c r="E16" s="795">
        <v>1</v>
      </c>
      <c r="F16" s="796"/>
      <c r="G16" s="789"/>
      <c r="H16" s="275">
        <f t="shared" si="0"/>
        <v>0</v>
      </c>
      <c r="I16" s="796"/>
      <c r="J16" s="790"/>
      <c r="K16" s="275">
        <f t="shared" si="1"/>
        <v>0</v>
      </c>
      <c r="L16" s="474">
        <f t="shared" si="2"/>
        <v>0</v>
      </c>
      <c r="M16" s="474">
        <f t="shared" si="3"/>
        <v>0</v>
      </c>
      <c r="N16" s="474">
        <f t="shared" si="4"/>
        <v>0</v>
      </c>
      <c r="O16" s="474">
        <f t="shared" si="5"/>
        <v>0</v>
      </c>
      <c r="P16" s="474">
        <f t="shared" si="6"/>
        <v>0</v>
      </c>
    </row>
    <row r="17" spans="1:16" ht="22.5" customHeight="1" x14ac:dyDescent="0.25">
      <c r="A17" s="242">
        <f>IF(COUNTBLANK(B17)=1," ",COUNTA(B$15:B17))</f>
        <v>3</v>
      </c>
      <c r="B17" s="243" t="s">
        <v>87</v>
      </c>
      <c r="C17" s="801" t="s">
        <v>578</v>
      </c>
      <c r="D17" s="467" t="s">
        <v>236</v>
      </c>
      <c r="E17" s="795">
        <v>19</v>
      </c>
      <c r="F17" s="796"/>
      <c r="G17" s="789"/>
      <c r="H17" s="275">
        <f t="shared" si="0"/>
        <v>0</v>
      </c>
      <c r="I17" s="796"/>
      <c r="J17" s="790"/>
      <c r="K17" s="275">
        <f t="shared" si="1"/>
        <v>0</v>
      </c>
      <c r="L17" s="474">
        <f t="shared" si="2"/>
        <v>0</v>
      </c>
      <c r="M17" s="474">
        <f t="shared" si="3"/>
        <v>0</v>
      </c>
      <c r="N17" s="474">
        <f t="shared" si="4"/>
        <v>0</v>
      </c>
      <c r="O17" s="474">
        <f t="shared" si="5"/>
        <v>0</v>
      </c>
      <c r="P17" s="474">
        <f t="shared" si="6"/>
        <v>0</v>
      </c>
    </row>
    <row r="18" spans="1:16" x14ac:dyDescent="0.25">
      <c r="A18" s="242">
        <f>IF(COUNTBLANK(B18)=1," ",COUNTA(B$15:B18))</f>
        <v>4</v>
      </c>
      <c r="B18" s="243" t="s">
        <v>87</v>
      </c>
      <c r="C18" s="803" t="s">
        <v>579</v>
      </c>
      <c r="D18" s="467" t="s">
        <v>89</v>
      </c>
      <c r="E18" s="467">
        <v>300</v>
      </c>
      <c r="F18" s="274"/>
      <c r="G18" s="272"/>
      <c r="H18" s="275">
        <f t="shared" si="0"/>
        <v>0</v>
      </c>
      <c r="I18" s="274"/>
      <c r="J18" s="274"/>
      <c r="K18" s="275">
        <f t="shared" si="1"/>
        <v>0</v>
      </c>
      <c r="L18" s="474">
        <f t="shared" si="2"/>
        <v>0</v>
      </c>
      <c r="M18" s="474">
        <f t="shared" si="3"/>
        <v>0</v>
      </c>
      <c r="N18" s="474">
        <f t="shared" si="4"/>
        <v>0</v>
      </c>
      <c r="O18" s="474">
        <f t="shared" si="5"/>
        <v>0</v>
      </c>
      <c r="P18" s="474">
        <f t="shared" si="6"/>
        <v>0</v>
      </c>
    </row>
    <row r="19" spans="1:16" x14ac:dyDescent="0.25">
      <c r="A19" s="242">
        <f>IF(COUNTBLANK(B19)=1," ",COUNTA(B$15:B19))</f>
        <v>5</v>
      </c>
      <c r="B19" s="243" t="s">
        <v>87</v>
      </c>
      <c r="C19" s="804" t="s">
        <v>580</v>
      </c>
      <c r="D19" s="467" t="s">
        <v>89</v>
      </c>
      <c r="E19" s="467">
        <v>200</v>
      </c>
      <c r="F19" s="272"/>
      <c r="G19" s="272"/>
      <c r="H19" s="275">
        <f t="shared" si="0"/>
        <v>0</v>
      </c>
      <c r="I19" s="272"/>
      <c r="J19" s="273"/>
      <c r="K19" s="275">
        <f t="shared" si="1"/>
        <v>0</v>
      </c>
      <c r="L19" s="474">
        <f t="shared" si="2"/>
        <v>0</v>
      </c>
      <c r="M19" s="474">
        <f t="shared" si="3"/>
        <v>0</v>
      </c>
      <c r="N19" s="474">
        <f t="shared" si="4"/>
        <v>0</v>
      </c>
      <c r="O19" s="474">
        <f t="shared" si="5"/>
        <v>0</v>
      </c>
      <c r="P19" s="474">
        <f t="shared" si="6"/>
        <v>0</v>
      </c>
    </row>
    <row r="20" spans="1:16" x14ac:dyDescent="0.25">
      <c r="A20" s="242">
        <f>IF(COUNTBLANK(B20)=1," ",COUNTA(B$15:B20))</f>
        <v>6</v>
      </c>
      <c r="B20" s="243" t="s">
        <v>87</v>
      </c>
      <c r="C20" s="801" t="s">
        <v>581</v>
      </c>
      <c r="D20" s="795" t="s">
        <v>89</v>
      </c>
      <c r="E20" s="795">
        <v>180</v>
      </c>
      <c r="F20" s="789"/>
      <c r="G20" s="789"/>
      <c r="H20" s="275">
        <f t="shared" si="0"/>
        <v>0</v>
      </c>
      <c r="I20" s="789"/>
      <c r="J20" s="790"/>
      <c r="K20" s="275">
        <f t="shared" si="1"/>
        <v>0</v>
      </c>
      <c r="L20" s="474">
        <f t="shared" si="2"/>
        <v>0</v>
      </c>
      <c r="M20" s="474">
        <f t="shared" si="3"/>
        <v>0</v>
      </c>
      <c r="N20" s="474">
        <f t="shared" si="4"/>
        <v>0</v>
      </c>
      <c r="O20" s="474">
        <f t="shared" si="5"/>
        <v>0</v>
      </c>
      <c r="P20" s="474">
        <f t="shared" si="6"/>
        <v>0</v>
      </c>
    </row>
    <row r="21" spans="1:16" x14ac:dyDescent="0.25">
      <c r="A21" s="242">
        <f>IF(COUNTBLANK(B21)=1," ",COUNTA(B$15:B21))</f>
        <v>7</v>
      </c>
      <c r="B21" s="243" t="s">
        <v>87</v>
      </c>
      <c r="C21" s="801" t="s">
        <v>582</v>
      </c>
      <c r="D21" s="795" t="s">
        <v>89</v>
      </c>
      <c r="E21" s="795">
        <v>25</v>
      </c>
      <c r="F21" s="789"/>
      <c r="G21" s="789"/>
      <c r="H21" s="275">
        <f t="shared" si="0"/>
        <v>0</v>
      </c>
      <c r="I21" s="789"/>
      <c r="J21" s="790"/>
      <c r="K21" s="275">
        <f t="shared" si="1"/>
        <v>0</v>
      </c>
      <c r="L21" s="474">
        <f t="shared" si="2"/>
        <v>0</v>
      </c>
      <c r="M21" s="474">
        <f t="shared" si="3"/>
        <v>0</v>
      </c>
      <c r="N21" s="474">
        <f t="shared" si="4"/>
        <v>0</v>
      </c>
      <c r="O21" s="474">
        <f t="shared" si="5"/>
        <v>0</v>
      </c>
      <c r="P21" s="474">
        <f t="shared" si="6"/>
        <v>0</v>
      </c>
    </row>
    <row r="22" spans="1:16" x14ac:dyDescent="0.25">
      <c r="A22" s="242">
        <f>IF(COUNTBLANK(B22)=1," ",COUNTA(B$15:B22))</f>
        <v>8</v>
      </c>
      <c r="B22" s="243" t="s">
        <v>87</v>
      </c>
      <c r="C22" s="800" t="s">
        <v>583</v>
      </c>
      <c r="D22" s="797" t="s">
        <v>83</v>
      </c>
      <c r="E22" s="797">
        <v>140</v>
      </c>
      <c r="F22" s="274"/>
      <c r="G22" s="272"/>
      <c r="H22" s="275">
        <f t="shared" si="0"/>
        <v>0</v>
      </c>
      <c r="I22" s="274"/>
      <c r="J22" s="274"/>
      <c r="K22" s="275">
        <f t="shared" si="1"/>
        <v>0</v>
      </c>
      <c r="L22" s="474">
        <f t="shared" si="2"/>
        <v>0</v>
      </c>
      <c r="M22" s="474">
        <f t="shared" si="3"/>
        <v>0</v>
      </c>
      <c r="N22" s="474">
        <f t="shared" si="4"/>
        <v>0</v>
      </c>
      <c r="O22" s="474">
        <f t="shared" si="5"/>
        <v>0</v>
      </c>
      <c r="P22" s="474">
        <f t="shared" si="6"/>
        <v>0</v>
      </c>
    </row>
    <row r="23" spans="1:16" x14ac:dyDescent="0.25">
      <c r="A23" s="242">
        <f>IF(COUNTBLANK(B23)=1," ",COUNTA(B$15:B23))</f>
        <v>9</v>
      </c>
      <c r="B23" s="243" t="s">
        <v>87</v>
      </c>
      <c r="C23" s="800" t="s">
        <v>584</v>
      </c>
      <c r="D23" s="797" t="s">
        <v>83</v>
      </c>
      <c r="E23" s="797">
        <v>120</v>
      </c>
      <c r="F23" s="274"/>
      <c r="G23" s="272"/>
      <c r="H23" s="275">
        <f t="shared" si="0"/>
        <v>0</v>
      </c>
      <c r="I23" s="274"/>
      <c r="J23" s="274"/>
      <c r="K23" s="275">
        <f t="shared" si="1"/>
        <v>0</v>
      </c>
      <c r="L23" s="474">
        <f t="shared" si="2"/>
        <v>0</v>
      </c>
      <c r="M23" s="474">
        <f t="shared" si="3"/>
        <v>0</v>
      </c>
      <c r="N23" s="474">
        <f t="shared" si="4"/>
        <v>0</v>
      </c>
      <c r="O23" s="474">
        <f t="shared" si="5"/>
        <v>0</v>
      </c>
      <c r="P23" s="474">
        <f t="shared" si="6"/>
        <v>0</v>
      </c>
    </row>
    <row r="24" spans="1:16" ht="15" customHeight="1" x14ac:dyDescent="0.25">
      <c r="A24" s="242">
        <f>IF(COUNTBLANK(B24)=1," ",COUNTA(B$15:B24))</f>
        <v>10</v>
      </c>
      <c r="B24" s="243" t="s">
        <v>87</v>
      </c>
      <c r="C24" s="800" t="s">
        <v>585</v>
      </c>
      <c r="D24" s="797" t="s">
        <v>83</v>
      </c>
      <c r="E24" s="797">
        <v>36</v>
      </c>
      <c r="F24" s="274"/>
      <c r="G24" s="272"/>
      <c r="H24" s="275">
        <f t="shared" si="0"/>
        <v>0</v>
      </c>
      <c r="I24" s="274"/>
      <c r="J24" s="274"/>
      <c r="K24" s="275">
        <f t="shared" si="1"/>
        <v>0</v>
      </c>
      <c r="L24" s="474">
        <f t="shared" si="2"/>
        <v>0</v>
      </c>
      <c r="M24" s="474">
        <f t="shared" si="3"/>
        <v>0</v>
      </c>
      <c r="N24" s="474">
        <f t="shared" si="4"/>
        <v>0</v>
      </c>
      <c r="O24" s="474">
        <f t="shared" si="5"/>
        <v>0</v>
      </c>
      <c r="P24" s="474">
        <f t="shared" si="6"/>
        <v>0</v>
      </c>
    </row>
    <row r="25" spans="1:16" ht="27" customHeight="1" x14ac:dyDescent="0.25">
      <c r="A25" s="242">
        <f>IF(COUNTBLANK(B25)=1," ",COUNTA(B$15:B25))</f>
        <v>11</v>
      </c>
      <c r="B25" s="243" t="s">
        <v>87</v>
      </c>
      <c r="C25" s="800" t="s">
        <v>586</v>
      </c>
      <c r="D25" s="797" t="s">
        <v>83</v>
      </c>
      <c r="E25" s="797">
        <v>12</v>
      </c>
      <c r="F25" s="274"/>
      <c r="G25" s="272"/>
      <c r="H25" s="275">
        <f t="shared" si="0"/>
        <v>0</v>
      </c>
      <c r="I25" s="274"/>
      <c r="J25" s="274"/>
      <c r="K25" s="275">
        <f t="shared" si="1"/>
        <v>0</v>
      </c>
      <c r="L25" s="474">
        <f t="shared" si="2"/>
        <v>0</v>
      </c>
      <c r="M25" s="474">
        <f t="shared" si="3"/>
        <v>0</v>
      </c>
      <c r="N25" s="474">
        <f t="shared" si="4"/>
        <v>0</v>
      </c>
      <c r="O25" s="474">
        <f t="shared" si="5"/>
        <v>0</v>
      </c>
      <c r="P25" s="474">
        <f t="shared" si="6"/>
        <v>0</v>
      </c>
    </row>
    <row r="26" spans="1:16" x14ac:dyDescent="0.25">
      <c r="A26" s="242">
        <f>IF(COUNTBLANK(B26)=1," ",COUNTA(B$15:B26))</f>
        <v>12</v>
      </c>
      <c r="B26" s="243" t="s">
        <v>87</v>
      </c>
      <c r="C26" s="800" t="s">
        <v>587</v>
      </c>
      <c r="D26" s="797" t="s">
        <v>83</v>
      </c>
      <c r="E26" s="797">
        <v>12</v>
      </c>
      <c r="F26" s="272"/>
      <c r="G26" s="272"/>
      <c r="H26" s="275">
        <f t="shared" si="0"/>
        <v>0</v>
      </c>
      <c r="I26" s="275"/>
      <c r="J26" s="273"/>
      <c r="K26" s="275">
        <f t="shared" si="1"/>
        <v>0</v>
      </c>
      <c r="L26" s="474">
        <f t="shared" si="2"/>
        <v>0</v>
      </c>
      <c r="M26" s="474">
        <f t="shared" si="3"/>
        <v>0</v>
      </c>
      <c r="N26" s="474">
        <f t="shared" si="4"/>
        <v>0</v>
      </c>
      <c r="O26" s="474">
        <f t="shared" si="5"/>
        <v>0</v>
      </c>
      <c r="P26" s="474">
        <f t="shared" si="6"/>
        <v>0</v>
      </c>
    </row>
    <row r="27" spans="1:16" x14ac:dyDescent="0.25">
      <c r="A27" s="242">
        <f>IF(COUNTBLANK(B27)=1," ",COUNTA(B$15:B27))</f>
        <v>13</v>
      </c>
      <c r="B27" s="243" t="s">
        <v>87</v>
      </c>
      <c r="C27" s="800" t="s">
        <v>588</v>
      </c>
      <c r="D27" s="797" t="s">
        <v>83</v>
      </c>
      <c r="E27" s="797">
        <v>13</v>
      </c>
      <c r="F27" s="272"/>
      <c r="G27" s="272"/>
      <c r="H27" s="275">
        <f t="shared" si="0"/>
        <v>0</v>
      </c>
      <c r="I27" s="275"/>
      <c r="J27" s="273"/>
      <c r="K27" s="275">
        <f t="shared" si="1"/>
        <v>0</v>
      </c>
      <c r="L27" s="474">
        <f t="shared" si="2"/>
        <v>0</v>
      </c>
      <c r="M27" s="474">
        <f t="shared" si="3"/>
        <v>0</v>
      </c>
      <c r="N27" s="474">
        <f t="shared" si="4"/>
        <v>0</v>
      </c>
      <c r="O27" s="474">
        <f t="shared" si="5"/>
        <v>0</v>
      </c>
      <c r="P27" s="474">
        <f t="shared" si="6"/>
        <v>0</v>
      </c>
    </row>
    <row r="28" spans="1:16" x14ac:dyDescent="0.25">
      <c r="A28" s="242">
        <f>IF(COUNTBLANK(B28)=1," ",COUNTA(B$15:B28))</f>
        <v>14</v>
      </c>
      <c r="B28" s="243" t="s">
        <v>87</v>
      </c>
      <c r="C28" s="800" t="s">
        <v>589</v>
      </c>
      <c r="D28" s="797" t="s">
        <v>83</v>
      </c>
      <c r="E28" s="797">
        <v>20</v>
      </c>
      <c r="F28" s="272"/>
      <c r="G28" s="272"/>
      <c r="H28" s="275">
        <f t="shared" si="0"/>
        <v>0</v>
      </c>
      <c r="I28" s="275"/>
      <c r="J28" s="273"/>
      <c r="K28" s="275">
        <f t="shared" si="1"/>
        <v>0</v>
      </c>
      <c r="L28" s="474">
        <f t="shared" si="2"/>
        <v>0</v>
      </c>
      <c r="M28" s="474">
        <f t="shared" si="3"/>
        <v>0</v>
      </c>
      <c r="N28" s="474">
        <f t="shared" si="4"/>
        <v>0</v>
      </c>
      <c r="O28" s="474">
        <f t="shared" si="5"/>
        <v>0</v>
      </c>
      <c r="P28" s="474">
        <f t="shared" si="6"/>
        <v>0</v>
      </c>
    </row>
    <row r="29" spans="1:16" x14ac:dyDescent="0.25">
      <c r="A29" s="242">
        <f>IF(COUNTBLANK(B29)=1," ",COUNTA(B$15:B29))</f>
        <v>15</v>
      </c>
      <c r="B29" s="243" t="s">
        <v>87</v>
      </c>
      <c r="C29" s="800" t="s">
        <v>590</v>
      </c>
      <c r="D29" s="797" t="s">
        <v>83</v>
      </c>
      <c r="E29" s="797">
        <v>14</v>
      </c>
      <c r="F29" s="270"/>
      <c r="G29" s="272"/>
      <c r="H29" s="275">
        <f t="shared" si="0"/>
        <v>0</v>
      </c>
      <c r="I29" s="260"/>
      <c r="J29" s="325"/>
      <c r="K29" s="275">
        <f t="shared" si="1"/>
        <v>0</v>
      </c>
      <c r="L29" s="474">
        <f t="shared" si="2"/>
        <v>0</v>
      </c>
      <c r="M29" s="474">
        <f t="shared" si="3"/>
        <v>0</v>
      </c>
      <c r="N29" s="474">
        <f t="shared" si="4"/>
        <v>0</v>
      </c>
      <c r="O29" s="474">
        <f t="shared" si="5"/>
        <v>0</v>
      </c>
      <c r="P29" s="474">
        <f t="shared" si="6"/>
        <v>0</v>
      </c>
    </row>
    <row r="30" spans="1:16" x14ac:dyDescent="0.25">
      <c r="A30" s="242">
        <f>IF(COUNTBLANK(B30)=1," ",COUNTA(B$15:B30))</f>
        <v>16</v>
      </c>
      <c r="B30" s="243" t="s">
        <v>87</v>
      </c>
      <c r="C30" s="800" t="s">
        <v>591</v>
      </c>
      <c r="D30" s="797" t="s">
        <v>83</v>
      </c>
      <c r="E30" s="797">
        <v>8</v>
      </c>
      <c r="F30" s="274"/>
      <c r="G30" s="272"/>
      <c r="H30" s="275">
        <f t="shared" si="0"/>
        <v>0</v>
      </c>
      <c r="I30" s="274"/>
      <c r="J30" s="323"/>
      <c r="K30" s="275">
        <f t="shared" si="1"/>
        <v>0</v>
      </c>
      <c r="L30" s="474">
        <f t="shared" si="2"/>
        <v>0</v>
      </c>
      <c r="M30" s="474">
        <f t="shared" si="3"/>
        <v>0</v>
      </c>
      <c r="N30" s="474">
        <f t="shared" si="4"/>
        <v>0</v>
      </c>
      <c r="O30" s="474">
        <f t="shared" si="5"/>
        <v>0</v>
      </c>
      <c r="P30" s="474">
        <f t="shared" si="6"/>
        <v>0</v>
      </c>
    </row>
    <row r="31" spans="1:16" x14ac:dyDescent="0.25">
      <c r="A31" s="242">
        <f>IF(COUNTBLANK(B31)=1," ",COUNTA(B$15:B31))</f>
        <v>17</v>
      </c>
      <c r="B31" s="243" t="s">
        <v>87</v>
      </c>
      <c r="C31" s="800" t="s">
        <v>592</v>
      </c>
      <c r="D31" s="797" t="s">
        <v>89</v>
      </c>
      <c r="E31" s="797">
        <v>180</v>
      </c>
      <c r="F31" s="312"/>
      <c r="G31" s="313"/>
      <c r="H31" s="275">
        <f t="shared" si="0"/>
        <v>0</v>
      </c>
      <c r="I31" s="312"/>
      <c r="J31" s="314"/>
      <c r="K31" s="275">
        <f t="shared" si="1"/>
        <v>0</v>
      </c>
      <c r="L31" s="474">
        <f t="shared" si="2"/>
        <v>0</v>
      </c>
      <c r="M31" s="474">
        <f t="shared" si="3"/>
        <v>0</v>
      </c>
      <c r="N31" s="474">
        <f t="shared" si="4"/>
        <v>0</v>
      </c>
      <c r="O31" s="474">
        <f t="shared" si="5"/>
        <v>0</v>
      </c>
      <c r="P31" s="474">
        <f t="shared" si="6"/>
        <v>0</v>
      </c>
    </row>
    <row r="32" spans="1:16" ht="22.5" customHeight="1" x14ac:dyDescent="0.25">
      <c r="A32" s="242">
        <f>IF(COUNTBLANK(B32)=1," ",COUNTA(B$15:B32))</f>
        <v>18</v>
      </c>
      <c r="B32" s="243" t="s">
        <v>87</v>
      </c>
      <c r="C32" s="799" t="s">
        <v>237</v>
      </c>
      <c r="D32" s="798" t="s">
        <v>242</v>
      </c>
      <c r="E32" s="467">
        <v>153</v>
      </c>
      <c r="F32" s="312"/>
      <c r="G32" s="313"/>
      <c r="H32" s="275">
        <f t="shared" si="0"/>
        <v>0</v>
      </c>
      <c r="I32" s="312"/>
      <c r="J32" s="314"/>
      <c r="K32" s="275">
        <f t="shared" si="1"/>
        <v>0</v>
      </c>
      <c r="L32" s="474">
        <f t="shared" si="2"/>
        <v>0</v>
      </c>
      <c r="M32" s="474">
        <f t="shared" si="3"/>
        <v>0</v>
      </c>
      <c r="N32" s="474">
        <f t="shared" si="4"/>
        <v>0</v>
      </c>
      <c r="O32" s="474">
        <f t="shared" si="5"/>
        <v>0</v>
      </c>
      <c r="P32" s="474">
        <f t="shared" si="6"/>
        <v>0</v>
      </c>
    </row>
    <row r="33" spans="1:16" ht="15" customHeight="1" x14ac:dyDescent="0.25">
      <c r="A33" s="242">
        <f>IF(COUNTBLANK(B33)=1," ",COUNTA(B$15:B33))</f>
        <v>19</v>
      </c>
      <c r="B33" s="243" t="s">
        <v>87</v>
      </c>
      <c r="C33" s="800" t="s">
        <v>593</v>
      </c>
      <c r="D33" s="797" t="s">
        <v>83</v>
      </c>
      <c r="E33" s="467">
        <v>36</v>
      </c>
      <c r="F33" s="312"/>
      <c r="G33" s="313"/>
      <c r="H33" s="275">
        <f t="shared" si="0"/>
        <v>0</v>
      </c>
      <c r="I33" s="312"/>
      <c r="J33" s="314"/>
      <c r="K33" s="275">
        <f t="shared" si="1"/>
        <v>0</v>
      </c>
      <c r="L33" s="474">
        <f t="shared" si="2"/>
        <v>0</v>
      </c>
      <c r="M33" s="474">
        <f t="shared" si="3"/>
        <v>0</v>
      </c>
      <c r="N33" s="474">
        <f t="shared" si="4"/>
        <v>0</v>
      </c>
      <c r="O33" s="474">
        <f t="shared" si="5"/>
        <v>0</v>
      </c>
      <c r="P33" s="474">
        <f t="shared" si="6"/>
        <v>0</v>
      </c>
    </row>
    <row r="34" spans="1:16" ht="22.5" customHeight="1" x14ac:dyDescent="0.25">
      <c r="A34" s="242">
        <f>IF(COUNTBLANK(B34)=1," ",COUNTA(B$15:B34))</f>
        <v>20</v>
      </c>
      <c r="B34" s="243" t="s">
        <v>87</v>
      </c>
      <c r="C34" s="800" t="s">
        <v>594</v>
      </c>
      <c r="D34" s="797" t="s">
        <v>57</v>
      </c>
      <c r="E34" s="467">
        <v>153</v>
      </c>
      <c r="F34" s="312"/>
      <c r="G34" s="313"/>
      <c r="H34" s="275">
        <f t="shared" si="0"/>
        <v>0</v>
      </c>
      <c r="I34" s="312"/>
      <c r="J34" s="314"/>
      <c r="K34" s="275">
        <f t="shared" si="1"/>
        <v>0</v>
      </c>
      <c r="L34" s="474">
        <f t="shared" si="2"/>
        <v>0</v>
      </c>
      <c r="M34" s="474">
        <f t="shared" si="3"/>
        <v>0</v>
      </c>
      <c r="N34" s="474">
        <f t="shared" si="4"/>
        <v>0</v>
      </c>
      <c r="O34" s="474">
        <f t="shared" si="5"/>
        <v>0</v>
      </c>
      <c r="P34" s="474">
        <f t="shared" si="6"/>
        <v>0</v>
      </c>
    </row>
    <row r="35" spans="1:16" x14ac:dyDescent="0.25">
      <c r="A35" s="242">
        <f>IF(COUNTBLANK(B35)=1," ",COUNTA(B$15:B35))</f>
        <v>21</v>
      </c>
      <c r="B35" s="243" t="s">
        <v>87</v>
      </c>
      <c r="C35" s="800" t="s">
        <v>595</v>
      </c>
      <c r="D35" s="797" t="s">
        <v>253</v>
      </c>
      <c r="E35" s="467">
        <v>1</v>
      </c>
      <c r="F35" s="312"/>
      <c r="G35" s="313"/>
      <c r="H35" s="275">
        <f t="shared" si="0"/>
        <v>0</v>
      </c>
      <c r="I35" s="312"/>
      <c r="J35" s="314"/>
      <c r="K35" s="275">
        <f t="shared" si="1"/>
        <v>0</v>
      </c>
      <c r="L35" s="474">
        <f t="shared" si="2"/>
        <v>0</v>
      </c>
      <c r="M35" s="474">
        <f t="shared" si="3"/>
        <v>0</v>
      </c>
      <c r="N35" s="474">
        <f t="shared" si="4"/>
        <v>0</v>
      </c>
      <c r="O35" s="474">
        <f t="shared" si="5"/>
        <v>0</v>
      </c>
      <c r="P35" s="474">
        <f t="shared" si="6"/>
        <v>0</v>
      </c>
    </row>
    <row r="36" spans="1:16" x14ac:dyDescent="0.25">
      <c r="A36" s="242">
        <f>IF(COUNTBLANK(B36)=1," ",COUNTA(B$15:B36))</f>
        <v>22</v>
      </c>
      <c r="B36" s="243" t="s">
        <v>87</v>
      </c>
      <c r="C36" s="799" t="s">
        <v>596</v>
      </c>
      <c r="D36" s="798" t="s">
        <v>130</v>
      </c>
      <c r="E36" s="467">
        <v>16</v>
      </c>
      <c r="F36" s="312"/>
      <c r="G36" s="313"/>
      <c r="H36" s="275">
        <f t="shared" si="0"/>
        <v>0</v>
      </c>
      <c r="I36" s="312"/>
      <c r="J36" s="314"/>
      <c r="K36" s="275">
        <f t="shared" si="1"/>
        <v>0</v>
      </c>
      <c r="L36" s="474">
        <f t="shared" si="2"/>
        <v>0</v>
      </c>
      <c r="M36" s="474">
        <f t="shared" si="3"/>
        <v>0</v>
      </c>
      <c r="N36" s="474">
        <f t="shared" si="4"/>
        <v>0</v>
      </c>
      <c r="O36" s="474">
        <f t="shared" si="5"/>
        <v>0</v>
      </c>
      <c r="P36" s="474">
        <f t="shared" si="6"/>
        <v>0</v>
      </c>
    </row>
    <row r="37" spans="1:16" x14ac:dyDescent="0.25">
      <c r="A37" s="242">
        <f>IF(COUNTBLANK(B37)=1," ",COUNTA(B$15:B37))</f>
        <v>23</v>
      </c>
      <c r="B37" s="243" t="s">
        <v>87</v>
      </c>
      <c r="C37" s="799" t="s">
        <v>238</v>
      </c>
      <c r="D37" s="798" t="s">
        <v>57</v>
      </c>
      <c r="E37" s="467">
        <v>153</v>
      </c>
      <c r="F37" s="312"/>
      <c r="G37" s="313"/>
      <c r="H37" s="275">
        <f t="shared" si="0"/>
        <v>0</v>
      </c>
      <c r="I37" s="312"/>
      <c r="J37" s="314"/>
      <c r="K37" s="275">
        <f t="shared" si="1"/>
        <v>0</v>
      </c>
      <c r="L37" s="474">
        <f t="shared" si="2"/>
        <v>0</v>
      </c>
      <c r="M37" s="474">
        <f t="shared" si="3"/>
        <v>0</v>
      </c>
      <c r="N37" s="474">
        <f t="shared" si="4"/>
        <v>0</v>
      </c>
      <c r="O37" s="474">
        <f t="shared" si="5"/>
        <v>0</v>
      </c>
      <c r="P37" s="474">
        <f t="shared" si="6"/>
        <v>0</v>
      </c>
    </row>
    <row r="38" spans="1:16" x14ac:dyDescent="0.25">
      <c r="A38" s="242">
        <f>IF(COUNTBLANK(B38)=1," ",COUNTA(B$15:B38))</f>
        <v>24</v>
      </c>
      <c r="B38" s="243" t="s">
        <v>87</v>
      </c>
      <c r="C38" s="800" t="s">
        <v>239</v>
      </c>
      <c r="D38" s="797" t="s">
        <v>253</v>
      </c>
      <c r="E38" s="467">
        <v>1</v>
      </c>
      <c r="F38" s="312"/>
      <c r="G38" s="313"/>
      <c r="H38" s="275">
        <f t="shared" si="0"/>
        <v>0</v>
      </c>
      <c r="I38" s="312"/>
      <c r="J38" s="314"/>
      <c r="K38" s="275">
        <f t="shared" si="1"/>
        <v>0</v>
      </c>
      <c r="L38" s="474">
        <f t="shared" si="2"/>
        <v>0</v>
      </c>
      <c r="M38" s="474">
        <f t="shared" si="3"/>
        <v>0</v>
      </c>
      <c r="N38" s="474">
        <f t="shared" si="4"/>
        <v>0</v>
      </c>
      <c r="O38" s="474">
        <f t="shared" si="5"/>
        <v>0</v>
      </c>
      <c r="P38" s="474">
        <f t="shared" si="6"/>
        <v>0</v>
      </c>
    </row>
    <row r="39" spans="1:16" x14ac:dyDescent="0.25">
      <c r="A39" s="242">
        <f>IF(COUNTBLANK(B39)=1," ",COUNTA(B$15:B39))</f>
        <v>25</v>
      </c>
      <c r="B39" s="243" t="s">
        <v>87</v>
      </c>
      <c r="C39" s="800" t="s">
        <v>240</v>
      </c>
      <c r="D39" s="797" t="s">
        <v>253</v>
      </c>
      <c r="E39" s="467">
        <v>1</v>
      </c>
      <c r="F39" s="312"/>
      <c r="G39" s="313"/>
      <c r="H39" s="275">
        <f t="shared" si="0"/>
        <v>0</v>
      </c>
      <c r="I39" s="312"/>
      <c r="J39" s="314"/>
      <c r="K39" s="275">
        <f t="shared" si="1"/>
        <v>0</v>
      </c>
      <c r="L39" s="474">
        <f t="shared" si="2"/>
        <v>0</v>
      </c>
      <c r="M39" s="474">
        <f t="shared" si="3"/>
        <v>0</v>
      </c>
      <c r="N39" s="474">
        <f t="shared" si="4"/>
        <v>0</v>
      </c>
      <c r="O39" s="474">
        <f t="shared" si="5"/>
        <v>0</v>
      </c>
      <c r="P39" s="474">
        <f t="shared" si="6"/>
        <v>0</v>
      </c>
    </row>
    <row r="40" spans="1:16" x14ac:dyDescent="0.25">
      <c r="A40" s="242">
        <f>IF(COUNTBLANK(B40)=1," ",COUNTA(B$15:B40))</f>
        <v>26</v>
      </c>
      <c r="B40" s="243" t="s">
        <v>87</v>
      </c>
      <c r="C40" s="800" t="s">
        <v>597</v>
      </c>
      <c r="D40" s="797" t="s">
        <v>91</v>
      </c>
      <c r="E40" s="467">
        <v>4</v>
      </c>
      <c r="F40" s="312"/>
      <c r="G40" s="313"/>
      <c r="H40" s="275">
        <f t="shared" si="0"/>
        <v>0</v>
      </c>
      <c r="I40" s="312"/>
      <c r="J40" s="314"/>
      <c r="K40" s="275">
        <f t="shared" si="1"/>
        <v>0</v>
      </c>
      <c r="L40" s="474">
        <f t="shared" si="2"/>
        <v>0</v>
      </c>
      <c r="M40" s="474">
        <f t="shared" si="3"/>
        <v>0</v>
      </c>
      <c r="N40" s="474">
        <f t="shared" si="4"/>
        <v>0</v>
      </c>
      <c r="O40" s="474">
        <f t="shared" si="5"/>
        <v>0</v>
      </c>
      <c r="P40" s="474">
        <f t="shared" si="6"/>
        <v>0</v>
      </c>
    </row>
    <row r="41" spans="1:16" ht="15" customHeight="1" thickBot="1" x14ac:dyDescent="0.3">
      <c r="A41" s="242">
        <f>IF(COUNTBLANK(B41)=1," ",COUNTA(B$15:B41))</f>
        <v>27</v>
      </c>
      <c r="B41" s="243" t="s">
        <v>87</v>
      </c>
      <c r="C41" s="800" t="s">
        <v>598</v>
      </c>
      <c r="D41" s="797" t="s">
        <v>157</v>
      </c>
      <c r="E41" s="467">
        <v>3</v>
      </c>
      <c r="F41" s="312"/>
      <c r="G41" s="313"/>
      <c r="H41" s="275">
        <f t="shared" si="0"/>
        <v>0</v>
      </c>
      <c r="I41" s="312"/>
      <c r="J41" s="314"/>
      <c r="K41" s="275">
        <f t="shared" ref="K41" si="7">ROUND(H41+I41+J41,2)</f>
        <v>0</v>
      </c>
      <c r="L41" s="275">
        <f t="shared" ref="L41" si="8">ROUND(E41*F41,2)</f>
        <v>0</v>
      </c>
      <c r="M41" s="474">
        <f t="shared" si="3"/>
        <v>0</v>
      </c>
      <c r="N41" s="474">
        <f t="shared" si="4"/>
        <v>0</v>
      </c>
      <c r="O41" s="474">
        <f t="shared" si="5"/>
        <v>0</v>
      </c>
      <c r="P41" s="474">
        <f t="shared" si="6"/>
        <v>0</v>
      </c>
    </row>
    <row r="42" spans="1:16" s="1" customFormat="1" ht="12" customHeight="1" thickBot="1" x14ac:dyDescent="0.25">
      <c r="A42" s="261"/>
      <c r="B42" s="1032" t="s">
        <v>53</v>
      </c>
      <c r="C42" s="1033"/>
      <c r="D42" s="1033"/>
      <c r="E42" s="1033"/>
      <c r="F42" s="1033"/>
      <c r="G42" s="1033"/>
      <c r="H42" s="1033"/>
      <c r="I42" s="1033"/>
      <c r="J42" s="1033"/>
      <c r="K42" s="1034"/>
      <c r="L42" s="53">
        <f>SUM(L15:L41)</f>
        <v>0</v>
      </c>
      <c r="M42" s="53">
        <f>SUM(M15:M41)</f>
        <v>0</v>
      </c>
      <c r="N42" s="53">
        <f>SUM(N15:N41)</f>
        <v>0</v>
      </c>
      <c r="O42" s="53">
        <f>SUM(O15:O41)</f>
        <v>0</v>
      </c>
      <c r="P42" s="53">
        <f>SUM(P15:P41)</f>
        <v>0</v>
      </c>
    </row>
    <row r="43" spans="1:16" s="1" customFormat="1" ht="11.25" x14ac:dyDescent="0.2">
      <c r="A43" s="261"/>
      <c r="B43" s="262"/>
      <c r="C43" s="263"/>
      <c r="D43" s="264"/>
      <c r="E43" s="265"/>
      <c r="F43" s="266"/>
      <c r="G43" s="267"/>
      <c r="H43" s="266"/>
      <c r="I43" s="268"/>
      <c r="J43" s="267"/>
      <c r="K43" s="269"/>
      <c r="L43" s="269"/>
      <c r="M43" s="269"/>
      <c r="N43" s="269"/>
      <c r="O43" s="269"/>
      <c r="P43" s="269"/>
    </row>
    <row r="44" spans="1:16" s="1" customFormat="1" ht="11.25" x14ac:dyDescent="0.2">
      <c r="A44" s="14"/>
      <c r="B44" s="14"/>
      <c r="C44" s="14"/>
      <c r="D44" s="14"/>
      <c r="E44" s="14"/>
      <c r="F44" s="14"/>
      <c r="G44" s="14"/>
      <c r="H44" s="14"/>
      <c r="I44" s="14"/>
      <c r="J44" s="14"/>
      <c r="K44" s="14"/>
      <c r="L44" s="14"/>
      <c r="M44" s="14"/>
      <c r="N44" s="14"/>
      <c r="O44" s="14"/>
      <c r="P44" s="14"/>
    </row>
    <row r="45" spans="1:16" s="1" customFormat="1" ht="11.25" x14ac:dyDescent="0.2">
      <c r="A45" s="1" t="s">
        <v>14</v>
      </c>
      <c r="B45" s="14"/>
      <c r="C45" s="958">
        <f>sas</f>
        <v>0</v>
      </c>
      <c r="D45" s="958"/>
      <c r="E45" s="958"/>
      <c r="F45" s="958"/>
      <c r="G45" s="958"/>
      <c r="H45" s="958"/>
      <c r="I45" s="14"/>
      <c r="J45" s="14"/>
      <c r="K45" s="14"/>
      <c r="L45" s="14"/>
      <c r="M45" s="14"/>
      <c r="N45" s="14"/>
      <c r="O45" s="14"/>
      <c r="P45" s="14"/>
    </row>
    <row r="46" spans="1:16" s="1" customFormat="1" ht="11.25" x14ac:dyDescent="0.2">
      <c r="A46" s="14"/>
      <c r="B46" s="14"/>
      <c r="C46" s="931" t="s">
        <v>15</v>
      </c>
      <c r="D46" s="931"/>
      <c r="E46" s="931"/>
      <c r="F46" s="931"/>
      <c r="G46" s="931"/>
      <c r="H46" s="931"/>
      <c r="I46" s="14"/>
      <c r="J46" s="14"/>
      <c r="K46" s="14"/>
      <c r="L46" s="14"/>
      <c r="M46" s="14"/>
      <c r="N46" s="14"/>
      <c r="O46" s="14"/>
      <c r="P46" s="14"/>
    </row>
    <row r="47" spans="1:16" s="1" customFormat="1" ht="11.25" x14ac:dyDescent="0.2">
      <c r="A47" s="14"/>
      <c r="B47" s="14"/>
      <c r="C47" s="14"/>
      <c r="D47" s="14"/>
      <c r="E47" s="14"/>
      <c r="F47" s="14"/>
      <c r="G47" s="14"/>
      <c r="H47" s="14"/>
      <c r="I47" s="14"/>
      <c r="J47" s="14"/>
      <c r="K47" s="14"/>
      <c r="L47" s="14"/>
      <c r="M47" s="14"/>
      <c r="N47" s="14"/>
      <c r="O47" s="14"/>
      <c r="P47" s="14"/>
    </row>
    <row r="48" spans="1:16" s="1" customFormat="1" ht="11.25" x14ac:dyDescent="0.2">
      <c r="A48" s="34" t="str">
        <f>dat</f>
        <v>Tāme sastādīta 20__. gada __. _________</v>
      </c>
      <c r="B48" s="35"/>
      <c r="C48" s="35"/>
      <c r="D48" s="35"/>
      <c r="E48" s="14"/>
      <c r="F48" s="14"/>
      <c r="G48" s="14"/>
      <c r="H48" s="14"/>
      <c r="I48" s="14"/>
      <c r="J48" s="14"/>
      <c r="K48" s="14"/>
      <c r="L48" s="14"/>
      <c r="M48" s="14"/>
      <c r="N48" s="14"/>
      <c r="O48" s="14"/>
      <c r="P48" s="14"/>
    </row>
    <row r="49" spans="1:16" s="1" customFormat="1" ht="11.25" x14ac:dyDescent="0.2">
      <c r="A49" s="14"/>
      <c r="B49" s="14"/>
      <c r="C49" s="14"/>
      <c r="D49" s="14"/>
      <c r="E49" s="14"/>
      <c r="F49" s="14"/>
      <c r="G49" s="14"/>
      <c r="H49" s="14"/>
      <c r="I49" s="14"/>
      <c r="J49" s="14"/>
      <c r="K49" s="14"/>
      <c r="L49" s="14"/>
      <c r="M49" s="14"/>
      <c r="N49" s="14"/>
      <c r="O49" s="14"/>
      <c r="P49" s="14"/>
    </row>
    <row r="50" spans="1:16" s="1" customFormat="1" ht="11.25" x14ac:dyDescent="0.2">
      <c r="A50" s="1" t="s">
        <v>38</v>
      </c>
      <c r="B50" s="14"/>
      <c r="C50" s="958">
        <f>C45</f>
        <v>0</v>
      </c>
      <c r="D50" s="958"/>
      <c r="E50" s="958"/>
      <c r="F50" s="958"/>
      <c r="G50" s="958"/>
      <c r="H50" s="958"/>
      <c r="I50" s="14"/>
      <c r="J50" s="14"/>
      <c r="K50" s="14"/>
      <c r="L50" s="14"/>
      <c r="M50" s="14"/>
      <c r="N50" s="14"/>
      <c r="O50" s="14"/>
      <c r="P50" s="14"/>
    </row>
    <row r="51" spans="1:16" s="1" customFormat="1" ht="11.25" x14ac:dyDescent="0.2">
      <c r="A51" s="14"/>
      <c r="B51" s="14"/>
      <c r="C51" s="931" t="s">
        <v>15</v>
      </c>
      <c r="D51" s="931"/>
      <c r="E51" s="931"/>
      <c r="F51" s="931"/>
      <c r="G51" s="931"/>
      <c r="H51" s="931"/>
      <c r="I51" s="14"/>
      <c r="J51" s="14"/>
      <c r="K51" s="14"/>
      <c r="L51" s="14"/>
      <c r="M51" s="14"/>
      <c r="N51" s="14"/>
      <c r="O51" s="14"/>
      <c r="P51" s="14"/>
    </row>
    <row r="52" spans="1:16" s="1" customFormat="1" ht="11.25" x14ac:dyDescent="0.2">
      <c r="A52" s="14"/>
      <c r="B52" s="14"/>
      <c r="C52" s="14"/>
      <c r="D52" s="14"/>
      <c r="E52" s="14"/>
      <c r="F52" s="14"/>
      <c r="G52" s="14"/>
      <c r="H52" s="14"/>
      <c r="I52" s="14"/>
      <c r="J52" s="14"/>
      <c r="K52" s="14"/>
      <c r="L52" s="14"/>
      <c r="M52" s="14"/>
      <c r="N52" s="14"/>
      <c r="O52" s="14"/>
      <c r="P52" s="14"/>
    </row>
    <row r="53" spans="1:16" s="1" customFormat="1" ht="11.25" x14ac:dyDescent="0.2">
      <c r="A53" s="34" t="s">
        <v>54</v>
      </c>
      <c r="B53" s="35"/>
      <c r="C53" s="74">
        <f>sert.nr</f>
        <v>0</v>
      </c>
      <c r="D53" s="56"/>
      <c r="E53" s="14"/>
      <c r="F53" s="14"/>
      <c r="G53" s="14"/>
      <c r="H53" s="14"/>
      <c r="I53" s="14"/>
      <c r="J53" s="14"/>
      <c r="K53" s="14"/>
      <c r="L53" s="14"/>
      <c r="M53" s="14"/>
      <c r="N53" s="14"/>
      <c r="O53" s="14"/>
      <c r="P53" s="14"/>
    </row>
  </sheetData>
  <mergeCells count="22">
    <mergeCell ref="D8:L8"/>
    <mergeCell ref="C2:I2"/>
    <mergeCell ref="C3:I3"/>
    <mergeCell ref="C4:I4"/>
    <mergeCell ref="D5:L5"/>
    <mergeCell ref="D6:L6"/>
    <mergeCell ref="D7:L7"/>
    <mergeCell ref="L12:P12"/>
    <mergeCell ref="A9:F9"/>
    <mergeCell ref="J9:M9"/>
    <mergeCell ref="N9:O9"/>
    <mergeCell ref="A12:A13"/>
    <mergeCell ref="B12:B13"/>
    <mergeCell ref="C12:C13"/>
    <mergeCell ref="D12:D13"/>
    <mergeCell ref="E12:E13"/>
    <mergeCell ref="F12:K12"/>
    <mergeCell ref="C46:H46"/>
    <mergeCell ref="C50:H50"/>
    <mergeCell ref="C51:H51"/>
    <mergeCell ref="B42:K42"/>
    <mergeCell ref="C45:H45"/>
  </mergeCells>
  <conditionalFormatting sqref="I15:J41 D15:G21 D32:G41 E22:G31 A15:C41 C4:I4">
    <cfRule type="cellIs" dxfId="10" priority="8" operator="equal">
      <formula>0</formula>
    </cfRule>
  </conditionalFormatting>
  <conditionalFormatting sqref="N9:O9 H15:H41 K15:P41 C2:I2">
    <cfRule type="cellIs" dxfId="9" priority="9" operator="equal">
      <formula>0</formula>
    </cfRule>
  </conditionalFormatting>
  <conditionalFormatting sqref="A9:F9 B42:K42">
    <cfRule type="containsText" dxfId="8" priority="10" operator="containsText" text="Tāme sastādīta  20__. gada tirgus cenās, pamatojoties uz ___ daļas rasējumiem"/>
  </conditionalFormatting>
  <conditionalFormatting sqref="O10">
    <cfRule type="cellIs" dxfId="7" priority="11" operator="equal">
      <formula>"20__. gada __. _________"</formula>
    </cfRule>
  </conditionalFormatting>
  <conditionalFormatting sqref="P10">
    <cfRule type="cellIs" dxfId="6" priority="17" operator="equal">
      <formula>"20__. gada __. _________"</formula>
    </cfRule>
  </conditionalFormatting>
  <conditionalFormatting sqref="D1">
    <cfRule type="cellIs" dxfId="5" priority="19" operator="equal">
      <formula>0</formula>
    </cfRule>
  </conditionalFormatting>
  <conditionalFormatting sqref="L42:P42">
    <cfRule type="cellIs" dxfId="4" priority="5" operator="equal">
      <formula>0</formula>
    </cfRule>
  </conditionalFormatting>
  <conditionalFormatting sqref="D5:L8">
    <cfRule type="cellIs" dxfId="3" priority="4" operator="equal">
      <formula>0</formula>
    </cfRule>
  </conditionalFormatting>
  <conditionalFormatting sqref="C45:H45">
    <cfRule type="cellIs" dxfId="2" priority="1" operator="equal">
      <formula>0</formula>
    </cfRule>
  </conditionalFormatting>
  <conditionalFormatting sqref="C50:H50 C45:H45">
    <cfRule type="cellIs" dxfId="1" priority="2" operator="equal">
      <formula>0</formula>
    </cfRule>
  </conditionalFormatting>
  <conditionalFormatting sqref="C53">
    <cfRule type="cellIs" dxfId="0" priority="3" operator="equal">
      <formula>0</formula>
    </cfRule>
  </conditionalFormatting>
  <pageMargins left="0.19685039370078741" right="0.19685039370078741" top="0.75196850393700787" bottom="0.39370078740157483" header="0.51181102362204722" footer="0.51181102362204722"/>
  <pageSetup paperSize="9" scale="75" firstPageNumber="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42"/>
  <sheetViews>
    <sheetView view="pageBreakPreview" topLeftCell="A4" zoomScale="85" zoomScaleNormal="100" zoomScaleSheetLayoutView="85" workbookViewId="0">
      <selection activeCell="G30" sqref="G30"/>
    </sheetView>
  </sheetViews>
  <sheetFormatPr defaultRowHeight="15" x14ac:dyDescent="0.25"/>
  <cols>
    <col min="1" max="1" width="4" style="1" customWidth="1"/>
    <col min="2" max="2" width="5.28515625" style="1" customWidth="1"/>
    <col min="3" max="3" width="28.42578125" style="1" customWidth="1"/>
    <col min="4" max="4" width="6.85546875" style="1" customWidth="1"/>
    <col min="5" max="5" width="11.85546875" style="1" customWidth="1"/>
    <col min="6" max="6" width="9.85546875" style="1" customWidth="1"/>
    <col min="7" max="7" width="10" style="1" customWidth="1"/>
    <col min="8" max="8" width="8.7109375" style="1" customWidth="1"/>
    <col min="9" max="188" width="9.140625" style="1" customWidth="1"/>
    <col min="189" max="189" width="3.7109375" style="1" customWidth="1"/>
    <col min="190" max="190" width="4.5703125" style="1" customWidth="1"/>
    <col min="191" max="191" width="5.85546875" style="1" customWidth="1"/>
    <col min="192" max="192" width="36" style="1" customWidth="1"/>
    <col min="193" max="193" width="9.7109375" style="1" customWidth="1"/>
    <col min="194" max="194" width="11.85546875" style="1" customWidth="1"/>
    <col min="195" max="195" width="9" style="1" customWidth="1"/>
    <col min="196" max="196" width="9.7109375" style="1" customWidth="1"/>
    <col min="197" max="197" width="9.28515625" style="1" customWidth="1"/>
    <col min="198" max="198" width="8.7109375" style="1" customWidth="1"/>
    <col min="199" max="199" width="6.85546875" style="1" customWidth="1"/>
    <col min="200" max="444" width="9.140625" style="1" customWidth="1"/>
    <col min="445" max="445" width="3.7109375" style="1" customWidth="1"/>
    <col min="446" max="446" width="4.5703125" style="1" customWidth="1"/>
    <col min="447" max="447" width="5.85546875" style="1" customWidth="1"/>
    <col min="448" max="448" width="36" style="1" customWidth="1"/>
    <col min="449" max="449" width="9.7109375" style="1" customWidth="1"/>
    <col min="450" max="450" width="11.85546875" style="1" customWidth="1"/>
    <col min="451" max="451" width="9" style="1" customWidth="1"/>
    <col min="452" max="452" width="9.7109375" style="1" customWidth="1"/>
    <col min="453" max="453" width="9.28515625" style="1" customWidth="1"/>
    <col min="454" max="454" width="8.7109375" style="1" customWidth="1"/>
    <col min="455" max="455" width="6.85546875" style="1" customWidth="1"/>
    <col min="456" max="700" width="9.140625" style="1" customWidth="1"/>
    <col min="701" max="701" width="3.7109375" style="1" customWidth="1"/>
    <col min="702" max="702" width="4.5703125" style="1" customWidth="1"/>
    <col min="703" max="703" width="5.85546875" style="1" customWidth="1"/>
    <col min="704" max="704" width="36" style="1" customWidth="1"/>
    <col min="705" max="705" width="9.7109375" style="1" customWidth="1"/>
    <col min="706" max="706" width="11.85546875" style="1" customWidth="1"/>
    <col min="707" max="707" width="9" style="1" customWidth="1"/>
    <col min="708" max="708" width="9.7109375" style="1" customWidth="1"/>
    <col min="709" max="709" width="9.28515625" style="1" customWidth="1"/>
    <col min="710" max="710" width="8.7109375" style="1" customWidth="1"/>
    <col min="711" max="711" width="6.85546875" style="1" customWidth="1"/>
    <col min="712" max="956" width="9.140625" style="1" customWidth="1"/>
    <col min="957" max="957" width="3.7109375" style="1" customWidth="1"/>
    <col min="958" max="958" width="4.5703125" style="1" customWidth="1"/>
    <col min="959" max="959" width="5.85546875" style="1" customWidth="1"/>
    <col min="960" max="960" width="36" style="1" customWidth="1"/>
    <col min="961" max="961" width="9.7109375" style="1" customWidth="1"/>
    <col min="962" max="962" width="11.85546875" style="1" customWidth="1"/>
    <col min="963" max="963" width="9" style="1" customWidth="1"/>
    <col min="964" max="964" width="9.7109375" style="1" customWidth="1"/>
    <col min="965" max="965" width="9.28515625" style="1" customWidth="1"/>
    <col min="966" max="966" width="8.7109375" style="1" customWidth="1"/>
    <col min="967" max="967" width="6.85546875" style="1" customWidth="1"/>
    <col min="968" max="1025" width="9.140625" style="1" customWidth="1"/>
  </cols>
  <sheetData>
    <row r="1" spans="1:9" x14ac:dyDescent="0.25">
      <c r="C1" s="4"/>
      <c r="G1" s="944"/>
      <c r="H1" s="944"/>
      <c r="I1" s="944"/>
    </row>
    <row r="2" spans="1:9" x14ac:dyDescent="0.25">
      <c r="A2" s="945" t="s">
        <v>17</v>
      </c>
      <c r="B2" s="945"/>
      <c r="C2" s="945"/>
      <c r="D2" s="945"/>
      <c r="E2" s="945"/>
      <c r="F2" s="945"/>
      <c r="G2" s="945"/>
      <c r="H2" s="945"/>
      <c r="I2" s="945"/>
    </row>
    <row r="3" spans="1:9" x14ac:dyDescent="0.25">
      <c r="A3" s="2"/>
      <c r="B3" s="2"/>
      <c r="C3" s="2"/>
      <c r="D3" s="2"/>
      <c r="E3" s="2"/>
      <c r="F3" s="2"/>
      <c r="G3" s="2"/>
      <c r="H3" s="2"/>
      <c r="I3" s="2"/>
    </row>
    <row r="4" spans="1:9" x14ac:dyDescent="0.25">
      <c r="A4" s="2"/>
      <c r="B4" s="2"/>
      <c r="C4" s="946" t="s">
        <v>18</v>
      </c>
      <c r="D4" s="946"/>
      <c r="E4" s="946"/>
      <c r="F4" s="946"/>
      <c r="G4" s="946"/>
      <c r="H4" s="946"/>
      <c r="I4" s="946"/>
    </row>
    <row r="5" spans="1:9" x14ac:dyDescent="0.25">
      <c r="A5" s="14"/>
      <c r="B5" s="14"/>
      <c r="C5" s="947" t="s">
        <v>4</v>
      </c>
      <c r="D5" s="947"/>
      <c r="E5" s="947"/>
      <c r="F5" s="947"/>
      <c r="G5" s="947"/>
      <c r="H5" s="947"/>
      <c r="I5" s="947"/>
    </row>
    <row r="6" spans="1:9" x14ac:dyDescent="0.25">
      <c r="A6" s="948" t="s">
        <v>19</v>
      </c>
      <c r="B6" s="948"/>
      <c r="C6" s="948"/>
      <c r="D6" s="949" t="str">
        <f>'Kopt a'!B13</f>
        <v>Daudzīvokļu dzīvojamā māja</v>
      </c>
      <c r="E6" s="949"/>
      <c r="F6" s="949"/>
      <c r="G6" s="949"/>
      <c r="H6" s="949"/>
      <c r="I6" s="949"/>
    </row>
    <row r="7" spans="1:9" x14ac:dyDescent="0.25">
      <c r="A7" s="948" t="s">
        <v>6</v>
      </c>
      <c r="B7" s="948"/>
      <c r="C7" s="948"/>
      <c r="D7" s="952" t="str">
        <f>'Kopt a'!B14</f>
        <v>fasādes vienkāršotā atjaunošana</v>
      </c>
      <c r="E7" s="952"/>
      <c r="F7" s="952"/>
      <c r="G7" s="952"/>
      <c r="H7" s="952"/>
      <c r="I7" s="952"/>
    </row>
    <row r="8" spans="1:9" x14ac:dyDescent="0.25">
      <c r="A8" s="953" t="s">
        <v>20</v>
      </c>
      <c r="B8" s="953"/>
      <c r="C8" s="953"/>
      <c r="D8" s="952" t="str">
        <f>'Kopt a'!B15</f>
        <v>Reiņu meža iela 3, Liepāja</v>
      </c>
      <c r="E8" s="952"/>
      <c r="F8" s="952"/>
      <c r="G8" s="952"/>
      <c r="H8" s="952"/>
      <c r="I8" s="952"/>
    </row>
    <row r="9" spans="1:9" x14ac:dyDescent="0.25">
      <c r="A9" s="953" t="s">
        <v>21</v>
      </c>
      <c r="B9" s="953"/>
      <c r="C9" s="953"/>
      <c r="D9" s="952" t="str">
        <f>'Kopt a'!B16</f>
        <v>EA-45-17</v>
      </c>
      <c r="E9" s="952"/>
      <c r="F9" s="952"/>
      <c r="G9" s="952"/>
      <c r="H9" s="952"/>
      <c r="I9" s="952"/>
    </row>
    <row r="10" spans="1:9" x14ac:dyDescent="0.25">
      <c r="C10" s="4" t="s">
        <v>22</v>
      </c>
      <c r="D10" s="950">
        <f>E29</f>
        <v>0</v>
      </c>
      <c r="E10" s="950"/>
      <c r="F10" s="15"/>
      <c r="G10" s="15"/>
      <c r="H10" s="15"/>
      <c r="I10" s="15"/>
    </row>
    <row r="11" spans="1:9" x14ac:dyDescent="0.25">
      <c r="C11" s="4" t="s">
        <v>23</v>
      </c>
      <c r="D11" s="950">
        <f>I25</f>
        <v>0</v>
      </c>
      <c r="E11" s="950"/>
      <c r="F11" s="15"/>
      <c r="G11" s="15"/>
      <c r="H11" s="15"/>
      <c r="I11" s="15"/>
    </row>
    <row r="12" spans="1:9" x14ac:dyDescent="0.25">
      <c r="F12" s="16"/>
      <c r="G12" s="16"/>
      <c r="H12" s="16"/>
      <c r="I12" s="16"/>
    </row>
    <row r="13" spans="1:9" x14ac:dyDescent="0.25">
      <c r="A13" s="951" t="s">
        <v>24</v>
      </c>
      <c r="B13" s="954" t="s">
        <v>25</v>
      </c>
      <c r="C13" s="955" t="s">
        <v>26</v>
      </c>
      <c r="D13" s="955"/>
      <c r="E13" s="956" t="s">
        <v>27</v>
      </c>
      <c r="F13" s="957" t="s">
        <v>28</v>
      </c>
      <c r="G13" s="957"/>
      <c r="H13" s="957"/>
      <c r="I13" s="955" t="s">
        <v>29</v>
      </c>
    </row>
    <row r="14" spans="1:9" ht="23.25" thickBot="1" x14ac:dyDescent="0.3">
      <c r="A14" s="951"/>
      <c r="B14" s="954"/>
      <c r="C14" s="955"/>
      <c r="D14" s="955"/>
      <c r="E14" s="956"/>
      <c r="F14" s="17" t="s">
        <v>30</v>
      </c>
      <c r="G14" s="18" t="s">
        <v>31</v>
      </c>
      <c r="H14" s="18" t="s">
        <v>32</v>
      </c>
      <c r="I14" s="955"/>
    </row>
    <row r="15" spans="1:9" x14ac:dyDescent="0.25">
      <c r="A15" s="19">
        <v>1</v>
      </c>
      <c r="B15" s="71">
        <f>A15</f>
        <v>1</v>
      </c>
      <c r="C15" s="935" t="str">
        <f>'1a'!C2:I2</f>
        <v>Fasādes atjaunošanas darbi</v>
      </c>
      <c r="D15" s="935"/>
      <c r="E15" s="20">
        <f>'1a'!P79</f>
        <v>0</v>
      </c>
      <c r="F15" s="21">
        <f>'1a'!M79</f>
        <v>0</v>
      </c>
      <c r="G15" s="22">
        <f>'1a'!N79</f>
        <v>0</v>
      </c>
      <c r="H15" s="22">
        <f>'1a'!O79</f>
        <v>0</v>
      </c>
      <c r="I15" s="23">
        <f>'1a'!L79</f>
        <v>0</v>
      </c>
    </row>
    <row r="16" spans="1:9" x14ac:dyDescent="0.25">
      <c r="A16" s="24">
        <f>A15+1</f>
        <v>2</v>
      </c>
      <c r="B16" s="72">
        <f t="shared" ref="B16:B17" si="0">A16</f>
        <v>2</v>
      </c>
      <c r="C16" s="936" t="str">
        <f>'2a'!C2:I2</f>
        <v>Cokola siltināšana</v>
      </c>
      <c r="D16" s="936"/>
      <c r="E16" s="25">
        <f>'2a'!P79</f>
        <v>0</v>
      </c>
      <c r="F16" s="829">
        <f>'2a'!M79</f>
        <v>0</v>
      </c>
      <c r="G16" s="828">
        <f>'2a'!N79</f>
        <v>0</v>
      </c>
      <c r="H16" s="828">
        <f>'2a'!O79</f>
        <v>0</v>
      </c>
      <c r="I16" s="830">
        <f>'2a'!L79</f>
        <v>0</v>
      </c>
    </row>
    <row r="17" spans="1:9" x14ac:dyDescent="0.25">
      <c r="A17" s="24">
        <v>3</v>
      </c>
      <c r="B17" s="72">
        <f t="shared" si="0"/>
        <v>3</v>
      </c>
      <c r="C17" s="936" t="str">
        <f>'3a'!C2:I2</f>
        <v>Logu un durvju nomaiņa</v>
      </c>
      <c r="D17" s="936"/>
      <c r="E17" s="25">
        <f>'3a'!P78</f>
        <v>0</v>
      </c>
      <c r="F17" s="829">
        <f>'3a'!M78</f>
        <v>0</v>
      </c>
      <c r="G17" s="828">
        <f>'3a'!N78</f>
        <v>0</v>
      </c>
      <c r="H17" s="828">
        <f>'3a'!O78</f>
        <v>0</v>
      </c>
      <c r="I17" s="830">
        <f>'3a'!L78</f>
        <v>0</v>
      </c>
    </row>
    <row r="18" spans="1:9" x14ac:dyDescent="0.25">
      <c r="A18" s="24">
        <f t="shared" ref="A18:A24" si="1">A17+1</f>
        <v>4</v>
      </c>
      <c r="B18" s="72">
        <f t="shared" ref="B18:B20" si="2">A18</f>
        <v>4</v>
      </c>
      <c r="C18" s="936" t="str">
        <f>'4a'!C2:I2</f>
        <v>Pagraba siltināšana</v>
      </c>
      <c r="D18" s="936"/>
      <c r="E18" s="25">
        <f>'4a'!P26</f>
        <v>0</v>
      </c>
      <c r="F18" s="829">
        <f>'4a'!M26</f>
        <v>0</v>
      </c>
      <c r="G18" s="828">
        <f>'4a'!N26</f>
        <v>0</v>
      </c>
      <c r="H18" s="828">
        <f>'4a'!O26</f>
        <v>0</v>
      </c>
      <c r="I18" s="830">
        <f>'4a'!L26</f>
        <v>0</v>
      </c>
    </row>
    <row r="19" spans="1:9" x14ac:dyDescent="0.25">
      <c r="A19" s="24">
        <f t="shared" si="1"/>
        <v>5</v>
      </c>
      <c r="B19" s="72">
        <f t="shared" si="2"/>
        <v>5</v>
      </c>
      <c r="C19" s="940" t="str">
        <f>'5a'!C2</f>
        <v>Bēniņu siltināšana</v>
      </c>
      <c r="D19" s="941"/>
      <c r="E19" s="25">
        <f>'5a'!P51</f>
        <v>0</v>
      </c>
      <c r="F19" s="829">
        <f>'5a'!M51</f>
        <v>0</v>
      </c>
      <c r="G19" s="828">
        <f>'5a'!N51</f>
        <v>0</v>
      </c>
      <c r="H19" s="828">
        <f>'5a'!O51</f>
        <v>0</v>
      </c>
      <c r="I19" s="830">
        <f>'5a'!L51</f>
        <v>0</v>
      </c>
    </row>
    <row r="20" spans="1:9" x14ac:dyDescent="0.25">
      <c r="A20" s="24">
        <f t="shared" si="1"/>
        <v>6</v>
      </c>
      <c r="B20" s="72">
        <f t="shared" si="2"/>
        <v>6</v>
      </c>
      <c r="C20" s="936" t="str">
        <f>'6a'!C2</f>
        <v>Ieejas atjaunošana</v>
      </c>
      <c r="D20" s="936"/>
      <c r="E20" s="25">
        <f>'6a'!P116</f>
        <v>0</v>
      </c>
      <c r="F20" s="829">
        <f>'6a'!M116</f>
        <v>0</v>
      </c>
      <c r="G20" s="828">
        <f>'6a'!N116</f>
        <v>0</v>
      </c>
      <c r="H20" s="828">
        <f>'6a'!O116</f>
        <v>0</v>
      </c>
      <c r="I20" s="831">
        <f>'6a'!L116</f>
        <v>0</v>
      </c>
    </row>
    <row r="21" spans="1:9" x14ac:dyDescent="0.25">
      <c r="A21" s="24">
        <f t="shared" si="1"/>
        <v>7</v>
      </c>
      <c r="B21" s="72">
        <f t="shared" ref="B21:B24" si="3">A21</f>
        <v>7</v>
      </c>
      <c r="C21" s="936" t="str">
        <f>'7a'!C2:I2</f>
        <v>Lodžiju margas atjaunošana</v>
      </c>
      <c r="D21" s="936"/>
      <c r="E21" s="25">
        <f>'7a'!P48</f>
        <v>0</v>
      </c>
      <c r="F21" s="829">
        <f>'7a'!M48</f>
        <v>0</v>
      </c>
      <c r="G21" s="828">
        <f>'7a'!N48</f>
        <v>0</v>
      </c>
      <c r="H21" s="828">
        <f>'7a'!O48</f>
        <v>0</v>
      </c>
      <c r="I21" s="831">
        <f>'7a'!L48</f>
        <v>0</v>
      </c>
    </row>
    <row r="22" spans="1:9" x14ac:dyDescent="0.25">
      <c r="A22" s="24">
        <f t="shared" si="1"/>
        <v>8</v>
      </c>
      <c r="B22" s="72">
        <f t="shared" si="3"/>
        <v>8</v>
      </c>
      <c r="C22" s="936" t="str">
        <f>'8a'!C2:I2</f>
        <v>Jumta atjaunošana</v>
      </c>
      <c r="D22" s="936"/>
      <c r="E22" s="25">
        <f>'8a'!P123</f>
        <v>0</v>
      </c>
      <c r="F22" s="829">
        <f>'8a'!M123</f>
        <v>0</v>
      </c>
      <c r="G22" s="828">
        <f>'8a'!N123</f>
        <v>0</v>
      </c>
      <c r="H22" s="828">
        <f>'8a'!O123</f>
        <v>0</v>
      </c>
      <c r="I22" s="831">
        <f>'8a'!L123</f>
        <v>0</v>
      </c>
    </row>
    <row r="23" spans="1:9" ht="16.5" customHeight="1" x14ac:dyDescent="0.25">
      <c r="A23" s="24">
        <f t="shared" si="1"/>
        <v>9</v>
      </c>
      <c r="B23" s="72">
        <f t="shared" si="3"/>
        <v>9</v>
      </c>
      <c r="C23" s="942" t="str">
        <f>'9a'!C2:I2</f>
        <v>Apkures sistēmas atjaunošana</v>
      </c>
      <c r="D23" s="943"/>
      <c r="E23" s="311"/>
      <c r="F23" s="829"/>
      <c r="G23" s="828"/>
      <c r="H23" s="828"/>
      <c r="I23" s="830"/>
    </row>
    <row r="24" spans="1:9" ht="15.75" thickBot="1" x14ac:dyDescent="0.3">
      <c r="A24" s="24">
        <f t="shared" si="1"/>
        <v>10</v>
      </c>
      <c r="B24" s="72">
        <f t="shared" si="3"/>
        <v>10</v>
      </c>
      <c r="C24" s="936" t="str">
        <f>'10a'!C2:I2</f>
        <v>Zībens aizsardzības sistēmas zibuve</v>
      </c>
      <c r="D24" s="936"/>
      <c r="E24" s="25">
        <f>'10a'!P42</f>
        <v>0</v>
      </c>
      <c r="F24" s="832">
        <f>'10a'!M42</f>
        <v>0</v>
      </c>
      <c r="G24" s="833">
        <f>'10a'!N42</f>
        <v>0</v>
      </c>
      <c r="H24" s="833">
        <f>'10a'!O42</f>
        <v>0</v>
      </c>
      <c r="I24" s="834">
        <f>'10a'!L42</f>
        <v>0</v>
      </c>
    </row>
    <row r="25" spans="1:9" ht="15.75" thickBot="1" x14ac:dyDescent="0.3">
      <c r="A25" s="937" t="s">
        <v>33</v>
      </c>
      <c r="B25" s="937"/>
      <c r="C25" s="937"/>
      <c r="D25" s="937"/>
      <c r="E25" s="26">
        <f>SUM(E15:E24)</f>
        <v>0</v>
      </c>
      <c r="F25" s="827">
        <f>SUM(F15:F24)</f>
        <v>0</v>
      </c>
      <c r="G25" s="827">
        <f>SUM(G15:G24)</f>
        <v>0</v>
      </c>
      <c r="H25" s="827">
        <f>SUM(H15:H24)</f>
        <v>0</v>
      </c>
      <c r="I25" s="827">
        <f>SUM(I15:I24)</f>
        <v>0</v>
      </c>
    </row>
    <row r="26" spans="1:9" x14ac:dyDescent="0.25">
      <c r="A26" s="938" t="s">
        <v>34</v>
      </c>
      <c r="B26" s="938"/>
      <c r="C26" s="938"/>
      <c r="D26" s="27"/>
      <c r="E26" s="28">
        <f>ROUND(E25*$D26,2)</f>
        <v>0</v>
      </c>
      <c r="F26" s="29"/>
      <c r="G26" s="29"/>
      <c r="H26" s="29"/>
      <c r="I26" s="29"/>
    </row>
    <row r="27" spans="1:9" x14ac:dyDescent="0.25">
      <c r="A27" s="939" t="s">
        <v>35</v>
      </c>
      <c r="B27" s="939"/>
      <c r="C27" s="939"/>
      <c r="D27" s="30"/>
      <c r="E27" s="31">
        <f>ROUND(E26*$D27,2)</f>
        <v>0</v>
      </c>
      <c r="F27" s="29"/>
      <c r="G27" s="29"/>
      <c r="H27" s="29"/>
      <c r="I27" s="29"/>
    </row>
    <row r="28" spans="1:9" x14ac:dyDescent="0.25">
      <c r="A28" s="933" t="s">
        <v>36</v>
      </c>
      <c r="B28" s="933"/>
      <c r="C28" s="933"/>
      <c r="D28" s="32"/>
      <c r="E28" s="31">
        <f>ROUND(E25*$D28,2)</f>
        <v>0</v>
      </c>
      <c r="F28" s="29"/>
      <c r="H28" s="29"/>
      <c r="I28" s="29"/>
    </row>
    <row r="29" spans="1:9" ht="15.75" thickBot="1" x14ac:dyDescent="0.3">
      <c r="A29" s="934" t="s">
        <v>37</v>
      </c>
      <c r="B29" s="934"/>
      <c r="C29" s="934"/>
      <c r="D29" s="907"/>
      <c r="E29" s="904">
        <f>SUM(E25:E28)-E27</f>
        <v>0</v>
      </c>
      <c r="F29" s="29"/>
      <c r="G29" s="29"/>
      <c r="H29" s="29"/>
      <c r="I29" s="29"/>
    </row>
    <row r="30" spans="1:9" ht="15.75" thickBot="1" x14ac:dyDescent="0.3">
      <c r="C30" s="908" t="s">
        <v>621</v>
      </c>
      <c r="D30" s="901">
        <v>0.02</v>
      </c>
      <c r="E30" s="905"/>
    </row>
    <row r="31" spans="1:9" ht="15.75" thickBot="1" x14ac:dyDescent="0.3">
      <c r="C31" s="908" t="s">
        <v>622</v>
      </c>
      <c r="D31" s="900"/>
      <c r="E31" s="900"/>
      <c r="F31" s="33"/>
      <c r="G31" s="33"/>
      <c r="H31" s="33"/>
      <c r="I31" s="33"/>
    </row>
    <row r="34" spans="1:8" x14ac:dyDescent="0.25">
      <c r="A34" s="1" t="s">
        <v>14</v>
      </c>
      <c r="B34" s="14"/>
      <c r="C34" s="930">
        <f>sas</f>
        <v>0</v>
      </c>
      <c r="D34" s="930"/>
      <c r="E34" s="930"/>
      <c r="F34" s="930"/>
      <c r="G34" s="930"/>
      <c r="H34" s="930"/>
    </row>
    <row r="35" spans="1:8" x14ac:dyDescent="0.25">
      <c r="A35" s="14"/>
      <c r="B35" s="14"/>
      <c r="C35" s="931" t="s">
        <v>15</v>
      </c>
      <c r="D35" s="931"/>
      <c r="E35" s="931"/>
      <c r="F35" s="931"/>
      <c r="G35" s="931"/>
      <c r="H35" s="931"/>
    </row>
    <row r="36" spans="1:8" x14ac:dyDescent="0.25">
      <c r="A36" s="14"/>
      <c r="B36" s="14"/>
      <c r="C36" s="14"/>
      <c r="D36" s="14"/>
      <c r="E36" s="14"/>
      <c r="F36" s="14"/>
      <c r="G36" s="14"/>
      <c r="H36" s="14"/>
    </row>
    <row r="37" spans="1:8" x14ac:dyDescent="0.25">
      <c r="A37" s="34" t="str">
        <f>'Kopt a'!A30</f>
        <v>Tāme sastādīta 20__. gada __. _________</v>
      </c>
      <c r="B37" s="35"/>
      <c r="C37" s="35"/>
      <c r="D37" s="35"/>
      <c r="F37" s="14"/>
      <c r="G37" s="14"/>
      <c r="H37" s="14"/>
    </row>
    <row r="38" spans="1:8" x14ac:dyDescent="0.25">
      <c r="A38" s="14"/>
      <c r="B38" s="14"/>
      <c r="C38" s="14"/>
      <c r="D38" s="14"/>
      <c r="E38" s="14"/>
      <c r="F38" s="14"/>
      <c r="G38" s="14"/>
      <c r="H38" s="14"/>
    </row>
    <row r="39" spans="1:8" x14ac:dyDescent="0.25">
      <c r="A39" s="1" t="s">
        <v>38</v>
      </c>
      <c r="B39" s="14"/>
      <c r="C39" s="930">
        <f>C34</f>
        <v>0</v>
      </c>
      <c r="D39" s="930"/>
      <c r="E39" s="930"/>
      <c r="F39" s="930"/>
      <c r="G39" s="930"/>
      <c r="H39" s="930"/>
    </row>
    <row r="40" spans="1:8" x14ac:dyDescent="0.25">
      <c r="A40" s="14"/>
      <c r="B40" s="14"/>
      <c r="C40" s="931" t="s">
        <v>15</v>
      </c>
      <c r="D40" s="931"/>
      <c r="E40" s="931"/>
      <c r="F40" s="931"/>
      <c r="G40" s="931"/>
      <c r="H40" s="931"/>
    </row>
    <row r="41" spans="1:8" x14ac:dyDescent="0.25">
      <c r="A41" s="14"/>
      <c r="B41" s="14"/>
      <c r="C41" s="14"/>
      <c r="D41" s="14"/>
      <c r="E41" s="14"/>
      <c r="F41" s="14"/>
      <c r="G41" s="14"/>
      <c r="H41" s="14"/>
    </row>
    <row r="42" spans="1:8" x14ac:dyDescent="0.25">
      <c r="A42" s="34" t="s">
        <v>16</v>
      </c>
      <c r="B42" s="35"/>
      <c r="C42" s="36">
        <f>sert.nr</f>
        <v>0</v>
      </c>
      <c r="D42" s="35"/>
      <c r="F42" s="14"/>
      <c r="G42" s="14"/>
      <c r="H42" s="14"/>
    </row>
  </sheetData>
  <mergeCells count="39">
    <mergeCell ref="D10:E10"/>
    <mergeCell ref="D11:E11"/>
    <mergeCell ref="A13:A14"/>
    <mergeCell ref="A7:C7"/>
    <mergeCell ref="D7:I7"/>
    <mergeCell ref="A8:C8"/>
    <mergeCell ref="D8:I8"/>
    <mergeCell ref="A9:C9"/>
    <mergeCell ref="D9:I9"/>
    <mergeCell ref="B13:B14"/>
    <mergeCell ref="C13:D14"/>
    <mergeCell ref="E13:E14"/>
    <mergeCell ref="F13:H13"/>
    <mergeCell ref="I13:I14"/>
    <mergeCell ref="G1:I1"/>
    <mergeCell ref="A2:I2"/>
    <mergeCell ref="C4:I4"/>
    <mergeCell ref="C5:I5"/>
    <mergeCell ref="A6:C6"/>
    <mergeCell ref="D6:I6"/>
    <mergeCell ref="C15:D15"/>
    <mergeCell ref="C16:D16"/>
    <mergeCell ref="A25:D25"/>
    <mergeCell ref="A26:C26"/>
    <mergeCell ref="A27:C27"/>
    <mergeCell ref="C17:D17"/>
    <mergeCell ref="C18:D18"/>
    <mergeCell ref="C24:D24"/>
    <mergeCell ref="C20:D20"/>
    <mergeCell ref="C19:D19"/>
    <mergeCell ref="C21:D21"/>
    <mergeCell ref="C22:D22"/>
    <mergeCell ref="C23:D23"/>
    <mergeCell ref="C40:H40"/>
    <mergeCell ref="A28:C28"/>
    <mergeCell ref="A29:C29"/>
    <mergeCell ref="C34:H34"/>
    <mergeCell ref="C35:H35"/>
    <mergeCell ref="C39:H39"/>
  </mergeCells>
  <conditionalFormatting sqref="E25:I25 F15:I25">
    <cfRule type="cellIs" dxfId="141" priority="2" operator="equal">
      <formula>0</formula>
    </cfRule>
  </conditionalFormatting>
  <conditionalFormatting sqref="D10:E11 C20:D22 C15:D18 C24:D24 C23 E15:E24 I15:I24 A15:B24">
    <cfRule type="cellIs" dxfId="140" priority="3" operator="equal">
      <formula>0</formula>
    </cfRule>
  </conditionalFormatting>
  <conditionalFormatting sqref="E15 E26:E29 C19">
    <cfRule type="cellIs" dxfId="139" priority="4" operator="equal">
      <formula>0</formula>
    </cfRule>
  </conditionalFormatting>
  <conditionalFormatting sqref="D26:D28">
    <cfRule type="cellIs" dxfId="138" priority="5" operator="equal">
      <formula>0</formula>
    </cfRule>
  </conditionalFormatting>
  <conditionalFormatting sqref="C39:H39">
    <cfRule type="cellIs" dxfId="137" priority="6" operator="equal">
      <formula>0</formula>
    </cfRule>
  </conditionalFormatting>
  <conditionalFormatting sqref="C34:H34">
    <cfRule type="cellIs" dxfId="136" priority="7" operator="equal">
      <formula>0</formula>
    </cfRule>
  </conditionalFormatting>
  <conditionalFormatting sqref="D6:I9">
    <cfRule type="cellIs" dxfId="135" priority="10" operator="equal">
      <formula>0</formula>
    </cfRule>
  </conditionalFormatting>
  <conditionalFormatting sqref="C42">
    <cfRule type="cellIs" dxfId="134" priority="11" operator="equal">
      <formula>0</formula>
    </cfRule>
  </conditionalFormatting>
  <pageMargins left="0.19685039370078741" right="0.19685039370078741" top="0.75196850393700787" bottom="0.39370078740157483" header="0.51181102362204722" footer="0.51181102362204722"/>
  <pageSetup paperSize="9" scale="73" firstPageNumber="0" orientation="landscape" r:id="rId1"/>
  <ignoredErrors>
    <ignoredError sqref="F20:I20"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MJ94"/>
  <sheetViews>
    <sheetView view="pageBreakPreview" topLeftCell="A73" zoomScale="115" zoomScaleNormal="100" zoomScaleSheetLayoutView="115" workbookViewId="0">
      <selection activeCell="C20" sqref="C20"/>
    </sheetView>
  </sheetViews>
  <sheetFormatPr defaultRowHeight="15" x14ac:dyDescent="0.25"/>
  <cols>
    <col min="1" max="1" width="4.5703125" style="1" customWidth="1"/>
    <col min="2" max="2" width="8" style="1" customWidth="1"/>
    <col min="3" max="3" width="41.85546875" style="1" customWidth="1"/>
    <col min="4" max="4" width="5.85546875" style="1" customWidth="1"/>
    <col min="5" max="5" width="8.7109375" style="1" customWidth="1"/>
    <col min="6" max="6" width="5.42578125" style="1" customWidth="1"/>
    <col min="7" max="7" width="4.85546875" style="1" customWidth="1"/>
    <col min="8" max="9" width="6.7109375" style="1" customWidth="1"/>
    <col min="10" max="10" width="8.28515625" style="1" customWidth="1"/>
    <col min="11" max="11" width="7" style="1" customWidth="1"/>
    <col min="12" max="12" width="7.7109375" style="1" customWidth="1"/>
    <col min="13" max="13" width="11.140625" style="1" customWidth="1"/>
    <col min="14" max="15" width="7.7109375" style="1" customWidth="1"/>
    <col min="16" max="16" width="9" style="1" customWidth="1"/>
    <col min="17" max="1024" width="9.140625" style="1" customWidth="1"/>
  </cols>
  <sheetData>
    <row r="1" spans="1:16" x14ac:dyDescent="0.25">
      <c r="A1" s="33"/>
      <c r="B1" s="33"/>
      <c r="C1" s="37" t="s">
        <v>39</v>
      </c>
      <c r="D1" s="38">
        <f>'Kops a'!A15</f>
        <v>1</v>
      </c>
      <c r="E1" s="33"/>
      <c r="F1" s="33"/>
      <c r="G1" s="33"/>
      <c r="H1" s="33"/>
      <c r="I1" s="33"/>
      <c r="J1" s="33"/>
      <c r="N1" s="39"/>
      <c r="O1" s="37"/>
      <c r="P1" s="40"/>
    </row>
    <row r="2" spans="1:16" x14ac:dyDescent="0.25">
      <c r="A2" s="41"/>
      <c r="B2" s="41"/>
      <c r="C2" s="972" t="s">
        <v>122</v>
      </c>
      <c r="D2" s="972"/>
      <c r="E2" s="972"/>
      <c r="F2" s="972"/>
      <c r="G2" s="972"/>
      <c r="H2" s="972"/>
      <c r="I2" s="972"/>
      <c r="J2" s="41"/>
    </row>
    <row r="3" spans="1:16" x14ac:dyDescent="0.25">
      <c r="A3" s="42"/>
      <c r="B3" s="42"/>
      <c r="C3" s="946" t="s">
        <v>18</v>
      </c>
      <c r="D3" s="946"/>
      <c r="E3" s="946"/>
      <c r="F3" s="946"/>
      <c r="G3" s="946"/>
      <c r="H3" s="946"/>
      <c r="I3" s="946"/>
      <c r="J3" s="42"/>
    </row>
    <row r="4" spans="1:16" x14ac:dyDescent="0.25">
      <c r="A4" s="42"/>
      <c r="B4" s="42"/>
      <c r="C4" s="973" t="s">
        <v>4</v>
      </c>
      <c r="D4" s="973"/>
      <c r="E4" s="973"/>
      <c r="F4" s="973"/>
      <c r="G4" s="973"/>
      <c r="H4" s="973"/>
      <c r="I4" s="973"/>
      <c r="J4" s="42"/>
    </row>
    <row r="5" spans="1:16" x14ac:dyDescent="0.25">
      <c r="A5" s="33"/>
      <c r="B5" s="33"/>
      <c r="C5" s="37" t="s">
        <v>5</v>
      </c>
      <c r="D5" s="968" t="str">
        <f>'Kops a'!D6</f>
        <v>Daudzīvokļu dzīvojamā māja</v>
      </c>
      <c r="E5" s="968"/>
      <c r="F5" s="968"/>
      <c r="G5" s="968"/>
      <c r="H5" s="968"/>
      <c r="I5" s="968"/>
      <c r="J5" s="968"/>
      <c r="K5" s="968"/>
      <c r="L5" s="968"/>
      <c r="M5" s="14"/>
      <c r="N5" s="14"/>
      <c r="O5" s="14"/>
      <c r="P5" s="14"/>
    </row>
    <row r="6" spans="1:16" x14ac:dyDescent="0.25">
      <c r="A6" s="33"/>
      <c r="B6" s="33"/>
      <c r="C6" s="37" t="s">
        <v>6</v>
      </c>
      <c r="D6" s="968" t="str">
        <f>'Kops a'!D7</f>
        <v>fasādes vienkāršotā atjaunošana</v>
      </c>
      <c r="E6" s="968"/>
      <c r="F6" s="968"/>
      <c r="G6" s="968"/>
      <c r="H6" s="968"/>
      <c r="I6" s="968"/>
      <c r="J6" s="968"/>
      <c r="K6" s="968"/>
      <c r="L6" s="968"/>
      <c r="M6" s="14"/>
      <c r="N6" s="14"/>
      <c r="O6" s="14"/>
      <c r="P6" s="14"/>
    </row>
    <row r="7" spans="1:16" x14ac:dyDescent="0.25">
      <c r="A7" s="33"/>
      <c r="B7" s="33"/>
      <c r="C7" s="37" t="s">
        <v>7</v>
      </c>
      <c r="D7" s="968" t="str">
        <f>'Kops a'!D8</f>
        <v>Reiņu meža iela 3, Liepāja</v>
      </c>
      <c r="E7" s="968"/>
      <c r="F7" s="968"/>
      <c r="G7" s="968"/>
      <c r="H7" s="968"/>
      <c r="I7" s="968"/>
      <c r="J7" s="968"/>
      <c r="K7" s="968"/>
      <c r="L7" s="968"/>
      <c r="M7" s="14"/>
      <c r="N7" s="14"/>
      <c r="O7" s="14"/>
      <c r="P7" s="14"/>
    </row>
    <row r="8" spans="1:16" x14ac:dyDescent="0.25">
      <c r="A8" s="33"/>
      <c r="B8" s="33"/>
      <c r="C8" s="4" t="s">
        <v>21</v>
      </c>
      <c r="D8" s="968" t="str">
        <f>'Kops a'!D9</f>
        <v>EA-45-17</v>
      </c>
      <c r="E8" s="968"/>
      <c r="F8" s="968"/>
      <c r="G8" s="968"/>
      <c r="H8" s="968"/>
      <c r="I8" s="968"/>
      <c r="J8" s="968"/>
      <c r="K8" s="968"/>
      <c r="L8" s="968"/>
      <c r="M8" s="14"/>
      <c r="N8" s="14"/>
      <c r="O8" s="14"/>
      <c r="P8" s="14"/>
    </row>
    <row r="9" spans="1:16" x14ac:dyDescent="0.25">
      <c r="A9" s="969" t="s">
        <v>627</v>
      </c>
      <c r="B9" s="969"/>
      <c r="C9" s="969"/>
      <c r="D9" s="969"/>
      <c r="E9" s="969"/>
      <c r="F9" s="969"/>
      <c r="G9" s="43"/>
      <c r="H9" s="43"/>
      <c r="I9" s="43"/>
      <c r="J9" s="970" t="s">
        <v>40</v>
      </c>
      <c r="K9" s="970"/>
      <c r="L9" s="970"/>
      <c r="M9" s="970"/>
      <c r="N9" s="971">
        <f>P79</f>
        <v>0</v>
      </c>
      <c r="O9" s="971"/>
      <c r="P9" s="43"/>
    </row>
    <row r="10" spans="1:16" x14ac:dyDescent="0.25">
      <c r="A10" s="44"/>
      <c r="B10" s="45"/>
      <c r="C10" s="4"/>
      <c r="D10" s="33"/>
      <c r="E10" s="33"/>
      <c r="F10" s="33"/>
      <c r="G10" s="33"/>
      <c r="H10" s="33"/>
      <c r="I10" s="33"/>
      <c r="J10" s="33"/>
      <c r="K10" s="33"/>
      <c r="L10" s="41"/>
      <c r="M10" s="41"/>
      <c r="O10" s="46"/>
      <c r="P10" s="47" t="str">
        <f>A85</f>
        <v>Tāme sastādīta 20__. gada __. _________</v>
      </c>
    </row>
    <row r="11" spans="1:16" ht="15.75" thickBot="1" x14ac:dyDescent="0.3">
      <c r="A11" s="44"/>
      <c r="B11" s="45"/>
      <c r="C11" s="4"/>
      <c r="D11" s="33"/>
      <c r="E11" s="33"/>
      <c r="F11" s="33"/>
      <c r="G11" s="33"/>
      <c r="H11" s="33"/>
      <c r="I11" s="33"/>
      <c r="J11" s="33"/>
      <c r="K11" s="33"/>
      <c r="L11" s="48"/>
      <c r="M11" s="48"/>
      <c r="N11" s="49"/>
      <c r="O11" s="39"/>
      <c r="P11" s="33"/>
    </row>
    <row r="12" spans="1:16" ht="15.75" thickBot="1" x14ac:dyDescent="0.3">
      <c r="A12" s="960" t="s">
        <v>24</v>
      </c>
      <c r="B12" s="961" t="s">
        <v>41</v>
      </c>
      <c r="C12" s="962" t="s">
        <v>42</v>
      </c>
      <c r="D12" s="963" t="s">
        <v>43</v>
      </c>
      <c r="E12" s="964" t="s">
        <v>44</v>
      </c>
      <c r="F12" s="959" t="s">
        <v>45</v>
      </c>
      <c r="G12" s="959"/>
      <c r="H12" s="959"/>
      <c r="I12" s="959"/>
      <c r="J12" s="959"/>
      <c r="K12" s="959"/>
      <c r="L12" s="959" t="s">
        <v>46</v>
      </c>
      <c r="M12" s="959"/>
      <c r="N12" s="959"/>
      <c r="O12" s="959"/>
      <c r="P12" s="959"/>
    </row>
    <row r="13" spans="1:16" ht="117.75" thickBot="1" x14ac:dyDescent="0.3">
      <c r="A13" s="960"/>
      <c r="B13" s="961"/>
      <c r="C13" s="962"/>
      <c r="D13" s="963"/>
      <c r="E13" s="964"/>
      <c r="F13" s="50" t="s">
        <v>47</v>
      </c>
      <c r="G13" s="51" t="s">
        <v>48</v>
      </c>
      <c r="H13" s="51" t="s">
        <v>49</v>
      </c>
      <c r="I13" s="51" t="s">
        <v>50</v>
      </c>
      <c r="J13" s="51" t="s">
        <v>51</v>
      </c>
      <c r="K13" s="52" t="s">
        <v>52</v>
      </c>
      <c r="L13" s="50" t="s">
        <v>47</v>
      </c>
      <c r="M13" s="51" t="s">
        <v>49</v>
      </c>
      <c r="N13" s="51" t="s">
        <v>50</v>
      </c>
      <c r="O13" s="51" t="s">
        <v>51</v>
      </c>
      <c r="P13" s="499" t="s">
        <v>52</v>
      </c>
    </row>
    <row r="14" spans="1:16" x14ac:dyDescent="0.25">
      <c r="A14" s="153">
        <f>IF(COUNTBLANK(B14)=1," ",COUNTA(B$13:B14))</f>
        <v>1</v>
      </c>
      <c r="B14" s="154" t="s">
        <v>87</v>
      </c>
      <c r="C14" s="155" t="s">
        <v>102</v>
      </c>
      <c r="D14" s="156" t="s">
        <v>89</v>
      </c>
      <c r="E14" s="157">
        <v>161</v>
      </c>
      <c r="F14" s="103"/>
      <c r="G14" s="103"/>
      <c r="H14" s="197">
        <f>F14*G14</f>
        <v>0</v>
      </c>
      <c r="I14" s="124"/>
      <c r="J14" s="124"/>
      <c r="K14" s="307">
        <f t="shared" ref="K14:K77" si="0">ROUND(I14+H14+J14,2)</f>
        <v>0</v>
      </c>
      <c r="L14" s="307">
        <f t="shared" ref="L14:L77" si="1">ROUND(E14*F14,2)</f>
        <v>0</v>
      </c>
      <c r="M14" s="307">
        <f t="shared" ref="M14:M77" si="2">ROUND(E14*H14,2)</f>
        <v>0</v>
      </c>
      <c r="N14" s="307">
        <f t="shared" ref="N14:N77" si="3">ROUND(E14*I14,2)</f>
        <v>0</v>
      </c>
      <c r="O14" s="307">
        <f t="shared" ref="O14:O77" si="4">ROUND(E14*J14,2)</f>
        <v>0</v>
      </c>
      <c r="P14" s="500">
        <f t="shared" ref="P14:P77" si="5">SUM(M14:O14)</f>
        <v>0</v>
      </c>
    </row>
    <row r="15" spans="1:16" x14ac:dyDescent="0.25">
      <c r="A15" s="153">
        <f>IF(COUNTBLANK(B15)=1," ",COUNTA(B$13:B15))</f>
        <v>2</v>
      </c>
      <c r="B15" s="154" t="s">
        <v>87</v>
      </c>
      <c r="C15" s="161" t="s">
        <v>101</v>
      </c>
      <c r="D15" s="153" t="s">
        <v>58</v>
      </c>
      <c r="E15" s="162">
        <f>E14/3.5</f>
        <v>46</v>
      </c>
      <c r="F15" s="103"/>
      <c r="G15" s="103"/>
      <c r="H15" s="197">
        <f t="shared" ref="H15:H78" si="6">F15*G15</f>
        <v>0</v>
      </c>
      <c r="I15" s="124"/>
      <c r="J15" s="124"/>
      <c r="K15" s="307">
        <f t="shared" si="0"/>
        <v>0</v>
      </c>
      <c r="L15" s="307">
        <f t="shared" si="1"/>
        <v>0</v>
      </c>
      <c r="M15" s="307">
        <f t="shared" si="2"/>
        <v>0</v>
      </c>
      <c r="N15" s="307">
        <f t="shared" si="3"/>
        <v>0</v>
      </c>
      <c r="O15" s="307">
        <f t="shared" si="4"/>
        <v>0</v>
      </c>
      <c r="P15" s="500">
        <f t="shared" si="5"/>
        <v>0</v>
      </c>
    </row>
    <row r="16" spans="1:16" x14ac:dyDescent="0.25">
      <c r="A16" s="153">
        <f>IF(COUNTBLANK(B16)=1," ",COUNTA(B$13:B16))</f>
        <v>3</v>
      </c>
      <c r="B16" s="154" t="s">
        <v>87</v>
      </c>
      <c r="C16" s="161" t="s">
        <v>100</v>
      </c>
      <c r="D16" s="153" t="s">
        <v>58</v>
      </c>
      <c r="E16" s="162">
        <f>E15+1</f>
        <v>47</v>
      </c>
      <c r="F16" s="103"/>
      <c r="G16" s="103"/>
      <c r="H16" s="197">
        <f t="shared" si="6"/>
        <v>0</v>
      </c>
      <c r="I16" s="124"/>
      <c r="J16" s="124"/>
      <c r="K16" s="307">
        <f t="shared" si="0"/>
        <v>0</v>
      </c>
      <c r="L16" s="307">
        <f t="shared" si="1"/>
        <v>0</v>
      </c>
      <c r="M16" s="307">
        <f t="shared" si="2"/>
        <v>0</v>
      </c>
      <c r="N16" s="307">
        <f t="shared" si="3"/>
        <v>0</v>
      </c>
      <c r="O16" s="307">
        <f t="shared" si="4"/>
        <v>0</v>
      </c>
      <c r="P16" s="500">
        <f t="shared" si="5"/>
        <v>0</v>
      </c>
    </row>
    <row r="17" spans="1:16" x14ac:dyDescent="0.25">
      <c r="A17" s="153">
        <f>IF(COUNTBLANK(B17)=1," ",COUNTA(B$13:B17))</f>
        <v>4</v>
      </c>
      <c r="B17" s="160" t="s">
        <v>87</v>
      </c>
      <c r="C17" s="161" t="s">
        <v>99</v>
      </c>
      <c r="D17" s="164" t="s">
        <v>89</v>
      </c>
      <c r="E17" s="165">
        <f>E14</f>
        <v>161</v>
      </c>
      <c r="F17" s="103"/>
      <c r="G17" s="103"/>
      <c r="H17" s="197">
        <f t="shared" si="6"/>
        <v>0</v>
      </c>
      <c r="I17" s="124"/>
      <c r="J17" s="124"/>
      <c r="K17" s="307">
        <f t="shared" si="0"/>
        <v>0</v>
      </c>
      <c r="L17" s="307">
        <f t="shared" si="1"/>
        <v>0</v>
      </c>
      <c r="M17" s="307">
        <f t="shared" si="2"/>
        <v>0</v>
      </c>
      <c r="N17" s="307">
        <f t="shared" si="3"/>
        <v>0</v>
      </c>
      <c r="O17" s="307">
        <f t="shared" si="4"/>
        <v>0</v>
      </c>
      <c r="P17" s="500">
        <f t="shared" si="5"/>
        <v>0</v>
      </c>
    </row>
    <row r="18" spans="1:16" x14ac:dyDescent="0.25">
      <c r="A18" s="153">
        <f>IF(COUNTBLANK(B18)=1," ",COUNTA(B$13:B18))</f>
        <v>5</v>
      </c>
      <c r="B18" s="160" t="s">
        <v>87</v>
      </c>
      <c r="C18" s="161" t="s">
        <v>98</v>
      </c>
      <c r="D18" s="153" t="s">
        <v>57</v>
      </c>
      <c r="E18" s="165">
        <v>2528</v>
      </c>
      <c r="F18" s="103"/>
      <c r="G18" s="103"/>
      <c r="H18" s="197">
        <f t="shared" si="6"/>
        <v>0</v>
      </c>
      <c r="I18" s="124"/>
      <c r="J18" s="124"/>
      <c r="K18" s="307">
        <f t="shared" si="0"/>
        <v>0</v>
      </c>
      <c r="L18" s="307">
        <f t="shared" si="1"/>
        <v>0</v>
      </c>
      <c r="M18" s="307">
        <f t="shared" si="2"/>
        <v>0</v>
      </c>
      <c r="N18" s="307">
        <f t="shared" si="3"/>
        <v>0</v>
      </c>
      <c r="O18" s="307">
        <f t="shared" si="4"/>
        <v>0</v>
      </c>
      <c r="P18" s="500">
        <f t="shared" si="5"/>
        <v>0</v>
      </c>
    </row>
    <row r="19" spans="1:16" x14ac:dyDescent="0.25">
      <c r="A19" s="153">
        <f>IF(COUNTBLANK(B19)=1," ",COUNTA(B$13:B19))</f>
        <v>6</v>
      </c>
      <c r="B19" s="160" t="s">
        <v>87</v>
      </c>
      <c r="C19" s="161" t="s">
        <v>655</v>
      </c>
      <c r="D19" s="153" t="s">
        <v>57</v>
      </c>
      <c r="E19" s="165">
        <f>E18</f>
        <v>2528</v>
      </c>
      <c r="F19" s="103"/>
      <c r="G19" s="103"/>
      <c r="H19" s="197">
        <f t="shared" si="6"/>
        <v>0</v>
      </c>
      <c r="I19" s="124"/>
      <c r="J19" s="124"/>
      <c r="K19" s="307">
        <f t="shared" si="0"/>
        <v>0</v>
      </c>
      <c r="L19" s="307">
        <f t="shared" si="1"/>
        <v>0</v>
      </c>
      <c r="M19" s="307">
        <f t="shared" si="2"/>
        <v>0</v>
      </c>
      <c r="N19" s="307">
        <f t="shared" si="3"/>
        <v>0</v>
      </c>
      <c r="O19" s="307">
        <f t="shared" si="4"/>
        <v>0</v>
      </c>
      <c r="P19" s="500">
        <f t="shared" si="5"/>
        <v>0</v>
      </c>
    </row>
    <row r="20" spans="1:16" x14ac:dyDescent="0.25">
      <c r="A20" s="153">
        <f>IF(COUNTBLANK(B20)=1," ",COUNTA(B$13:B20))</f>
        <v>7</v>
      </c>
      <c r="B20" s="160" t="s">
        <v>87</v>
      </c>
      <c r="C20" s="161" t="s">
        <v>152</v>
      </c>
      <c r="D20" s="153" t="s">
        <v>58</v>
      </c>
      <c r="E20" s="165">
        <v>1</v>
      </c>
      <c r="F20" s="103"/>
      <c r="G20" s="103"/>
      <c r="H20" s="197">
        <f t="shared" si="6"/>
        <v>0</v>
      </c>
      <c r="I20" s="124"/>
      <c r="J20" s="124"/>
      <c r="K20" s="307">
        <f t="shared" si="0"/>
        <v>0</v>
      </c>
      <c r="L20" s="307">
        <f t="shared" si="1"/>
        <v>0</v>
      </c>
      <c r="M20" s="307">
        <f t="shared" si="2"/>
        <v>0</v>
      </c>
      <c r="N20" s="307">
        <f t="shared" si="3"/>
        <v>0</v>
      </c>
      <c r="O20" s="307">
        <f t="shared" si="4"/>
        <v>0</v>
      </c>
      <c r="P20" s="500">
        <f t="shared" si="5"/>
        <v>0</v>
      </c>
    </row>
    <row r="21" spans="1:16" x14ac:dyDescent="0.25">
      <c r="A21" s="153">
        <f>IF(COUNTBLANK(B21)=1," ",COUNTA(B$13:B21))</f>
        <v>8</v>
      </c>
      <c r="B21" s="160" t="s">
        <v>87</v>
      </c>
      <c r="C21" s="161" t="s">
        <v>97</v>
      </c>
      <c r="D21" s="153" t="s">
        <v>96</v>
      </c>
      <c r="E21" s="165">
        <v>16</v>
      </c>
      <c r="F21" s="103"/>
      <c r="G21" s="103"/>
      <c r="H21" s="197">
        <f t="shared" si="6"/>
        <v>0</v>
      </c>
      <c r="I21" s="124"/>
      <c r="J21" s="124"/>
      <c r="K21" s="307">
        <f t="shared" si="0"/>
        <v>0</v>
      </c>
      <c r="L21" s="307">
        <f t="shared" si="1"/>
        <v>0</v>
      </c>
      <c r="M21" s="307">
        <f t="shared" si="2"/>
        <v>0</v>
      </c>
      <c r="N21" s="307">
        <f t="shared" si="3"/>
        <v>0</v>
      </c>
      <c r="O21" s="307">
        <f t="shared" si="4"/>
        <v>0</v>
      </c>
      <c r="P21" s="500">
        <f t="shared" si="5"/>
        <v>0</v>
      </c>
    </row>
    <row r="22" spans="1:16" x14ac:dyDescent="0.25">
      <c r="A22" s="153">
        <f>IF(COUNTBLANK(B22)=1," ",COUNTA(B$13:B22))</f>
        <v>9</v>
      </c>
      <c r="B22" s="160" t="s">
        <v>87</v>
      </c>
      <c r="C22" s="161" t="s">
        <v>95</v>
      </c>
      <c r="D22" s="153" t="s">
        <v>58</v>
      </c>
      <c r="E22" s="165">
        <v>1</v>
      </c>
      <c r="F22" s="103"/>
      <c r="G22" s="103"/>
      <c r="H22" s="197">
        <f t="shared" si="6"/>
        <v>0</v>
      </c>
      <c r="I22" s="124"/>
      <c r="J22" s="124"/>
      <c r="K22" s="307">
        <f t="shared" si="0"/>
        <v>0</v>
      </c>
      <c r="L22" s="307">
        <f t="shared" si="1"/>
        <v>0</v>
      </c>
      <c r="M22" s="307">
        <f t="shared" si="2"/>
        <v>0</v>
      </c>
      <c r="N22" s="307">
        <f t="shared" si="3"/>
        <v>0</v>
      </c>
      <c r="O22" s="307">
        <f t="shared" si="4"/>
        <v>0</v>
      </c>
      <c r="P22" s="500">
        <f t="shared" si="5"/>
        <v>0</v>
      </c>
    </row>
    <row r="23" spans="1:16" x14ac:dyDescent="0.25">
      <c r="A23" s="153">
        <f>IF(COUNTBLANK(B23)=1," ",COUNTA(B$13:B23))</f>
        <v>10</v>
      </c>
      <c r="B23" s="160" t="s">
        <v>87</v>
      </c>
      <c r="C23" s="335" t="s">
        <v>94</v>
      </c>
      <c r="D23" s="164" t="s">
        <v>58</v>
      </c>
      <c r="E23" s="165">
        <v>1</v>
      </c>
      <c r="F23" s="103"/>
      <c r="G23" s="103"/>
      <c r="H23" s="197">
        <f t="shared" si="6"/>
        <v>0</v>
      </c>
      <c r="I23" s="124"/>
      <c r="J23" s="124"/>
      <c r="K23" s="307">
        <f t="shared" si="0"/>
        <v>0</v>
      </c>
      <c r="L23" s="307">
        <f t="shared" si="1"/>
        <v>0</v>
      </c>
      <c r="M23" s="307">
        <f t="shared" si="2"/>
        <v>0</v>
      </c>
      <c r="N23" s="307">
        <f t="shared" si="3"/>
        <v>0</v>
      </c>
      <c r="O23" s="307">
        <f t="shared" si="4"/>
        <v>0</v>
      </c>
      <c r="P23" s="500">
        <f t="shared" si="5"/>
        <v>0</v>
      </c>
    </row>
    <row r="24" spans="1:16" x14ac:dyDescent="0.25">
      <c r="A24" s="153">
        <f>IF(COUNTBLANK(B24)=1," ",COUNTA(B$13:B24))</f>
        <v>11</v>
      </c>
      <c r="B24" s="333" t="s">
        <v>87</v>
      </c>
      <c r="C24" s="336" t="s">
        <v>153</v>
      </c>
      <c r="D24" s="334" t="s">
        <v>58</v>
      </c>
      <c r="E24" s="166">
        <v>1</v>
      </c>
      <c r="F24" s="103"/>
      <c r="G24" s="103"/>
      <c r="H24" s="197">
        <f t="shared" si="6"/>
        <v>0</v>
      </c>
      <c r="I24" s="124"/>
      <c r="J24" s="124"/>
      <c r="K24" s="307">
        <f t="shared" si="0"/>
        <v>0</v>
      </c>
      <c r="L24" s="307">
        <f t="shared" si="1"/>
        <v>0</v>
      </c>
      <c r="M24" s="307">
        <f t="shared" si="2"/>
        <v>0</v>
      </c>
      <c r="N24" s="307">
        <f t="shared" si="3"/>
        <v>0</v>
      </c>
      <c r="O24" s="307">
        <f t="shared" si="4"/>
        <v>0</v>
      </c>
      <c r="P24" s="500">
        <f t="shared" si="5"/>
        <v>0</v>
      </c>
    </row>
    <row r="25" spans="1:16" x14ac:dyDescent="0.25">
      <c r="A25" s="153">
        <f>IF(COUNTBLANK(B25)=1," ",COUNTA(B$13:B25))</f>
        <v>12</v>
      </c>
      <c r="B25" s="361" t="s">
        <v>87</v>
      </c>
      <c r="C25" s="835" t="s">
        <v>247</v>
      </c>
      <c r="D25" s="836" t="s">
        <v>89</v>
      </c>
      <c r="E25" s="362">
        <v>119.3</v>
      </c>
      <c r="F25" s="329"/>
      <c r="G25" s="329"/>
      <c r="H25" s="197">
        <f t="shared" si="6"/>
        <v>0</v>
      </c>
      <c r="I25" s="330"/>
      <c r="J25" s="330"/>
      <c r="K25" s="307">
        <f t="shared" si="0"/>
        <v>0</v>
      </c>
      <c r="L25" s="307">
        <f t="shared" si="1"/>
        <v>0</v>
      </c>
      <c r="M25" s="307">
        <f t="shared" si="2"/>
        <v>0</v>
      </c>
      <c r="N25" s="307">
        <f t="shared" si="3"/>
        <v>0</v>
      </c>
      <c r="O25" s="307">
        <f t="shared" si="4"/>
        <v>0</v>
      </c>
      <c r="P25" s="500">
        <f t="shared" si="5"/>
        <v>0</v>
      </c>
    </row>
    <row r="26" spans="1:16" x14ac:dyDescent="0.25">
      <c r="A26" s="153">
        <f>IF(COUNTBLANK(B26)=1," ",COUNTA(B$13:B26))</f>
        <v>13</v>
      </c>
      <c r="B26" s="324" t="s">
        <v>87</v>
      </c>
      <c r="C26" s="837" t="s">
        <v>306</v>
      </c>
      <c r="D26" s="838" t="s">
        <v>89</v>
      </c>
      <c r="E26" s="438">
        <f>E25*1.05</f>
        <v>125.265</v>
      </c>
      <c r="F26" s="473"/>
      <c r="G26" s="329"/>
      <c r="H26" s="197">
        <f t="shared" si="6"/>
        <v>0</v>
      </c>
      <c r="I26" s="330"/>
      <c r="J26" s="330"/>
      <c r="K26" s="307">
        <f t="shared" si="0"/>
        <v>0</v>
      </c>
      <c r="L26" s="307">
        <f t="shared" si="1"/>
        <v>0</v>
      </c>
      <c r="M26" s="307">
        <f t="shared" si="2"/>
        <v>0</v>
      </c>
      <c r="N26" s="307">
        <f t="shared" si="3"/>
        <v>0</v>
      </c>
      <c r="O26" s="307">
        <f t="shared" si="4"/>
        <v>0</v>
      </c>
      <c r="P26" s="500">
        <f t="shared" si="5"/>
        <v>0</v>
      </c>
    </row>
    <row r="27" spans="1:16" ht="33.75" x14ac:dyDescent="0.25">
      <c r="A27" s="485">
        <f>IF(COUNTBLANK(B27)=1," ",COUNTA(B$13:B27))</f>
        <v>14</v>
      </c>
      <c r="B27" s="486" t="s">
        <v>307</v>
      </c>
      <c r="C27" s="839" t="s">
        <v>243</v>
      </c>
      <c r="D27" s="487" t="s">
        <v>57</v>
      </c>
      <c r="E27" s="488">
        <v>1304.5</v>
      </c>
      <c r="F27" s="473"/>
      <c r="G27" s="103"/>
      <c r="H27" s="197">
        <f t="shared" si="6"/>
        <v>0</v>
      </c>
      <c r="I27" s="124"/>
      <c r="J27" s="124"/>
      <c r="K27" s="307">
        <f t="shared" si="0"/>
        <v>0</v>
      </c>
      <c r="L27" s="307">
        <f t="shared" si="1"/>
        <v>0</v>
      </c>
      <c r="M27" s="307">
        <f t="shared" si="2"/>
        <v>0</v>
      </c>
      <c r="N27" s="307">
        <f t="shared" si="3"/>
        <v>0</v>
      </c>
      <c r="O27" s="307">
        <f t="shared" si="4"/>
        <v>0</v>
      </c>
      <c r="P27" s="500">
        <f t="shared" si="5"/>
        <v>0</v>
      </c>
    </row>
    <row r="28" spans="1:16" x14ac:dyDescent="0.25">
      <c r="A28" s="153">
        <f>IF(COUNTBLANK(B28)=1," ",COUNTA(B$13:B28))</f>
        <v>15</v>
      </c>
      <c r="B28" s="392" t="s">
        <v>87</v>
      </c>
      <c r="C28" s="840" t="s">
        <v>244</v>
      </c>
      <c r="D28" s="364" t="s">
        <v>90</v>
      </c>
      <c r="E28" s="365">
        <f>ROUNDUP(E27*0.2,2)</f>
        <v>260.89999999999998</v>
      </c>
      <c r="F28" s="329"/>
      <c r="G28" s="329"/>
      <c r="H28" s="197">
        <f t="shared" si="6"/>
        <v>0</v>
      </c>
      <c r="I28" s="330"/>
      <c r="J28" s="330"/>
      <c r="K28" s="307">
        <f t="shared" si="0"/>
        <v>0</v>
      </c>
      <c r="L28" s="307">
        <f t="shared" si="1"/>
        <v>0</v>
      </c>
      <c r="M28" s="307">
        <f t="shared" si="2"/>
        <v>0</v>
      </c>
      <c r="N28" s="307">
        <f t="shared" si="3"/>
        <v>0</v>
      </c>
      <c r="O28" s="307">
        <f t="shared" si="4"/>
        <v>0</v>
      </c>
      <c r="P28" s="500">
        <f t="shared" si="5"/>
        <v>0</v>
      </c>
    </row>
    <row r="29" spans="1:16" x14ac:dyDescent="0.25">
      <c r="A29" s="153">
        <f>IF(COUNTBLANK(B29)=1," ",COUNTA(B$13:B29))</f>
        <v>16</v>
      </c>
      <c r="B29" s="361" t="s">
        <v>87</v>
      </c>
      <c r="C29" s="841" t="s">
        <v>156</v>
      </c>
      <c r="D29" s="328" t="s">
        <v>90</v>
      </c>
      <c r="E29" s="351">
        <f>ROUNDUP(E27*5,2)</f>
        <v>6522.5</v>
      </c>
      <c r="F29" s="329"/>
      <c r="G29" s="329"/>
      <c r="H29" s="197">
        <f t="shared" si="6"/>
        <v>0</v>
      </c>
      <c r="I29" s="330"/>
      <c r="J29" s="330"/>
      <c r="K29" s="307">
        <f t="shared" si="0"/>
        <v>0</v>
      </c>
      <c r="L29" s="307">
        <f t="shared" si="1"/>
        <v>0</v>
      </c>
      <c r="M29" s="307">
        <f t="shared" si="2"/>
        <v>0</v>
      </c>
      <c r="N29" s="307">
        <f t="shared" si="3"/>
        <v>0</v>
      </c>
      <c r="O29" s="307">
        <f t="shared" si="4"/>
        <v>0</v>
      </c>
      <c r="P29" s="500">
        <f t="shared" si="5"/>
        <v>0</v>
      </c>
    </row>
    <row r="30" spans="1:16" ht="45" x14ac:dyDescent="0.25">
      <c r="A30" s="153">
        <f>IF(COUNTBLANK(B30)=1," ",COUNTA(B$13:B30))</f>
        <v>17</v>
      </c>
      <c r="B30" s="361" t="s">
        <v>87</v>
      </c>
      <c r="C30" s="490" t="s">
        <v>308</v>
      </c>
      <c r="D30" s="489" t="s">
        <v>57</v>
      </c>
      <c r="E30" s="489">
        <v>103.7</v>
      </c>
      <c r="F30" s="329"/>
      <c r="G30" s="329"/>
      <c r="H30" s="197">
        <f t="shared" si="6"/>
        <v>0</v>
      </c>
      <c r="I30" s="330"/>
      <c r="J30" s="330"/>
      <c r="K30" s="307">
        <f t="shared" si="0"/>
        <v>0</v>
      </c>
      <c r="L30" s="307">
        <f t="shared" si="1"/>
        <v>0</v>
      </c>
      <c r="M30" s="307">
        <f t="shared" si="2"/>
        <v>0</v>
      </c>
      <c r="N30" s="307">
        <f t="shared" si="3"/>
        <v>0</v>
      </c>
      <c r="O30" s="307">
        <f t="shared" si="4"/>
        <v>0</v>
      </c>
      <c r="P30" s="500">
        <f t="shared" si="5"/>
        <v>0</v>
      </c>
    </row>
    <row r="31" spans="1:16" ht="45" x14ac:dyDescent="0.25">
      <c r="A31" s="153">
        <f>IF(COUNTBLANK(B31)=1," ",COUNTA(B$13:B31))</f>
        <v>18</v>
      </c>
      <c r="B31" s="361" t="s">
        <v>87</v>
      </c>
      <c r="C31" s="490" t="s">
        <v>309</v>
      </c>
      <c r="D31" s="489" t="s">
        <v>57</v>
      </c>
      <c r="E31" s="491">
        <v>548</v>
      </c>
      <c r="F31" s="329"/>
      <c r="G31" s="329"/>
      <c r="H31" s="197">
        <f t="shared" si="6"/>
        <v>0</v>
      </c>
      <c r="I31" s="330"/>
      <c r="J31" s="330"/>
      <c r="K31" s="307">
        <f t="shared" si="0"/>
        <v>0</v>
      </c>
      <c r="L31" s="307">
        <f t="shared" si="1"/>
        <v>0</v>
      </c>
      <c r="M31" s="307">
        <f t="shared" si="2"/>
        <v>0</v>
      </c>
      <c r="N31" s="307">
        <f t="shared" si="3"/>
        <v>0</v>
      </c>
      <c r="O31" s="307">
        <f t="shared" si="4"/>
        <v>0</v>
      </c>
      <c r="P31" s="500">
        <f t="shared" si="5"/>
        <v>0</v>
      </c>
    </row>
    <row r="32" spans="1:16" ht="45" x14ac:dyDescent="0.25">
      <c r="A32" s="153">
        <f>IF(COUNTBLANK(B32)=1," ",COUNTA(B$13:B32))</f>
        <v>19</v>
      </c>
      <c r="B32" s="361" t="s">
        <v>87</v>
      </c>
      <c r="C32" s="490" t="s">
        <v>310</v>
      </c>
      <c r="D32" s="489" t="s">
        <v>57</v>
      </c>
      <c r="E32" s="489">
        <v>216.6</v>
      </c>
      <c r="F32" s="329"/>
      <c r="G32" s="329"/>
      <c r="H32" s="197">
        <f t="shared" si="6"/>
        <v>0</v>
      </c>
      <c r="I32" s="330"/>
      <c r="J32" s="330"/>
      <c r="K32" s="307">
        <f t="shared" si="0"/>
        <v>0</v>
      </c>
      <c r="L32" s="307">
        <f t="shared" si="1"/>
        <v>0</v>
      </c>
      <c r="M32" s="307">
        <f t="shared" si="2"/>
        <v>0</v>
      </c>
      <c r="N32" s="307">
        <f t="shared" si="3"/>
        <v>0</v>
      </c>
      <c r="O32" s="307">
        <f t="shared" si="4"/>
        <v>0</v>
      </c>
      <c r="P32" s="500">
        <f t="shared" si="5"/>
        <v>0</v>
      </c>
    </row>
    <row r="33" spans="1:16" ht="33.75" x14ac:dyDescent="0.25">
      <c r="A33" s="153">
        <f>IF(COUNTBLANK(B33)=1," ",COUNTA(B$13:B33))</f>
        <v>20</v>
      </c>
      <c r="B33" s="361" t="s">
        <v>87</v>
      </c>
      <c r="C33" s="490" t="s">
        <v>311</v>
      </c>
      <c r="D33" s="489" t="s">
        <v>157</v>
      </c>
      <c r="E33" s="489">
        <v>268.2</v>
      </c>
      <c r="F33" s="329"/>
      <c r="G33" s="329"/>
      <c r="H33" s="197">
        <f t="shared" si="6"/>
        <v>0</v>
      </c>
      <c r="I33" s="330"/>
      <c r="J33" s="330"/>
      <c r="K33" s="307">
        <f t="shared" si="0"/>
        <v>0</v>
      </c>
      <c r="L33" s="307">
        <f t="shared" si="1"/>
        <v>0</v>
      </c>
      <c r="M33" s="307">
        <f t="shared" si="2"/>
        <v>0</v>
      </c>
      <c r="N33" s="307">
        <f t="shared" si="3"/>
        <v>0</v>
      </c>
      <c r="O33" s="307">
        <f t="shared" si="4"/>
        <v>0</v>
      </c>
      <c r="P33" s="500">
        <f t="shared" si="5"/>
        <v>0</v>
      </c>
    </row>
    <row r="34" spans="1:16" ht="33.75" x14ac:dyDescent="0.25">
      <c r="A34" s="153">
        <f>IF(COUNTBLANK(B34)=1," ",COUNTA(B$13:B34))</f>
        <v>21</v>
      </c>
      <c r="B34" s="361" t="s">
        <v>87</v>
      </c>
      <c r="C34" s="490" t="s">
        <v>312</v>
      </c>
      <c r="D34" s="489" t="s">
        <v>157</v>
      </c>
      <c r="E34" s="491">
        <v>8</v>
      </c>
      <c r="F34" s="329"/>
      <c r="G34" s="329"/>
      <c r="H34" s="197">
        <f t="shared" si="6"/>
        <v>0</v>
      </c>
      <c r="I34" s="330"/>
      <c r="J34" s="330"/>
      <c r="K34" s="307">
        <f t="shared" si="0"/>
        <v>0</v>
      </c>
      <c r="L34" s="307">
        <f t="shared" si="1"/>
        <v>0</v>
      </c>
      <c r="M34" s="307">
        <f t="shared" si="2"/>
        <v>0</v>
      </c>
      <c r="N34" s="307">
        <f t="shared" si="3"/>
        <v>0</v>
      </c>
      <c r="O34" s="307">
        <f t="shared" si="4"/>
        <v>0</v>
      </c>
      <c r="P34" s="500">
        <f t="shared" si="5"/>
        <v>0</v>
      </c>
    </row>
    <row r="35" spans="1:16" ht="33.75" x14ac:dyDescent="0.25">
      <c r="A35" s="153">
        <f>IF(COUNTBLANK(B35)=1," ",COUNTA(B$13:B35))</f>
        <v>22</v>
      </c>
      <c r="B35" s="361" t="s">
        <v>87</v>
      </c>
      <c r="C35" s="490" t="s">
        <v>313</v>
      </c>
      <c r="D35" s="489" t="s">
        <v>157</v>
      </c>
      <c r="E35" s="491">
        <v>160</v>
      </c>
      <c r="F35" s="329"/>
      <c r="G35" s="329"/>
      <c r="H35" s="197">
        <f t="shared" si="6"/>
        <v>0</v>
      </c>
      <c r="I35" s="330"/>
      <c r="J35" s="330"/>
      <c r="K35" s="307">
        <f t="shared" si="0"/>
        <v>0</v>
      </c>
      <c r="L35" s="307">
        <f t="shared" si="1"/>
        <v>0</v>
      </c>
      <c r="M35" s="307">
        <f t="shared" si="2"/>
        <v>0</v>
      </c>
      <c r="N35" s="307">
        <f t="shared" si="3"/>
        <v>0</v>
      </c>
      <c r="O35" s="307">
        <f t="shared" si="4"/>
        <v>0</v>
      </c>
      <c r="P35" s="500">
        <f t="shared" si="5"/>
        <v>0</v>
      </c>
    </row>
    <row r="36" spans="1:16" ht="45" x14ac:dyDescent="0.25">
      <c r="A36" s="153">
        <f>IF(COUNTBLANK(B36)=1," ",COUNTA(B$13:B36))</f>
        <v>23</v>
      </c>
      <c r="B36" s="160" t="s">
        <v>87</v>
      </c>
      <c r="C36" s="170" t="s">
        <v>272</v>
      </c>
      <c r="D36" s="169" t="s">
        <v>58</v>
      </c>
      <c r="E36" s="349">
        <f>(E30+E31+E34+E35)*6</f>
        <v>4918.2000000000007</v>
      </c>
      <c r="F36" s="103"/>
      <c r="G36" s="103"/>
      <c r="H36" s="197">
        <f t="shared" si="6"/>
        <v>0</v>
      </c>
      <c r="I36" s="124"/>
      <c r="J36" s="124"/>
      <c r="K36" s="307">
        <f t="shared" si="0"/>
        <v>0</v>
      </c>
      <c r="L36" s="307">
        <f t="shared" si="1"/>
        <v>0</v>
      </c>
      <c r="M36" s="307">
        <f t="shared" si="2"/>
        <v>0</v>
      </c>
      <c r="N36" s="307">
        <f t="shared" si="3"/>
        <v>0</v>
      </c>
      <c r="O36" s="307">
        <f t="shared" si="4"/>
        <v>0</v>
      </c>
      <c r="P36" s="500">
        <f t="shared" si="5"/>
        <v>0</v>
      </c>
    </row>
    <row r="37" spans="1:16" ht="45" x14ac:dyDescent="0.25">
      <c r="A37" s="153">
        <f>IF(COUNTBLANK(B37)=1," ",COUNTA(B$13:B37))</f>
        <v>24</v>
      </c>
      <c r="B37" s="160" t="s">
        <v>87</v>
      </c>
      <c r="C37" s="170" t="s">
        <v>158</v>
      </c>
      <c r="D37" s="331" t="s">
        <v>246</v>
      </c>
      <c r="E37" s="350">
        <f>(E32+E33)*6</f>
        <v>2908.7999999999997</v>
      </c>
      <c r="F37" s="329"/>
      <c r="G37" s="329"/>
      <c r="H37" s="197">
        <f t="shared" si="6"/>
        <v>0</v>
      </c>
      <c r="I37" s="330"/>
      <c r="J37" s="330"/>
      <c r="K37" s="307">
        <f t="shared" si="0"/>
        <v>0</v>
      </c>
      <c r="L37" s="307">
        <f t="shared" si="1"/>
        <v>0</v>
      </c>
      <c r="M37" s="307">
        <f t="shared" si="2"/>
        <v>0</v>
      </c>
      <c r="N37" s="307">
        <f t="shared" si="3"/>
        <v>0</v>
      </c>
      <c r="O37" s="307">
        <f t="shared" si="4"/>
        <v>0</v>
      </c>
      <c r="P37" s="500">
        <f t="shared" si="5"/>
        <v>0</v>
      </c>
    </row>
    <row r="38" spans="1:16" ht="22.5" x14ac:dyDescent="0.25">
      <c r="A38" s="153">
        <f>IF(COUNTBLANK(B38)=1," ",COUNTA(B$13:B38))</f>
        <v>25</v>
      </c>
      <c r="B38" s="160" t="s">
        <v>87</v>
      </c>
      <c r="C38" s="492" t="s">
        <v>314</v>
      </c>
      <c r="D38" s="493" t="s">
        <v>157</v>
      </c>
      <c r="E38" s="494">
        <v>22</v>
      </c>
      <c r="F38" s="329"/>
      <c r="G38" s="329"/>
      <c r="H38" s="197">
        <f t="shared" si="6"/>
        <v>0</v>
      </c>
      <c r="I38" s="330"/>
      <c r="J38" s="330"/>
      <c r="K38" s="307">
        <f t="shared" si="0"/>
        <v>0</v>
      </c>
      <c r="L38" s="307">
        <f t="shared" si="1"/>
        <v>0</v>
      </c>
      <c r="M38" s="307">
        <f t="shared" si="2"/>
        <v>0</v>
      </c>
      <c r="N38" s="307">
        <f t="shared" si="3"/>
        <v>0</v>
      </c>
      <c r="O38" s="307">
        <f t="shared" si="4"/>
        <v>0</v>
      </c>
      <c r="P38" s="500">
        <f t="shared" si="5"/>
        <v>0</v>
      </c>
    </row>
    <row r="39" spans="1:16" x14ac:dyDescent="0.25">
      <c r="A39" s="153">
        <f>IF(COUNTBLANK(B39)=1," ",COUNTA(B$13:B39))</f>
        <v>26</v>
      </c>
      <c r="B39" s="160" t="s">
        <v>87</v>
      </c>
      <c r="C39" s="492" t="s">
        <v>315</v>
      </c>
      <c r="D39" s="493" t="s">
        <v>157</v>
      </c>
      <c r="E39" s="494">
        <v>12.7</v>
      </c>
      <c r="F39" s="329"/>
      <c r="G39" s="329"/>
      <c r="H39" s="197">
        <f t="shared" si="6"/>
        <v>0</v>
      </c>
      <c r="I39" s="330"/>
      <c r="J39" s="330"/>
      <c r="K39" s="307">
        <f t="shared" si="0"/>
        <v>0</v>
      </c>
      <c r="L39" s="307">
        <f t="shared" si="1"/>
        <v>0</v>
      </c>
      <c r="M39" s="307">
        <f t="shared" si="2"/>
        <v>0</v>
      </c>
      <c r="N39" s="307">
        <f t="shared" si="3"/>
        <v>0</v>
      </c>
      <c r="O39" s="307">
        <f t="shared" si="4"/>
        <v>0</v>
      </c>
      <c r="P39" s="500">
        <f t="shared" si="5"/>
        <v>0</v>
      </c>
    </row>
    <row r="40" spans="1:16" ht="42" customHeight="1" thickBot="1" x14ac:dyDescent="0.3">
      <c r="A40" s="153" t="str">
        <f>IF(COUNTBLANK(B40)=1," ",COUNTA(B$13:B40))</f>
        <v xml:space="preserve"> </v>
      </c>
      <c r="B40" s="355"/>
      <c r="C40" s="842" t="s">
        <v>316</v>
      </c>
      <c r="D40" s="356"/>
      <c r="E40" s="357"/>
      <c r="F40" s="329"/>
      <c r="G40" s="329"/>
      <c r="H40" s="197">
        <f t="shared" si="6"/>
        <v>0</v>
      </c>
      <c r="I40" s="330"/>
      <c r="J40" s="330"/>
      <c r="K40" s="307">
        <f t="shared" si="0"/>
        <v>0</v>
      </c>
      <c r="L40" s="307">
        <f t="shared" si="1"/>
        <v>0</v>
      </c>
      <c r="M40" s="307">
        <f t="shared" si="2"/>
        <v>0</v>
      </c>
      <c r="N40" s="307">
        <f t="shared" si="3"/>
        <v>0</v>
      </c>
      <c r="O40" s="307">
        <f t="shared" si="4"/>
        <v>0</v>
      </c>
      <c r="P40" s="500">
        <f t="shared" si="5"/>
        <v>0</v>
      </c>
    </row>
    <row r="41" spans="1:16" ht="56.25" x14ac:dyDescent="0.25">
      <c r="A41" s="153">
        <f>IF(COUNTBLANK(B41)=1," ",COUNTA(B$13:B41))</f>
        <v>27</v>
      </c>
      <c r="B41" s="353" t="s">
        <v>87</v>
      </c>
      <c r="C41" s="843" t="s">
        <v>608</v>
      </c>
      <c r="D41" s="844" t="s">
        <v>57</v>
      </c>
      <c r="E41" s="354">
        <v>56.7</v>
      </c>
      <c r="F41" s="103"/>
      <c r="G41" s="103"/>
      <c r="H41" s="197">
        <f t="shared" si="6"/>
        <v>0</v>
      </c>
      <c r="I41" s="124"/>
      <c r="J41" s="124"/>
      <c r="K41" s="307">
        <f t="shared" si="0"/>
        <v>0</v>
      </c>
      <c r="L41" s="307">
        <f t="shared" si="1"/>
        <v>0</v>
      </c>
      <c r="M41" s="307">
        <f t="shared" si="2"/>
        <v>0</v>
      </c>
      <c r="N41" s="307">
        <f t="shared" si="3"/>
        <v>0</v>
      </c>
      <c r="O41" s="307">
        <f t="shared" si="4"/>
        <v>0</v>
      </c>
      <c r="P41" s="500">
        <f t="shared" si="5"/>
        <v>0</v>
      </c>
    </row>
    <row r="42" spans="1:16" x14ac:dyDescent="0.25">
      <c r="A42" s="153">
        <f>IF(COUNTBLANK(B42)=1," ",COUNTA(B$13:B42))</f>
        <v>28</v>
      </c>
      <c r="B42" s="353" t="s">
        <v>87</v>
      </c>
      <c r="C42" s="845" t="s">
        <v>248</v>
      </c>
      <c r="D42" s="846" t="s">
        <v>90</v>
      </c>
      <c r="E42" s="847">
        <f>E41*5</f>
        <v>283.5</v>
      </c>
      <c r="F42" s="103"/>
      <c r="G42" s="103"/>
      <c r="H42" s="197">
        <f t="shared" si="6"/>
        <v>0</v>
      </c>
      <c r="I42" s="124"/>
      <c r="J42" s="124"/>
      <c r="K42" s="307">
        <f t="shared" si="0"/>
        <v>0</v>
      </c>
      <c r="L42" s="307">
        <f t="shared" si="1"/>
        <v>0</v>
      </c>
      <c r="M42" s="307">
        <f t="shared" si="2"/>
        <v>0</v>
      </c>
      <c r="N42" s="307">
        <f t="shared" si="3"/>
        <v>0</v>
      </c>
      <c r="O42" s="307">
        <f t="shared" si="4"/>
        <v>0</v>
      </c>
      <c r="P42" s="500">
        <f t="shared" si="5"/>
        <v>0</v>
      </c>
    </row>
    <row r="43" spans="1:16" x14ac:dyDescent="0.25">
      <c r="A43" s="153">
        <f>IF(COUNTBLANK(B43)=1," ",COUNTA(B$13:B43))</f>
        <v>29</v>
      </c>
      <c r="B43" s="353" t="s">
        <v>87</v>
      </c>
      <c r="C43" s="845" t="s">
        <v>249</v>
      </c>
      <c r="D43" s="846" t="s">
        <v>129</v>
      </c>
      <c r="E43" s="847">
        <f>E41*2.2</f>
        <v>124.74000000000002</v>
      </c>
      <c r="F43" s="103"/>
      <c r="G43" s="103"/>
      <c r="H43" s="197">
        <f t="shared" si="6"/>
        <v>0</v>
      </c>
      <c r="I43" s="124"/>
      <c r="J43" s="124"/>
      <c r="K43" s="307">
        <f t="shared" si="0"/>
        <v>0</v>
      </c>
      <c r="L43" s="307">
        <f t="shared" si="1"/>
        <v>0</v>
      </c>
      <c r="M43" s="307">
        <f t="shared" si="2"/>
        <v>0</v>
      </c>
      <c r="N43" s="307">
        <f t="shared" si="3"/>
        <v>0</v>
      </c>
      <c r="O43" s="307">
        <f t="shared" si="4"/>
        <v>0</v>
      </c>
      <c r="P43" s="500">
        <f t="shared" si="5"/>
        <v>0</v>
      </c>
    </row>
    <row r="44" spans="1:16" x14ac:dyDescent="0.25">
      <c r="A44" s="153">
        <f>IF(COUNTBLANK(B44)=1," ",COUNTA(B$13:B44))</f>
        <v>30</v>
      </c>
      <c r="B44" s="353" t="s">
        <v>87</v>
      </c>
      <c r="C44" s="845" t="s">
        <v>250</v>
      </c>
      <c r="D44" s="846" t="s">
        <v>251</v>
      </c>
      <c r="E44" s="847">
        <f>E41*0.15</f>
        <v>8.5050000000000008</v>
      </c>
      <c r="F44" s="337"/>
      <c r="G44" s="337"/>
      <c r="H44" s="197">
        <f t="shared" si="6"/>
        <v>0</v>
      </c>
      <c r="I44" s="338"/>
      <c r="J44" s="338"/>
      <c r="K44" s="307">
        <f t="shared" si="0"/>
        <v>0</v>
      </c>
      <c r="L44" s="307">
        <f t="shared" si="1"/>
        <v>0</v>
      </c>
      <c r="M44" s="307">
        <f t="shared" si="2"/>
        <v>0</v>
      </c>
      <c r="N44" s="307">
        <f t="shared" si="3"/>
        <v>0</v>
      </c>
      <c r="O44" s="307">
        <f t="shared" si="4"/>
        <v>0</v>
      </c>
      <c r="P44" s="500">
        <f t="shared" si="5"/>
        <v>0</v>
      </c>
    </row>
    <row r="45" spans="1:16" x14ac:dyDescent="0.25">
      <c r="A45" s="153">
        <f>IF(COUNTBLANK(B45)=1," ",COUNTA(B$13:B45))</f>
        <v>31</v>
      </c>
      <c r="B45" s="353" t="s">
        <v>87</v>
      </c>
      <c r="C45" s="495" t="s">
        <v>317</v>
      </c>
      <c r="D45" s="496" t="s">
        <v>90</v>
      </c>
      <c r="E45" s="497">
        <f>E41*4.5</f>
        <v>255.15</v>
      </c>
      <c r="F45" s="329"/>
      <c r="G45" s="329"/>
      <c r="H45" s="197">
        <f t="shared" si="6"/>
        <v>0</v>
      </c>
      <c r="I45" s="330"/>
      <c r="J45" s="330"/>
      <c r="K45" s="307">
        <f t="shared" si="0"/>
        <v>0</v>
      </c>
      <c r="L45" s="307">
        <f t="shared" si="1"/>
        <v>0</v>
      </c>
      <c r="M45" s="307">
        <f t="shared" si="2"/>
        <v>0</v>
      </c>
      <c r="N45" s="307">
        <f t="shared" si="3"/>
        <v>0</v>
      </c>
      <c r="O45" s="307">
        <f t="shared" si="4"/>
        <v>0</v>
      </c>
      <c r="P45" s="500">
        <f t="shared" si="5"/>
        <v>0</v>
      </c>
    </row>
    <row r="46" spans="1:16" x14ac:dyDescent="0.25">
      <c r="A46" s="153">
        <f>IF(COUNTBLANK(B46)=1," ",COUNTA(B$13:B46))</f>
        <v>32</v>
      </c>
      <c r="B46" s="353" t="s">
        <v>87</v>
      </c>
      <c r="C46" s="848" t="s">
        <v>93</v>
      </c>
      <c r="D46" s="849" t="s">
        <v>253</v>
      </c>
      <c r="E46" s="850">
        <f>ROUNDUP(E41*0.09,0)</f>
        <v>6</v>
      </c>
      <c r="F46" s="103"/>
      <c r="G46" s="103"/>
      <c r="H46" s="197">
        <f t="shared" si="6"/>
        <v>0</v>
      </c>
      <c r="I46" s="124"/>
      <c r="J46" s="124"/>
      <c r="K46" s="307">
        <f t="shared" si="0"/>
        <v>0</v>
      </c>
      <c r="L46" s="307">
        <f t="shared" si="1"/>
        <v>0</v>
      </c>
      <c r="M46" s="307">
        <f t="shared" si="2"/>
        <v>0</v>
      </c>
      <c r="N46" s="307">
        <f t="shared" si="3"/>
        <v>0</v>
      </c>
      <c r="O46" s="307">
        <f t="shared" si="4"/>
        <v>0</v>
      </c>
      <c r="P46" s="500">
        <f t="shared" si="5"/>
        <v>0</v>
      </c>
    </row>
    <row r="47" spans="1:16" ht="32.25" thickBot="1" x14ac:dyDescent="0.3">
      <c r="A47" s="153" t="str">
        <f>IF(COUNTBLANK(B47)=1," ",COUNTA(B$13:B47))</f>
        <v xml:space="preserve"> </v>
      </c>
      <c r="B47" s="355"/>
      <c r="C47" s="851" t="s">
        <v>318</v>
      </c>
      <c r="D47" s="359"/>
      <c r="E47" s="360"/>
      <c r="F47" s="103"/>
      <c r="G47" s="103"/>
      <c r="H47" s="197">
        <f t="shared" si="6"/>
        <v>0</v>
      </c>
      <c r="I47" s="124"/>
      <c r="J47" s="124"/>
      <c r="K47" s="307">
        <f t="shared" si="0"/>
        <v>0</v>
      </c>
      <c r="L47" s="307">
        <f t="shared" si="1"/>
        <v>0</v>
      </c>
      <c r="M47" s="307">
        <f t="shared" si="2"/>
        <v>0</v>
      </c>
      <c r="N47" s="307">
        <f t="shared" si="3"/>
        <v>0</v>
      </c>
      <c r="O47" s="307">
        <f t="shared" si="4"/>
        <v>0</v>
      </c>
      <c r="P47" s="500">
        <f t="shared" si="5"/>
        <v>0</v>
      </c>
    </row>
    <row r="48" spans="1:16" ht="56.25" x14ac:dyDescent="0.25">
      <c r="A48" s="153">
        <f>IF(COUNTBLANK(B48)=1," ",COUNTA(B$13:B48))</f>
        <v>33</v>
      </c>
      <c r="B48" s="358" t="s">
        <v>87</v>
      </c>
      <c r="C48" s="843" t="s">
        <v>609</v>
      </c>
      <c r="D48" s="844" t="s">
        <v>57</v>
      </c>
      <c r="E48" s="354">
        <v>2225.9</v>
      </c>
      <c r="F48" s="103"/>
      <c r="G48" s="103"/>
      <c r="H48" s="197">
        <f t="shared" si="6"/>
        <v>0</v>
      </c>
      <c r="I48" s="124"/>
      <c r="J48" s="124"/>
      <c r="K48" s="307">
        <f t="shared" si="0"/>
        <v>0</v>
      </c>
      <c r="L48" s="307">
        <f t="shared" si="1"/>
        <v>0</v>
      </c>
      <c r="M48" s="307">
        <f t="shared" si="2"/>
        <v>0</v>
      </c>
      <c r="N48" s="307">
        <f t="shared" si="3"/>
        <v>0</v>
      </c>
      <c r="O48" s="307">
        <f t="shared" si="4"/>
        <v>0</v>
      </c>
      <c r="P48" s="500">
        <f t="shared" si="5"/>
        <v>0</v>
      </c>
    </row>
    <row r="49" spans="1:16" x14ac:dyDescent="0.25">
      <c r="A49" s="153">
        <f>IF(COUNTBLANK(B49)=1," ",COUNTA(B$13:B49))</f>
        <v>34</v>
      </c>
      <c r="B49" s="358" t="s">
        <v>87</v>
      </c>
      <c r="C49" s="845" t="s">
        <v>248</v>
      </c>
      <c r="D49" s="846" t="s">
        <v>90</v>
      </c>
      <c r="E49" s="847">
        <f>E48*5</f>
        <v>11129.5</v>
      </c>
      <c r="F49" s="103"/>
      <c r="G49" s="103"/>
      <c r="H49" s="197">
        <f t="shared" si="6"/>
        <v>0</v>
      </c>
      <c r="I49" s="124"/>
      <c r="J49" s="124"/>
      <c r="K49" s="307">
        <f t="shared" si="0"/>
        <v>0</v>
      </c>
      <c r="L49" s="307">
        <f t="shared" si="1"/>
        <v>0</v>
      </c>
      <c r="M49" s="307">
        <f t="shared" si="2"/>
        <v>0</v>
      </c>
      <c r="N49" s="307">
        <f t="shared" si="3"/>
        <v>0</v>
      </c>
      <c r="O49" s="307">
        <f t="shared" si="4"/>
        <v>0</v>
      </c>
      <c r="P49" s="500">
        <f t="shared" si="5"/>
        <v>0</v>
      </c>
    </row>
    <row r="50" spans="1:16" x14ac:dyDescent="0.25">
      <c r="A50" s="153">
        <f>IF(COUNTBLANK(B50)=1," ",COUNTA(B$13:B50))</f>
        <v>35</v>
      </c>
      <c r="B50" s="358" t="s">
        <v>87</v>
      </c>
      <c r="C50" s="848" t="s">
        <v>254</v>
      </c>
      <c r="D50" s="846" t="s">
        <v>129</v>
      </c>
      <c r="E50" s="847">
        <f>E48*1.1</f>
        <v>2448.4900000000002</v>
      </c>
      <c r="F50" s="103"/>
      <c r="G50" s="103"/>
      <c r="H50" s="197">
        <f t="shared" si="6"/>
        <v>0</v>
      </c>
      <c r="I50" s="124"/>
      <c r="J50" s="124"/>
      <c r="K50" s="307">
        <f t="shared" si="0"/>
        <v>0</v>
      </c>
      <c r="L50" s="307">
        <f t="shared" si="1"/>
        <v>0</v>
      </c>
      <c r="M50" s="307">
        <f t="shared" si="2"/>
        <v>0</v>
      </c>
      <c r="N50" s="307">
        <f t="shared" si="3"/>
        <v>0</v>
      </c>
      <c r="O50" s="307">
        <f t="shared" si="4"/>
        <v>0</v>
      </c>
      <c r="P50" s="500">
        <f t="shared" si="5"/>
        <v>0</v>
      </c>
    </row>
    <row r="51" spans="1:16" x14ac:dyDescent="0.25">
      <c r="A51" s="153">
        <f>IF(COUNTBLANK(B51)=1," ",COUNTA(B$13:B51))</f>
        <v>36</v>
      </c>
      <c r="B51" s="358" t="s">
        <v>87</v>
      </c>
      <c r="C51" s="852" t="s">
        <v>250</v>
      </c>
      <c r="D51" s="853" t="s">
        <v>251</v>
      </c>
      <c r="E51" s="847">
        <f>E48*0.15</f>
        <v>333.88499999999999</v>
      </c>
      <c r="F51" s="103"/>
      <c r="G51" s="103"/>
      <c r="H51" s="197">
        <f t="shared" si="6"/>
        <v>0</v>
      </c>
      <c r="I51" s="124"/>
      <c r="J51" s="124"/>
      <c r="K51" s="307">
        <f t="shared" si="0"/>
        <v>0</v>
      </c>
      <c r="L51" s="307">
        <f t="shared" si="1"/>
        <v>0</v>
      </c>
      <c r="M51" s="307">
        <f t="shared" si="2"/>
        <v>0</v>
      </c>
      <c r="N51" s="307">
        <f t="shared" si="3"/>
        <v>0</v>
      </c>
      <c r="O51" s="307">
        <f t="shared" si="4"/>
        <v>0</v>
      </c>
      <c r="P51" s="500">
        <f t="shared" si="5"/>
        <v>0</v>
      </c>
    </row>
    <row r="52" spans="1:16" ht="22.5" x14ac:dyDescent="0.25">
      <c r="A52" s="153">
        <f>IF(COUNTBLANK(B52)=1," ",COUNTA(B$13:B52))</f>
        <v>37</v>
      </c>
      <c r="B52" s="358" t="s">
        <v>87</v>
      </c>
      <c r="C52" s="854" t="s">
        <v>255</v>
      </c>
      <c r="D52" s="846" t="s">
        <v>90</v>
      </c>
      <c r="E52" s="847">
        <f>E48*4.5</f>
        <v>10016.550000000001</v>
      </c>
      <c r="F52" s="103"/>
      <c r="G52" s="103"/>
      <c r="H52" s="197">
        <f t="shared" si="6"/>
        <v>0</v>
      </c>
      <c r="I52" s="124"/>
      <c r="J52" s="124"/>
      <c r="K52" s="307">
        <f t="shared" si="0"/>
        <v>0</v>
      </c>
      <c r="L52" s="307">
        <f t="shared" si="1"/>
        <v>0</v>
      </c>
      <c r="M52" s="307">
        <f t="shared" si="2"/>
        <v>0</v>
      </c>
      <c r="N52" s="307">
        <f t="shared" si="3"/>
        <v>0</v>
      </c>
      <c r="O52" s="307">
        <f t="shared" si="4"/>
        <v>0</v>
      </c>
      <c r="P52" s="500">
        <f t="shared" si="5"/>
        <v>0</v>
      </c>
    </row>
    <row r="53" spans="1:16" ht="15.75" thickBot="1" x14ac:dyDescent="0.3">
      <c r="A53" s="153">
        <f>IF(COUNTBLANK(B53)=1," ",COUNTA(B$13:B53))</f>
        <v>38</v>
      </c>
      <c r="B53" s="358" t="s">
        <v>87</v>
      </c>
      <c r="C53" s="855" t="s">
        <v>93</v>
      </c>
      <c r="D53" s="856" t="s">
        <v>253</v>
      </c>
      <c r="E53" s="857">
        <f>ROUNDUP(E48*0.09,0)</f>
        <v>201</v>
      </c>
      <c r="F53" s="337"/>
      <c r="G53" s="337"/>
      <c r="H53" s="197">
        <f t="shared" si="6"/>
        <v>0</v>
      </c>
      <c r="I53" s="338"/>
      <c r="J53" s="338"/>
      <c r="K53" s="307">
        <f t="shared" si="0"/>
        <v>0</v>
      </c>
      <c r="L53" s="307">
        <f t="shared" si="1"/>
        <v>0</v>
      </c>
      <c r="M53" s="307">
        <f t="shared" si="2"/>
        <v>0</v>
      </c>
      <c r="N53" s="307">
        <f t="shared" si="3"/>
        <v>0</v>
      </c>
      <c r="O53" s="307">
        <f t="shared" si="4"/>
        <v>0</v>
      </c>
      <c r="P53" s="500">
        <f t="shared" si="5"/>
        <v>0</v>
      </c>
    </row>
    <row r="54" spans="1:16" ht="22.5" customHeight="1" x14ac:dyDescent="0.25">
      <c r="A54" s="153" t="str">
        <f>IF(COUNTBLANK(B54)=1," ",COUNTA(B$13:B54))</f>
        <v xml:space="preserve"> </v>
      </c>
      <c r="B54" s="502"/>
      <c r="C54" s="858" t="s">
        <v>319</v>
      </c>
      <c r="D54" s="859"/>
      <c r="E54" s="860"/>
      <c r="F54" s="503"/>
      <c r="G54" s="503"/>
      <c r="H54" s="197">
        <f t="shared" si="6"/>
        <v>0</v>
      </c>
      <c r="I54" s="504"/>
      <c r="J54" s="504"/>
      <c r="K54" s="307">
        <f t="shared" si="0"/>
        <v>0</v>
      </c>
      <c r="L54" s="307">
        <f t="shared" si="1"/>
        <v>0</v>
      </c>
      <c r="M54" s="307">
        <f t="shared" si="2"/>
        <v>0</v>
      </c>
      <c r="N54" s="307">
        <f t="shared" si="3"/>
        <v>0</v>
      </c>
      <c r="O54" s="307">
        <f t="shared" si="4"/>
        <v>0</v>
      </c>
      <c r="P54" s="500">
        <f t="shared" si="5"/>
        <v>0</v>
      </c>
    </row>
    <row r="55" spans="1:16" ht="22.5" x14ac:dyDescent="0.25">
      <c r="A55" s="153">
        <f>IF(COUNTBLANK(B55)=1," ",COUNTA(B$13:B55))</f>
        <v>39</v>
      </c>
      <c r="B55" s="339" t="s">
        <v>87</v>
      </c>
      <c r="C55" s="861" t="s">
        <v>320</v>
      </c>
      <c r="D55" s="862" t="s">
        <v>57</v>
      </c>
      <c r="E55" s="347">
        <v>28.3</v>
      </c>
      <c r="F55" s="337"/>
      <c r="G55" s="337"/>
      <c r="H55" s="197">
        <f t="shared" si="6"/>
        <v>0</v>
      </c>
      <c r="I55" s="338"/>
      <c r="J55" s="338"/>
      <c r="K55" s="307">
        <f t="shared" si="0"/>
        <v>0</v>
      </c>
      <c r="L55" s="307">
        <f t="shared" si="1"/>
        <v>0</v>
      </c>
      <c r="M55" s="307">
        <f t="shared" si="2"/>
        <v>0</v>
      </c>
      <c r="N55" s="307">
        <f t="shared" si="3"/>
        <v>0</v>
      </c>
      <c r="O55" s="307">
        <f t="shared" si="4"/>
        <v>0</v>
      </c>
      <c r="P55" s="500">
        <f t="shared" si="5"/>
        <v>0</v>
      </c>
    </row>
    <row r="56" spans="1:16" x14ac:dyDescent="0.25">
      <c r="A56" s="153">
        <f>IF(COUNTBLANK(B56)=1," ",COUNTA(B$13:B56))</f>
        <v>40</v>
      </c>
      <c r="B56" s="339" t="s">
        <v>87</v>
      </c>
      <c r="C56" s="505" t="s">
        <v>256</v>
      </c>
      <c r="D56" s="506" t="s">
        <v>90</v>
      </c>
      <c r="E56" s="507">
        <f>E55*0.15</f>
        <v>4.2450000000000001</v>
      </c>
      <c r="F56" s="503"/>
      <c r="G56" s="503"/>
      <c r="H56" s="197">
        <f t="shared" si="6"/>
        <v>0</v>
      </c>
      <c r="I56" s="504"/>
      <c r="J56" s="504"/>
      <c r="K56" s="307">
        <f t="shared" si="0"/>
        <v>0</v>
      </c>
      <c r="L56" s="307">
        <f t="shared" si="1"/>
        <v>0</v>
      </c>
      <c r="M56" s="307">
        <f t="shared" si="2"/>
        <v>0</v>
      </c>
      <c r="N56" s="307">
        <f t="shared" si="3"/>
        <v>0</v>
      </c>
      <c r="O56" s="307">
        <f t="shared" si="4"/>
        <v>0</v>
      </c>
      <c r="P56" s="500">
        <f t="shared" si="5"/>
        <v>0</v>
      </c>
    </row>
    <row r="57" spans="1:16" x14ac:dyDescent="0.25">
      <c r="A57" s="153">
        <f>IF(COUNTBLANK(B57)=1," ",COUNTA(B$13:B57))</f>
        <v>41</v>
      </c>
      <c r="B57" s="339" t="s">
        <v>87</v>
      </c>
      <c r="C57" s="508" t="s">
        <v>257</v>
      </c>
      <c r="D57" s="506" t="s">
        <v>129</v>
      </c>
      <c r="E57" s="507">
        <f>E55*1.05</f>
        <v>29.715000000000003</v>
      </c>
      <c r="F57" s="503"/>
      <c r="G57" s="503"/>
      <c r="H57" s="197">
        <f t="shared" si="6"/>
        <v>0</v>
      </c>
      <c r="I57" s="504"/>
      <c r="J57" s="504"/>
      <c r="K57" s="307">
        <f t="shared" si="0"/>
        <v>0</v>
      </c>
      <c r="L57" s="307">
        <f t="shared" si="1"/>
        <v>0</v>
      </c>
      <c r="M57" s="307">
        <f t="shared" si="2"/>
        <v>0</v>
      </c>
      <c r="N57" s="307">
        <f t="shared" si="3"/>
        <v>0</v>
      </c>
      <c r="O57" s="307">
        <f t="shared" si="4"/>
        <v>0</v>
      </c>
      <c r="P57" s="500">
        <f t="shared" si="5"/>
        <v>0</v>
      </c>
    </row>
    <row r="58" spans="1:16" x14ac:dyDescent="0.25">
      <c r="A58" s="153">
        <f>IF(COUNTBLANK(B58)=1," ",COUNTA(B$13:B58))</f>
        <v>42</v>
      </c>
      <c r="B58" s="339" t="s">
        <v>87</v>
      </c>
      <c r="C58" s="508" t="s">
        <v>156</v>
      </c>
      <c r="D58" s="506" t="s">
        <v>90</v>
      </c>
      <c r="E58" s="507">
        <f>E55*5</f>
        <v>141.5</v>
      </c>
      <c r="F58" s="503"/>
      <c r="G58" s="503"/>
      <c r="H58" s="197">
        <f t="shared" si="6"/>
        <v>0</v>
      </c>
      <c r="I58" s="504"/>
      <c r="J58" s="504"/>
      <c r="K58" s="307">
        <f t="shared" si="0"/>
        <v>0</v>
      </c>
      <c r="L58" s="307">
        <f t="shared" si="1"/>
        <v>0</v>
      </c>
      <c r="M58" s="307">
        <f t="shared" si="2"/>
        <v>0</v>
      </c>
      <c r="N58" s="307">
        <f t="shared" si="3"/>
        <v>0</v>
      </c>
      <c r="O58" s="307">
        <f t="shared" si="4"/>
        <v>0</v>
      </c>
      <c r="P58" s="500">
        <f t="shared" si="5"/>
        <v>0</v>
      </c>
    </row>
    <row r="59" spans="1:16" ht="45" x14ac:dyDescent="0.25">
      <c r="A59" s="153">
        <f>IF(COUNTBLANK(B59)=1," ",COUNTA(B$13:B59))</f>
        <v>43</v>
      </c>
      <c r="B59" s="339" t="s">
        <v>87</v>
      </c>
      <c r="C59" s="863" t="s">
        <v>258</v>
      </c>
      <c r="D59" s="864" t="s">
        <v>83</v>
      </c>
      <c r="E59" s="507">
        <f>ROUNDUP(E55*5,0)</f>
        <v>142</v>
      </c>
      <c r="F59" s="103"/>
      <c r="G59" s="103"/>
      <c r="H59" s="197">
        <f t="shared" si="6"/>
        <v>0</v>
      </c>
      <c r="I59" s="124"/>
      <c r="J59" s="124"/>
      <c r="K59" s="307">
        <f t="shared" si="0"/>
        <v>0</v>
      </c>
      <c r="L59" s="307">
        <f t="shared" si="1"/>
        <v>0</v>
      </c>
      <c r="M59" s="307">
        <f t="shared" si="2"/>
        <v>0</v>
      </c>
      <c r="N59" s="307">
        <f t="shared" si="3"/>
        <v>0</v>
      </c>
      <c r="O59" s="307">
        <f t="shared" si="4"/>
        <v>0</v>
      </c>
      <c r="P59" s="500">
        <f t="shared" si="5"/>
        <v>0</v>
      </c>
    </row>
    <row r="60" spans="1:16" ht="22.5" x14ac:dyDescent="0.25">
      <c r="A60" s="153">
        <f>IF(COUNTBLANK(B60)=1," ",COUNTA(B$13:B60))</f>
        <v>44</v>
      </c>
      <c r="B60" s="184" t="s">
        <v>87</v>
      </c>
      <c r="C60" s="863" t="s">
        <v>610</v>
      </c>
      <c r="D60" s="864" t="s">
        <v>157</v>
      </c>
      <c r="E60" s="341">
        <v>21</v>
      </c>
      <c r="F60" s="103"/>
      <c r="G60" s="103"/>
      <c r="H60" s="197">
        <f t="shared" si="6"/>
        <v>0</v>
      </c>
      <c r="I60" s="124"/>
      <c r="J60" s="124"/>
      <c r="K60" s="307">
        <f t="shared" si="0"/>
        <v>0</v>
      </c>
      <c r="L60" s="307">
        <f t="shared" si="1"/>
        <v>0</v>
      </c>
      <c r="M60" s="307">
        <f t="shared" si="2"/>
        <v>0</v>
      </c>
      <c r="N60" s="307">
        <f t="shared" si="3"/>
        <v>0</v>
      </c>
      <c r="O60" s="307">
        <f t="shared" si="4"/>
        <v>0</v>
      </c>
      <c r="P60" s="500">
        <f t="shared" si="5"/>
        <v>0</v>
      </c>
    </row>
    <row r="61" spans="1:16" x14ac:dyDescent="0.25">
      <c r="A61" s="153">
        <f>IF(COUNTBLANK(B61)=1," ",COUNTA(B$13:B61))</f>
        <v>45</v>
      </c>
      <c r="B61" s="184" t="s">
        <v>87</v>
      </c>
      <c r="C61" s="863" t="s">
        <v>248</v>
      </c>
      <c r="D61" s="864" t="s">
        <v>90</v>
      </c>
      <c r="E61" s="341">
        <f>E60*5</f>
        <v>105</v>
      </c>
      <c r="F61" s="103"/>
      <c r="G61" s="103"/>
      <c r="H61" s="197">
        <f t="shared" si="6"/>
        <v>0</v>
      </c>
      <c r="I61" s="124"/>
      <c r="J61" s="124"/>
      <c r="K61" s="307">
        <f t="shared" si="0"/>
        <v>0</v>
      </c>
      <c r="L61" s="307">
        <f t="shared" si="1"/>
        <v>0</v>
      </c>
      <c r="M61" s="307">
        <f t="shared" si="2"/>
        <v>0</v>
      </c>
      <c r="N61" s="307">
        <f t="shared" si="3"/>
        <v>0</v>
      </c>
      <c r="O61" s="307">
        <f t="shared" si="4"/>
        <v>0</v>
      </c>
      <c r="P61" s="500">
        <f t="shared" si="5"/>
        <v>0</v>
      </c>
    </row>
    <row r="62" spans="1:16" x14ac:dyDescent="0.25">
      <c r="A62" s="153">
        <f>IF(COUNTBLANK(B62)=1," ",COUNTA(B$13:B62))</f>
        <v>46</v>
      </c>
      <c r="B62" s="184" t="s">
        <v>87</v>
      </c>
      <c r="C62" s="863" t="s">
        <v>249</v>
      </c>
      <c r="D62" s="864" t="s">
        <v>129</v>
      </c>
      <c r="E62" s="341">
        <f>E60*2.2</f>
        <v>46.2</v>
      </c>
      <c r="F62" s="103"/>
      <c r="G62" s="103"/>
      <c r="H62" s="197">
        <f t="shared" si="6"/>
        <v>0</v>
      </c>
      <c r="I62" s="124"/>
      <c r="J62" s="124"/>
      <c r="K62" s="307">
        <f t="shared" si="0"/>
        <v>0</v>
      </c>
      <c r="L62" s="307">
        <f t="shared" si="1"/>
        <v>0</v>
      </c>
      <c r="M62" s="307">
        <f t="shared" si="2"/>
        <v>0</v>
      </c>
      <c r="N62" s="307">
        <f t="shared" si="3"/>
        <v>0</v>
      </c>
      <c r="O62" s="307">
        <f t="shared" si="4"/>
        <v>0</v>
      </c>
      <c r="P62" s="500">
        <f t="shared" si="5"/>
        <v>0</v>
      </c>
    </row>
    <row r="63" spans="1:16" ht="33.75" x14ac:dyDescent="0.25">
      <c r="A63" s="153">
        <f>IF(COUNTBLANK(B63)=1," ",COUNTA(B$13:B63))</f>
        <v>47</v>
      </c>
      <c r="B63" s="183" t="s">
        <v>87</v>
      </c>
      <c r="C63" s="863" t="s">
        <v>611</v>
      </c>
      <c r="D63" s="864" t="s">
        <v>157</v>
      </c>
      <c r="E63" s="341">
        <v>8.4</v>
      </c>
      <c r="F63" s="103"/>
      <c r="G63" s="103"/>
      <c r="H63" s="197">
        <f t="shared" si="6"/>
        <v>0</v>
      </c>
      <c r="I63" s="124"/>
      <c r="J63" s="124"/>
      <c r="K63" s="307">
        <f t="shared" si="0"/>
        <v>0</v>
      </c>
      <c r="L63" s="307">
        <f t="shared" si="1"/>
        <v>0</v>
      </c>
      <c r="M63" s="307">
        <f t="shared" si="2"/>
        <v>0</v>
      </c>
      <c r="N63" s="307">
        <f t="shared" si="3"/>
        <v>0</v>
      </c>
      <c r="O63" s="307">
        <f t="shared" si="4"/>
        <v>0</v>
      </c>
      <c r="P63" s="500">
        <f t="shared" si="5"/>
        <v>0</v>
      </c>
    </row>
    <row r="64" spans="1:16" x14ac:dyDescent="0.25">
      <c r="A64" s="153">
        <f>IF(COUNTBLANK(B64)=1," ",COUNTA(B$13:B64))</f>
        <v>48</v>
      </c>
      <c r="B64" s="183" t="s">
        <v>87</v>
      </c>
      <c r="C64" s="863" t="s">
        <v>248</v>
      </c>
      <c r="D64" s="864" t="s">
        <v>90</v>
      </c>
      <c r="E64" s="341">
        <f>E63*5</f>
        <v>42</v>
      </c>
      <c r="F64" s="103"/>
      <c r="G64" s="103"/>
      <c r="H64" s="197">
        <f t="shared" si="6"/>
        <v>0</v>
      </c>
      <c r="I64" s="124"/>
      <c r="J64" s="124"/>
      <c r="K64" s="307">
        <f t="shared" si="0"/>
        <v>0</v>
      </c>
      <c r="L64" s="307">
        <f t="shared" si="1"/>
        <v>0</v>
      </c>
      <c r="M64" s="307">
        <f t="shared" si="2"/>
        <v>0</v>
      </c>
      <c r="N64" s="307">
        <f t="shared" si="3"/>
        <v>0</v>
      </c>
      <c r="O64" s="307">
        <f t="shared" si="4"/>
        <v>0</v>
      </c>
      <c r="P64" s="500">
        <f t="shared" si="5"/>
        <v>0</v>
      </c>
    </row>
    <row r="65" spans="1:16" x14ac:dyDescent="0.25">
      <c r="A65" s="153">
        <f>IF(COUNTBLANK(B65)=1," ",COUNTA(B$13:B65))</f>
        <v>49</v>
      </c>
      <c r="B65" s="183" t="s">
        <v>87</v>
      </c>
      <c r="C65" s="863" t="s">
        <v>259</v>
      </c>
      <c r="D65" s="864" t="s">
        <v>129</v>
      </c>
      <c r="E65" s="341">
        <f>E63*2.2</f>
        <v>18.480000000000004</v>
      </c>
      <c r="F65" s="103"/>
      <c r="G65" s="103"/>
      <c r="H65" s="197">
        <f t="shared" si="6"/>
        <v>0</v>
      </c>
      <c r="I65" s="124"/>
      <c r="J65" s="124"/>
      <c r="K65" s="307">
        <f t="shared" si="0"/>
        <v>0</v>
      </c>
      <c r="L65" s="307">
        <f t="shared" si="1"/>
        <v>0</v>
      </c>
      <c r="M65" s="307">
        <f t="shared" si="2"/>
        <v>0</v>
      </c>
      <c r="N65" s="307">
        <f t="shared" si="3"/>
        <v>0</v>
      </c>
      <c r="O65" s="307">
        <f t="shared" si="4"/>
        <v>0</v>
      </c>
      <c r="P65" s="500">
        <f t="shared" si="5"/>
        <v>0</v>
      </c>
    </row>
    <row r="66" spans="1:16" x14ac:dyDescent="0.25">
      <c r="A66" s="153">
        <f>IF(COUNTBLANK(B66)=1," ",COUNTA(B$13:B66))</f>
        <v>50</v>
      </c>
      <c r="B66" s="183" t="s">
        <v>87</v>
      </c>
      <c r="C66" s="863" t="s">
        <v>260</v>
      </c>
      <c r="D66" s="864" t="s">
        <v>251</v>
      </c>
      <c r="E66" s="341">
        <v>188.76</v>
      </c>
      <c r="F66" s="103"/>
      <c r="G66" s="103"/>
      <c r="H66" s="197">
        <f t="shared" si="6"/>
        <v>0</v>
      </c>
      <c r="I66" s="124"/>
      <c r="J66" s="124"/>
      <c r="K66" s="307">
        <f t="shared" si="0"/>
        <v>0</v>
      </c>
      <c r="L66" s="307">
        <f t="shared" si="1"/>
        <v>0</v>
      </c>
      <c r="M66" s="307">
        <f t="shared" si="2"/>
        <v>0</v>
      </c>
      <c r="N66" s="307">
        <f t="shared" si="3"/>
        <v>0</v>
      </c>
      <c r="O66" s="307">
        <f t="shared" si="4"/>
        <v>0</v>
      </c>
      <c r="P66" s="500">
        <f t="shared" si="5"/>
        <v>0</v>
      </c>
    </row>
    <row r="67" spans="1:16" ht="22.5" x14ac:dyDescent="0.25">
      <c r="A67" s="153">
        <f>IF(COUNTBLANK(B67)=1," ",COUNTA(B$13:B67))</f>
        <v>51</v>
      </c>
      <c r="B67" s="183" t="s">
        <v>87</v>
      </c>
      <c r="C67" s="863" t="s">
        <v>612</v>
      </c>
      <c r="D67" s="864" t="s">
        <v>157</v>
      </c>
      <c r="E67" s="341">
        <v>28.3</v>
      </c>
      <c r="F67" s="103"/>
      <c r="G67" s="103"/>
      <c r="H67" s="197">
        <f t="shared" si="6"/>
        <v>0</v>
      </c>
      <c r="I67" s="124"/>
      <c r="J67" s="124"/>
      <c r="K67" s="307">
        <f t="shared" si="0"/>
        <v>0</v>
      </c>
      <c r="L67" s="307">
        <f t="shared" si="1"/>
        <v>0</v>
      </c>
      <c r="M67" s="307">
        <f t="shared" si="2"/>
        <v>0</v>
      </c>
      <c r="N67" s="307">
        <f t="shared" si="3"/>
        <v>0</v>
      </c>
      <c r="O67" s="307">
        <f t="shared" si="4"/>
        <v>0</v>
      </c>
      <c r="P67" s="500">
        <f t="shared" si="5"/>
        <v>0</v>
      </c>
    </row>
    <row r="68" spans="1:16" x14ac:dyDescent="0.25">
      <c r="A68" s="153">
        <f>IF(COUNTBLANK(B68)=1," ",COUNTA(B$13:B68))</f>
        <v>52</v>
      </c>
      <c r="B68" s="183" t="s">
        <v>87</v>
      </c>
      <c r="C68" s="863" t="s">
        <v>248</v>
      </c>
      <c r="D68" s="864" t="s">
        <v>90</v>
      </c>
      <c r="E68" s="341">
        <f>E67*5</f>
        <v>141.5</v>
      </c>
      <c r="F68" s="337"/>
      <c r="G68" s="337"/>
      <c r="H68" s="197">
        <f t="shared" si="6"/>
        <v>0</v>
      </c>
      <c r="I68" s="338"/>
      <c r="J68" s="338"/>
      <c r="K68" s="307">
        <f t="shared" si="0"/>
        <v>0</v>
      </c>
      <c r="L68" s="307">
        <f t="shared" si="1"/>
        <v>0</v>
      </c>
      <c r="M68" s="307">
        <f t="shared" si="2"/>
        <v>0</v>
      </c>
      <c r="N68" s="307">
        <f t="shared" si="3"/>
        <v>0</v>
      </c>
      <c r="O68" s="307">
        <f t="shared" si="4"/>
        <v>0</v>
      </c>
      <c r="P68" s="500">
        <f t="shared" si="5"/>
        <v>0</v>
      </c>
    </row>
    <row r="69" spans="1:16" x14ac:dyDescent="0.25">
      <c r="A69" s="153">
        <f>IF(COUNTBLANK(B69)=1," ",COUNTA(B$13:B69))</f>
        <v>53</v>
      </c>
      <c r="B69" s="183" t="s">
        <v>87</v>
      </c>
      <c r="C69" s="863" t="s">
        <v>249</v>
      </c>
      <c r="D69" s="864" t="s">
        <v>129</v>
      </c>
      <c r="E69" s="341">
        <f>E67*2.2</f>
        <v>62.260000000000005</v>
      </c>
      <c r="F69" s="337"/>
      <c r="G69" s="337"/>
      <c r="H69" s="197">
        <f t="shared" si="6"/>
        <v>0</v>
      </c>
      <c r="I69" s="338"/>
      <c r="J69" s="338"/>
      <c r="K69" s="307">
        <f t="shared" si="0"/>
        <v>0</v>
      </c>
      <c r="L69" s="307">
        <f t="shared" si="1"/>
        <v>0</v>
      </c>
      <c r="M69" s="307">
        <f t="shared" si="2"/>
        <v>0</v>
      </c>
      <c r="N69" s="307">
        <f t="shared" si="3"/>
        <v>0</v>
      </c>
      <c r="O69" s="307">
        <f t="shared" si="4"/>
        <v>0</v>
      </c>
      <c r="P69" s="500">
        <f t="shared" si="5"/>
        <v>0</v>
      </c>
    </row>
    <row r="70" spans="1:16" x14ac:dyDescent="0.25">
      <c r="A70" s="153">
        <f>IF(COUNTBLANK(B70)=1," ",COUNTA(B$13:B70))</f>
        <v>54</v>
      </c>
      <c r="B70" s="183" t="s">
        <v>87</v>
      </c>
      <c r="C70" s="863" t="s">
        <v>250</v>
      </c>
      <c r="D70" s="864" t="s">
        <v>251</v>
      </c>
      <c r="E70" s="341">
        <v>92.7</v>
      </c>
      <c r="F70" s="337"/>
      <c r="G70" s="337"/>
      <c r="H70" s="197">
        <f t="shared" si="6"/>
        <v>0</v>
      </c>
      <c r="I70" s="338"/>
      <c r="J70" s="338"/>
      <c r="K70" s="307">
        <f t="shared" si="0"/>
        <v>0</v>
      </c>
      <c r="L70" s="307">
        <f t="shared" si="1"/>
        <v>0</v>
      </c>
      <c r="M70" s="307">
        <f t="shared" si="2"/>
        <v>0</v>
      </c>
      <c r="N70" s="307">
        <f t="shared" si="3"/>
        <v>0</v>
      </c>
      <c r="O70" s="307">
        <f t="shared" si="4"/>
        <v>0</v>
      </c>
      <c r="P70" s="500">
        <f t="shared" si="5"/>
        <v>0</v>
      </c>
    </row>
    <row r="71" spans="1:16" x14ac:dyDescent="0.25">
      <c r="A71" s="153">
        <f>IF(COUNTBLANK(B71)=1," ",COUNTA(B$13:B71))</f>
        <v>55</v>
      </c>
      <c r="B71" s="183" t="s">
        <v>87</v>
      </c>
      <c r="C71" s="863" t="s">
        <v>261</v>
      </c>
      <c r="D71" s="864" t="s">
        <v>89</v>
      </c>
      <c r="E71" s="344">
        <v>50.35</v>
      </c>
      <c r="F71" s="337"/>
      <c r="G71" s="337"/>
      <c r="H71" s="197">
        <f t="shared" si="6"/>
        <v>0</v>
      </c>
      <c r="I71" s="338"/>
      <c r="J71" s="338"/>
      <c r="K71" s="307">
        <f t="shared" si="0"/>
        <v>0</v>
      </c>
      <c r="L71" s="307">
        <f t="shared" si="1"/>
        <v>0</v>
      </c>
      <c r="M71" s="307">
        <f t="shared" si="2"/>
        <v>0</v>
      </c>
      <c r="N71" s="307">
        <f t="shared" si="3"/>
        <v>0</v>
      </c>
      <c r="O71" s="307">
        <f t="shared" si="4"/>
        <v>0</v>
      </c>
      <c r="P71" s="500">
        <f t="shared" si="5"/>
        <v>0</v>
      </c>
    </row>
    <row r="72" spans="1:16" ht="24.75" customHeight="1" x14ac:dyDescent="0.25">
      <c r="A72" s="153">
        <f>IF(COUNTBLANK(B72)=1," ",COUNTA(B$13:B72))</f>
        <v>56</v>
      </c>
      <c r="B72" s="340" t="s">
        <v>87</v>
      </c>
      <c r="C72" s="509" t="s">
        <v>321</v>
      </c>
      <c r="D72" s="865" t="s">
        <v>89</v>
      </c>
      <c r="E72" s="345">
        <v>293.39999999999998</v>
      </c>
      <c r="F72" s="337"/>
      <c r="G72" s="337"/>
      <c r="H72" s="197">
        <f t="shared" si="6"/>
        <v>0</v>
      </c>
      <c r="I72" s="338"/>
      <c r="J72" s="338"/>
      <c r="K72" s="307">
        <f t="shared" si="0"/>
        <v>0</v>
      </c>
      <c r="L72" s="307">
        <f t="shared" si="1"/>
        <v>0</v>
      </c>
      <c r="M72" s="307">
        <f t="shared" si="2"/>
        <v>0</v>
      </c>
      <c r="N72" s="307">
        <f t="shared" si="3"/>
        <v>0</v>
      </c>
      <c r="O72" s="307">
        <f t="shared" si="4"/>
        <v>0</v>
      </c>
      <c r="P72" s="500">
        <f t="shared" si="5"/>
        <v>0</v>
      </c>
    </row>
    <row r="73" spans="1:16" x14ac:dyDescent="0.25">
      <c r="A73" s="153">
        <f>IF(COUNTBLANK(B73)=1," ",COUNTA(B$13:B73))</f>
        <v>57</v>
      </c>
      <c r="B73" s="340" t="s">
        <v>87</v>
      </c>
      <c r="C73" s="866" t="s">
        <v>322</v>
      </c>
      <c r="D73" s="867" t="s">
        <v>89</v>
      </c>
      <c r="E73" s="346">
        <f>E72*1.05</f>
        <v>308.07</v>
      </c>
      <c r="F73" s="337"/>
      <c r="G73" s="337"/>
      <c r="H73" s="197">
        <f t="shared" si="6"/>
        <v>0</v>
      </c>
      <c r="I73" s="338"/>
      <c r="J73" s="338"/>
      <c r="K73" s="307">
        <f t="shared" si="0"/>
        <v>0</v>
      </c>
      <c r="L73" s="307">
        <f t="shared" si="1"/>
        <v>0</v>
      </c>
      <c r="M73" s="307">
        <f t="shared" si="2"/>
        <v>0</v>
      </c>
      <c r="N73" s="307">
        <f t="shared" si="3"/>
        <v>0</v>
      </c>
      <c r="O73" s="307">
        <f t="shared" si="4"/>
        <v>0</v>
      </c>
      <c r="P73" s="500">
        <f t="shared" si="5"/>
        <v>0</v>
      </c>
    </row>
    <row r="74" spans="1:16" x14ac:dyDescent="0.25">
      <c r="A74" s="153">
        <f>IF(COUNTBLANK(B74)=1," ",COUNTA(B$13:B74))</f>
        <v>58</v>
      </c>
      <c r="B74" s="160" t="s">
        <v>87</v>
      </c>
      <c r="C74" s="182" t="s">
        <v>88</v>
      </c>
      <c r="D74" s="163" t="s">
        <v>58</v>
      </c>
      <c r="E74" s="190">
        <v>1</v>
      </c>
      <c r="F74" s="103"/>
      <c r="G74" s="103"/>
      <c r="H74" s="197">
        <f t="shared" si="6"/>
        <v>0</v>
      </c>
      <c r="I74" s="124"/>
      <c r="J74" s="124"/>
      <c r="K74" s="307">
        <f t="shared" si="0"/>
        <v>0</v>
      </c>
      <c r="L74" s="307">
        <f t="shared" si="1"/>
        <v>0</v>
      </c>
      <c r="M74" s="307">
        <f t="shared" si="2"/>
        <v>0</v>
      </c>
      <c r="N74" s="307">
        <f t="shared" si="3"/>
        <v>0</v>
      </c>
      <c r="O74" s="307">
        <f t="shared" si="4"/>
        <v>0</v>
      </c>
      <c r="P74" s="500">
        <f t="shared" si="5"/>
        <v>0</v>
      </c>
    </row>
    <row r="75" spans="1:16" ht="101.25" x14ac:dyDescent="0.25">
      <c r="A75" s="153">
        <f>IF(COUNTBLANK(B75)=1," ",COUNTA(B$13:B75))</f>
        <v>59</v>
      </c>
      <c r="B75" s="185" t="s">
        <v>87</v>
      </c>
      <c r="C75" s="179" t="s">
        <v>629</v>
      </c>
      <c r="D75" s="176" t="s">
        <v>111</v>
      </c>
      <c r="E75" s="868">
        <v>5</v>
      </c>
      <c r="F75" s="103"/>
      <c r="G75" s="103"/>
      <c r="H75" s="197">
        <f t="shared" si="6"/>
        <v>0</v>
      </c>
      <c r="I75" s="124"/>
      <c r="J75" s="124"/>
      <c r="K75" s="307">
        <f t="shared" si="0"/>
        <v>0</v>
      </c>
      <c r="L75" s="307">
        <f t="shared" si="1"/>
        <v>0</v>
      </c>
      <c r="M75" s="307">
        <f t="shared" si="2"/>
        <v>0</v>
      </c>
      <c r="N75" s="307">
        <f t="shared" si="3"/>
        <v>0</v>
      </c>
      <c r="O75" s="307">
        <f t="shared" si="4"/>
        <v>0</v>
      </c>
      <c r="P75" s="500">
        <f t="shared" si="5"/>
        <v>0</v>
      </c>
    </row>
    <row r="76" spans="1:16" ht="101.25" x14ac:dyDescent="0.25">
      <c r="A76" s="153">
        <f>IF(COUNTBLANK(B76)=1," ",COUNTA(B$13:B76))</f>
        <v>60</v>
      </c>
      <c r="B76" s="324" t="s">
        <v>87</v>
      </c>
      <c r="C76" s="343" t="s">
        <v>630</v>
      </c>
      <c r="D76" s="342" t="s">
        <v>195</v>
      </c>
      <c r="E76" s="869">
        <v>5</v>
      </c>
      <c r="F76" s="337"/>
      <c r="G76" s="337"/>
      <c r="H76" s="197">
        <f t="shared" si="6"/>
        <v>0</v>
      </c>
      <c r="I76" s="338"/>
      <c r="J76" s="338"/>
      <c r="K76" s="307">
        <f t="shared" si="0"/>
        <v>0</v>
      </c>
      <c r="L76" s="307">
        <f t="shared" si="1"/>
        <v>0</v>
      </c>
      <c r="M76" s="307">
        <f t="shared" si="2"/>
        <v>0</v>
      </c>
      <c r="N76" s="307">
        <f t="shared" si="3"/>
        <v>0</v>
      </c>
      <c r="O76" s="307">
        <f t="shared" si="4"/>
        <v>0</v>
      </c>
      <c r="P76" s="500">
        <f t="shared" si="5"/>
        <v>0</v>
      </c>
    </row>
    <row r="77" spans="1:16" x14ac:dyDescent="0.25">
      <c r="A77" s="153">
        <f>IF(COUNTBLANK(B77)=1," ",COUNTA(B$13:B77))</f>
        <v>61</v>
      </c>
      <c r="B77" s="322" t="s">
        <v>87</v>
      </c>
      <c r="C77" s="182" t="s">
        <v>86</v>
      </c>
      <c r="D77" s="181" t="s">
        <v>85</v>
      </c>
      <c r="E77" s="190">
        <v>20</v>
      </c>
      <c r="F77" s="103"/>
      <c r="G77" s="103"/>
      <c r="H77" s="197">
        <f t="shared" si="6"/>
        <v>0</v>
      </c>
      <c r="I77" s="124"/>
      <c r="J77" s="124"/>
      <c r="K77" s="307">
        <f t="shared" si="0"/>
        <v>0</v>
      </c>
      <c r="L77" s="307">
        <f t="shared" si="1"/>
        <v>0</v>
      </c>
      <c r="M77" s="307">
        <f t="shared" si="2"/>
        <v>0</v>
      </c>
      <c r="N77" s="307">
        <f t="shared" si="3"/>
        <v>0</v>
      </c>
      <c r="O77" s="307">
        <f t="shared" si="4"/>
        <v>0</v>
      </c>
      <c r="P77" s="500">
        <f t="shared" si="5"/>
        <v>0</v>
      </c>
    </row>
    <row r="78" spans="1:16" ht="15.75" thickBot="1" x14ac:dyDescent="0.3">
      <c r="A78" s="475">
        <f>IF(COUNTBLANK(B78)=1," ",COUNTA(B$13:B78))</f>
        <v>62</v>
      </c>
      <c r="B78" s="476" t="s">
        <v>87</v>
      </c>
      <c r="C78" s="477" t="s">
        <v>84</v>
      </c>
      <c r="D78" s="478" t="s">
        <v>83</v>
      </c>
      <c r="E78" s="479">
        <f>ROUNDUP(E77*0.14,0)</f>
        <v>3</v>
      </c>
      <c r="F78" s="480"/>
      <c r="G78" s="480"/>
      <c r="H78" s="197">
        <f t="shared" si="6"/>
        <v>0</v>
      </c>
      <c r="I78" s="481"/>
      <c r="J78" s="481"/>
      <c r="K78" s="307">
        <f t="shared" ref="K78" si="7">ROUND(I78+H78+J78,2)</f>
        <v>0</v>
      </c>
      <c r="L78" s="307">
        <f t="shared" ref="L78" si="8">ROUND(E78*F78,2)</f>
        <v>0</v>
      </c>
      <c r="M78" s="307">
        <f t="shared" ref="M78" si="9">ROUND(E78*H78,2)</f>
        <v>0</v>
      </c>
      <c r="N78" s="482">
        <f t="shared" ref="N78" si="10">ROUND(E78*I78,2)</f>
        <v>0</v>
      </c>
      <c r="O78" s="307">
        <f t="shared" ref="O78" si="11">ROUND(E78*J78,2)</f>
        <v>0</v>
      </c>
      <c r="P78" s="500">
        <f t="shared" ref="P78" si="12">SUM(M78:O78)</f>
        <v>0</v>
      </c>
    </row>
    <row r="79" spans="1:16" ht="15.75" customHeight="1" thickBot="1" x14ac:dyDescent="0.3">
      <c r="A79" s="965" t="s">
        <v>626</v>
      </c>
      <c r="B79" s="966"/>
      <c r="C79" s="966"/>
      <c r="D79" s="966"/>
      <c r="E79" s="966"/>
      <c r="F79" s="966"/>
      <c r="G79" s="966"/>
      <c r="H79" s="966"/>
      <c r="I79" s="966"/>
      <c r="J79" s="966"/>
      <c r="K79" s="967"/>
      <c r="L79" s="483"/>
      <c r="M79" s="484"/>
      <c r="N79" s="484"/>
      <c r="O79" s="484"/>
      <c r="P79" s="501"/>
    </row>
    <row r="80" spans="1:16" x14ac:dyDescent="0.25">
      <c r="A80" s="14"/>
      <c r="B80" s="14"/>
      <c r="C80" s="14"/>
      <c r="D80" s="14"/>
      <c r="E80" s="14"/>
      <c r="F80" s="14"/>
      <c r="G80" s="14"/>
      <c r="H80" s="14"/>
      <c r="I80" s="14"/>
      <c r="J80" s="14"/>
      <c r="K80" s="14"/>
      <c r="L80" s="14"/>
      <c r="M80" s="14"/>
      <c r="N80" s="14"/>
      <c r="O80" s="14"/>
      <c r="P80" s="14"/>
    </row>
    <row r="81" spans="1:16" x14ac:dyDescent="0.25">
      <c r="A81" s="14"/>
      <c r="B81" s="14"/>
      <c r="C81" s="14"/>
      <c r="D81" s="14"/>
      <c r="E81" s="14"/>
      <c r="F81" s="14"/>
      <c r="G81" s="14"/>
      <c r="H81" s="14"/>
      <c r="I81" s="14"/>
      <c r="J81" s="14"/>
      <c r="K81" s="14"/>
      <c r="L81" s="14"/>
      <c r="M81" s="14"/>
      <c r="N81" s="14"/>
      <c r="O81" s="14"/>
      <c r="P81" s="14"/>
    </row>
    <row r="82" spans="1:16" x14ac:dyDescent="0.25">
      <c r="A82" s="1" t="s">
        <v>14</v>
      </c>
      <c r="B82" s="14"/>
      <c r="C82" s="958">
        <f>sas</f>
        <v>0</v>
      </c>
      <c r="D82" s="958"/>
      <c r="E82" s="958"/>
      <c r="F82" s="958"/>
      <c r="G82" s="958"/>
      <c r="H82" s="958"/>
      <c r="I82" s="14"/>
      <c r="J82" s="14"/>
      <c r="K82" s="14"/>
      <c r="L82" s="14"/>
      <c r="M82" s="14"/>
      <c r="N82" s="14"/>
      <c r="O82" s="14"/>
      <c r="P82" s="14"/>
    </row>
    <row r="83" spans="1:16" x14ac:dyDescent="0.25">
      <c r="A83" s="14"/>
      <c r="B83" s="14"/>
      <c r="C83" s="931" t="s">
        <v>15</v>
      </c>
      <c r="D83" s="931"/>
      <c r="E83" s="931"/>
      <c r="F83" s="931"/>
      <c r="G83" s="931"/>
      <c r="H83" s="931"/>
      <c r="I83" s="14"/>
      <c r="J83" s="14"/>
      <c r="K83" s="14"/>
      <c r="L83" s="14"/>
      <c r="M83" s="14"/>
      <c r="N83" s="14"/>
      <c r="O83" s="14"/>
      <c r="P83" s="14"/>
    </row>
    <row r="84" spans="1:16" x14ac:dyDescent="0.25">
      <c r="A84" s="14"/>
      <c r="B84" s="14"/>
      <c r="C84" s="14"/>
      <c r="D84" s="14"/>
      <c r="E84" s="14"/>
      <c r="F84" s="14"/>
      <c r="G84" s="14"/>
      <c r="H84" s="14"/>
      <c r="I84" s="14"/>
      <c r="J84" s="14"/>
      <c r="K84" s="14"/>
      <c r="L84" s="14"/>
      <c r="M84" s="14"/>
      <c r="N84" s="14"/>
      <c r="O84" s="14"/>
      <c r="P84" s="14"/>
    </row>
    <row r="85" spans="1:16" x14ac:dyDescent="0.25">
      <c r="A85" s="34" t="str">
        <f>dat</f>
        <v>Tāme sastādīta 20__. gada __. _________</v>
      </c>
      <c r="B85" s="35"/>
      <c r="C85" s="35"/>
      <c r="D85" s="35"/>
      <c r="E85" s="14"/>
      <c r="F85" s="14"/>
      <c r="G85" s="14"/>
      <c r="H85" s="14"/>
      <c r="I85" s="14"/>
      <c r="J85" s="14"/>
      <c r="K85" s="14"/>
      <c r="L85" s="14"/>
      <c r="M85" s="14"/>
      <c r="N85" s="14"/>
      <c r="O85" s="14"/>
      <c r="P85" s="14"/>
    </row>
    <row r="86" spans="1:16" x14ac:dyDescent="0.25">
      <c r="A86" s="14"/>
      <c r="B86" s="14"/>
      <c r="C86" s="14"/>
      <c r="D86" s="14"/>
      <c r="E86" s="14"/>
      <c r="F86" s="14"/>
      <c r="G86" s="14"/>
      <c r="H86" s="14"/>
      <c r="I86" s="14"/>
      <c r="J86" s="14"/>
      <c r="K86" s="14"/>
      <c r="L86" s="14"/>
      <c r="M86" s="14"/>
      <c r="N86" s="14"/>
      <c r="O86" s="14"/>
      <c r="P86" s="14"/>
    </row>
    <row r="87" spans="1:16" x14ac:dyDescent="0.25">
      <c r="A87" s="1" t="s">
        <v>38</v>
      </c>
      <c r="B87" s="14"/>
      <c r="C87" s="958">
        <f>C82</f>
        <v>0</v>
      </c>
      <c r="D87" s="958"/>
      <c r="E87" s="958"/>
      <c r="F87" s="958"/>
      <c r="G87" s="958"/>
      <c r="H87" s="958"/>
      <c r="I87" s="14"/>
      <c r="J87" s="14"/>
      <c r="K87" s="14"/>
      <c r="L87" s="14"/>
      <c r="M87" s="14"/>
      <c r="N87" s="14"/>
      <c r="O87" s="14"/>
      <c r="P87" s="14"/>
    </row>
    <row r="88" spans="1:16" x14ac:dyDescent="0.25">
      <c r="A88" s="14"/>
      <c r="B88" s="14"/>
      <c r="C88" s="931" t="s">
        <v>15</v>
      </c>
      <c r="D88" s="931"/>
      <c r="E88" s="931"/>
      <c r="F88" s="931"/>
      <c r="G88" s="931"/>
      <c r="H88" s="931"/>
      <c r="I88" s="14"/>
      <c r="J88" s="14"/>
      <c r="K88" s="14"/>
      <c r="L88" s="14"/>
      <c r="M88" s="14"/>
      <c r="N88" s="14"/>
      <c r="O88" s="14"/>
      <c r="P88" s="14"/>
    </row>
    <row r="89" spans="1:16" x14ac:dyDescent="0.25">
      <c r="A89" s="14"/>
      <c r="B89" s="14"/>
      <c r="C89" s="14"/>
      <c r="D89" s="14"/>
      <c r="E89" s="14"/>
      <c r="F89" s="14"/>
      <c r="G89" s="14"/>
      <c r="H89" s="14"/>
      <c r="I89" s="14"/>
      <c r="J89" s="14"/>
      <c r="K89" s="14"/>
      <c r="L89" s="14"/>
      <c r="M89" s="14"/>
      <c r="N89" s="14"/>
      <c r="O89" s="14"/>
      <c r="P89" s="14"/>
    </row>
    <row r="90" spans="1:16" x14ac:dyDescent="0.25">
      <c r="A90" s="34" t="s">
        <v>54</v>
      </c>
      <c r="B90" s="35"/>
      <c r="C90" s="74">
        <f>sert.nr</f>
        <v>0</v>
      </c>
      <c r="D90" s="56"/>
      <c r="E90" s="14"/>
      <c r="F90" s="14"/>
      <c r="G90" s="14"/>
      <c r="H90" s="14"/>
      <c r="I90" s="14"/>
      <c r="J90" s="14"/>
      <c r="K90" s="14"/>
      <c r="L90" s="14"/>
      <c r="M90" s="14"/>
      <c r="N90" s="14"/>
      <c r="O90" s="14"/>
      <c r="P90" s="14"/>
    </row>
    <row r="92" spans="1:16" x14ac:dyDescent="0.25">
      <c r="C92" s="909" t="s">
        <v>623</v>
      </c>
    </row>
    <row r="93" spans="1:16" x14ac:dyDescent="0.25">
      <c r="C93" s="910" t="s">
        <v>624</v>
      </c>
    </row>
    <row r="94" spans="1:16" x14ac:dyDescent="0.25">
      <c r="C94" s="910" t="s">
        <v>625</v>
      </c>
    </row>
  </sheetData>
  <mergeCells count="22">
    <mergeCell ref="C2:I2"/>
    <mergeCell ref="C3:I3"/>
    <mergeCell ref="C4:I4"/>
    <mergeCell ref="D5:L5"/>
    <mergeCell ref="D6:L6"/>
    <mergeCell ref="D7:L7"/>
    <mergeCell ref="D8:L8"/>
    <mergeCell ref="A9:F9"/>
    <mergeCell ref="J9:M9"/>
    <mergeCell ref="N9:O9"/>
    <mergeCell ref="A12:A13"/>
    <mergeCell ref="B12:B13"/>
    <mergeCell ref="C12:C13"/>
    <mergeCell ref="D12:D13"/>
    <mergeCell ref="E12:E13"/>
    <mergeCell ref="C87:H87"/>
    <mergeCell ref="C88:H88"/>
    <mergeCell ref="F12:K12"/>
    <mergeCell ref="L12:P12"/>
    <mergeCell ref="C82:H82"/>
    <mergeCell ref="C83:H83"/>
    <mergeCell ref="A79:K79"/>
  </mergeCells>
  <phoneticPr fontId="28" type="noConversion"/>
  <conditionalFormatting sqref="C82:H82 C4:I4 D36:G39 A14:G14 B15:G35 B36:B39 B40:G55 A60:G71 A59:D59 F56:G59 A15:A58 B56:B58 A72:B72 D72:G72 I14:J78 A73:G78">
    <cfRule type="cellIs" dxfId="133" priority="21" operator="equal">
      <formula>0</formula>
    </cfRule>
  </conditionalFormatting>
  <conditionalFormatting sqref="N9:O9 C2:I2 C87:H87 C82:H82 D5:L8 L79:P79 H14:H78 K14:P78">
    <cfRule type="cellIs" dxfId="132" priority="22" operator="equal">
      <formula>0</formula>
    </cfRule>
  </conditionalFormatting>
  <conditionalFormatting sqref="A9:F9 A79:K79">
    <cfRule type="containsText" dxfId="131" priority="23" operator="containsText" text="Tāme sastādīta  20__. gada tirgus cenās, pamatojoties uz ___ daļas rasējumiem"/>
  </conditionalFormatting>
  <conditionalFormatting sqref="O10:P10">
    <cfRule type="cellIs" dxfId="130" priority="25" operator="equal">
      <formula>"20__. gada __. _________"</formula>
    </cfRule>
  </conditionalFormatting>
  <conditionalFormatting sqref="C90">
    <cfRule type="cellIs" dxfId="129" priority="32" operator="equal">
      <formula>0</formula>
    </cfRule>
  </conditionalFormatting>
  <conditionalFormatting sqref="D1">
    <cfRule type="cellIs" dxfId="128" priority="33" operator="equal">
      <formula>0</formula>
    </cfRule>
  </conditionalFormatting>
  <conditionalFormatting sqref="C37:C39">
    <cfRule type="cellIs" dxfId="127" priority="1" operator="equal">
      <formula>0</formula>
    </cfRule>
  </conditionalFormatting>
  <conditionalFormatting sqref="C36">
    <cfRule type="cellIs" dxfId="126" priority="2" operator="equal">
      <formula>0</formula>
    </cfRule>
  </conditionalFormatting>
  <pageMargins left="0.19685039370078741" right="0.19685039370078741" top="0.75196850393700787" bottom="0.39370078740157483" header="0.51181102362204722" footer="0.51181102362204722"/>
  <pageSetup paperSize="9" scale="77" firstPageNumber="0" orientation="landscape" r:id="rId1"/>
  <rowBreaks count="1" manualBreakCount="1">
    <brk id="58" max="1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MK94"/>
  <sheetViews>
    <sheetView view="pageBreakPreview" zoomScale="115" zoomScaleNormal="100" zoomScaleSheetLayoutView="115" workbookViewId="0">
      <selection activeCell="C61" sqref="C61"/>
    </sheetView>
  </sheetViews>
  <sheetFormatPr defaultColWidth="9.140625" defaultRowHeight="15" x14ac:dyDescent="0.25"/>
  <cols>
    <col min="1" max="1" width="4.5703125" style="134" customWidth="1"/>
    <col min="2" max="2" width="5.28515625" style="134" customWidth="1"/>
    <col min="3" max="3" width="38.42578125" style="134" customWidth="1"/>
    <col min="4" max="4" width="5.85546875" style="134" customWidth="1"/>
    <col min="5" max="5" width="5.7109375" style="134" customWidth="1"/>
    <col min="6" max="6" width="5.42578125" style="134" customWidth="1"/>
    <col min="7" max="7" width="4.85546875" style="134" customWidth="1"/>
    <col min="8" max="10" width="6.7109375" style="134" customWidth="1"/>
    <col min="11" max="11" width="7" style="134" customWidth="1"/>
    <col min="12" max="15" width="7.7109375" style="134" customWidth="1"/>
    <col min="16" max="16" width="9" style="134" customWidth="1"/>
    <col min="17" max="1025" width="9.140625" style="134" customWidth="1"/>
    <col min="1026" max="16384" width="9.140625" style="135"/>
  </cols>
  <sheetData>
    <row r="1" spans="1:1025" x14ac:dyDescent="0.25">
      <c r="A1" s="128"/>
      <c r="B1" s="128"/>
      <c r="C1" s="202" t="s">
        <v>39</v>
      </c>
      <c r="D1" s="200">
        <f>'Kops a'!A16</f>
        <v>2</v>
      </c>
      <c r="E1" s="199"/>
      <c r="F1" s="199"/>
      <c r="G1" s="199"/>
      <c r="H1" s="199"/>
      <c r="I1" s="199"/>
      <c r="J1" s="199"/>
      <c r="K1" s="201"/>
      <c r="L1" s="201"/>
      <c r="O1" s="128"/>
      <c r="P1" s="128"/>
    </row>
    <row r="2" spans="1:1025" x14ac:dyDescent="0.25">
      <c r="A2" s="128"/>
      <c r="B2" s="128"/>
      <c r="C2" s="992" t="s">
        <v>168</v>
      </c>
      <c r="D2" s="992"/>
      <c r="E2" s="992"/>
      <c r="F2" s="992"/>
      <c r="G2" s="992"/>
      <c r="H2" s="992"/>
      <c r="I2" s="992"/>
      <c r="J2" s="199"/>
      <c r="K2" s="201"/>
      <c r="L2" s="201"/>
    </row>
    <row r="3" spans="1:1025" x14ac:dyDescent="0.25">
      <c r="A3" s="128"/>
      <c r="B3" s="128"/>
      <c r="C3" s="993" t="s">
        <v>18</v>
      </c>
      <c r="D3" s="993"/>
      <c r="E3" s="993"/>
      <c r="F3" s="993"/>
      <c r="G3" s="993"/>
      <c r="H3" s="993"/>
      <c r="I3" s="993"/>
      <c r="J3" s="199"/>
      <c r="K3" s="201"/>
      <c r="L3" s="201"/>
    </row>
    <row r="4" spans="1:1025" x14ac:dyDescent="0.25">
      <c r="A4" s="128"/>
      <c r="B4" s="128"/>
      <c r="C4" s="994" t="s">
        <v>4</v>
      </c>
      <c r="D4" s="994"/>
      <c r="E4" s="994"/>
      <c r="F4" s="994"/>
      <c r="G4" s="994"/>
      <c r="H4" s="994"/>
      <c r="I4" s="994"/>
      <c r="J4" s="199"/>
      <c r="K4" s="201"/>
      <c r="L4" s="201"/>
    </row>
    <row r="5" spans="1:1025" x14ac:dyDescent="0.25">
      <c r="A5" s="128"/>
      <c r="B5" s="128"/>
      <c r="C5" s="199" t="s">
        <v>5</v>
      </c>
      <c r="D5" s="995" t="str">
        <f>'Kops a'!D6</f>
        <v>Daudzīvokļu dzīvojamā māja</v>
      </c>
      <c r="E5" s="995"/>
      <c r="F5" s="995"/>
      <c r="G5" s="995"/>
      <c r="H5" s="995"/>
      <c r="I5" s="995"/>
      <c r="J5" s="995"/>
      <c r="K5" s="995"/>
      <c r="L5" s="995"/>
      <c r="AMB5" s="135"/>
      <c r="AMC5" s="135"/>
      <c r="AMD5" s="135"/>
      <c r="AME5" s="135"/>
      <c r="AMF5" s="135"/>
      <c r="AMG5" s="135"/>
      <c r="AMH5" s="135"/>
      <c r="AMI5" s="135"/>
      <c r="AMJ5" s="135"/>
      <c r="AMK5" s="135"/>
    </row>
    <row r="6" spans="1:1025" x14ac:dyDescent="0.25">
      <c r="A6" s="128"/>
      <c r="B6" s="128"/>
      <c r="C6" s="199" t="s">
        <v>6</v>
      </c>
      <c r="D6" s="989" t="str">
        <f>'Kops a'!D7</f>
        <v>fasādes vienkāršotā atjaunošana</v>
      </c>
      <c r="E6" s="989"/>
      <c r="F6" s="989"/>
      <c r="G6" s="989"/>
      <c r="H6" s="989"/>
      <c r="I6" s="989"/>
      <c r="J6" s="989"/>
      <c r="K6" s="989"/>
      <c r="L6" s="989"/>
      <c r="AMB6" s="135"/>
      <c r="AMC6" s="135"/>
      <c r="AMD6" s="135"/>
      <c r="AME6" s="135"/>
      <c r="AMF6" s="135"/>
      <c r="AMG6" s="135"/>
      <c r="AMH6" s="135"/>
      <c r="AMI6" s="135"/>
      <c r="AMJ6" s="135"/>
      <c r="AMK6" s="135"/>
    </row>
    <row r="7" spans="1:1025" x14ac:dyDescent="0.25">
      <c r="A7" s="128"/>
      <c r="B7" s="128"/>
      <c r="C7" s="199" t="s">
        <v>7</v>
      </c>
      <c r="D7" s="989" t="str">
        <f>'Kops a'!D8</f>
        <v>Reiņu meža iela 3, Liepāja</v>
      </c>
      <c r="E7" s="989"/>
      <c r="F7" s="989"/>
      <c r="G7" s="989"/>
      <c r="H7" s="989"/>
      <c r="I7" s="989"/>
      <c r="J7" s="989"/>
      <c r="K7" s="989"/>
      <c r="L7" s="989"/>
      <c r="AMB7" s="135"/>
      <c r="AMC7" s="135"/>
      <c r="AMD7" s="135"/>
      <c r="AME7" s="135"/>
      <c r="AMF7" s="135"/>
      <c r="AMG7" s="135"/>
      <c r="AMH7" s="135"/>
      <c r="AMI7" s="135"/>
      <c r="AMJ7" s="135"/>
      <c r="AMK7" s="135"/>
    </row>
    <row r="8" spans="1:1025" x14ac:dyDescent="0.25">
      <c r="A8" s="128"/>
      <c r="B8" s="128"/>
      <c r="C8" s="201" t="s">
        <v>21</v>
      </c>
      <c r="D8" s="989" t="str">
        <f>'Kops a'!D9</f>
        <v>EA-45-17</v>
      </c>
      <c r="E8" s="989"/>
      <c r="F8" s="989"/>
      <c r="G8" s="989"/>
      <c r="H8" s="989"/>
      <c r="I8" s="989"/>
      <c r="J8" s="989"/>
      <c r="K8" s="989"/>
      <c r="L8" s="989"/>
      <c r="AMB8" s="135"/>
      <c r="AMC8" s="135"/>
      <c r="AMD8" s="135"/>
      <c r="AME8" s="135"/>
      <c r="AMF8" s="135"/>
      <c r="AMG8" s="135"/>
      <c r="AMH8" s="135"/>
      <c r="AMI8" s="135"/>
      <c r="AMJ8" s="135"/>
      <c r="AMK8" s="135"/>
    </row>
    <row r="9" spans="1:1025" ht="15" customHeight="1" x14ac:dyDescent="0.25">
      <c r="A9" s="969" t="s">
        <v>627</v>
      </c>
      <c r="B9" s="969"/>
      <c r="C9" s="969"/>
      <c r="D9" s="969"/>
      <c r="E9" s="969"/>
      <c r="F9" s="969"/>
      <c r="G9" s="129"/>
      <c r="H9" s="129"/>
      <c r="I9" s="129"/>
      <c r="J9" s="990" t="s">
        <v>40</v>
      </c>
      <c r="K9" s="990"/>
      <c r="L9" s="990"/>
      <c r="M9" s="990"/>
      <c r="N9" s="991">
        <f>P79</f>
        <v>0</v>
      </c>
      <c r="O9" s="991"/>
      <c r="P9" s="129"/>
    </row>
    <row r="10" spans="1:1025" x14ac:dyDescent="0.25">
      <c r="A10" s="130"/>
      <c r="B10" s="130"/>
      <c r="D10" s="128"/>
      <c r="E10" s="128"/>
      <c r="F10" s="128"/>
      <c r="G10" s="128"/>
      <c r="H10" s="128"/>
      <c r="I10" s="128"/>
      <c r="J10" s="128"/>
      <c r="K10" s="128"/>
      <c r="L10" s="128"/>
      <c r="M10" s="128"/>
      <c r="O10" s="136"/>
      <c r="P10" s="198" t="str">
        <f>A85</f>
        <v>Tāme sastādīta 20__. gada __. _________</v>
      </c>
    </row>
    <row r="11" spans="1:1025" ht="15.75" thickBot="1" x14ac:dyDescent="0.3">
      <c r="A11" s="130"/>
      <c r="B11" s="130"/>
      <c r="D11" s="128"/>
      <c r="E11" s="128"/>
      <c r="F11" s="128"/>
      <c r="G11" s="128"/>
      <c r="H11" s="128"/>
      <c r="I11" s="128"/>
      <c r="J11" s="128"/>
      <c r="K11" s="128"/>
      <c r="L11" s="128"/>
      <c r="M11" s="128"/>
      <c r="N11" s="136"/>
      <c r="P11" s="128"/>
    </row>
    <row r="12" spans="1:1025" x14ac:dyDescent="0.25">
      <c r="A12" s="979" t="s">
        <v>24</v>
      </c>
      <c r="B12" s="981" t="s">
        <v>41</v>
      </c>
      <c r="C12" s="987" t="s">
        <v>42</v>
      </c>
      <c r="D12" s="983" t="s">
        <v>43</v>
      </c>
      <c r="E12" s="985" t="s">
        <v>44</v>
      </c>
      <c r="F12" s="976" t="s">
        <v>45</v>
      </c>
      <c r="G12" s="977"/>
      <c r="H12" s="977"/>
      <c r="I12" s="977"/>
      <c r="J12" s="977"/>
      <c r="K12" s="978"/>
      <c r="L12" s="976" t="s">
        <v>46</v>
      </c>
      <c r="M12" s="977"/>
      <c r="N12" s="977"/>
      <c r="O12" s="977"/>
      <c r="P12" s="978"/>
    </row>
    <row r="13" spans="1:1025" ht="117.75" thickBot="1" x14ac:dyDescent="0.3">
      <c r="A13" s="980"/>
      <c r="B13" s="982"/>
      <c r="C13" s="988"/>
      <c r="D13" s="984"/>
      <c r="E13" s="986"/>
      <c r="F13" s="137" t="s">
        <v>47</v>
      </c>
      <c r="G13" s="138" t="s">
        <v>48</v>
      </c>
      <c r="H13" s="138" t="s">
        <v>49</v>
      </c>
      <c r="I13" s="138" t="s">
        <v>50</v>
      </c>
      <c r="J13" s="138" t="s">
        <v>51</v>
      </c>
      <c r="K13" s="139" t="s">
        <v>52</v>
      </c>
      <c r="L13" s="137" t="s">
        <v>47</v>
      </c>
      <c r="M13" s="138" t="s">
        <v>49</v>
      </c>
      <c r="N13" s="138" t="s">
        <v>50</v>
      </c>
      <c r="O13" s="138" t="s">
        <v>51</v>
      </c>
      <c r="P13" s="139" t="s">
        <v>52</v>
      </c>
    </row>
    <row r="14" spans="1:1025" ht="22.5" x14ac:dyDescent="0.25">
      <c r="A14" s="102">
        <f>IF(COUNTBLANK(B14)=1," ",COUNTA(B$14:B14))</f>
        <v>1</v>
      </c>
      <c r="B14" s="160" t="s">
        <v>87</v>
      </c>
      <c r="C14" s="367" t="s">
        <v>631</v>
      </c>
      <c r="D14" s="368" t="s">
        <v>85</v>
      </c>
      <c r="E14" s="370">
        <v>0.3</v>
      </c>
      <c r="F14" s="103"/>
      <c r="G14" s="103"/>
      <c r="H14" s="197">
        <f>F14*G14</f>
        <v>0</v>
      </c>
      <c r="I14" s="124"/>
      <c r="J14" s="124"/>
      <c r="K14" s="307">
        <f t="shared" ref="K14:K37" si="0">ROUND(I14+H14+J14,2)</f>
        <v>0</v>
      </c>
      <c r="L14" s="307">
        <f t="shared" ref="L14:L37" si="1">ROUND(E14*F14,2)</f>
        <v>0</v>
      </c>
      <c r="M14" s="307">
        <f t="shared" ref="M14:M43" si="2">ROUND(E14*H14,2)</f>
        <v>0</v>
      </c>
      <c r="N14" s="307">
        <f t="shared" ref="N14:N44" si="3">ROUND(E14*I14,2)</f>
        <v>0</v>
      </c>
      <c r="O14" s="307">
        <f t="shared" ref="O14:O36" si="4">ROUND(E14*J14,2)</f>
        <v>0</v>
      </c>
      <c r="P14" s="307">
        <f t="shared" ref="P14:P34" si="5">SUM(M14:O14)</f>
        <v>0</v>
      </c>
    </row>
    <row r="15" spans="1:1025" x14ac:dyDescent="0.25">
      <c r="A15" s="102">
        <f>IF(COUNTBLANK(B15)=1," ",COUNTA(B$14:B15))</f>
        <v>2</v>
      </c>
      <c r="B15" s="160" t="s">
        <v>87</v>
      </c>
      <c r="C15" s="369" t="s">
        <v>262</v>
      </c>
      <c r="D15" s="370" t="s">
        <v>85</v>
      </c>
      <c r="E15" s="370">
        <f>E14*0.15</f>
        <v>4.4999999999999998E-2</v>
      </c>
      <c r="F15" s="329"/>
      <c r="G15" s="329"/>
      <c r="H15" s="197">
        <f t="shared" ref="H15:H37" si="6">F15*G15</f>
        <v>0</v>
      </c>
      <c r="I15" s="330"/>
      <c r="J15" s="330"/>
      <c r="K15" s="307">
        <f t="shared" si="0"/>
        <v>0</v>
      </c>
      <c r="L15" s="307">
        <f t="shared" si="1"/>
        <v>0</v>
      </c>
      <c r="M15" s="307">
        <f t="shared" si="2"/>
        <v>0</v>
      </c>
      <c r="N15" s="307">
        <f t="shared" si="3"/>
        <v>0</v>
      </c>
      <c r="O15" s="307">
        <f t="shared" si="4"/>
        <v>0</v>
      </c>
      <c r="P15" s="307">
        <f t="shared" si="5"/>
        <v>0</v>
      </c>
    </row>
    <row r="16" spans="1:1025" x14ac:dyDescent="0.25">
      <c r="A16" s="102">
        <f>IF(COUNTBLANK(B16)=1," ",COUNTA(B$14:B16))</f>
        <v>3</v>
      </c>
      <c r="B16" s="160" t="s">
        <v>87</v>
      </c>
      <c r="C16" s="369" t="s">
        <v>263</v>
      </c>
      <c r="D16" s="370" t="s">
        <v>85</v>
      </c>
      <c r="E16" s="370">
        <f>E14*0.93</f>
        <v>0.27900000000000003</v>
      </c>
      <c r="F16" s="329"/>
      <c r="G16" s="329"/>
      <c r="H16" s="197">
        <f t="shared" si="6"/>
        <v>0</v>
      </c>
      <c r="I16" s="330"/>
      <c r="J16" s="330"/>
      <c r="K16" s="307">
        <f t="shared" si="0"/>
        <v>0</v>
      </c>
      <c r="L16" s="307">
        <f t="shared" si="1"/>
        <v>0</v>
      </c>
      <c r="M16" s="307">
        <f t="shared" si="2"/>
        <v>0</v>
      </c>
      <c r="N16" s="307">
        <f t="shared" si="3"/>
        <v>0</v>
      </c>
      <c r="O16" s="307">
        <f t="shared" si="4"/>
        <v>0</v>
      </c>
      <c r="P16" s="307">
        <f t="shared" si="5"/>
        <v>0</v>
      </c>
    </row>
    <row r="17" spans="1:16" x14ac:dyDescent="0.25">
      <c r="A17" s="102">
        <f>IF(COUNTBLANK(B17)=1," ",COUNTA(B$14:B17))</f>
        <v>4</v>
      </c>
      <c r="B17" s="160" t="s">
        <v>87</v>
      </c>
      <c r="C17" s="369" t="s">
        <v>93</v>
      </c>
      <c r="D17" s="370" t="s">
        <v>253</v>
      </c>
      <c r="E17" s="370">
        <v>1</v>
      </c>
      <c r="F17" s="329"/>
      <c r="G17" s="329"/>
      <c r="H17" s="197">
        <f t="shared" si="6"/>
        <v>0</v>
      </c>
      <c r="I17" s="330"/>
      <c r="J17" s="330"/>
      <c r="K17" s="307">
        <f t="shared" si="0"/>
        <v>0</v>
      </c>
      <c r="L17" s="307">
        <f t="shared" si="1"/>
        <v>0</v>
      </c>
      <c r="M17" s="307">
        <f t="shared" si="2"/>
        <v>0</v>
      </c>
      <c r="N17" s="307">
        <f t="shared" si="3"/>
        <v>0</v>
      </c>
      <c r="O17" s="307">
        <f t="shared" si="4"/>
        <v>0</v>
      </c>
      <c r="P17" s="307">
        <f t="shared" si="5"/>
        <v>0</v>
      </c>
    </row>
    <row r="18" spans="1:16" ht="15.75" thickBot="1" x14ac:dyDescent="0.3">
      <c r="A18" s="102" t="str">
        <f>IF(COUNTBLANK(B18)=1," ",COUNTA(B$14:B18))</f>
        <v xml:space="preserve"> </v>
      </c>
      <c r="B18" s="514"/>
      <c r="C18" s="520" t="s">
        <v>323</v>
      </c>
      <c r="D18" s="512"/>
      <c r="E18" s="512"/>
      <c r="F18" s="512"/>
      <c r="G18" s="512"/>
      <c r="H18" s="197">
        <f t="shared" si="6"/>
        <v>0</v>
      </c>
      <c r="I18" s="513"/>
      <c r="J18" s="513"/>
      <c r="K18" s="307">
        <f t="shared" si="0"/>
        <v>0</v>
      </c>
      <c r="L18" s="307">
        <f t="shared" si="1"/>
        <v>0</v>
      </c>
      <c r="M18" s="307">
        <f t="shared" si="2"/>
        <v>0</v>
      </c>
      <c r="N18" s="307">
        <f t="shared" si="3"/>
        <v>0</v>
      </c>
      <c r="O18" s="307">
        <f t="shared" si="4"/>
        <v>0</v>
      </c>
      <c r="P18" s="307">
        <f t="shared" si="5"/>
        <v>0</v>
      </c>
    </row>
    <row r="19" spans="1:16" ht="22.5" x14ac:dyDescent="0.25">
      <c r="A19" s="102">
        <f>IF(COUNTBLANK(B19)=1," ",COUNTA(B$14:B19))</f>
        <v>5</v>
      </c>
      <c r="B19" s="514" t="s">
        <v>325</v>
      </c>
      <c r="C19" s="519" t="s">
        <v>632</v>
      </c>
      <c r="D19" s="515" t="s">
        <v>242</v>
      </c>
      <c r="E19" s="515">
        <v>1.8</v>
      </c>
      <c r="F19" s="512"/>
      <c r="G19" s="512"/>
      <c r="H19" s="197">
        <f t="shared" si="6"/>
        <v>0</v>
      </c>
      <c r="I19" s="513"/>
      <c r="J19" s="513"/>
      <c r="K19" s="307">
        <f t="shared" si="0"/>
        <v>0</v>
      </c>
      <c r="L19" s="307">
        <f t="shared" si="1"/>
        <v>0</v>
      </c>
      <c r="M19" s="307">
        <f t="shared" si="2"/>
        <v>0</v>
      </c>
      <c r="N19" s="307">
        <f t="shared" si="3"/>
        <v>0</v>
      </c>
      <c r="O19" s="307">
        <f t="shared" si="4"/>
        <v>0</v>
      </c>
      <c r="P19" s="307">
        <f t="shared" si="5"/>
        <v>0</v>
      </c>
    </row>
    <row r="20" spans="1:16" ht="22.5" x14ac:dyDescent="0.25">
      <c r="A20" s="102">
        <f>IF(COUNTBLANK(B20)=1," ",COUNTA(B$14:B20))</f>
        <v>6</v>
      </c>
      <c r="B20" s="514" t="s">
        <v>325</v>
      </c>
      <c r="C20" s="517" t="s">
        <v>324</v>
      </c>
      <c r="D20" s="518" t="s">
        <v>242</v>
      </c>
      <c r="E20" s="518">
        <v>0.8</v>
      </c>
      <c r="F20" s="512"/>
      <c r="G20" s="512"/>
      <c r="H20" s="197">
        <f t="shared" si="6"/>
        <v>0</v>
      </c>
      <c r="I20" s="513"/>
      <c r="J20" s="513"/>
      <c r="K20" s="307">
        <f t="shared" si="0"/>
        <v>0</v>
      </c>
      <c r="L20" s="307">
        <f t="shared" si="1"/>
        <v>0</v>
      </c>
      <c r="M20" s="307">
        <f t="shared" si="2"/>
        <v>0</v>
      </c>
      <c r="N20" s="307">
        <f t="shared" si="3"/>
        <v>0</v>
      </c>
      <c r="O20" s="307">
        <f t="shared" si="4"/>
        <v>0</v>
      </c>
      <c r="P20" s="307">
        <f t="shared" si="5"/>
        <v>0</v>
      </c>
    </row>
    <row r="21" spans="1:16" x14ac:dyDescent="0.25">
      <c r="A21" s="102">
        <f>IF(COUNTBLANK(B21)=1," ",COUNTA(B$14:B21))</f>
        <v>7</v>
      </c>
      <c r="B21" s="514" t="s">
        <v>325</v>
      </c>
      <c r="C21" s="528" t="s">
        <v>262</v>
      </c>
      <c r="D21" s="525" t="s">
        <v>85</v>
      </c>
      <c r="E21" s="526">
        <f>ROUNDUP(E20*0.15,2)</f>
        <v>0.12</v>
      </c>
      <c r="F21" s="521"/>
      <c r="G21" s="512"/>
      <c r="H21" s="197">
        <f t="shared" si="6"/>
        <v>0</v>
      </c>
      <c r="I21" s="513"/>
      <c r="J21" s="513"/>
      <c r="K21" s="307">
        <f t="shared" si="0"/>
        <v>0</v>
      </c>
      <c r="L21" s="307">
        <f t="shared" si="1"/>
        <v>0</v>
      </c>
      <c r="M21" s="307">
        <f t="shared" si="2"/>
        <v>0</v>
      </c>
      <c r="N21" s="307">
        <f t="shared" si="3"/>
        <v>0</v>
      </c>
      <c r="O21" s="307">
        <f t="shared" si="4"/>
        <v>0</v>
      </c>
      <c r="P21" s="307">
        <f t="shared" si="5"/>
        <v>0</v>
      </c>
    </row>
    <row r="22" spans="1:16" x14ac:dyDescent="0.25">
      <c r="A22" s="102">
        <f>IF(COUNTBLANK(B22)=1," ",COUNTA(B$14:B22))</f>
        <v>8</v>
      </c>
      <c r="B22" s="514" t="s">
        <v>325</v>
      </c>
      <c r="C22" s="528" t="s">
        <v>263</v>
      </c>
      <c r="D22" s="525" t="s">
        <v>85</v>
      </c>
      <c r="E22" s="526">
        <f>ROUNDUP(E20*0.93,2)</f>
        <v>0.75</v>
      </c>
      <c r="F22" s="521"/>
      <c r="G22" s="512"/>
      <c r="H22" s="197">
        <f t="shared" si="6"/>
        <v>0</v>
      </c>
      <c r="I22" s="513"/>
      <c r="J22" s="513"/>
      <c r="K22" s="307">
        <f t="shared" si="0"/>
        <v>0</v>
      </c>
      <c r="L22" s="307">
        <f t="shared" si="1"/>
        <v>0</v>
      </c>
      <c r="M22" s="307">
        <f t="shared" si="2"/>
        <v>0</v>
      </c>
      <c r="N22" s="307">
        <f t="shared" si="3"/>
        <v>0</v>
      </c>
      <c r="O22" s="307">
        <f t="shared" si="4"/>
        <v>0</v>
      </c>
      <c r="P22" s="307">
        <f t="shared" si="5"/>
        <v>0</v>
      </c>
    </row>
    <row r="23" spans="1:16" x14ac:dyDescent="0.25">
      <c r="A23" s="102">
        <f>IF(COUNTBLANK(B23)=1," ",COUNTA(B$14:B23))</f>
        <v>9</v>
      </c>
      <c r="B23" s="514" t="s">
        <v>325</v>
      </c>
      <c r="C23" s="528" t="s">
        <v>93</v>
      </c>
      <c r="D23" s="524" t="s">
        <v>253</v>
      </c>
      <c r="E23" s="526">
        <f>ROUNDUP(E20*0.5,0)</f>
        <v>1</v>
      </c>
      <c r="F23" s="521"/>
      <c r="G23" s="512"/>
      <c r="H23" s="197">
        <f t="shared" si="6"/>
        <v>0</v>
      </c>
      <c r="I23" s="513"/>
      <c r="J23" s="513"/>
      <c r="K23" s="307">
        <f t="shared" si="0"/>
        <v>0</v>
      </c>
      <c r="L23" s="307">
        <f t="shared" si="1"/>
        <v>0</v>
      </c>
      <c r="M23" s="307">
        <f t="shared" si="2"/>
        <v>0</v>
      </c>
      <c r="N23" s="307">
        <f t="shared" si="3"/>
        <v>0</v>
      </c>
      <c r="O23" s="307">
        <f t="shared" si="4"/>
        <v>0</v>
      </c>
      <c r="P23" s="307">
        <f t="shared" si="5"/>
        <v>0</v>
      </c>
    </row>
    <row r="24" spans="1:16" x14ac:dyDescent="0.25">
      <c r="A24" s="102">
        <f>IF(COUNTBLANK(B24)=1," ",COUNTA(B$14:B24))</f>
        <v>10</v>
      </c>
      <c r="B24" s="514" t="s">
        <v>325</v>
      </c>
      <c r="C24" s="529" t="s">
        <v>326</v>
      </c>
      <c r="D24" s="515" t="s">
        <v>242</v>
      </c>
      <c r="E24" s="527">
        <v>2.6</v>
      </c>
      <c r="F24" s="521"/>
      <c r="G24" s="512"/>
      <c r="H24" s="197">
        <f t="shared" si="6"/>
        <v>0</v>
      </c>
      <c r="I24" s="513"/>
      <c r="J24" s="513"/>
      <c r="K24" s="307">
        <f t="shared" si="0"/>
        <v>0</v>
      </c>
      <c r="L24" s="307">
        <f t="shared" si="1"/>
        <v>0</v>
      </c>
      <c r="M24" s="307">
        <f t="shared" si="2"/>
        <v>0</v>
      </c>
      <c r="N24" s="307">
        <f t="shared" si="3"/>
        <v>0</v>
      </c>
      <c r="O24" s="307">
        <f t="shared" si="4"/>
        <v>0</v>
      </c>
      <c r="P24" s="307">
        <f t="shared" si="5"/>
        <v>0</v>
      </c>
    </row>
    <row r="25" spans="1:16" ht="15.75" thickBot="1" x14ac:dyDescent="0.3">
      <c r="A25" s="102" t="str">
        <f>IF(COUNTBLANK(B25)=1," ",COUNTA(B$14:B25))</f>
        <v xml:space="preserve"> </v>
      </c>
      <c r="B25" s="333"/>
      <c r="C25" s="472" t="s">
        <v>271</v>
      </c>
      <c r="D25" s="522"/>
      <c r="E25" s="523"/>
      <c r="F25" s="329"/>
      <c r="G25" s="329"/>
      <c r="H25" s="197">
        <f t="shared" si="6"/>
        <v>0</v>
      </c>
      <c r="I25" s="330"/>
      <c r="J25" s="330"/>
      <c r="K25" s="307">
        <f t="shared" si="0"/>
        <v>0</v>
      </c>
      <c r="L25" s="307">
        <f t="shared" si="1"/>
        <v>0</v>
      </c>
      <c r="M25" s="307">
        <f t="shared" si="2"/>
        <v>0</v>
      </c>
      <c r="N25" s="307">
        <f t="shared" si="3"/>
        <v>0</v>
      </c>
      <c r="O25" s="307">
        <f t="shared" si="4"/>
        <v>0</v>
      </c>
      <c r="P25" s="307">
        <f t="shared" si="5"/>
        <v>0</v>
      </c>
    </row>
    <row r="26" spans="1:16" ht="22.5" x14ac:dyDescent="0.25">
      <c r="A26" s="102">
        <f>IF(COUNTBLANK(B26)=1," ",COUNTA(B$14:B26))</f>
        <v>11</v>
      </c>
      <c r="B26" s="160" t="s">
        <v>87</v>
      </c>
      <c r="C26" s="378" t="s">
        <v>121</v>
      </c>
      <c r="D26" s="102" t="s">
        <v>85</v>
      </c>
      <c r="E26" s="189">
        <v>199.7</v>
      </c>
      <c r="F26" s="103"/>
      <c r="G26" s="103"/>
      <c r="H26" s="197">
        <f t="shared" si="6"/>
        <v>0</v>
      </c>
      <c r="I26" s="124"/>
      <c r="J26" s="124"/>
      <c r="K26" s="307">
        <f t="shared" si="0"/>
        <v>0</v>
      </c>
      <c r="L26" s="307">
        <f t="shared" si="1"/>
        <v>0</v>
      </c>
      <c r="M26" s="307">
        <f t="shared" si="2"/>
        <v>0</v>
      </c>
      <c r="N26" s="307">
        <f t="shared" si="3"/>
        <v>0</v>
      </c>
      <c r="O26" s="307">
        <f t="shared" si="4"/>
        <v>0</v>
      </c>
      <c r="P26" s="307">
        <f t="shared" si="5"/>
        <v>0</v>
      </c>
    </row>
    <row r="27" spans="1:16" ht="22.5" x14ac:dyDescent="0.25">
      <c r="A27" s="102">
        <f>IF(COUNTBLANK(B27)=1," ",COUNTA(B$14:B27))</f>
        <v>12</v>
      </c>
      <c r="B27" s="160" t="s">
        <v>87</v>
      </c>
      <c r="C27" s="191" t="s">
        <v>120</v>
      </c>
      <c r="D27" s="102" t="s">
        <v>57</v>
      </c>
      <c r="E27" s="189">
        <v>352.2</v>
      </c>
      <c r="F27" s="103"/>
      <c r="G27" s="103"/>
      <c r="H27" s="197">
        <f t="shared" si="6"/>
        <v>0</v>
      </c>
      <c r="I27" s="124"/>
      <c r="J27" s="124"/>
      <c r="K27" s="307">
        <f t="shared" si="0"/>
        <v>0</v>
      </c>
      <c r="L27" s="307">
        <f t="shared" si="1"/>
        <v>0</v>
      </c>
      <c r="M27" s="307">
        <f t="shared" si="2"/>
        <v>0</v>
      </c>
      <c r="N27" s="307">
        <f t="shared" si="3"/>
        <v>0</v>
      </c>
      <c r="O27" s="307">
        <f t="shared" si="4"/>
        <v>0</v>
      </c>
      <c r="P27" s="307">
        <f t="shared" si="5"/>
        <v>0</v>
      </c>
    </row>
    <row r="28" spans="1:16" x14ac:dyDescent="0.25">
      <c r="A28" s="102">
        <f>IF(COUNTBLANK(B28)=1," ",COUNTA(B$14:B28))</f>
        <v>13</v>
      </c>
      <c r="B28" s="160" t="s">
        <v>87</v>
      </c>
      <c r="C28" s="192" t="s">
        <v>633</v>
      </c>
      <c r="D28" s="181" t="s">
        <v>90</v>
      </c>
      <c r="E28" s="162">
        <f>E27*0.5</f>
        <v>176.1</v>
      </c>
      <c r="F28" s="103"/>
      <c r="G28" s="103"/>
      <c r="H28" s="197">
        <f t="shared" si="6"/>
        <v>0</v>
      </c>
      <c r="I28" s="124"/>
      <c r="J28" s="124"/>
      <c r="K28" s="307">
        <f t="shared" si="0"/>
        <v>0</v>
      </c>
      <c r="L28" s="307">
        <f t="shared" si="1"/>
        <v>0</v>
      </c>
      <c r="M28" s="307">
        <f t="shared" si="2"/>
        <v>0</v>
      </c>
      <c r="N28" s="307">
        <f t="shared" si="3"/>
        <v>0</v>
      </c>
      <c r="O28" s="307">
        <f t="shared" si="4"/>
        <v>0</v>
      </c>
      <c r="P28" s="307">
        <f t="shared" si="5"/>
        <v>0</v>
      </c>
    </row>
    <row r="29" spans="1:16" ht="22.5" x14ac:dyDescent="0.25">
      <c r="A29" s="102">
        <f>IF(COUNTBLANK(B29)=1," ",COUNTA(B$14:B29))</f>
        <v>14</v>
      </c>
      <c r="B29" s="160" t="s">
        <v>87</v>
      </c>
      <c r="C29" s="191" t="s">
        <v>119</v>
      </c>
      <c r="D29" s="102" t="s">
        <v>57</v>
      </c>
      <c r="E29" s="189">
        <f>E27</f>
        <v>352.2</v>
      </c>
      <c r="F29" s="103"/>
      <c r="G29" s="103"/>
      <c r="H29" s="197">
        <f t="shared" si="6"/>
        <v>0</v>
      </c>
      <c r="I29" s="124"/>
      <c r="J29" s="124"/>
      <c r="K29" s="307">
        <f t="shared" si="0"/>
        <v>0</v>
      </c>
      <c r="L29" s="307">
        <f t="shared" si="1"/>
        <v>0</v>
      </c>
      <c r="M29" s="307">
        <f t="shared" si="2"/>
        <v>0</v>
      </c>
      <c r="N29" s="307">
        <f t="shared" si="3"/>
        <v>0</v>
      </c>
      <c r="O29" s="307">
        <f t="shared" si="4"/>
        <v>0</v>
      </c>
      <c r="P29" s="307">
        <f t="shared" si="5"/>
        <v>0</v>
      </c>
    </row>
    <row r="30" spans="1:16" x14ac:dyDescent="0.25">
      <c r="A30" s="102">
        <f>IF(COUNTBLANK(B30)=1," ",COUNTA(B$14:B30))</f>
        <v>15</v>
      </c>
      <c r="B30" s="160" t="s">
        <v>87</v>
      </c>
      <c r="C30" s="379" t="s">
        <v>634</v>
      </c>
      <c r="D30" s="103" t="s">
        <v>90</v>
      </c>
      <c r="E30" s="189">
        <f>E29*1</f>
        <v>352.2</v>
      </c>
      <c r="F30" s="103"/>
      <c r="G30" s="103"/>
      <c r="H30" s="197">
        <f t="shared" si="6"/>
        <v>0</v>
      </c>
      <c r="I30" s="124"/>
      <c r="J30" s="124"/>
      <c r="K30" s="307">
        <f t="shared" si="0"/>
        <v>0</v>
      </c>
      <c r="L30" s="307">
        <f t="shared" si="1"/>
        <v>0</v>
      </c>
      <c r="M30" s="307">
        <f t="shared" si="2"/>
        <v>0</v>
      </c>
      <c r="N30" s="307">
        <f t="shared" si="3"/>
        <v>0</v>
      </c>
      <c r="O30" s="307">
        <f t="shared" si="4"/>
        <v>0</v>
      </c>
      <c r="P30" s="307">
        <f t="shared" si="5"/>
        <v>0</v>
      </c>
    </row>
    <row r="31" spans="1:16" ht="21.75" thickBot="1" x14ac:dyDescent="0.3">
      <c r="A31" s="102" t="str">
        <f>IF(COUNTBLANK(B31)=1," ",COUNTA(B$14:B31))</f>
        <v xml:space="preserve"> </v>
      </c>
      <c r="B31" s="160"/>
      <c r="C31" s="468" t="s">
        <v>270</v>
      </c>
      <c r="D31" s="167"/>
      <c r="E31" s="168"/>
      <c r="F31" s="103"/>
      <c r="G31" s="103"/>
      <c r="H31" s="197">
        <f t="shared" si="6"/>
        <v>0</v>
      </c>
      <c r="I31" s="124"/>
      <c r="J31" s="124"/>
      <c r="K31" s="307">
        <f t="shared" si="0"/>
        <v>0</v>
      </c>
      <c r="L31" s="307">
        <f t="shared" si="1"/>
        <v>0</v>
      </c>
      <c r="M31" s="307">
        <f t="shared" si="2"/>
        <v>0</v>
      </c>
      <c r="N31" s="307">
        <f t="shared" si="3"/>
        <v>0</v>
      </c>
      <c r="O31" s="307">
        <f t="shared" si="4"/>
        <v>0</v>
      </c>
      <c r="P31" s="307">
        <f t="shared" si="5"/>
        <v>0</v>
      </c>
    </row>
    <row r="32" spans="1:16" ht="56.25" x14ac:dyDescent="0.25">
      <c r="A32" s="102">
        <f>IF(COUNTBLANK(B32)=1," ",COUNTA(B$14:B32))</f>
        <v>16</v>
      </c>
      <c r="B32" s="160" t="s">
        <v>87</v>
      </c>
      <c r="C32" s="531" t="s">
        <v>327</v>
      </c>
      <c r="D32" s="372" t="s">
        <v>245</v>
      </c>
      <c r="E32" s="376">
        <v>179</v>
      </c>
      <c r="F32" s="103"/>
      <c r="G32" s="103"/>
      <c r="H32" s="197">
        <f t="shared" si="6"/>
        <v>0</v>
      </c>
      <c r="I32" s="124"/>
      <c r="J32" s="124"/>
      <c r="K32" s="307">
        <f t="shared" si="0"/>
        <v>0</v>
      </c>
      <c r="L32" s="307">
        <f t="shared" si="1"/>
        <v>0</v>
      </c>
      <c r="M32" s="307">
        <f t="shared" si="2"/>
        <v>0</v>
      </c>
      <c r="N32" s="307">
        <f t="shared" si="3"/>
        <v>0</v>
      </c>
      <c r="O32" s="307">
        <f t="shared" si="4"/>
        <v>0</v>
      </c>
      <c r="P32" s="307">
        <f t="shared" si="5"/>
        <v>0</v>
      </c>
    </row>
    <row r="33" spans="1:16" ht="45" x14ac:dyDescent="0.25">
      <c r="A33" s="102">
        <f>IF(COUNTBLANK(B33)=1," ",COUNTA(B$14:B33))</f>
        <v>17</v>
      </c>
      <c r="B33" s="160" t="s">
        <v>87</v>
      </c>
      <c r="C33" s="371" t="s">
        <v>264</v>
      </c>
      <c r="D33" s="332" t="s">
        <v>57</v>
      </c>
      <c r="E33" s="348">
        <v>73.7</v>
      </c>
      <c r="F33" s="103"/>
      <c r="G33" s="103"/>
      <c r="H33" s="197">
        <f t="shared" si="6"/>
        <v>0</v>
      </c>
      <c r="I33" s="124"/>
      <c r="J33" s="124"/>
      <c r="K33" s="307">
        <f t="shared" si="0"/>
        <v>0</v>
      </c>
      <c r="L33" s="307">
        <f t="shared" si="1"/>
        <v>0</v>
      </c>
      <c r="M33" s="307">
        <f t="shared" si="2"/>
        <v>0</v>
      </c>
      <c r="N33" s="307">
        <f t="shared" si="3"/>
        <v>0</v>
      </c>
      <c r="O33" s="307">
        <f t="shared" si="4"/>
        <v>0</v>
      </c>
      <c r="P33" s="307">
        <f t="shared" si="5"/>
        <v>0</v>
      </c>
    </row>
    <row r="34" spans="1:16" ht="22.5" x14ac:dyDescent="0.25">
      <c r="A34" s="102" t="str">
        <f>IF(COUNTBLANK(B34)=1," ",COUNTA(B$14:B34))</f>
        <v xml:space="preserve"> </v>
      </c>
      <c r="B34" s="511"/>
      <c r="C34" s="532" t="s">
        <v>328</v>
      </c>
      <c r="D34" s="533" t="s">
        <v>129</v>
      </c>
      <c r="E34" s="530">
        <f>E32*1.05</f>
        <v>187.95000000000002</v>
      </c>
      <c r="F34" s="512"/>
      <c r="G34" s="512"/>
      <c r="H34" s="197">
        <f t="shared" si="6"/>
        <v>0</v>
      </c>
      <c r="I34" s="513"/>
      <c r="J34" s="513"/>
      <c r="K34" s="307">
        <f t="shared" si="0"/>
        <v>0</v>
      </c>
      <c r="L34" s="307">
        <f t="shared" si="1"/>
        <v>0</v>
      </c>
      <c r="M34" s="307">
        <f t="shared" si="2"/>
        <v>0</v>
      </c>
      <c r="N34" s="307">
        <f t="shared" si="3"/>
        <v>0</v>
      </c>
      <c r="O34" s="307">
        <f t="shared" si="4"/>
        <v>0</v>
      </c>
      <c r="P34" s="307">
        <f t="shared" si="5"/>
        <v>0</v>
      </c>
    </row>
    <row r="35" spans="1:16" ht="22.5" x14ac:dyDescent="0.25">
      <c r="A35" s="102">
        <f>IF(COUNTBLANK(B35)=1," ",COUNTA(B$14:B35))</f>
        <v>18</v>
      </c>
      <c r="B35" s="160" t="s">
        <v>87</v>
      </c>
      <c r="C35" s="374" t="s">
        <v>265</v>
      </c>
      <c r="D35" s="332" t="s">
        <v>129</v>
      </c>
      <c r="E35" s="348">
        <f>E33*1.05</f>
        <v>77.385000000000005</v>
      </c>
      <c r="F35" s="329"/>
      <c r="G35" s="329"/>
      <c r="H35" s="197">
        <f t="shared" si="6"/>
        <v>0</v>
      </c>
      <c r="I35" s="330"/>
      <c r="J35" s="330"/>
      <c r="K35" s="307">
        <f t="shared" si="0"/>
        <v>0</v>
      </c>
      <c r="L35" s="307">
        <f t="shared" si="1"/>
        <v>0</v>
      </c>
      <c r="M35" s="307">
        <f t="shared" si="2"/>
        <v>0</v>
      </c>
      <c r="N35" s="307">
        <f t="shared" si="3"/>
        <v>0</v>
      </c>
      <c r="O35" s="307">
        <f t="shared" si="4"/>
        <v>0</v>
      </c>
      <c r="P35" s="307">
        <f t="shared" ref="P35:P78" si="7">SUM(M35:O35)</f>
        <v>0</v>
      </c>
    </row>
    <row r="36" spans="1:16" x14ac:dyDescent="0.25">
      <c r="A36" s="102">
        <f>IF(COUNTBLANK(B36)=1," ",COUNTA(B$14:B36))</f>
        <v>19</v>
      </c>
      <c r="B36" s="160" t="s">
        <v>87</v>
      </c>
      <c r="C36" s="191" t="s">
        <v>155</v>
      </c>
      <c r="D36" s="102" t="s">
        <v>90</v>
      </c>
      <c r="E36" s="373">
        <f>(E32+E33)*5</f>
        <v>1263.5</v>
      </c>
      <c r="F36" s="103"/>
      <c r="G36" s="103"/>
      <c r="H36" s="197">
        <f t="shared" si="6"/>
        <v>0</v>
      </c>
      <c r="I36" s="124"/>
      <c r="J36" s="124"/>
      <c r="K36" s="307">
        <f t="shared" si="0"/>
        <v>0</v>
      </c>
      <c r="L36" s="307">
        <f t="shared" si="1"/>
        <v>0</v>
      </c>
      <c r="M36" s="307">
        <f t="shared" si="2"/>
        <v>0</v>
      </c>
      <c r="N36" s="307">
        <f t="shared" si="3"/>
        <v>0</v>
      </c>
      <c r="O36" s="307">
        <f t="shared" si="4"/>
        <v>0</v>
      </c>
      <c r="P36" s="307">
        <f t="shared" si="7"/>
        <v>0</v>
      </c>
    </row>
    <row r="37" spans="1:16" ht="45" x14ac:dyDescent="0.25">
      <c r="A37" s="102">
        <f>IF(COUNTBLANK(B37)=1," ",COUNTA(B$14:B37))</f>
        <v>20</v>
      </c>
      <c r="B37" s="160" t="s">
        <v>87</v>
      </c>
      <c r="C37" s="170" t="s">
        <v>266</v>
      </c>
      <c r="D37" s="169" t="s">
        <v>58</v>
      </c>
      <c r="E37" s="870">
        <f>(E32+E33)*7*0.52</f>
        <v>919.82799999999997</v>
      </c>
      <c r="F37" s="103"/>
      <c r="G37" s="103"/>
      <c r="H37" s="197">
        <f t="shared" si="6"/>
        <v>0</v>
      </c>
      <c r="I37" s="124"/>
      <c r="J37" s="124"/>
      <c r="K37" s="307">
        <f t="shared" si="0"/>
        <v>0</v>
      </c>
      <c r="L37" s="307">
        <f t="shared" si="1"/>
        <v>0</v>
      </c>
      <c r="M37" s="307">
        <f t="shared" si="2"/>
        <v>0</v>
      </c>
      <c r="N37" s="307">
        <f t="shared" si="3"/>
        <v>0</v>
      </c>
      <c r="O37" s="307">
        <f t="shared" ref="O37:O78" si="8">ROUND(E37*J37,2)</f>
        <v>0</v>
      </c>
      <c r="P37" s="307">
        <f t="shared" si="7"/>
        <v>0</v>
      </c>
    </row>
    <row r="38" spans="1:16" ht="56.25" x14ac:dyDescent="0.25">
      <c r="A38" s="102">
        <f>IF(COUNTBLANK(B38)=1," ",COUNTA(B$14:B38))</f>
        <v>21</v>
      </c>
      <c r="B38" s="160" t="s">
        <v>87</v>
      </c>
      <c r="C38" s="371" t="s">
        <v>267</v>
      </c>
      <c r="D38" s="372" t="s">
        <v>245</v>
      </c>
      <c r="E38" s="376">
        <v>71.900000000000006</v>
      </c>
      <c r="F38" s="329"/>
      <c r="G38" s="329"/>
      <c r="H38" s="197">
        <f t="shared" ref="H38:H78" si="9">F38*G38</f>
        <v>0</v>
      </c>
      <c r="I38" s="330"/>
      <c r="J38" s="330"/>
      <c r="K38" s="307">
        <f t="shared" ref="K38:K78" si="10">ROUND(I38+H38+J38,2)</f>
        <v>0</v>
      </c>
      <c r="L38" s="307">
        <f t="shared" ref="L38:L78" si="11">ROUND(E38*F38,2)</f>
        <v>0</v>
      </c>
      <c r="M38" s="307">
        <f t="shared" si="2"/>
        <v>0</v>
      </c>
      <c r="N38" s="307">
        <f t="shared" si="3"/>
        <v>0</v>
      </c>
      <c r="O38" s="307">
        <f t="shared" si="8"/>
        <v>0</v>
      </c>
      <c r="P38" s="307">
        <f t="shared" si="7"/>
        <v>0</v>
      </c>
    </row>
    <row r="39" spans="1:16" x14ac:dyDescent="0.25">
      <c r="A39" s="102">
        <f>IF(COUNTBLANK(B39)=1," ",COUNTA(B$14:B39))</f>
        <v>22</v>
      </c>
      <c r="B39" s="160" t="s">
        <v>87</v>
      </c>
      <c r="C39" s="374" t="s">
        <v>268</v>
      </c>
      <c r="D39" s="332" t="s">
        <v>129</v>
      </c>
      <c r="E39" s="348">
        <f>E38*1.05</f>
        <v>75.495000000000005</v>
      </c>
      <c r="F39" s="329"/>
      <c r="G39" s="329"/>
      <c r="H39" s="197">
        <f t="shared" si="9"/>
        <v>0</v>
      </c>
      <c r="I39" s="330"/>
      <c r="J39" s="330"/>
      <c r="K39" s="307">
        <f t="shared" si="10"/>
        <v>0</v>
      </c>
      <c r="L39" s="307">
        <f t="shared" si="11"/>
        <v>0</v>
      </c>
      <c r="M39" s="307">
        <f t="shared" si="2"/>
        <v>0</v>
      </c>
      <c r="N39" s="307">
        <f t="shared" si="3"/>
        <v>0</v>
      </c>
      <c r="O39" s="307">
        <f t="shared" si="8"/>
        <v>0</v>
      </c>
      <c r="P39" s="307">
        <f t="shared" si="7"/>
        <v>0</v>
      </c>
    </row>
    <row r="40" spans="1:16" x14ac:dyDescent="0.25">
      <c r="A40" s="102">
        <f>IF(COUNTBLANK(B40)=1," ",COUNTA(B$14:B40))</f>
        <v>23</v>
      </c>
      <c r="B40" s="160" t="s">
        <v>87</v>
      </c>
      <c r="C40" s="903" t="s">
        <v>156</v>
      </c>
      <c r="D40" s="332" t="s">
        <v>90</v>
      </c>
      <c r="E40" s="348">
        <f>E38*5</f>
        <v>359.5</v>
      </c>
      <c r="F40" s="329"/>
      <c r="G40" s="329"/>
      <c r="H40" s="197">
        <f t="shared" si="9"/>
        <v>0</v>
      </c>
      <c r="I40" s="330"/>
      <c r="J40" s="330"/>
      <c r="K40" s="307">
        <f t="shared" si="10"/>
        <v>0</v>
      </c>
      <c r="L40" s="307">
        <f t="shared" si="11"/>
        <v>0</v>
      </c>
      <c r="M40" s="307">
        <f t="shared" si="2"/>
        <v>0</v>
      </c>
      <c r="N40" s="307">
        <f t="shared" si="3"/>
        <v>0</v>
      </c>
      <c r="O40" s="307">
        <f t="shared" si="8"/>
        <v>0</v>
      </c>
      <c r="P40" s="307">
        <f t="shared" si="7"/>
        <v>0</v>
      </c>
    </row>
    <row r="41" spans="1:16" ht="45" x14ac:dyDescent="0.25">
      <c r="A41" s="102">
        <f>IF(COUNTBLANK(B41)=1," ",COUNTA(B$14:B41))</f>
        <v>24</v>
      </c>
      <c r="B41" s="160" t="s">
        <v>87</v>
      </c>
      <c r="C41" s="170" t="s">
        <v>158</v>
      </c>
      <c r="D41" s="332" t="s">
        <v>83</v>
      </c>
      <c r="E41" s="348">
        <f>E38*7*0.52</f>
        <v>261.71600000000007</v>
      </c>
      <c r="F41" s="329"/>
      <c r="G41" s="329"/>
      <c r="H41" s="197">
        <f t="shared" si="9"/>
        <v>0</v>
      </c>
      <c r="I41" s="330"/>
      <c r="J41" s="330"/>
      <c r="K41" s="307">
        <f t="shared" si="10"/>
        <v>0</v>
      </c>
      <c r="L41" s="307">
        <f t="shared" si="11"/>
        <v>0</v>
      </c>
      <c r="M41" s="307">
        <f t="shared" si="2"/>
        <v>0</v>
      </c>
      <c r="N41" s="307">
        <f t="shared" si="3"/>
        <v>0</v>
      </c>
      <c r="O41" s="307">
        <f t="shared" si="8"/>
        <v>0</v>
      </c>
      <c r="P41" s="307">
        <f t="shared" si="7"/>
        <v>0</v>
      </c>
    </row>
    <row r="42" spans="1:16" x14ac:dyDescent="0.25">
      <c r="A42" s="102">
        <f>IF(COUNTBLANK(B42)=1," ",COUNTA(B$14:B42))</f>
        <v>25</v>
      </c>
      <c r="B42" s="160" t="s">
        <v>87</v>
      </c>
      <c r="C42" s="380" t="s">
        <v>118</v>
      </c>
      <c r="D42" s="102" t="s">
        <v>85</v>
      </c>
      <c r="E42" s="189">
        <v>158.30000000000001</v>
      </c>
      <c r="F42" s="103"/>
      <c r="G42" s="103"/>
      <c r="H42" s="197">
        <f t="shared" si="9"/>
        <v>0</v>
      </c>
      <c r="I42" s="124"/>
      <c r="J42" s="124"/>
      <c r="K42" s="307">
        <f t="shared" si="10"/>
        <v>0</v>
      </c>
      <c r="L42" s="307">
        <f t="shared" si="11"/>
        <v>0</v>
      </c>
      <c r="M42" s="307">
        <f t="shared" si="2"/>
        <v>0</v>
      </c>
      <c r="N42" s="307">
        <f t="shared" si="3"/>
        <v>0</v>
      </c>
      <c r="O42" s="307">
        <f t="shared" si="8"/>
        <v>0</v>
      </c>
      <c r="P42" s="307">
        <f t="shared" si="7"/>
        <v>0</v>
      </c>
    </row>
    <row r="43" spans="1:16" ht="15.75" thickBot="1" x14ac:dyDescent="0.3">
      <c r="A43" s="102" t="str">
        <f>IF(COUNTBLANK(B43)=1," ",COUNTA(B$14:B43))</f>
        <v xml:space="preserve"> </v>
      </c>
      <c r="B43" s="327"/>
      <c r="C43" s="469" t="s">
        <v>269</v>
      </c>
      <c r="D43" s="366"/>
      <c r="E43" s="375"/>
      <c r="F43" s="329"/>
      <c r="G43" s="329"/>
      <c r="H43" s="197">
        <f t="shared" si="9"/>
        <v>0</v>
      </c>
      <c r="I43" s="330"/>
      <c r="J43" s="330"/>
      <c r="K43" s="307">
        <f t="shared" si="10"/>
        <v>0</v>
      </c>
      <c r="L43" s="307">
        <f t="shared" si="11"/>
        <v>0</v>
      </c>
      <c r="M43" s="307">
        <f t="shared" si="2"/>
        <v>0</v>
      </c>
      <c r="N43" s="307">
        <f t="shared" si="3"/>
        <v>0</v>
      </c>
      <c r="O43" s="307">
        <f t="shared" si="8"/>
        <v>0</v>
      </c>
      <c r="P43" s="307">
        <f t="shared" si="7"/>
        <v>0</v>
      </c>
    </row>
    <row r="44" spans="1:16" ht="56.25" x14ac:dyDescent="0.25">
      <c r="A44" s="102">
        <f>IF(COUNTBLANK(B44)=1," ",COUNTA(B$14:B44))</f>
        <v>26</v>
      </c>
      <c r="B44" s="160" t="s">
        <v>87</v>
      </c>
      <c r="C44" s="352" t="s">
        <v>273</v>
      </c>
      <c r="D44" s="332" t="s">
        <v>57</v>
      </c>
      <c r="E44" s="348">
        <v>183.5</v>
      </c>
      <c r="F44" s="103"/>
      <c r="G44" s="103"/>
      <c r="H44" s="197">
        <f t="shared" si="9"/>
        <v>0</v>
      </c>
      <c r="I44" s="124"/>
      <c r="J44" s="124"/>
      <c r="K44" s="307">
        <f t="shared" si="10"/>
        <v>0</v>
      </c>
      <c r="L44" s="307">
        <f t="shared" si="11"/>
        <v>0</v>
      </c>
      <c r="M44" s="307">
        <f t="shared" ref="M44:M78" si="12">ROUND(E44*H44,2)</f>
        <v>0</v>
      </c>
      <c r="N44" s="307">
        <f t="shared" si="3"/>
        <v>0</v>
      </c>
      <c r="O44" s="307">
        <f t="shared" si="8"/>
        <v>0</v>
      </c>
      <c r="P44" s="307">
        <f t="shared" si="7"/>
        <v>0</v>
      </c>
    </row>
    <row r="45" spans="1:16" x14ac:dyDescent="0.25">
      <c r="A45" s="102">
        <f>IF(COUNTBLANK(B45)=1," ",COUNTA(B$14:B45))</f>
        <v>27</v>
      </c>
      <c r="B45" s="160" t="s">
        <v>87</v>
      </c>
      <c r="C45" s="374" t="s">
        <v>274</v>
      </c>
      <c r="D45" s="332" t="s">
        <v>90</v>
      </c>
      <c r="E45" s="348">
        <f>E44*5</f>
        <v>917.5</v>
      </c>
      <c r="F45" s="103"/>
      <c r="G45" s="103"/>
      <c r="H45" s="197">
        <f t="shared" si="9"/>
        <v>0</v>
      </c>
      <c r="I45" s="124"/>
      <c r="J45" s="124"/>
      <c r="K45" s="307">
        <f t="shared" si="10"/>
        <v>0</v>
      </c>
      <c r="L45" s="307">
        <f t="shared" si="11"/>
        <v>0</v>
      </c>
      <c r="M45" s="307">
        <f t="shared" si="12"/>
        <v>0</v>
      </c>
      <c r="N45" s="307">
        <f t="shared" ref="N45:N78" si="13">ROUND(E45*I45,2)</f>
        <v>0</v>
      </c>
      <c r="O45" s="307">
        <f t="shared" si="8"/>
        <v>0</v>
      </c>
      <c r="P45" s="307">
        <f t="shared" si="7"/>
        <v>0</v>
      </c>
    </row>
    <row r="46" spans="1:16" x14ac:dyDescent="0.25">
      <c r="A46" s="102">
        <f>IF(COUNTBLANK(B46)=1," ",COUNTA(B$14:B46))</f>
        <v>28</v>
      </c>
      <c r="B46" s="160" t="s">
        <v>87</v>
      </c>
      <c r="C46" s="377" t="s">
        <v>249</v>
      </c>
      <c r="D46" s="332" t="s">
        <v>129</v>
      </c>
      <c r="E46" s="348">
        <f>E44*2.2</f>
        <v>403.70000000000005</v>
      </c>
      <c r="F46" s="103"/>
      <c r="G46" s="103"/>
      <c r="H46" s="197">
        <f t="shared" si="9"/>
        <v>0</v>
      </c>
      <c r="I46" s="124"/>
      <c r="J46" s="124"/>
      <c r="K46" s="307">
        <f t="shared" si="10"/>
        <v>0</v>
      </c>
      <c r="L46" s="307">
        <f t="shared" si="11"/>
        <v>0</v>
      </c>
      <c r="M46" s="307">
        <f t="shared" si="12"/>
        <v>0</v>
      </c>
      <c r="N46" s="307">
        <f t="shared" si="13"/>
        <v>0</v>
      </c>
      <c r="O46" s="307">
        <f t="shared" si="8"/>
        <v>0</v>
      </c>
      <c r="P46" s="307">
        <f t="shared" si="7"/>
        <v>0</v>
      </c>
    </row>
    <row r="47" spans="1:16" x14ac:dyDescent="0.25">
      <c r="A47" s="102">
        <f>IF(COUNTBLANK(B47)=1," ",COUNTA(B$14:B47))</f>
        <v>29</v>
      </c>
      <c r="B47" s="160" t="s">
        <v>87</v>
      </c>
      <c r="C47" s="534" t="s">
        <v>154</v>
      </c>
      <c r="D47" s="332" t="s">
        <v>90</v>
      </c>
      <c r="E47" s="871">
        <f>E44*0.3</f>
        <v>55.05</v>
      </c>
      <c r="F47" s="103"/>
      <c r="G47" s="103"/>
      <c r="H47" s="197">
        <f t="shared" si="9"/>
        <v>0</v>
      </c>
      <c r="I47" s="124"/>
      <c r="J47" s="124"/>
      <c r="K47" s="307">
        <f t="shared" si="10"/>
        <v>0</v>
      </c>
      <c r="L47" s="307">
        <f t="shared" si="11"/>
        <v>0</v>
      </c>
      <c r="M47" s="307">
        <f t="shared" si="12"/>
        <v>0</v>
      </c>
      <c r="N47" s="307">
        <f t="shared" si="13"/>
        <v>0</v>
      </c>
      <c r="O47" s="307">
        <f t="shared" si="8"/>
        <v>0</v>
      </c>
      <c r="P47" s="307">
        <f t="shared" si="7"/>
        <v>0</v>
      </c>
    </row>
    <row r="48" spans="1:16" x14ac:dyDescent="0.25">
      <c r="A48" s="102">
        <f>IF(COUNTBLANK(B48)=1," ",COUNTA(B$14:B48))</f>
        <v>30</v>
      </c>
      <c r="B48" s="160" t="s">
        <v>87</v>
      </c>
      <c r="C48" s="374" t="s">
        <v>252</v>
      </c>
      <c r="D48" s="332" t="s">
        <v>90</v>
      </c>
      <c r="E48" s="348">
        <f>E44*5</f>
        <v>917.5</v>
      </c>
      <c r="F48" s="103"/>
      <c r="G48" s="103"/>
      <c r="H48" s="197">
        <f t="shared" si="9"/>
        <v>0</v>
      </c>
      <c r="I48" s="124"/>
      <c r="J48" s="124"/>
      <c r="K48" s="307">
        <f t="shared" si="10"/>
        <v>0</v>
      </c>
      <c r="L48" s="307">
        <f t="shared" si="11"/>
        <v>0</v>
      </c>
      <c r="M48" s="307">
        <f t="shared" si="12"/>
        <v>0</v>
      </c>
      <c r="N48" s="307">
        <f t="shared" si="13"/>
        <v>0</v>
      </c>
      <c r="O48" s="307">
        <f t="shared" si="8"/>
        <v>0</v>
      </c>
      <c r="P48" s="307">
        <f t="shared" si="7"/>
        <v>0</v>
      </c>
    </row>
    <row r="49" spans="1:16" ht="27" customHeight="1" thickBot="1" x14ac:dyDescent="0.3">
      <c r="A49" s="102" t="str">
        <f>IF(COUNTBLANK(B49)=1," ",COUNTA(B$14:B49))</f>
        <v xml:space="preserve"> </v>
      </c>
      <c r="B49" s="181"/>
      <c r="C49" s="470" t="s">
        <v>117</v>
      </c>
      <c r="D49" s="194"/>
      <c r="E49" s="195"/>
      <c r="F49" s="103"/>
      <c r="G49" s="103"/>
      <c r="H49" s="197">
        <f t="shared" si="9"/>
        <v>0</v>
      </c>
      <c r="I49" s="124"/>
      <c r="J49" s="124"/>
      <c r="K49" s="307">
        <f t="shared" si="10"/>
        <v>0</v>
      </c>
      <c r="L49" s="307">
        <f t="shared" si="11"/>
        <v>0</v>
      </c>
      <c r="M49" s="307">
        <f t="shared" si="12"/>
        <v>0</v>
      </c>
      <c r="N49" s="307">
        <f t="shared" si="13"/>
        <v>0</v>
      </c>
      <c r="O49" s="307">
        <f t="shared" si="8"/>
        <v>0</v>
      </c>
      <c r="P49" s="307">
        <f t="shared" si="7"/>
        <v>0</v>
      </c>
    </row>
    <row r="50" spans="1:16" x14ac:dyDescent="0.25">
      <c r="A50" s="102">
        <f>IF(COUNTBLANK(B50)=1," ",COUNTA(B$14:B50))</f>
        <v>31</v>
      </c>
      <c r="B50" s="160" t="s">
        <v>87</v>
      </c>
      <c r="C50" s="382" t="s">
        <v>116</v>
      </c>
      <c r="D50" s="181" t="s">
        <v>57</v>
      </c>
      <c r="E50" s="162">
        <v>25.6</v>
      </c>
      <c r="F50" s="103"/>
      <c r="G50" s="103"/>
      <c r="H50" s="197">
        <f t="shared" si="9"/>
        <v>0</v>
      </c>
      <c r="I50" s="124"/>
      <c r="J50" s="124"/>
      <c r="K50" s="307">
        <f t="shared" si="10"/>
        <v>0</v>
      </c>
      <c r="L50" s="307">
        <f t="shared" si="11"/>
        <v>0</v>
      </c>
      <c r="M50" s="307">
        <f t="shared" si="12"/>
        <v>0</v>
      </c>
      <c r="N50" s="307">
        <f t="shared" si="13"/>
        <v>0</v>
      </c>
      <c r="O50" s="307">
        <f t="shared" si="8"/>
        <v>0</v>
      </c>
      <c r="P50" s="307">
        <f t="shared" si="7"/>
        <v>0</v>
      </c>
    </row>
    <row r="51" spans="1:16" x14ac:dyDescent="0.25">
      <c r="A51" s="102">
        <f>IF(COUNTBLANK(B51)=1," ",COUNTA(B$14:B51))</f>
        <v>32</v>
      </c>
      <c r="B51" s="160" t="s">
        <v>87</v>
      </c>
      <c r="C51" s="196" t="s">
        <v>115</v>
      </c>
      <c r="D51" s="181" t="s">
        <v>85</v>
      </c>
      <c r="E51" s="162">
        <f>E50*0.1</f>
        <v>2.5600000000000005</v>
      </c>
      <c r="F51" s="103"/>
      <c r="G51" s="103"/>
      <c r="H51" s="197">
        <f t="shared" si="9"/>
        <v>0</v>
      </c>
      <c r="I51" s="124"/>
      <c r="J51" s="124"/>
      <c r="K51" s="307">
        <f t="shared" si="10"/>
        <v>0</v>
      </c>
      <c r="L51" s="307">
        <f t="shared" si="11"/>
        <v>0</v>
      </c>
      <c r="M51" s="307">
        <f t="shared" si="12"/>
        <v>0</v>
      </c>
      <c r="N51" s="307">
        <f t="shared" si="13"/>
        <v>0</v>
      </c>
      <c r="O51" s="307">
        <f t="shared" si="8"/>
        <v>0</v>
      </c>
      <c r="P51" s="307">
        <f t="shared" si="7"/>
        <v>0</v>
      </c>
    </row>
    <row r="52" spans="1:16" x14ac:dyDescent="0.25">
      <c r="A52" s="102">
        <f>IF(COUNTBLANK(B52)=1," ",COUNTA(B$14:B52))</f>
        <v>33</v>
      </c>
      <c r="B52" s="160" t="s">
        <v>87</v>
      </c>
      <c r="C52" s="196" t="s">
        <v>114</v>
      </c>
      <c r="D52" s="181" t="s">
        <v>85</v>
      </c>
      <c r="E52" s="163">
        <f>E51*1.1</f>
        <v>2.8160000000000007</v>
      </c>
      <c r="F52" s="103"/>
      <c r="G52" s="103"/>
      <c r="H52" s="197">
        <f t="shared" si="9"/>
        <v>0</v>
      </c>
      <c r="I52" s="124"/>
      <c r="J52" s="124"/>
      <c r="K52" s="307">
        <f t="shared" si="10"/>
        <v>0</v>
      </c>
      <c r="L52" s="307">
        <f t="shared" si="11"/>
        <v>0</v>
      </c>
      <c r="M52" s="307">
        <f t="shared" si="12"/>
        <v>0</v>
      </c>
      <c r="N52" s="307">
        <f t="shared" si="13"/>
        <v>0</v>
      </c>
      <c r="O52" s="307">
        <f t="shared" si="8"/>
        <v>0</v>
      </c>
      <c r="P52" s="307">
        <f t="shared" si="7"/>
        <v>0</v>
      </c>
    </row>
    <row r="53" spans="1:16" x14ac:dyDescent="0.25">
      <c r="A53" s="102">
        <f>IF(COUNTBLANK(B53)=1," ",COUNTA(B$14:B53))</f>
        <v>34</v>
      </c>
      <c r="B53" s="160" t="s">
        <v>87</v>
      </c>
      <c r="C53" s="196" t="s">
        <v>159</v>
      </c>
      <c r="D53" s="181" t="s">
        <v>85</v>
      </c>
      <c r="E53" s="162">
        <f>E50*0.05</f>
        <v>1.2800000000000002</v>
      </c>
      <c r="F53" s="103"/>
      <c r="G53" s="103"/>
      <c r="H53" s="197">
        <f t="shared" si="9"/>
        <v>0</v>
      </c>
      <c r="I53" s="124"/>
      <c r="J53" s="124"/>
      <c r="K53" s="307">
        <f t="shared" si="10"/>
        <v>0</v>
      </c>
      <c r="L53" s="307">
        <f t="shared" si="11"/>
        <v>0</v>
      </c>
      <c r="M53" s="307">
        <f t="shared" si="12"/>
        <v>0</v>
      </c>
      <c r="N53" s="307">
        <f t="shared" si="13"/>
        <v>0</v>
      </c>
      <c r="O53" s="307">
        <f t="shared" si="8"/>
        <v>0</v>
      </c>
      <c r="P53" s="307">
        <f t="shared" si="7"/>
        <v>0</v>
      </c>
    </row>
    <row r="54" spans="1:16" x14ac:dyDescent="0.25">
      <c r="A54" s="102">
        <f>IF(COUNTBLANK(B54)=1," ",COUNTA(B$14:B54))</f>
        <v>35</v>
      </c>
      <c r="B54" s="160" t="s">
        <v>87</v>
      </c>
      <c r="C54" s="196" t="s">
        <v>114</v>
      </c>
      <c r="D54" s="181" t="s">
        <v>85</v>
      </c>
      <c r="E54" s="163">
        <f>E53*1.1</f>
        <v>1.4080000000000004</v>
      </c>
      <c r="F54" s="103"/>
      <c r="G54" s="103"/>
      <c r="H54" s="197">
        <f t="shared" si="9"/>
        <v>0</v>
      </c>
      <c r="I54" s="124"/>
      <c r="J54" s="124"/>
      <c r="K54" s="307">
        <f t="shared" si="10"/>
        <v>0</v>
      </c>
      <c r="L54" s="307">
        <f t="shared" si="11"/>
        <v>0</v>
      </c>
      <c r="M54" s="307">
        <f t="shared" si="12"/>
        <v>0</v>
      </c>
      <c r="N54" s="307">
        <f t="shared" si="13"/>
        <v>0</v>
      </c>
      <c r="O54" s="307">
        <f t="shared" si="8"/>
        <v>0</v>
      </c>
      <c r="P54" s="307">
        <f t="shared" si="7"/>
        <v>0</v>
      </c>
    </row>
    <row r="55" spans="1:16" x14ac:dyDescent="0.25">
      <c r="A55" s="102">
        <f>IF(COUNTBLANK(B55)=1," ",COUNTA(B$14:B55))</f>
        <v>36</v>
      </c>
      <c r="B55" s="160" t="s">
        <v>87</v>
      </c>
      <c r="C55" s="196" t="s">
        <v>160</v>
      </c>
      <c r="D55" s="181" t="s">
        <v>85</v>
      </c>
      <c r="E55" s="162">
        <f>E53</f>
        <v>1.2800000000000002</v>
      </c>
      <c r="F55" s="103"/>
      <c r="G55" s="103"/>
      <c r="H55" s="197">
        <f t="shared" si="9"/>
        <v>0</v>
      </c>
      <c r="I55" s="124"/>
      <c r="J55" s="124"/>
      <c r="K55" s="307">
        <f t="shared" si="10"/>
        <v>0</v>
      </c>
      <c r="L55" s="307">
        <f t="shared" si="11"/>
        <v>0</v>
      </c>
      <c r="M55" s="307">
        <f t="shared" si="12"/>
        <v>0</v>
      </c>
      <c r="N55" s="307">
        <f t="shared" si="13"/>
        <v>0</v>
      </c>
      <c r="O55" s="307">
        <f t="shared" si="8"/>
        <v>0</v>
      </c>
      <c r="P55" s="307">
        <f t="shared" si="7"/>
        <v>0</v>
      </c>
    </row>
    <row r="56" spans="1:16" x14ac:dyDescent="0.25">
      <c r="A56" s="102">
        <f>IF(COUNTBLANK(B56)=1," ",COUNTA(B$14:B56))</f>
        <v>37</v>
      </c>
      <c r="B56" s="160" t="s">
        <v>87</v>
      </c>
      <c r="C56" s="196" t="s">
        <v>161</v>
      </c>
      <c r="D56" s="181" t="s">
        <v>85</v>
      </c>
      <c r="E56" s="163">
        <f>E55*1.1</f>
        <v>1.4080000000000004</v>
      </c>
      <c r="F56" s="103"/>
      <c r="G56" s="103"/>
      <c r="H56" s="197">
        <f t="shared" si="9"/>
        <v>0</v>
      </c>
      <c r="I56" s="124"/>
      <c r="J56" s="124"/>
      <c r="K56" s="307">
        <f t="shared" si="10"/>
        <v>0</v>
      </c>
      <c r="L56" s="307">
        <f t="shared" si="11"/>
        <v>0</v>
      </c>
      <c r="M56" s="307">
        <f t="shared" si="12"/>
        <v>0</v>
      </c>
      <c r="N56" s="307">
        <f t="shared" si="13"/>
        <v>0</v>
      </c>
      <c r="O56" s="307">
        <f t="shared" si="8"/>
        <v>0</v>
      </c>
      <c r="P56" s="307">
        <f t="shared" si="7"/>
        <v>0</v>
      </c>
    </row>
    <row r="57" spans="1:16" x14ac:dyDescent="0.25">
      <c r="A57" s="102">
        <f>IF(COUNTBLANK(B57)=1," ",COUNTA(B$14:B57))</f>
        <v>38</v>
      </c>
      <c r="B57" s="160" t="s">
        <v>87</v>
      </c>
      <c r="C57" s="196" t="s">
        <v>162</v>
      </c>
      <c r="D57" s="181" t="s">
        <v>57</v>
      </c>
      <c r="E57" s="162">
        <f>E50</f>
        <v>25.6</v>
      </c>
      <c r="F57" s="103"/>
      <c r="G57" s="103"/>
      <c r="H57" s="197">
        <f t="shared" si="9"/>
        <v>0</v>
      </c>
      <c r="I57" s="124"/>
      <c r="J57" s="124"/>
      <c r="K57" s="307">
        <f t="shared" si="10"/>
        <v>0</v>
      </c>
      <c r="L57" s="307">
        <f t="shared" si="11"/>
        <v>0</v>
      </c>
      <c r="M57" s="307">
        <f t="shared" si="12"/>
        <v>0</v>
      </c>
      <c r="N57" s="307">
        <f t="shared" si="13"/>
        <v>0</v>
      </c>
      <c r="O57" s="307">
        <f t="shared" si="8"/>
        <v>0</v>
      </c>
      <c r="P57" s="307">
        <f t="shared" si="7"/>
        <v>0</v>
      </c>
    </row>
    <row r="58" spans="1:16" x14ac:dyDescent="0.25">
      <c r="A58" s="102">
        <f>IF(COUNTBLANK(B58)=1," ",COUNTA(B$14:B58))</f>
        <v>39</v>
      </c>
      <c r="B58" s="160" t="s">
        <v>87</v>
      </c>
      <c r="C58" s="196" t="s">
        <v>163</v>
      </c>
      <c r="D58" s="163" t="s">
        <v>57</v>
      </c>
      <c r="E58" s="163">
        <f>E57*1.05</f>
        <v>26.880000000000003</v>
      </c>
      <c r="F58" s="103"/>
      <c r="G58" s="103"/>
      <c r="H58" s="197">
        <f t="shared" si="9"/>
        <v>0</v>
      </c>
      <c r="I58" s="124"/>
      <c r="J58" s="124"/>
      <c r="K58" s="307">
        <f t="shared" si="10"/>
        <v>0</v>
      </c>
      <c r="L58" s="307">
        <f t="shared" si="11"/>
        <v>0</v>
      </c>
      <c r="M58" s="307">
        <f t="shared" si="12"/>
        <v>0</v>
      </c>
      <c r="N58" s="307">
        <f t="shared" si="13"/>
        <v>0</v>
      </c>
      <c r="O58" s="307">
        <f t="shared" si="8"/>
        <v>0</v>
      </c>
      <c r="P58" s="307">
        <f t="shared" si="7"/>
        <v>0</v>
      </c>
    </row>
    <row r="59" spans="1:16" x14ac:dyDescent="0.25">
      <c r="A59" s="102">
        <f>IF(COUNTBLANK(B59)=1," ",COUNTA(B$14:B59))</f>
        <v>40</v>
      </c>
      <c r="B59" s="160" t="s">
        <v>87</v>
      </c>
      <c r="C59" s="196" t="s">
        <v>164</v>
      </c>
      <c r="D59" s="163" t="s">
        <v>85</v>
      </c>
      <c r="E59" s="163">
        <f>E57*0.07</f>
        <v>1.7920000000000003</v>
      </c>
      <c r="F59" s="103"/>
      <c r="G59" s="103"/>
      <c r="H59" s="197">
        <f t="shared" si="9"/>
        <v>0</v>
      </c>
      <c r="I59" s="124"/>
      <c r="J59" s="124"/>
      <c r="K59" s="307">
        <f t="shared" si="10"/>
        <v>0</v>
      </c>
      <c r="L59" s="307">
        <f t="shared" si="11"/>
        <v>0</v>
      </c>
      <c r="M59" s="307">
        <f t="shared" si="12"/>
        <v>0</v>
      </c>
      <c r="N59" s="307">
        <f t="shared" si="13"/>
        <v>0</v>
      </c>
      <c r="O59" s="307">
        <f t="shared" si="8"/>
        <v>0</v>
      </c>
      <c r="P59" s="307">
        <f t="shared" si="7"/>
        <v>0</v>
      </c>
    </row>
    <row r="60" spans="1:16" x14ac:dyDescent="0.25">
      <c r="A60" s="102">
        <f>IF(COUNTBLANK(B60)=1," ",COUNTA(B$14:B60))</f>
        <v>41</v>
      </c>
      <c r="B60" s="160" t="s">
        <v>87</v>
      </c>
      <c r="C60" s="196" t="s">
        <v>278</v>
      </c>
      <c r="D60" s="181" t="s">
        <v>89</v>
      </c>
      <c r="E60" s="162">
        <v>38.700000000000003</v>
      </c>
      <c r="F60" s="103"/>
      <c r="G60" s="103"/>
      <c r="H60" s="197">
        <f t="shared" si="9"/>
        <v>0</v>
      </c>
      <c r="I60" s="124"/>
      <c r="J60" s="124"/>
      <c r="K60" s="307">
        <f t="shared" si="10"/>
        <v>0</v>
      </c>
      <c r="L60" s="307">
        <f t="shared" si="11"/>
        <v>0</v>
      </c>
      <c r="M60" s="307">
        <f t="shared" si="12"/>
        <v>0</v>
      </c>
      <c r="N60" s="307">
        <f t="shared" si="13"/>
        <v>0</v>
      </c>
      <c r="O60" s="307">
        <f t="shared" si="8"/>
        <v>0</v>
      </c>
      <c r="P60" s="307">
        <f t="shared" si="7"/>
        <v>0</v>
      </c>
    </row>
    <row r="61" spans="1:16" x14ac:dyDescent="0.25">
      <c r="A61" s="102">
        <f>IF(COUNTBLANK(B61)=1," ",COUNTA(B$14:B61))</f>
        <v>42</v>
      </c>
      <c r="B61" s="160" t="s">
        <v>87</v>
      </c>
      <c r="C61" s="384" t="s">
        <v>165</v>
      </c>
      <c r="D61" s="385" t="s">
        <v>85</v>
      </c>
      <c r="E61" s="535">
        <f>E60*0.1*0.3</f>
        <v>1.161</v>
      </c>
      <c r="F61" s="103"/>
      <c r="G61" s="103"/>
      <c r="H61" s="197">
        <f t="shared" si="9"/>
        <v>0</v>
      </c>
      <c r="I61" s="124"/>
      <c r="J61" s="124"/>
      <c r="K61" s="307">
        <f t="shared" si="10"/>
        <v>0</v>
      </c>
      <c r="L61" s="307">
        <f t="shared" si="11"/>
        <v>0</v>
      </c>
      <c r="M61" s="307">
        <f t="shared" si="12"/>
        <v>0</v>
      </c>
      <c r="N61" s="307">
        <f t="shared" si="13"/>
        <v>0</v>
      </c>
      <c r="O61" s="307">
        <f t="shared" si="8"/>
        <v>0</v>
      </c>
      <c r="P61" s="307">
        <f t="shared" si="7"/>
        <v>0</v>
      </c>
    </row>
    <row r="62" spans="1:16" ht="15.75" thickBot="1" x14ac:dyDescent="0.3">
      <c r="A62" s="102" t="str">
        <f>IF(COUNTBLANK(B62)=1," ",COUNTA(B$14:B62))</f>
        <v xml:space="preserve"> </v>
      </c>
      <c r="B62" s="383"/>
      <c r="C62" s="471" t="s">
        <v>275</v>
      </c>
      <c r="D62" s="388"/>
      <c r="E62" s="388"/>
      <c r="F62" s="388"/>
      <c r="G62" s="329"/>
      <c r="H62" s="197">
        <f t="shared" si="9"/>
        <v>0</v>
      </c>
      <c r="I62" s="330"/>
      <c r="J62" s="330"/>
      <c r="K62" s="307">
        <f t="shared" si="10"/>
        <v>0</v>
      </c>
      <c r="L62" s="307">
        <f t="shared" si="11"/>
        <v>0</v>
      </c>
      <c r="M62" s="307">
        <f t="shared" si="12"/>
        <v>0</v>
      </c>
      <c r="N62" s="307">
        <f t="shared" si="13"/>
        <v>0</v>
      </c>
      <c r="O62" s="307">
        <f t="shared" si="8"/>
        <v>0</v>
      </c>
      <c r="P62" s="307">
        <f t="shared" si="7"/>
        <v>0</v>
      </c>
    </row>
    <row r="63" spans="1:16" x14ac:dyDescent="0.25">
      <c r="A63" s="102">
        <f>IF(COUNTBLANK(B63)=1," ",COUNTA(B$14:B63))</f>
        <v>43</v>
      </c>
      <c r="B63" s="160" t="s">
        <v>87</v>
      </c>
      <c r="C63" s="377" t="s">
        <v>276</v>
      </c>
      <c r="D63" s="389" t="s">
        <v>57</v>
      </c>
      <c r="E63" s="391">
        <v>82.2</v>
      </c>
      <c r="F63" s="329"/>
      <c r="G63" s="329"/>
      <c r="H63" s="197">
        <f t="shared" si="9"/>
        <v>0</v>
      </c>
      <c r="I63" s="330"/>
      <c r="J63" s="330"/>
      <c r="K63" s="307">
        <f t="shared" si="10"/>
        <v>0</v>
      </c>
      <c r="L63" s="307">
        <f t="shared" si="11"/>
        <v>0</v>
      </c>
      <c r="M63" s="307">
        <f t="shared" si="12"/>
        <v>0</v>
      </c>
      <c r="N63" s="307">
        <f t="shared" si="13"/>
        <v>0</v>
      </c>
      <c r="O63" s="307">
        <f t="shared" si="8"/>
        <v>0</v>
      </c>
      <c r="P63" s="307">
        <f t="shared" si="7"/>
        <v>0</v>
      </c>
    </row>
    <row r="64" spans="1:16" x14ac:dyDescent="0.25">
      <c r="A64" s="102">
        <f>IF(COUNTBLANK(B64)=1," ",COUNTA(B$14:B64))</f>
        <v>44</v>
      </c>
      <c r="B64" s="160" t="s">
        <v>87</v>
      </c>
      <c r="C64" s="377" t="s">
        <v>277</v>
      </c>
      <c r="D64" s="387" t="s">
        <v>85</v>
      </c>
      <c r="E64" s="390">
        <f>E63*0.2</f>
        <v>16.440000000000001</v>
      </c>
      <c r="F64" s="329"/>
      <c r="G64" s="329"/>
      <c r="H64" s="197">
        <f t="shared" si="9"/>
        <v>0</v>
      </c>
      <c r="I64" s="330"/>
      <c r="J64" s="330"/>
      <c r="K64" s="307">
        <f t="shared" si="10"/>
        <v>0</v>
      </c>
      <c r="L64" s="307">
        <f t="shared" si="11"/>
        <v>0</v>
      </c>
      <c r="M64" s="307">
        <f t="shared" si="12"/>
        <v>0</v>
      </c>
      <c r="N64" s="307">
        <f t="shared" si="13"/>
        <v>0</v>
      </c>
      <c r="O64" s="307">
        <f t="shared" si="8"/>
        <v>0</v>
      </c>
      <c r="P64" s="307">
        <f t="shared" si="7"/>
        <v>0</v>
      </c>
    </row>
    <row r="65" spans="1:16" x14ac:dyDescent="0.25">
      <c r="A65" s="102">
        <f>IF(COUNTBLANK(B65)=1," ",COUNTA(B$14:B65))</f>
        <v>45</v>
      </c>
      <c r="B65" s="160" t="s">
        <v>87</v>
      </c>
      <c r="C65" s="377" t="s">
        <v>114</v>
      </c>
      <c r="D65" s="387" t="s">
        <v>190</v>
      </c>
      <c r="E65" s="872">
        <f>E64*1.1</f>
        <v>18.084000000000003</v>
      </c>
      <c r="F65" s="329"/>
      <c r="G65" s="329"/>
      <c r="H65" s="197">
        <f t="shared" si="9"/>
        <v>0</v>
      </c>
      <c r="I65" s="330"/>
      <c r="J65" s="330"/>
      <c r="K65" s="307">
        <f t="shared" si="10"/>
        <v>0</v>
      </c>
      <c r="L65" s="307">
        <f t="shared" si="11"/>
        <v>0</v>
      </c>
      <c r="M65" s="307">
        <f t="shared" si="12"/>
        <v>0</v>
      </c>
      <c r="N65" s="307">
        <f t="shared" si="13"/>
        <v>0</v>
      </c>
      <c r="O65" s="307">
        <f t="shared" si="8"/>
        <v>0</v>
      </c>
      <c r="P65" s="307">
        <f t="shared" si="7"/>
        <v>0</v>
      </c>
    </row>
    <row r="66" spans="1:16" x14ac:dyDescent="0.25">
      <c r="A66" s="102">
        <f>IF(COUNTBLANK(B66)=1," ",COUNTA(B$14:B66))</f>
        <v>46</v>
      </c>
      <c r="B66" s="160" t="s">
        <v>87</v>
      </c>
      <c r="C66" s="377" t="s">
        <v>278</v>
      </c>
      <c r="D66" s="387" t="s">
        <v>89</v>
      </c>
      <c r="E66" s="390">
        <v>87</v>
      </c>
      <c r="F66" s="329"/>
      <c r="G66" s="329"/>
      <c r="H66" s="197">
        <f t="shared" si="9"/>
        <v>0</v>
      </c>
      <c r="I66" s="330"/>
      <c r="J66" s="330"/>
      <c r="K66" s="307">
        <f t="shared" si="10"/>
        <v>0</v>
      </c>
      <c r="L66" s="307">
        <f t="shared" si="11"/>
        <v>0</v>
      </c>
      <c r="M66" s="307">
        <f t="shared" si="12"/>
        <v>0</v>
      </c>
      <c r="N66" s="307">
        <f t="shared" si="13"/>
        <v>0</v>
      </c>
      <c r="O66" s="307">
        <f t="shared" si="8"/>
        <v>0</v>
      </c>
      <c r="P66" s="307">
        <f t="shared" si="7"/>
        <v>0</v>
      </c>
    </row>
    <row r="67" spans="1:16" x14ac:dyDescent="0.25">
      <c r="A67" s="102">
        <f>IF(COUNTBLANK(B67)=1," ",COUNTA(B$14:B67))</f>
        <v>47</v>
      </c>
      <c r="B67" s="160" t="s">
        <v>87</v>
      </c>
      <c r="C67" s="537" t="s">
        <v>165</v>
      </c>
      <c r="D67" s="548" t="s">
        <v>85</v>
      </c>
      <c r="E67" s="549">
        <f>E66*0.1*0.3</f>
        <v>2.6100000000000003</v>
      </c>
      <c r="F67" s="329"/>
      <c r="G67" s="329"/>
      <c r="H67" s="197">
        <f t="shared" si="9"/>
        <v>0</v>
      </c>
      <c r="I67" s="330"/>
      <c r="J67" s="330"/>
      <c r="K67" s="307">
        <f t="shared" si="10"/>
        <v>0</v>
      </c>
      <c r="L67" s="307">
        <f t="shared" si="11"/>
        <v>0</v>
      </c>
      <c r="M67" s="307">
        <f t="shared" si="12"/>
        <v>0</v>
      </c>
      <c r="N67" s="307">
        <f t="shared" si="13"/>
        <v>0</v>
      </c>
      <c r="O67" s="307">
        <f t="shared" si="8"/>
        <v>0</v>
      </c>
      <c r="P67" s="307">
        <f t="shared" si="7"/>
        <v>0</v>
      </c>
    </row>
    <row r="68" spans="1:16" ht="15.75" thickBot="1" x14ac:dyDescent="0.3">
      <c r="A68" s="102" t="str">
        <f>IF(COUNTBLANK(B68)=1," ",COUNTA(B$14:B68))</f>
        <v xml:space="preserve"> </v>
      </c>
      <c r="B68" s="553"/>
      <c r="C68" s="554" t="s">
        <v>329</v>
      </c>
      <c r="D68" s="195"/>
      <c r="E68" s="195"/>
      <c r="F68" s="552"/>
      <c r="G68" s="538"/>
      <c r="H68" s="197">
        <f t="shared" si="9"/>
        <v>0</v>
      </c>
      <c r="I68" s="539"/>
      <c r="J68" s="539"/>
      <c r="K68" s="307">
        <f t="shared" si="10"/>
        <v>0</v>
      </c>
      <c r="L68" s="307">
        <f t="shared" si="11"/>
        <v>0</v>
      </c>
      <c r="M68" s="307">
        <f t="shared" si="12"/>
        <v>0</v>
      </c>
      <c r="N68" s="307">
        <f t="shared" si="13"/>
        <v>0</v>
      </c>
      <c r="O68" s="307">
        <f t="shared" si="8"/>
        <v>0</v>
      </c>
      <c r="P68" s="307">
        <f t="shared" si="7"/>
        <v>0</v>
      </c>
    </row>
    <row r="69" spans="1:16" x14ac:dyDescent="0.25">
      <c r="A69" s="102">
        <f>IF(COUNTBLANK(B69)=1," ",COUNTA(B$14:B69))</f>
        <v>48</v>
      </c>
      <c r="B69" s="536" t="s">
        <v>87</v>
      </c>
      <c r="C69" s="519" t="s">
        <v>330</v>
      </c>
      <c r="D69" s="550" t="s">
        <v>331</v>
      </c>
      <c r="E69" s="551">
        <v>30.5</v>
      </c>
      <c r="F69" s="538"/>
      <c r="G69" s="538"/>
      <c r="H69" s="197">
        <f t="shared" si="9"/>
        <v>0</v>
      </c>
      <c r="I69" s="539"/>
      <c r="J69" s="539"/>
      <c r="K69" s="307">
        <f t="shared" si="10"/>
        <v>0</v>
      </c>
      <c r="L69" s="307">
        <f t="shared" si="11"/>
        <v>0</v>
      </c>
      <c r="M69" s="307">
        <f t="shared" si="12"/>
        <v>0</v>
      </c>
      <c r="N69" s="307">
        <f t="shared" si="13"/>
        <v>0</v>
      </c>
      <c r="O69" s="307">
        <f t="shared" si="8"/>
        <v>0</v>
      </c>
      <c r="P69" s="307">
        <f t="shared" si="7"/>
        <v>0</v>
      </c>
    </row>
    <row r="70" spans="1:16" x14ac:dyDescent="0.25">
      <c r="A70" s="102">
        <f>IF(COUNTBLANK(B70)=1," ",COUNTA(B$14:B70))</f>
        <v>49</v>
      </c>
      <c r="B70" s="536" t="s">
        <v>87</v>
      </c>
      <c r="C70" s="544" t="s">
        <v>332</v>
      </c>
      <c r="D70" s="545" t="s">
        <v>190</v>
      </c>
      <c r="E70" s="546">
        <f>E69*0.03</f>
        <v>0.91499999999999992</v>
      </c>
      <c r="F70" s="538"/>
      <c r="G70" s="538"/>
      <c r="H70" s="197">
        <f t="shared" si="9"/>
        <v>0</v>
      </c>
      <c r="I70" s="539"/>
      <c r="J70" s="539"/>
      <c r="K70" s="307">
        <f t="shared" si="10"/>
        <v>0</v>
      </c>
      <c r="L70" s="307">
        <f t="shared" si="11"/>
        <v>0</v>
      </c>
      <c r="M70" s="307">
        <f t="shared" si="12"/>
        <v>0</v>
      </c>
      <c r="N70" s="307">
        <f t="shared" si="13"/>
        <v>0</v>
      </c>
      <c r="O70" s="307">
        <f t="shared" si="8"/>
        <v>0</v>
      </c>
      <c r="P70" s="307">
        <f t="shared" si="7"/>
        <v>0</v>
      </c>
    </row>
    <row r="71" spans="1:16" x14ac:dyDescent="0.25">
      <c r="A71" s="102">
        <f>IF(COUNTBLANK(B71)=1," ",COUNTA(B$14:B71))</f>
        <v>50</v>
      </c>
      <c r="B71" s="536" t="s">
        <v>87</v>
      </c>
      <c r="C71" s="547" t="s">
        <v>333</v>
      </c>
      <c r="D71" s="542" t="s">
        <v>83</v>
      </c>
      <c r="E71" s="546">
        <v>7</v>
      </c>
      <c r="F71" s="538"/>
      <c r="G71" s="538"/>
      <c r="H71" s="197">
        <f t="shared" si="9"/>
        <v>0</v>
      </c>
      <c r="I71" s="539"/>
      <c r="J71" s="539"/>
      <c r="K71" s="307">
        <f t="shared" si="10"/>
        <v>0</v>
      </c>
      <c r="L71" s="307">
        <f t="shared" si="11"/>
        <v>0</v>
      </c>
      <c r="M71" s="307">
        <f t="shared" si="12"/>
        <v>0</v>
      </c>
      <c r="N71" s="307">
        <f t="shared" si="13"/>
        <v>0</v>
      </c>
      <c r="O71" s="307">
        <f t="shared" si="8"/>
        <v>0</v>
      </c>
      <c r="P71" s="307">
        <f t="shared" si="7"/>
        <v>0</v>
      </c>
    </row>
    <row r="72" spans="1:16" ht="22.5" x14ac:dyDescent="0.25">
      <c r="A72" s="102">
        <f>IF(COUNTBLANK(B72)=1," ",COUNTA(B$14:B72))</f>
        <v>51</v>
      </c>
      <c r="B72" s="536" t="s">
        <v>87</v>
      </c>
      <c r="C72" s="541" t="s">
        <v>334</v>
      </c>
      <c r="D72" s="542" t="s">
        <v>85</v>
      </c>
      <c r="E72" s="543">
        <v>0.16</v>
      </c>
      <c r="F72" s="538"/>
      <c r="G72" s="538"/>
      <c r="H72" s="197">
        <f t="shared" si="9"/>
        <v>0</v>
      </c>
      <c r="I72" s="539"/>
      <c r="J72" s="539"/>
      <c r="K72" s="307">
        <f t="shared" si="10"/>
        <v>0</v>
      </c>
      <c r="L72" s="307">
        <f t="shared" si="11"/>
        <v>0</v>
      </c>
      <c r="M72" s="307">
        <f t="shared" si="12"/>
        <v>0</v>
      </c>
      <c r="N72" s="307">
        <f t="shared" si="13"/>
        <v>0</v>
      </c>
      <c r="O72" s="307">
        <f t="shared" si="8"/>
        <v>0</v>
      </c>
      <c r="P72" s="307">
        <f t="shared" si="7"/>
        <v>0</v>
      </c>
    </row>
    <row r="73" spans="1:16" x14ac:dyDescent="0.25">
      <c r="A73" s="102">
        <f>IF(COUNTBLANK(B73)=1," ",COUNTA(B$14:B73))</f>
        <v>52</v>
      </c>
      <c r="B73" s="536" t="s">
        <v>87</v>
      </c>
      <c r="C73" s="541" t="s">
        <v>335</v>
      </c>
      <c r="D73" s="542" t="s">
        <v>85</v>
      </c>
      <c r="E73" s="546">
        <f>E72*1.05</f>
        <v>0.16800000000000001</v>
      </c>
      <c r="F73" s="538"/>
      <c r="G73" s="538"/>
      <c r="H73" s="197">
        <f t="shared" si="9"/>
        <v>0</v>
      </c>
      <c r="I73" s="539"/>
      <c r="J73" s="539"/>
      <c r="K73" s="307">
        <f t="shared" si="10"/>
        <v>0</v>
      </c>
      <c r="L73" s="307">
        <f t="shared" si="11"/>
        <v>0</v>
      </c>
      <c r="M73" s="307">
        <f t="shared" si="12"/>
        <v>0</v>
      </c>
      <c r="N73" s="307">
        <f t="shared" si="13"/>
        <v>0</v>
      </c>
      <c r="O73" s="307">
        <f t="shared" si="8"/>
        <v>0</v>
      </c>
      <c r="P73" s="307">
        <f t="shared" si="7"/>
        <v>0</v>
      </c>
    </row>
    <row r="74" spans="1:16" ht="22.5" x14ac:dyDescent="0.25">
      <c r="A74" s="102">
        <f>IF(COUNTBLANK(B74)=1," ",COUNTA(B$14:B74))</f>
        <v>53</v>
      </c>
      <c r="B74" s="536" t="s">
        <v>87</v>
      </c>
      <c r="C74" s="547" t="s">
        <v>336</v>
      </c>
      <c r="D74" s="542" t="s">
        <v>85</v>
      </c>
      <c r="E74" s="543">
        <v>3.5</v>
      </c>
      <c r="F74" s="538"/>
      <c r="G74" s="538"/>
      <c r="H74" s="197">
        <f t="shared" si="9"/>
        <v>0</v>
      </c>
      <c r="I74" s="539"/>
      <c r="J74" s="539"/>
      <c r="K74" s="307">
        <f t="shared" si="10"/>
        <v>0</v>
      </c>
      <c r="L74" s="307">
        <f t="shared" si="11"/>
        <v>0</v>
      </c>
      <c r="M74" s="307">
        <f t="shared" si="12"/>
        <v>0</v>
      </c>
      <c r="N74" s="307">
        <f t="shared" si="13"/>
        <v>0</v>
      </c>
      <c r="O74" s="307">
        <f t="shared" si="8"/>
        <v>0</v>
      </c>
      <c r="P74" s="307">
        <f t="shared" si="7"/>
        <v>0</v>
      </c>
    </row>
    <row r="75" spans="1:16" x14ac:dyDescent="0.25">
      <c r="A75" s="102">
        <f>IF(COUNTBLANK(B75)=1," ",COUNTA(B$14:B75))</f>
        <v>54</v>
      </c>
      <c r="B75" s="536" t="s">
        <v>87</v>
      </c>
      <c r="C75" s="544" t="s">
        <v>114</v>
      </c>
      <c r="D75" s="546" t="s">
        <v>85</v>
      </c>
      <c r="E75" s="546">
        <f>E74*1.1</f>
        <v>3.8500000000000005</v>
      </c>
      <c r="F75" s="538"/>
      <c r="G75" s="538"/>
      <c r="H75" s="197">
        <f t="shared" si="9"/>
        <v>0</v>
      </c>
      <c r="I75" s="539"/>
      <c r="J75" s="539"/>
      <c r="K75" s="307">
        <f t="shared" si="10"/>
        <v>0</v>
      </c>
      <c r="L75" s="307">
        <f t="shared" si="11"/>
        <v>0</v>
      </c>
      <c r="M75" s="307">
        <f t="shared" si="12"/>
        <v>0</v>
      </c>
      <c r="N75" s="307">
        <f t="shared" si="13"/>
        <v>0</v>
      </c>
      <c r="O75" s="307">
        <f t="shared" si="8"/>
        <v>0</v>
      </c>
      <c r="P75" s="307">
        <f t="shared" si="7"/>
        <v>0</v>
      </c>
    </row>
    <row r="76" spans="1:16" x14ac:dyDescent="0.25">
      <c r="A76" s="102">
        <f>IF(COUNTBLANK(B76)=1," ",COUNTA(B$14:B76))</f>
        <v>55</v>
      </c>
      <c r="B76" s="536" t="s">
        <v>87</v>
      </c>
      <c r="C76" s="547" t="s">
        <v>337</v>
      </c>
      <c r="D76" s="542" t="s">
        <v>57</v>
      </c>
      <c r="E76" s="543">
        <v>9.8000000000000007</v>
      </c>
      <c r="F76" s="538"/>
      <c r="G76" s="538"/>
      <c r="H76" s="197">
        <f t="shared" si="9"/>
        <v>0</v>
      </c>
      <c r="I76" s="539"/>
      <c r="J76" s="539"/>
      <c r="K76" s="307">
        <f t="shared" si="10"/>
        <v>0</v>
      </c>
      <c r="L76" s="307">
        <f t="shared" si="11"/>
        <v>0</v>
      </c>
      <c r="M76" s="307">
        <f t="shared" si="12"/>
        <v>0</v>
      </c>
      <c r="N76" s="307">
        <f t="shared" si="13"/>
        <v>0</v>
      </c>
      <c r="O76" s="307">
        <f t="shared" si="8"/>
        <v>0</v>
      </c>
      <c r="P76" s="307">
        <f t="shared" si="7"/>
        <v>0</v>
      </c>
    </row>
    <row r="77" spans="1:16" x14ac:dyDescent="0.25">
      <c r="A77" s="102">
        <f>IF(COUNTBLANK(B77)=1," ",COUNTA(B$14:B77))</f>
        <v>56</v>
      </c>
      <c r="B77" s="536" t="s">
        <v>87</v>
      </c>
      <c r="C77" s="541" t="s">
        <v>338</v>
      </c>
      <c r="D77" s="543" t="s">
        <v>90</v>
      </c>
      <c r="E77" s="546">
        <f>E76*3.2</f>
        <v>31.360000000000003</v>
      </c>
      <c r="F77" s="538"/>
      <c r="G77" s="538"/>
      <c r="H77" s="197">
        <f t="shared" si="9"/>
        <v>0</v>
      </c>
      <c r="I77" s="539"/>
      <c r="J77" s="539"/>
      <c r="K77" s="307">
        <f t="shared" si="10"/>
        <v>0</v>
      </c>
      <c r="L77" s="307">
        <f t="shared" si="11"/>
        <v>0</v>
      </c>
      <c r="M77" s="307">
        <f t="shared" si="12"/>
        <v>0</v>
      </c>
      <c r="N77" s="307">
        <f t="shared" si="13"/>
        <v>0</v>
      </c>
      <c r="O77" s="307">
        <f t="shared" si="8"/>
        <v>0</v>
      </c>
      <c r="P77" s="307">
        <f t="shared" si="7"/>
        <v>0</v>
      </c>
    </row>
    <row r="78" spans="1:16" ht="15.75" thickBot="1" x14ac:dyDescent="0.3">
      <c r="A78" s="102">
        <f>IF(COUNTBLANK(B78)=1," ",COUNTA(B$14:B78))</f>
        <v>57</v>
      </c>
      <c r="B78" s="536" t="s">
        <v>87</v>
      </c>
      <c r="C78" s="541" t="s">
        <v>339</v>
      </c>
      <c r="D78" s="542" t="s">
        <v>253</v>
      </c>
      <c r="E78" s="546">
        <v>7</v>
      </c>
      <c r="F78" s="538"/>
      <c r="G78" s="538"/>
      <c r="H78" s="197">
        <f t="shared" si="9"/>
        <v>0</v>
      </c>
      <c r="I78" s="539"/>
      <c r="J78" s="539"/>
      <c r="K78" s="307">
        <f t="shared" si="10"/>
        <v>0</v>
      </c>
      <c r="L78" s="307">
        <f t="shared" si="11"/>
        <v>0</v>
      </c>
      <c r="M78" s="307">
        <f t="shared" si="12"/>
        <v>0</v>
      </c>
      <c r="N78" s="307">
        <f t="shared" si="13"/>
        <v>0</v>
      </c>
      <c r="O78" s="307">
        <f t="shared" si="8"/>
        <v>0</v>
      </c>
      <c r="P78" s="307">
        <f t="shared" si="7"/>
        <v>0</v>
      </c>
    </row>
    <row r="79" spans="1:16" ht="15.75" customHeight="1" thickBot="1" x14ac:dyDescent="0.3">
      <c r="A79" s="965" t="s">
        <v>626</v>
      </c>
      <c r="B79" s="966"/>
      <c r="C79" s="966"/>
      <c r="D79" s="966"/>
      <c r="E79" s="966"/>
      <c r="F79" s="966"/>
      <c r="G79" s="966"/>
      <c r="H79" s="966"/>
      <c r="I79" s="966"/>
      <c r="J79" s="966"/>
      <c r="K79" s="967"/>
      <c r="L79" s="140">
        <f>SUM(L14:L78)</f>
        <v>0</v>
      </c>
      <c r="M79" s="141">
        <f>SUM(M14:M78)</f>
        <v>0</v>
      </c>
      <c r="N79" s="141">
        <f>SUM(N14:N78)</f>
        <v>0</v>
      </c>
      <c r="O79" s="141">
        <f>SUM(O14:O78)</f>
        <v>0</v>
      </c>
      <c r="P79" s="142">
        <f>SUM(P14:P78)</f>
        <v>0</v>
      </c>
    </row>
    <row r="80" spans="1:16" x14ac:dyDescent="0.25">
      <c r="A80" s="131"/>
      <c r="B80" s="131"/>
      <c r="C80" s="131"/>
      <c r="D80" s="131"/>
      <c r="E80" s="131"/>
      <c r="F80" s="131"/>
      <c r="G80" s="131"/>
      <c r="H80" s="131"/>
      <c r="I80" s="131"/>
      <c r="J80" s="131"/>
      <c r="K80" s="131"/>
      <c r="L80" s="131"/>
      <c r="M80" s="131"/>
      <c r="N80" s="131"/>
      <c r="O80" s="131"/>
      <c r="P80" s="131"/>
    </row>
    <row r="81" spans="1:16" x14ac:dyDescent="0.25">
      <c r="A81" s="131"/>
      <c r="B81" s="131"/>
      <c r="C81" s="143"/>
      <c r="D81" s="143"/>
      <c r="E81" s="143"/>
      <c r="F81" s="143"/>
      <c r="G81" s="143"/>
      <c r="H81" s="143"/>
      <c r="I81" s="143"/>
      <c r="J81" s="143"/>
      <c r="K81" s="143"/>
      <c r="L81" s="143"/>
      <c r="M81" s="143"/>
      <c r="N81" s="143"/>
      <c r="O81" s="143"/>
      <c r="P81" s="143"/>
    </row>
    <row r="82" spans="1:16" x14ac:dyDescent="0.25">
      <c r="A82" s="134" t="s">
        <v>14</v>
      </c>
      <c r="B82" s="131"/>
      <c r="C82" s="974">
        <f>'Kops a'!C34:H34</f>
        <v>0</v>
      </c>
      <c r="D82" s="974"/>
      <c r="E82" s="974"/>
      <c r="F82" s="974"/>
      <c r="G82" s="974"/>
      <c r="H82" s="974"/>
      <c r="I82" s="143"/>
      <c r="J82" s="143"/>
      <c r="K82" s="143"/>
      <c r="L82" s="143"/>
      <c r="M82" s="143"/>
      <c r="N82" s="143"/>
      <c r="O82" s="143"/>
      <c r="P82" s="143"/>
    </row>
    <row r="83" spans="1:16" x14ac:dyDescent="0.25">
      <c r="A83" s="131"/>
      <c r="B83" s="131"/>
      <c r="C83" s="975" t="s">
        <v>15</v>
      </c>
      <c r="D83" s="975"/>
      <c r="E83" s="975"/>
      <c r="F83" s="975"/>
      <c r="G83" s="975"/>
      <c r="H83" s="975"/>
      <c r="I83" s="143"/>
      <c r="J83" s="143"/>
      <c r="K83" s="143"/>
      <c r="L83" s="143"/>
      <c r="M83" s="143"/>
      <c r="N83" s="143"/>
      <c r="O83" s="143"/>
      <c r="P83" s="143"/>
    </row>
    <row r="84" spans="1:16" x14ac:dyDescent="0.25">
      <c r="A84" s="131"/>
      <c r="B84" s="131"/>
      <c r="C84" s="143"/>
      <c r="D84" s="143"/>
      <c r="E84" s="143"/>
      <c r="F84" s="143"/>
      <c r="G84" s="143"/>
      <c r="H84" s="143"/>
      <c r="I84" s="143"/>
      <c r="J84" s="143"/>
      <c r="K84" s="143"/>
      <c r="L84" s="143"/>
      <c r="M84" s="143"/>
      <c r="N84" s="143"/>
      <c r="O84" s="143"/>
      <c r="P84" s="143"/>
    </row>
    <row r="85" spans="1:16" x14ac:dyDescent="0.25">
      <c r="A85" s="132" t="str">
        <f>'Kops a'!A37</f>
        <v>Tāme sastādīta 20__. gada __. _________</v>
      </c>
      <c r="B85" s="133"/>
      <c r="C85" s="144"/>
      <c r="D85" s="144"/>
      <c r="E85" s="143"/>
      <c r="F85" s="143"/>
      <c r="G85" s="143"/>
      <c r="H85" s="143"/>
      <c r="I85" s="143"/>
      <c r="J85" s="143"/>
      <c r="K85" s="143"/>
      <c r="L85" s="143"/>
      <c r="M85" s="143"/>
      <c r="N85" s="143"/>
      <c r="O85" s="143"/>
      <c r="P85" s="143"/>
    </row>
    <row r="86" spans="1:16" x14ac:dyDescent="0.25">
      <c r="A86" s="131"/>
      <c r="B86" s="131"/>
      <c r="C86" s="143"/>
      <c r="D86" s="143"/>
      <c r="E86" s="143"/>
      <c r="F86" s="143"/>
      <c r="G86" s="143"/>
      <c r="H86" s="143"/>
      <c r="I86" s="143"/>
      <c r="J86" s="143"/>
      <c r="K86" s="143"/>
      <c r="L86" s="143"/>
      <c r="M86" s="143"/>
      <c r="N86" s="143"/>
      <c r="O86" s="143"/>
      <c r="P86" s="143"/>
    </row>
    <row r="87" spans="1:16" x14ac:dyDescent="0.25">
      <c r="A87" s="134" t="s">
        <v>38</v>
      </c>
      <c r="B87" s="131"/>
      <c r="C87" s="974">
        <f>'Kops a'!C39:H39</f>
        <v>0</v>
      </c>
      <c r="D87" s="974"/>
      <c r="E87" s="974"/>
      <c r="F87" s="974"/>
      <c r="G87" s="974"/>
      <c r="H87" s="974"/>
      <c r="I87" s="143"/>
      <c r="J87" s="143"/>
      <c r="K87" s="143"/>
      <c r="L87" s="143"/>
      <c r="M87" s="143"/>
      <c r="N87" s="143"/>
      <c r="O87" s="143"/>
      <c r="P87" s="143"/>
    </row>
    <row r="88" spans="1:16" x14ac:dyDescent="0.25">
      <c r="A88" s="131"/>
      <c r="B88" s="131"/>
      <c r="C88" s="975" t="s">
        <v>15</v>
      </c>
      <c r="D88" s="975"/>
      <c r="E88" s="975"/>
      <c r="F88" s="975"/>
      <c r="G88" s="975"/>
      <c r="H88" s="975"/>
      <c r="I88" s="143"/>
      <c r="J88" s="143"/>
      <c r="K88" s="143"/>
      <c r="L88" s="143"/>
      <c r="M88" s="143"/>
      <c r="N88" s="143"/>
      <c r="O88" s="143"/>
      <c r="P88" s="143"/>
    </row>
    <row r="89" spans="1:16" x14ac:dyDescent="0.25">
      <c r="A89" s="131"/>
      <c r="B89" s="131"/>
      <c r="C89" s="143"/>
      <c r="D89" s="143"/>
      <c r="E89" s="143"/>
      <c r="F89" s="143"/>
      <c r="G89" s="143"/>
      <c r="H89" s="143"/>
      <c r="I89" s="143"/>
      <c r="J89" s="143"/>
      <c r="K89" s="143"/>
      <c r="L89" s="143"/>
      <c r="M89" s="143"/>
      <c r="N89" s="143"/>
      <c r="O89" s="143"/>
      <c r="P89" s="143"/>
    </row>
    <row r="90" spans="1:16" x14ac:dyDescent="0.25">
      <c r="A90" s="132" t="s">
        <v>54</v>
      </c>
      <c r="B90" s="133"/>
      <c r="C90" s="145">
        <f>'Kops a'!C42</f>
        <v>0</v>
      </c>
      <c r="D90" s="144"/>
      <c r="E90" s="143"/>
      <c r="F90" s="143"/>
      <c r="G90" s="143"/>
      <c r="H90" s="143"/>
      <c r="I90" s="143"/>
      <c r="J90" s="143"/>
      <c r="K90" s="143"/>
      <c r="L90" s="143"/>
      <c r="M90" s="143"/>
      <c r="N90" s="143"/>
      <c r="O90" s="143"/>
      <c r="P90" s="143"/>
    </row>
    <row r="92" spans="1:16" x14ac:dyDescent="0.25">
      <c r="C92" s="911" t="s">
        <v>623</v>
      </c>
    </row>
    <row r="93" spans="1:16" x14ac:dyDescent="0.25">
      <c r="C93" s="912" t="s">
        <v>624</v>
      </c>
    </row>
    <row r="94" spans="1:16" x14ac:dyDescent="0.25">
      <c r="C94" s="912" t="s">
        <v>625</v>
      </c>
    </row>
  </sheetData>
  <mergeCells count="22">
    <mergeCell ref="C2:I2"/>
    <mergeCell ref="C3:I3"/>
    <mergeCell ref="C4:I4"/>
    <mergeCell ref="D5:L5"/>
    <mergeCell ref="D6:L6"/>
    <mergeCell ref="D7:L7"/>
    <mergeCell ref="D8:L8"/>
    <mergeCell ref="A9:F9"/>
    <mergeCell ref="J9:M9"/>
    <mergeCell ref="N9:O9"/>
    <mergeCell ref="A12:A13"/>
    <mergeCell ref="B12:B13"/>
    <mergeCell ref="D12:D13"/>
    <mergeCell ref="E12:E13"/>
    <mergeCell ref="C12:C13"/>
    <mergeCell ref="C87:H87"/>
    <mergeCell ref="C88:H88"/>
    <mergeCell ref="F12:K12"/>
    <mergeCell ref="L12:P12"/>
    <mergeCell ref="C82:H82"/>
    <mergeCell ref="C83:H83"/>
    <mergeCell ref="A79:K79"/>
  </mergeCells>
  <phoneticPr fontId="28" type="noConversion"/>
  <conditionalFormatting sqref="D5:L8 C4:I4 C87:H87 C82:H82 F14:G24 D25:G25 C36:G37 F32:G35 B43:G43 F38:G41 F44:G48 B49:G61 F62:G78 D62:E62 B26:G31 C42:G42 B32:B42 B44:B48 D18:E18 B14:B25 I14:J78 B52:B78">
    <cfRule type="cellIs" dxfId="125" priority="30" operator="equal">
      <formula>0</formula>
    </cfRule>
  </conditionalFormatting>
  <conditionalFormatting sqref="N9:O9 C2:I2 C87:H87 C82:H82 A14:A78 H14:H78 K14:P78">
    <cfRule type="cellIs" dxfId="124" priority="31" operator="equal">
      <formula>0</formula>
    </cfRule>
  </conditionalFormatting>
  <conditionalFormatting sqref="A79">
    <cfRule type="containsText" dxfId="123" priority="32" operator="containsText" text="Tāme sastādīta  20__. gada tirgus cenās, pamatojoties uz ___ daļas rasējumiem"/>
  </conditionalFormatting>
  <conditionalFormatting sqref="O10">
    <cfRule type="cellIs" dxfId="122" priority="34" operator="equal">
      <formula>"20__. gada __. _________"</formula>
    </cfRule>
  </conditionalFormatting>
  <conditionalFormatting sqref="L79:P79">
    <cfRule type="cellIs" dxfId="121" priority="36" operator="equal">
      <formula>0</formula>
    </cfRule>
  </conditionalFormatting>
  <conditionalFormatting sqref="P10">
    <cfRule type="cellIs" dxfId="120" priority="40" operator="equal">
      <formula>"20__. gada __. _________"</formula>
    </cfRule>
  </conditionalFormatting>
  <conditionalFormatting sqref="C90">
    <cfRule type="cellIs" dxfId="119" priority="43" operator="equal">
      <formula>0</formula>
    </cfRule>
  </conditionalFormatting>
  <conditionalFormatting sqref="D1">
    <cfRule type="cellIs" dxfId="118" priority="44" operator="equal">
      <formula>0</formula>
    </cfRule>
  </conditionalFormatting>
  <conditionalFormatting sqref="D15:E17 D19:E24">
    <cfRule type="cellIs" dxfId="117" priority="9" operator="equal">
      <formula>0</formula>
    </cfRule>
  </conditionalFormatting>
  <conditionalFormatting sqref="C15:C24">
    <cfRule type="cellIs" dxfId="116" priority="8" operator="equal">
      <formula>0</formula>
    </cfRule>
  </conditionalFormatting>
  <conditionalFormatting sqref="D14:E14">
    <cfRule type="cellIs" dxfId="115" priority="7" operator="equal">
      <formula>0</formula>
    </cfRule>
  </conditionalFormatting>
  <conditionalFormatting sqref="C14">
    <cfRule type="cellIs" dxfId="114" priority="6" operator="equal">
      <formula>0</formula>
    </cfRule>
  </conditionalFormatting>
  <conditionalFormatting sqref="C41">
    <cfRule type="cellIs" dxfId="113" priority="5" operator="equal">
      <formula>0</formula>
    </cfRule>
  </conditionalFormatting>
  <conditionalFormatting sqref="C67:C78">
    <cfRule type="cellIs" dxfId="112" priority="4" operator="equal">
      <formula>0</formula>
    </cfRule>
  </conditionalFormatting>
  <conditionalFormatting sqref="D68:E68">
    <cfRule type="cellIs" dxfId="111" priority="2" operator="equal">
      <formula>0</formula>
    </cfRule>
  </conditionalFormatting>
  <conditionalFormatting sqref="A9:F9">
    <cfRule type="containsText" dxfId="110" priority="1" operator="containsText" text="Tāme sastādīta  20__. gada tirgus cenās, pamatojoties uz ___ daļas rasējumiem"/>
  </conditionalFormatting>
  <pageMargins left="0.19685039370078741" right="0.19685039370078741" top="0.75196850393700787" bottom="0.39370078740157483" header="0.51181102362204722" footer="0.51181102362204722"/>
  <pageSetup paperSize="9" scale="89" firstPageNumber="0" orientation="landscape" r:id="rId1"/>
  <rowBreaks count="2" manualBreakCount="2">
    <brk id="47" max="15" man="1"/>
    <brk id="79"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MK93"/>
  <sheetViews>
    <sheetView tabSelected="1" view="pageBreakPreview" topLeftCell="A49" zoomScale="130" zoomScaleNormal="100" zoomScaleSheetLayoutView="130" workbookViewId="0">
      <selection activeCell="C67" sqref="C67"/>
    </sheetView>
  </sheetViews>
  <sheetFormatPr defaultRowHeight="15" x14ac:dyDescent="0.25"/>
  <cols>
    <col min="1" max="1" width="4.5703125" style="1" customWidth="1"/>
    <col min="2" max="2" width="7.710937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025" width="9.140625" style="1" customWidth="1"/>
  </cols>
  <sheetData>
    <row r="1" spans="1:16" x14ac:dyDescent="0.25">
      <c r="A1" s="33"/>
      <c r="B1" s="33"/>
      <c r="C1" s="37" t="s">
        <v>39</v>
      </c>
      <c r="D1" s="38">
        <f>'Kops a'!A17</f>
        <v>3</v>
      </c>
      <c r="E1" s="33"/>
      <c r="F1" s="33"/>
      <c r="G1" s="33"/>
      <c r="H1" s="33"/>
      <c r="I1" s="33"/>
      <c r="J1" s="33"/>
      <c r="N1" s="39"/>
      <c r="O1" s="37"/>
      <c r="P1" s="40"/>
    </row>
    <row r="2" spans="1:16" x14ac:dyDescent="0.25">
      <c r="A2" s="41"/>
      <c r="B2" s="41"/>
      <c r="C2" s="972" t="s">
        <v>279</v>
      </c>
      <c r="D2" s="972"/>
      <c r="E2" s="972"/>
      <c r="F2" s="972"/>
      <c r="G2" s="972"/>
      <c r="H2" s="972"/>
      <c r="I2" s="972"/>
      <c r="J2" s="41"/>
    </row>
    <row r="3" spans="1:16" x14ac:dyDescent="0.25">
      <c r="A3" s="42"/>
      <c r="B3" s="42"/>
      <c r="C3" s="946" t="s">
        <v>18</v>
      </c>
      <c r="D3" s="946"/>
      <c r="E3" s="946"/>
      <c r="F3" s="946"/>
      <c r="G3" s="946"/>
      <c r="H3" s="946"/>
      <c r="I3" s="946"/>
      <c r="J3" s="42"/>
    </row>
    <row r="4" spans="1:16" x14ac:dyDescent="0.25">
      <c r="A4" s="42"/>
      <c r="B4" s="42"/>
      <c r="C4" s="973" t="s">
        <v>4</v>
      </c>
      <c r="D4" s="973"/>
      <c r="E4" s="973"/>
      <c r="F4" s="973"/>
      <c r="G4" s="973"/>
      <c r="H4" s="973"/>
      <c r="I4" s="973"/>
      <c r="J4" s="42"/>
    </row>
    <row r="5" spans="1:16" x14ac:dyDescent="0.25">
      <c r="A5" s="33"/>
      <c r="B5" s="33"/>
      <c r="C5" s="37" t="s">
        <v>5</v>
      </c>
      <c r="D5" s="968" t="str">
        <f>'Kops a'!D6</f>
        <v>Daudzīvokļu dzīvojamā māja</v>
      </c>
      <c r="E5" s="968"/>
      <c r="F5" s="968"/>
      <c r="G5" s="968"/>
      <c r="H5" s="968"/>
      <c r="I5" s="968"/>
      <c r="J5" s="968"/>
      <c r="K5" s="968"/>
      <c r="L5" s="968"/>
      <c r="M5" s="14"/>
      <c r="N5" s="14"/>
      <c r="O5" s="14"/>
      <c r="P5" s="14"/>
    </row>
    <row r="6" spans="1:16" x14ac:dyDescent="0.25">
      <c r="A6" s="33"/>
      <c r="B6" s="33"/>
      <c r="C6" s="37" t="s">
        <v>6</v>
      </c>
      <c r="D6" s="968" t="str">
        <f>'Kops a'!D7</f>
        <v>fasādes vienkāršotā atjaunošana</v>
      </c>
      <c r="E6" s="968"/>
      <c r="F6" s="968"/>
      <c r="G6" s="968"/>
      <c r="H6" s="968"/>
      <c r="I6" s="968"/>
      <c r="J6" s="968"/>
      <c r="K6" s="968"/>
      <c r="L6" s="968"/>
      <c r="M6" s="14"/>
      <c r="N6" s="14"/>
      <c r="O6" s="14"/>
      <c r="P6" s="14"/>
    </row>
    <row r="7" spans="1:16" x14ac:dyDescent="0.25">
      <c r="A7" s="33"/>
      <c r="B7" s="33"/>
      <c r="C7" s="37" t="s">
        <v>7</v>
      </c>
      <c r="D7" s="968" t="str">
        <f>'Kops a'!D8</f>
        <v>Reiņu meža iela 3, Liepāja</v>
      </c>
      <c r="E7" s="968"/>
      <c r="F7" s="968"/>
      <c r="G7" s="968"/>
      <c r="H7" s="968"/>
      <c r="I7" s="968"/>
      <c r="J7" s="968"/>
      <c r="K7" s="968"/>
      <c r="L7" s="968"/>
      <c r="M7" s="14"/>
      <c r="N7" s="14"/>
      <c r="O7" s="14"/>
      <c r="P7" s="14"/>
    </row>
    <row r="8" spans="1:16" x14ac:dyDescent="0.25">
      <c r="A8" s="33"/>
      <c r="B8" s="33"/>
      <c r="C8" s="4" t="s">
        <v>21</v>
      </c>
      <c r="D8" s="968" t="str">
        <f>'Kops a'!D9</f>
        <v>EA-45-17</v>
      </c>
      <c r="E8" s="968"/>
      <c r="F8" s="968"/>
      <c r="G8" s="968"/>
      <c r="H8" s="968"/>
      <c r="I8" s="968"/>
      <c r="J8" s="968"/>
      <c r="K8" s="968"/>
      <c r="L8" s="968"/>
      <c r="M8" s="14"/>
      <c r="N8" s="14"/>
      <c r="O8" s="14"/>
      <c r="P8" s="14"/>
    </row>
    <row r="9" spans="1:16" ht="15" customHeight="1" x14ac:dyDescent="0.25">
      <c r="A9" s="969" t="s">
        <v>627</v>
      </c>
      <c r="B9" s="969"/>
      <c r="C9" s="969"/>
      <c r="D9" s="969"/>
      <c r="E9" s="969"/>
      <c r="F9" s="969"/>
      <c r="G9" s="43"/>
      <c r="H9" s="43"/>
      <c r="I9" s="43"/>
      <c r="J9" s="970" t="s">
        <v>40</v>
      </c>
      <c r="K9" s="970"/>
      <c r="L9" s="970"/>
      <c r="M9" s="970"/>
      <c r="N9" s="971">
        <f>P78</f>
        <v>0</v>
      </c>
      <c r="O9" s="971"/>
      <c r="P9" s="43"/>
    </row>
    <row r="10" spans="1:16" x14ac:dyDescent="0.25">
      <c r="A10" s="44"/>
      <c r="B10" s="45"/>
      <c r="C10" s="4"/>
      <c r="D10" s="33"/>
      <c r="E10" s="33"/>
      <c r="F10" s="33"/>
      <c r="G10" s="33"/>
      <c r="H10" s="33"/>
      <c r="I10" s="33"/>
      <c r="J10" s="33"/>
      <c r="K10" s="33"/>
      <c r="L10" s="41"/>
      <c r="M10" s="41"/>
      <c r="O10" s="57"/>
      <c r="P10" s="47" t="str">
        <f>A84</f>
        <v>Tāme sastādīta 20__. gada __. _________</v>
      </c>
    </row>
    <row r="11" spans="1:16" ht="15.75" thickBot="1" x14ac:dyDescent="0.3">
      <c r="A11" s="44"/>
      <c r="B11" s="45"/>
      <c r="C11" s="4"/>
      <c r="D11" s="33"/>
      <c r="E11" s="33"/>
      <c r="F11" s="33"/>
      <c r="G11" s="33"/>
      <c r="H11" s="33"/>
      <c r="I11" s="33"/>
      <c r="J11" s="33"/>
      <c r="K11" s="33"/>
      <c r="L11" s="48"/>
      <c r="M11" s="48"/>
      <c r="N11" s="49"/>
      <c r="O11" s="39"/>
      <c r="P11" s="33"/>
    </row>
    <row r="12" spans="1:16" ht="15.75" thickBot="1" x14ac:dyDescent="0.3">
      <c r="A12" s="960" t="s">
        <v>24</v>
      </c>
      <c r="B12" s="961" t="s">
        <v>41</v>
      </c>
      <c r="C12" s="962" t="s">
        <v>42</v>
      </c>
      <c r="D12" s="963" t="s">
        <v>43</v>
      </c>
      <c r="E12" s="964" t="s">
        <v>44</v>
      </c>
      <c r="F12" s="959" t="s">
        <v>45</v>
      </c>
      <c r="G12" s="959"/>
      <c r="H12" s="959"/>
      <c r="I12" s="959"/>
      <c r="J12" s="959"/>
      <c r="K12" s="959"/>
      <c r="L12" s="959" t="s">
        <v>46</v>
      </c>
      <c r="M12" s="959"/>
      <c r="N12" s="959"/>
      <c r="O12" s="959"/>
      <c r="P12" s="959"/>
    </row>
    <row r="13" spans="1:16" ht="117" thickBot="1" x14ac:dyDescent="0.3">
      <c r="A13" s="960"/>
      <c r="B13" s="961"/>
      <c r="C13" s="962"/>
      <c r="D13" s="963"/>
      <c r="E13" s="964"/>
      <c r="F13" s="50" t="s">
        <v>47</v>
      </c>
      <c r="G13" s="51" t="s">
        <v>48</v>
      </c>
      <c r="H13" s="51" t="s">
        <v>49</v>
      </c>
      <c r="I13" s="51" t="s">
        <v>50</v>
      </c>
      <c r="J13" s="51" t="s">
        <v>51</v>
      </c>
      <c r="K13" s="52" t="s">
        <v>52</v>
      </c>
      <c r="L13" s="50" t="s">
        <v>47</v>
      </c>
      <c r="M13" s="51" t="s">
        <v>49</v>
      </c>
      <c r="N13" s="51" t="s">
        <v>50</v>
      </c>
      <c r="O13" s="51" t="s">
        <v>51</v>
      </c>
      <c r="P13" s="52" t="s">
        <v>52</v>
      </c>
    </row>
    <row r="14" spans="1:16" ht="22.5" x14ac:dyDescent="0.25">
      <c r="A14" s="102">
        <f>IF(COUNTBLANK(B14)=1," ",COUNTA(B$14:B14))</f>
        <v>1</v>
      </c>
      <c r="B14" s="154" t="s">
        <v>87</v>
      </c>
      <c r="C14" s="555" t="s">
        <v>340</v>
      </c>
      <c r="D14" s="205" t="s">
        <v>157</v>
      </c>
      <c r="E14" s="557">
        <v>293.7</v>
      </c>
      <c r="F14" s="209"/>
      <c r="G14" s="210"/>
      <c r="H14" s="208">
        <f>F14*G14</f>
        <v>0</v>
      </c>
      <c r="I14" s="209"/>
      <c r="J14" s="209"/>
      <c r="K14" s="159">
        <f>ROUND(I14+H14+J14,2)</f>
        <v>0</v>
      </c>
      <c r="L14" s="159">
        <f>ROUND(E14*F14,2)</f>
        <v>0</v>
      </c>
      <c r="M14" s="159">
        <f>ROUND(E14*H14,2)</f>
        <v>0</v>
      </c>
      <c r="N14" s="159">
        <f>ROUND(E14*I14,2)</f>
        <v>0</v>
      </c>
      <c r="O14" s="159">
        <f>ROUND(E14*J14,2)</f>
        <v>0</v>
      </c>
      <c r="P14" s="159">
        <f>SUM(M14:O14)</f>
        <v>0</v>
      </c>
    </row>
    <row r="15" spans="1:16" x14ac:dyDescent="0.25">
      <c r="A15" s="102">
        <f>IF(COUNTBLANK(B15)=1," ",COUNTA(B$14:B15))</f>
        <v>2</v>
      </c>
      <c r="B15" s="392" t="s">
        <v>87</v>
      </c>
      <c r="C15" s="555" t="s">
        <v>341</v>
      </c>
      <c r="D15" s="873" t="s">
        <v>157</v>
      </c>
      <c r="E15" s="557">
        <v>5.6</v>
      </c>
      <c r="F15" s="209"/>
      <c r="G15" s="210"/>
      <c r="H15" s="208">
        <f t="shared" ref="H15:H77" si="0">F15*G15</f>
        <v>0</v>
      </c>
      <c r="I15" s="466"/>
      <c r="J15" s="209"/>
      <c r="K15" s="307">
        <f t="shared" ref="K15:K77" si="1">ROUND(I15+H15+J15,2)</f>
        <v>0</v>
      </c>
      <c r="L15" s="307">
        <f t="shared" ref="L15:L77" si="2">ROUND(E15*F15,2)</f>
        <v>0</v>
      </c>
      <c r="M15" s="307">
        <f t="shared" ref="M15:M77" si="3">ROUND(E15*H15,2)</f>
        <v>0</v>
      </c>
      <c r="N15" s="307">
        <f t="shared" ref="N15:N77" si="4">ROUND(E15*I15,2)</f>
        <v>0</v>
      </c>
      <c r="O15" s="307">
        <f t="shared" ref="O15:O77" si="5">ROUND(E15*J15,2)</f>
        <v>0</v>
      </c>
      <c r="P15" s="307">
        <f t="shared" ref="P15:P77" si="6">SUM(M15:O15)</f>
        <v>0</v>
      </c>
    </row>
    <row r="16" spans="1:16" x14ac:dyDescent="0.25">
      <c r="A16" s="102">
        <f>IF(COUNTBLANK(B16)=1," ",COUNTA(B$14:B16))</f>
        <v>3</v>
      </c>
      <c r="B16" s="193" t="s">
        <v>87</v>
      </c>
      <c r="C16" s="555" t="s">
        <v>342</v>
      </c>
      <c r="D16" s="873" t="s">
        <v>57</v>
      </c>
      <c r="E16" s="558">
        <v>185.7</v>
      </c>
      <c r="F16" s="209"/>
      <c r="G16" s="210"/>
      <c r="H16" s="208">
        <f t="shared" si="0"/>
        <v>0</v>
      </c>
      <c r="I16" s="466"/>
      <c r="J16" s="209"/>
      <c r="K16" s="307">
        <f t="shared" si="1"/>
        <v>0</v>
      </c>
      <c r="L16" s="307">
        <f t="shared" si="2"/>
        <v>0</v>
      </c>
      <c r="M16" s="307">
        <f t="shared" si="3"/>
        <v>0</v>
      </c>
      <c r="N16" s="307">
        <f t="shared" si="4"/>
        <v>0</v>
      </c>
      <c r="O16" s="307">
        <f t="shared" si="5"/>
        <v>0</v>
      </c>
      <c r="P16" s="307">
        <f t="shared" si="6"/>
        <v>0</v>
      </c>
    </row>
    <row r="17" spans="1:16" x14ac:dyDescent="0.25">
      <c r="A17" s="102">
        <f>IF(COUNTBLANK(B17)=1," ",COUNTA(B$14:B17))</f>
        <v>4</v>
      </c>
      <c r="B17" s="193" t="s">
        <v>87</v>
      </c>
      <c r="C17" s="556" t="s">
        <v>113</v>
      </c>
      <c r="D17" s="874" t="s">
        <v>157</v>
      </c>
      <c r="E17" s="875">
        <f>293.4+69.3</f>
        <v>362.7</v>
      </c>
      <c r="F17" s="209"/>
      <c r="G17" s="210"/>
      <c r="H17" s="208">
        <f t="shared" si="0"/>
        <v>0</v>
      </c>
      <c r="I17" s="466"/>
      <c r="J17" s="209"/>
      <c r="K17" s="307">
        <f t="shared" si="1"/>
        <v>0</v>
      </c>
      <c r="L17" s="307">
        <f t="shared" si="2"/>
        <v>0</v>
      </c>
      <c r="M17" s="307">
        <f t="shared" si="3"/>
        <v>0</v>
      </c>
      <c r="N17" s="307">
        <f t="shared" si="4"/>
        <v>0</v>
      </c>
      <c r="O17" s="307">
        <f t="shared" si="5"/>
        <v>0</v>
      </c>
      <c r="P17" s="307">
        <f t="shared" si="6"/>
        <v>0</v>
      </c>
    </row>
    <row r="18" spans="1:16" ht="15.75" thickBot="1" x14ac:dyDescent="0.3">
      <c r="A18" s="102" t="str">
        <f>IF(COUNTBLANK(B18)=1," ",COUNTA(B$14:B18))</f>
        <v xml:space="preserve"> </v>
      </c>
      <c r="B18" s="600"/>
      <c r="C18" s="603" t="s">
        <v>359</v>
      </c>
      <c r="D18" s="876"/>
      <c r="E18" s="875"/>
      <c r="F18" s="570"/>
      <c r="G18" s="593"/>
      <c r="H18" s="569"/>
      <c r="I18" s="601"/>
      <c r="J18" s="570"/>
      <c r="K18" s="540"/>
      <c r="L18" s="540"/>
      <c r="M18" s="540"/>
      <c r="N18" s="540"/>
      <c r="O18" s="540"/>
      <c r="P18" s="540"/>
    </row>
    <row r="19" spans="1:16" ht="126.75" thickBot="1" x14ac:dyDescent="0.3">
      <c r="A19" s="102" t="str">
        <f>IF(COUNTBLANK(B19)=1," ",COUNTA(B$14:B19))</f>
        <v xml:space="preserve"> </v>
      </c>
      <c r="B19" s="160"/>
      <c r="C19" s="602" t="s">
        <v>343</v>
      </c>
      <c r="D19" s="211"/>
      <c r="E19" s="211"/>
      <c r="F19" s="211"/>
      <c r="G19" s="210"/>
      <c r="H19" s="208">
        <f t="shared" si="0"/>
        <v>0</v>
      </c>
      <c r="I19" s="211"/>
      <c r="J19" s="209"/>
      <c r="K19" s="307">
        <f t="shared" si="1"/>
        <v>0</v>
      </c>
      <c r="L19" s="307">
        <f t="shared" si="2"/>
        <v>0</v>
      </c>
      <c r="M19" s="307">
        <f t="shared" si="3"/>
        <v>0</v>
      </c>
      <c r="N19" s="307">
        <f t="shared" si="4"/>
        <v>0</v>
      </c>
      <c r="O19" s="307">
        <f t="shared" si="5"/>
        <v>0</v>
      </c>
      <c r="P19" s="307">
        <f t="shared" si="6"/>
        <v>0</v>
      </c>
    </row>
    <row r="20" spans="1:16" ht="22.5" x14ac:dyDescent="0.25">
      <c r="A20" s="102">
        <f>IF(COUNTBLANK(B20)=1," ",COUNTA(B$14:B20))</f>
        <v>5</v>
      </c>
      <c r="B20" s="160" t="s">
        <v>87</v>
      </c>
      <c r="C20" s="563" t="s">
        <v>344</v>
      </c>
      <c r="D20" s="877" t="s">
        <v>58</v>
      </c>
      <c r="E20" s="561">
        <v>26</v>
      </c>
      <c r="F20" s="163"/>
      <c r="G20" s="210"/>
      <c r="H20" s="208">
        <f t="shared" si="0"/>
        <v>0</v>
      </c>
      <c r="I20" s="163"/>
      <c r="J20" s="209"/>
      <c r="K20" s="307">
        <f t="shared" si="1"/>
        <v>0</v>
      </c>
      <c r="L20" s="307">
        <f t="shared" si="2"/>
        <v>0</v>
      </c>
      <c r="M20" s="307">
        <f t="shared" si="3"/>
        <v>0</v>
      </c>
      <c r="N20" s="307">
        <f t="shared" si="4"/>
        <v>0</v>
      </c>
      <c r="O20" s="307">
        <f t="shared" si="5"/>
        <v>0</v>
      </c>
      <c r="P20" s="307">
        <f t="shared" si="6"/>
        <v>0</v>
      </c>
    </row>
    <row r="21" spans="1:16" ht="22.5" x14ac:dyDescent="0.25">
      <c r="A21" s="102">
        <f>IF(COUNTBLANK(B21)=1," ",COUNTA(B$14:B21))</f>
        <v>6</v>
      </c>
      <c r="B21" s="160" t="s">
        <v>87</v>
      </c>
      <c r="C21" s="559" t="s">
        <v>345</v>
      </c>
      <c r="D21" s="877" t="s">
        <v>58</v>
      </c>
      <c r="E21" s="561">
        <v>16</v>
      </c>
      <c r="F21" s="163"/>
      <c r="G21" s="210"/>
      <c r="H21" s="208">
        <f t="shared" si="0"/>
        <v>0</v>
      </c>
      <c r="I21" s="163"/>
      <c r="J21" s="209"/>
      <c r="K21" s="307">
        <f t="shared" si="1"/>
        <v>0</v>
      </c>
      <c r="L21" s="307">
        <f t="shared" si="2"/>
        <v>0</v>
      </c>
      <c r="M21" s="307">
        <f t="shared" si="3"/>
        <v>0</v>
      </c>
      <c r="N21" s="307">
        <f t="shared" si="4"/>
        <v>0</v>
      </c>
      <c r="O21" s="307">
        <f t="shared" si="5"/>
        <v>0</v>
      </c>
      <c r="P21" s="307">
        <f t="shared" si="6"/>
        <v>0</v>
      </c>
    </row>
    <row r="22" spans="1:16" x14ac:dyDescent="0.25">
      <c r="A22" s="102">
        <f>IF(COUNTBLANK(B22)=1," ",COUNTA(B$14:B22))</f>
        <v>7</v>
      </c>
      <c r="B22" s="160" t="s">
        <v>87</v>
      </c>
      <c r="C22" s="560" t="s">
        <v>346</v>
      </c>
      <c r="D22" s="877" t="s">
        <v>58</v>
      </c>
      <c r="E22" s="562">
        <v>44</v>
      </c>
      <c r="F22" s="163"/>
      <c r="G22" s="210"/>
      <c r="H22" s="208">
        <f t="shared" si="0"/>
        <v>0</v>
      </c>
      <c r="I22" s="163"/>
      <c r="J22" s="209"/>
      <c r="K22" s="307">
        <f t="shared" si="1"/>
        <v>0</v>
      </c>
      <c r="L22" s="307">
        <f t="shared" si="2"/>
        <v>0</v>
      </c>
      <c r="M22" s="307">
        <f t="shared" si="3"/>
        <v>0</v>
      </c>
      <c r="N22" s="307">
        <f t="shared" si="4"/>
        <v>0</v>
      </c>
      <c r="O22" s="307">
        <f t="shared" si="5"/>
        <v>0</v>
      </c>
      <c r="P22" s="307">
        <f t="shared" si="6"/>
        <v>0</v>
      </c>
    </row>
    <row r="23" spans="1:16" x14ac:dyDescent="0.25">
      <c r="A23" s="102">
        <f>IF(COUNTBLANK(B23)=1," ",COUNTA(B$14:B23))</f>
        <v>8</v>
      </c>
      <c r="B23" s="160" t="s">
        <v>87</v>
      </c>
      <c r="C23" s="560" t="s">
        <v>347</v>
      </c>
      <c r="D23" s="877" t="s">
        <v>58</v>
      </c>
      <c r="E23" s="562">
        <v>3</v>
      </c>
      <c r="F23" s="163"/>
      <c r="G23" s="210"/>
      <c r="H23" s="208">
        <f t="shared" si="0"/>
        <v>0</v>
      </c>
      <c r="I23" s="163"/>
      <c r="J23" s="209"/>
      <c r="K23" s="307">
        <f t="shared" si="1"/>
        <v>0</v>
      </c>
      <c r="L23" s="307">
        <f t="shared" si="2"/>
        <v>0</v>
      </c>
      <c r="M23" s="307">
        <f t="shared" si="3"/>
        <v>0</v>
      </c>
      <c r="N23" s="307">
        <f t="shared" si="4"/>
        <v>0</v>
      </c>
      <c r="O23" s="307">
        <f t="shared" si="5"/>
        <v>0</v>
      </c>
      <c r="P23" s="307">
        <f t="shared" si="6"/>
        <v>0</v>
      </c>
    </row>
    <row r="24" spans="1:16" x14ac:dyDescent="0.25">
      <c r="A24" s="102">
        <f>IF(COUNTBLANK(B24)=1," ",COUNTA(B$14:B24))</f>
        <v>9</v>
      </c>
      <c r="B24" s="160" t="s">
        <v>87</v>
      </c>
      <c r="C24" s="560" t="s">
        <v>348</v>
      </c>
      <c r="D24" s="877" t="s">
        <v>58</v>
      </c>
      <c r="E24" s="562">
        <v>1</v>
      </c>
      <c r="F24" s="163"/>
      <c r="G24" s="210"/>
      <c r="H24" s="208">
        <f t="shared" si="0"/>
        <v>0</v>
      </c>
      <c r="I24" s="163"/>
      <c r="J24" s="209"/>
      <c r="K24" s="307">
        <f t="shared" si="1"/>
        <v>0</v>
      </c>
      <c r="L24" s="307">
        <f t="shared" si="2"/>
        <v>0</v>
      </c>
      <c r="M24" s="307">
        <f t="shared" si="3"/>
        <v>0</v>
      </c>
      <c r="N24" s="307">
        <f t="shared" si="4"/>
        <v>0</v>
      </c>
      <c r="O24" s="307">
        <f t="shared" si="5"/>
        <v>0</v>
      </c>
      <c r="P24" s="307">
        <f t="shared" si="6"/>
        <v>0</v>
      </c>
    </row>
    <row r="25" spans="1:16" x14ac:dyDescent="0.25">
      <c r="A25" s="102">
        <f>IF(COUNTBLANK(B25)=1," ",COUNTA(B$14:B25))</f>
        <v>10</v>
      </c>
      <c r="B25" s="154" t="s">
        <v>87</v>
      </c>
      <c r="C25" s="213" t="s">
        <v>169</v>
      </c>
      <c r="D25" s="212" t="s">
        <v>83</v>
      </c>
      <c r="E25" s="206">
        <f>SUM(E20:E24)</f>
        <v>90</v>
      </c>
      <c r="F25" s="207"/>
      <c r="G25" s="210"/>
      <c r="H25" s="208">
        <f t="shared" si="0"/>
        <v>0</v>
      </c>
      <c r="I25" s="207"/>
      <c r="J25" s="209"/>
      <c r="K25" s="307">
        <f t="shared" si="1"/>
        <v>0</v>
      </c>
      <c r="L25" s="307">
        <f t="shared" si="2"/>
        <v>0</v>
      </c>
      <c r="M25" s="307">
        <f t="shared" si="3"/>
        <v>0</v>
      </c>
      <c r="N25" s="307">
        <f t="shared" si="4"/>
        <v>0</v>
      </c>
      <c r="O25" s="307">
        <f t="shared" si="5"/>
        <v>0</v>
      </c>
      <c r="P25" s="307">
        <f t="shared" si="6"/>
        <v>0</v>
      </c>
    </row>
    <row r="26" spans="1:16" x14ac:dyDescent="0.25">
      <c r="A26" s="102">
        <f>IF(COUNTBLANK(B26)=1," ",COUNTA(B$14:B26))</f>
        <v>11</v>
      </c>
      <c r="B26" s="154" t="s">
        <v>87</v>
      </c>
      <c r="C26" s="182" t="s">
        <v>110</v>
      </c>
      <c r="D26" s="214" t="s">
        <v>58</v>
      </c>
      <c r="E26" s="206">
        <f>ROUNDUP(E25*10,0)</f>
        <v>900</v>
      </c>
      <c r="F26" s="207"/>
      <c r="G26" s="210"/>
      <c r="H26" s="208">
        <f t="shared" si="0"/>
        <v>0</v>
      </c>
      <c r="I26" s="163"/>
      <c r="J26" s="209"/>
      <c r="K26" s="307">
        <f t="shared" si="1"/>
        <v>0</v>
      </c>
      <c r="L26" s="307">
        <f t="shared" si="2"/>
        <v>0</v>
      </c>
      <c r="M26" s="307">
        <f t="shared" si="3"/>
        <v>0</v>
      </c>
      <c r="N26" s="307">
        <f t="shared" si="4"/>
        <v>0</v>
      </c>
      <c r="O26" s="307">
        <f t="shared" si="5"/>
        <v>0</v>
      </c>
      <c r="P26" s="307">
        <f t="shared" si="6"/>
        <v>0</v>
      </c>
    </row>
    <row r="27" spans="1:16" x14ac:dyDescent="0.25">
      <c r="A27" s="102">
        <f>IF(COUNTBLANK(B27)=1," ",COUNTA(B$14:B27))</f>
        <v>12</v>
      </c>
      <c r="B27" s="154" t="s">
        <v>87</v>
      </c>
      <c r="C27" s="182" t="s">
        <v>108</v>
      </c>
      <c r="D27" s="181" t="s">
        <v>58</v>
      </c>
      <c r="E27" s="215">
        <f>E26*2</f>
        <v>1800</v>
      </c>
      <c r="F27" s="215"/>
      <c r="G27" s="210"/>
      <c r="H27" s="208">
        <f t="shared" si="0"/>
        <v>0</v>
      </c>
      <c r="I27" s="163"/>
      <c r="J27" s="209"/>
      <c r="K27" s="307">
        <f t="shared" si="1"/>
        <v>0</v>
      </c>
      <c r="L27" s="307">
        <f t="shared" si="2"/>
        <v>0</v>
      </c>
      <c r="M27" s="307">
        <f t="shared" si="3"/>
        <v>0</v>
      </c>
      <c r="N27" s="307">
        <f t="shared" si="4"/>
        <v>0</v>
      </c>
      <c r="O27" s="307">
        <f t="shared" si="5"/>
        <v>0</v>
      </c>
      <c r="P27" s="307">
        <f t="shared" si="6"/>
        <v>0</v>
      </c>
    </row>
    <row r="28" spans="1:16" x14ac:dyDescent="0.25">
      <c r="A28" s="102">
        <f>IF(COUNTBLANK(B28)=1," ",COUNTA(B$14:B28))</f>
        <v>13</v>
      </c>
      <c r="B28" s="154" t="s">
        <v>87</v>
      </c>
      <c r="C28" s="216" t="s">
        <v>109</v>
      </c>
      <c r="D28" s="163" t="s">
        <v>58</v>
      </c>
      <c r="E28" s="215">
        <f>E26*2</f>
        <v>1800</v>
      </c>
      <c r="F28" s="163"/>
      <c r="G28" s="210"/>
      <c r="H28" s="208">
        <f t="shared" si="0"/>
        <v>0</v>
      </c>
      <c r="I28" s="163"/>
      <c r="J28" s="209"/>
      <c r="K28" s="307">
        <f t="shared" si="1"/>
        <v>0</v>
      </c>
      <c r="L28" s="307">
        <f t="shared" si="2"/>
        <v>0</v>
      </c>
      <c r="M28" s="307">
        <f t="shared" si="3"/>
        <v>0</v>
      </c>
      <c r="N28" s="307">
        <f t="shared" si="4"/>
        <v>0</v>
      </c>
      <c r="O28" s="307">
        <f t="shared" si="5"/>
        <v>0</v>
      </c>
      <c r="P28" s="307">
        <f t="shared" si="6"/>
        <v>0</v>
      </c>
    </row>
    <row r="29" spans="1:16" x14ac:dyDescent="0.25">
      <c r="A29" s="102">
        <f>IF(COUNTBLANK(B29)=1," ",COUNTA(B$14:B29))</f>
        <v>14</v>
      </c>
      <c r="B29" s="154" t="s">
        <v>87</v>
      </c>
      <c r="C29" s="217" t="s">
        <v>356</v>
      </c>
      <c r="D29" s="218" t="s">
        <v>92</v>
      </c>
      <c r="E29" s="210">
        <f>ROUNDUP(E25*4,0)</f>
        <v>360</v>
      </c>
      <c r="F29" s="209"/>
      <c r="G29" s="210"/>
      <c r="H29" s="208">
        <f t="shared" si="0"/>
        <v>0</v>
      </c>
      <c r="I29" s="209"/>
      <c r="J29" s="209"/>
      <c r="K29" s="307">
        <f t="shared" si="1"/>
        <v>0</v>
      </c>
      <c r="L29" s="307">
        <f t="shared" si="2"/>
        <v>0</v>
      </c>
      <c r="M29" s="307">
        <f t="shared" si="3"/>
        <v>0</v>
      </c>
      <c r="N29" s="307">
        <f t="shared" si="4"/>
        <v>0</v>
      </c>
      <c r="O29" s="307">
        <f t="shared" si="5"/>
        <v>0</v>
      </c>
      <c r="P29" s="307">
        <f t="shared" si="6"/>
        <v>0</v>
      </c>
    </row>
    <row r="30" spans="1:16" x14ac:dyDescent="0.25">
      <c r="A30" s="102">
        <f>IF(COUNTBLANK(B30)=1," ",COUNTA(B$14:B30))</f>
        <v>15</v>
      </c>
      <c r="B30" s="154" t="s">
        <v>87</v>
      </c>
      <c r="C30" s="187" t="s">
        <v>282</v>
      </c>
      <c r="D30" s="186" t="s">
        <v>92</v>
      </c>
      <c r="E30" s="219">
        <f>ROUNDUP(E25*0.25,2)</f>
        <v>22.5</v>
      </c>
      <c r="F30" s="219"/>
      <c r="G30" s="210"/>
      <c r="H30" s="208">
        <f t="shared" si="0"/>
        <v>0</v>
      </c>
      <c r="I30" s="188"/>
      <c r="J30" s="209"/>
      <c r="K30" s="307">
        <f t="shared" si="1"/>
        <v>0</v>
      </c>
      <c r="L30" s="307">
        <f t="shared" si="2"/>
        <v>0</v>
      </c>
      <c r="M30" s="307">
        <f t="shared" si="3"/>
        <v>0</v>
      </c>
      <c r="N30" s="307">
        <f t="shared" si="4"/>
        <v>0</v>
      </c>
      <c r="O30" s="307">
        <f t="shared" si="5"/>
        <v>0</v>
      </c>
      <c r="P30" s="307">
        <f t="shared" si="6"/>
        <v>0</v>
      </c>
    </row>
    <row r="31" spans="1:16" x14ac:dyDescent="0.25">
      <c r="A31" s="102">
        <f>IF(COUNTBLANK(B31)=1," ",COUNTA(B$14:B31))</f>
        <v>16</v>
      </c>
      <c r="B31" s="154" t="s">
        <v>87</v>
      </c>
      <c r="C31" s="403" t="s">
        <v>112</v>
      </c>
      <c r="D31" s="395" t="s">
        <v>89</v>
      </c>
      <c r="E31" s="396">
        <f>E32</f>
        <v>150.1</v>
      </c>
      <c r="F31" s="397"/>
      <c r="G31" s="210"/>
      <c r="H31" s="208">
        <f t="shared" si="0"/>
        <v>0</v>
      </c>
      <c r="I31" s="396"/>
      <c r="J31" s="209"/>
      <c r="K31" s="307">
        <f t="shared" si="1"/>
        <v>0</v>
      </c>
      <c r="L31" s="307">
        <f t="shared" si="2"/>
        <v>0</v>
      </c>
      <c r="M31" s="307">
        <f t="shared" si="3"/>
        <v>0</v>
      </c>
      <c r="N31" s="307">
        <f t="shared" si="4"/>
        <v>0</v>
      </c>
      <c r="O31" s="307">
        <f t="shared" si="5"/>
        <v>0</v>
      </c>
      <c r="P31" s="307">
        <f t="shared" si="6"/>
        <v>0</v>
      </c>
    </row>
    <row r="32" spans="1:16" ht="22.5" x14ac:dyDescent="0.25">
      <c r="A32" s="811">
        <f>IF(COUNTBLANK(B32)=1," ",COUNTA(B$14:B32))</f>
        <v>17</v>
      </c>
      <c r="B32" s="812" t="s">
        <v>87</v>
      </c>
      <c r="C32" s="878" t="s">
        <v>280</v>
      </c>
      <c r="D32" s="879" t="s">
        <v>89</v>
      </c>
      <c r="E32" s="404">
        <v>150.1</v>
      </c>
      <c r="F32" s="397"/>
      <c r="G32" s="210"/>
      <c r="H32" s="208">
        <f t="shared" si="0"/>
        <v>0</v>
      </c>
      <c r="I32" s="396"/>
      <c r="J32" s="209"/>
      <c r="K32" s="307">
        <f t="shared" si="1"/>
        <v>0</v>
      </c>
      <c r="L32" s="307">
        <f t="shared" si="2"/>
        <v>0</v>
      </c>
      <c r="M32" s="307">
        <f t="shared" si="3"/>
        <v>0</v>
      </c>
      <c r="N32" s="307">
        <f t="shared" si="4"/>
        <v>0</v>
      </c>
      <c r="O32" s="307">
        <f t="shared" si="5"/>
        <v>0</v>
      </c>
      <c r="P32" s="307">
        <f t="shared" si="6"/>
        <v>0</v>
      </c>
    </row>
    <row r="33" spans="1:1025" x14ac:dyDescent="0.25">
      <c r="A33" s="811" t="str">
        <f>IF(COUNTBLANK(B33)=1," ",COUNTA(B$14:B33))</f>
        <v xml:space="preserve"> </v>
      </c>
      <c r="B33" s="805"/>
      <c r="C33" s="880" t="s">
        <v>599</v>
      </c>
      <c r="D33" s="881"/>
      <c r="E33" s="806"/>
      <c r="F33" s="807"/>
      <c r="G33" s="210"/>
      <c r="H33" s="569"/>
      <c r="I33" s="808"/>
      <c r="J33" s="809"/>
      <c r="K33" s="810"/>
      <c r="L33" s="810"/>
      <c r="M33" s="810"/>
      <c r="N33" s="810"/>
      <c r="O33" s="810"/>
      <c r="P33" s="810"/>
    </row>
    <row r="34" spans="1:1025" s="406" customFormat="1" ht="15.75" thickBot="1" x14ac:dyDescent="0.3">
      <c r="A34" s="502" t="str">
        <f>IF(COUNTBLANK(B34)=1," ",COUNTA(B$14:B34))</f>
        <v xml:space="preserve"> </v>
      </c>
      <c r="B34" s="813"/>
      <c r="C34" s="814" t="s">
        <v>281</v>
      </c>
      <c r="D34" s="882"/>
      <c r="E34" s="402"/>
      <c r="F34" s="401"/>
      <c r="G34" s="210"/>
      <c r="H34" s="208">
        <f t="shared" si="0"/>
        <v>0</v>
      </c>
      <c r="I34" s="400"/>
      <c r="J34" s="209"/>
      <c r="K34" s="307">
        <f t="shared" si="1"/>
        <v>0</v>
      </c>
      <c r="L34" s="307">
        <f t="shared" si="2"/>
        <v>0</v>
      </c>
      <c r="M34" s="307">
        <f t="shared" si="3"/>
        <v>0</v>
      </c>
      <c r="N34" s="307">
        <f t="shared" si="4"/>
        <v>0</v>
      </c>
      <c r="O34" s="307">
        <f t="shared" si="5"/>
        <v>0</v>
      </c>
      <c r="P34" s="307">
        <f t="shared" si="6"/>
        <v>0</v>
      </c>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405"/>
      <c r="BA34" s="405"/>
      <c r="BB34" s="405"/>
      <c r="BC34" s="405"/>
      <c r="BD34" s="405"/>
      <c r="BE34" s="405"/>
      <c r="BF34" s="405"/>
      <c r="BG34" s="405"/>
      <c r="BH34" s="405"/>
      <c r="BI34" s="405"/>
      <c r="BJ34" s="405"/>
      <c r="BK34" s="405"/>
      <c r="BL34" s="405"/>
      <c r="BM34" s="405"/>
      <c r="BN34" s="405"/>
      <c r="BO34" s="405"/>
      <c r="BP34" s="405"/>
      <c r="BQ34" s="405"/>
      <c r="BR34" s="405"/>
      <c r="BS34" s="405"/>
      <c r="BT34" s="405"/>
      <c r="BU34" s="405"/>
      <c r="BV34" s="405"/>
      <c r="BW34" s="405"/>
      <c r="BX34" s="405"/>
      <c r="BY34" s="405"/>
      <c r="BZ34" s="405"/>
      <c r="CA34" s="405"/>
      <c r="CB34" s="405"/>
      <c r="CC34" s="405"/>
      <c r="CD34" s="405"/>
      <c r="CE34" s="405"/>
      <c r="CF34" s="405"/>
      <c r="CG34" s="405"/>
      <c r="CH34" s="405"/>
      <c r="CI34" s="405"/>
      <c r="CJ34" s="405"/>
      <c r="CK34" s="405"/>
      <c r="CL34" s="405"/>
      <c r="CM34" s="405"/>
      <c r="CN34" s="405"/>
      <c r="CO34" s="405"/>
      <c r="CP34" s="405"/>
      <c r="CQ34" s="405"/>
      <c r="CR34" s="405"/>
      <c r="CS34" s="405"/>
      <c r="CT34" s="405"/>
      <c r="CU34" s="405"/>
      <c r="CV34" s="405"/>
      <c r="CW34" s="405"/>
      <c r="CX34" s="405"/>
      <c r="CY34" s="405"/>
      <c r="CZ34" s="405"/>
      <c r="DA34" s="405"/>
      <c r="DB34" s="405"/>
      <c r="DC34" s="405"/>
      <c r="DD34" s="405"/>
      <c r="DE34" s="405"/>
      <c r="DF34" s="405"/>
      <c r="DG34" s="405"/>
      <c r="DH34" s="405"/>
      <c r="DI34" s="405"/>
      <c r="DJ34" s="405"/>
      <c r="DK34" s="405"/>
      <c r="DL34" s="405"/>
      <c r="DM34" s="405"/>
      <c r="DN34" s="405"/>
      <c r="DO34" s="405"/>
      <c r="DP34" s="405"/>
      <c r="DQ34" s="405"/>
      <c r="DR34" s="405"/>
      <c r="DS34" s="405"/>
      <c r="DT34" s="405"/>
      <c r="DU34" s="405"/>
      <c r="DV34" s="405"/>
      <c r="DW34" s="405"/>
      <c r="DX34" s="405"/>
      <c r="DY34" s="405"/>
      <c r="DZ34" s="405"/>
      <c r="EA34" s="405"/>
      <c r="EB34" s="405"/>
      <c r="EC34" s="405"/>
      <c r="ED34" s="405"/>
      <c r="EE34" s="405"/>
      <c r="EF34" s="405"/>
      <c r="EG34" s="405"/>
      <c r="EH34" s="405"/>
      <c r="EI34" s="405"/>
      <c r="EJ34" s="405"/>
      <c r="EK34" s="405"/>
      <c r="EL34" s="405"/>
      <c r="EM34" s="405"/>
      <c r="EN34" s="405"/>
      <c r="EO34" s="405"/>
      <c r="EP34" s="405"/>
      <c r="EQ34" s="405"/>
      <c r="ER34" s="405"/>
      <c r="ES34" s="405"/>
      <c r="ET34" s="405"/>
      <c r="EU34" s="405"/>
      <c r="EV34" s="405"/>
      <c r="EW34" s="405"/>
      <c r="EX34" s="405"/>
      <c r="EY34" s="405"/>
      <c r="EZ34" s="405"/>
      <c r="FA34" s="405"/>
      <c r="FB34" s="405"/>
      <c r="FC34" s="405"/>
      <c r="FD34" s="405"/>
      <c r="FE34" s="405"/>
      <c r="FF34" s="405"/>
      <c r="FG34" s="405"/>
      <c r="FH34" s="405"/>
      <c r="FI34" s="405"/>
      <c r="FJ34" s="405"/>
      <c r="FK34" s="405"/>
      <c r="FL34" s="405"/>
      <c r="FM34" s="405"/>
      <c r="FN34" s="405"/>
      <c r="FO34" s="405"/>
      <c r="FP34" s="405"/>
      <c r="FQ34" s="405"/>
      <c r="FR34" s="405"/>
      <c r="FS34" s="405"/>
      <c r="FT34" s="405"/>
      <c r="FU34" s="405"/>
      <c r="FV34" s="405"/>
      <c r="FW34" s="405"/>
      <c r="FX34" s="405"/>
      <c r="FY34" s="405"/>
      <c r="FZ34" s="405"/>
      <c r="GA34" s="405"/>
      <c r="GB34" s="405"/>
      <c r="GC34" s="405"/>
      <c r="GD34" s="405"/>
      <c r="GE34" s="405"/>
      <c r="GF34" s="405"/>
      <c r="GG34" s="405"/>
      <c r="GH34" s="405"/>
      <c r="GI34" s="405"/>
      <c r="GJ34" s="405"/>
      <c r="GK34" s="405"/>
      <c r="GL34" s="405"/>
      <c r="GM34" s="405"/>
      <c r="GN34" s="405"/>
      <c r="GO34" s="405"/>
      <c r="GP34" s="405"/>
      <c r="GQ34" s="405"/>
      <c r="GR34" s="405"/>
      <c r="GS34" s="405"/>
      <c r="GT34" s="405"/>
      <c r="GU34" s="405"/>
      <c r="GV34" s="405"/>
      <c r="GW34" s="405"/>
      <c r="GX34" s="405"/>
      <c r="GY34" s="405"/>
      <c r="GZ34" s="405"/>
      <c r="HA34" s="405"/>
      <c r="HB34" s="405"/>
      <c r="HC34" s="405"/>
      <c r="HD34" s="405"/>
      <c r="HE34" s="405"/>
      <c r="HF34" s="405"/>
      <c r="HG34" s="405"/>
      <c r="HH34" s="405"/>
      <c r="HI34" s="405"/>
      <c r="HJ34" s="405"/>
      <c r="HK34" s="405"/>
      <c r="HL34" s="405"/>
      <c r="HM34" s="405"/>
      <c r="HN34" s="405"/>
      <c r="HO34" s="405"/>
      <c r="HP34" s="405"/>
      <c r="HQ34" s="405"/>
      <c r="HR34" s="405"/>
      <c r="HS34" s="405"/>
      <c r="HT34" s="405"/>
      <c r="HU34" s="405"/>
      <c r="HV34" s="405"/>
      <c r="HW34" s="405"/>
      <c r="HX34" s="405"/>
      <c r="HY34" s="405"/>
      <c r="HZ34" s="405"/>
      <c r="IA34" s="405"/>
      <c r="IB34" s="405"/>
      <c r="IC34" s="405"/>
      <c r="ID34" s="405"/>
      <c r="IE34" s="405"/>
      <c r="IF34" s="405"/>
      <c r="IG34" s="405"/>
      <c r="IH34" s="405"/>
      <c r="II34" s="405"/>
      <c r="IJ34" s="405"/>
      <c r="IK34" s="405"/>
      <c r="IL34" s="405"/>
      <c r="IM34" s="405"/>
      <c r="IN34" s="405"/>
      <c r="IO34" s="405"/>
      <c r="IP34" s="405"/>
      <c r="IQ34" s="405"/>
      <c r="IR34" s="405"/>
      <c r="IS34" s="405"/>
      <c r="IT34" s="405"/>
      <c r="IU34" s="405"/>
      <c r="IV34" s="405"/>
      <c r="IW34" s="405"/>
      <c r="IX34" s="405"/>
      <c r="IY34" s="405"/>
      <c r="IZ34" s="405"/>
      <c r="JA34" s="405"/>
      <c r="JB34" s="405"/>
      <c r="JC34" s="405"/>
      <c r="JD34" s="405"/>
      <c r="JE34" s="405"/>
      <c r="JF34" s="405"/>
      <c r="JG34" s="405"/>
      <c r="JH34" s="405"/>
      <c r="JI34" s="405"/>
      <c r="JJ34" s="405"/>
      <c r="JK34" s="405"/>
      <c r="JL34" s="405"/>
      <c r="JM34" s="405"/>
      <c r="JN34" s="405"/>
      <c r="JO34" s="405"/>
      <c r="JP34" s="405"/>
      <c r="JQ34" s="405"/>
      <c r="JR34" s="405"/>
      <c r="JS34" s="405"/>
      <c r="JT34" s="405"/>
      <c r="JU34" s="405"/>
      <c r="JV34" s="405"/>
      <c r="JW34" s="405"/>
      <c r="JX34" s="405"/>
      <c r="JY34" s="405"/>
      <c r="JZ34" s="405"/>
      <c r="KA34" s="405"/>
      <c r="KB34" s="405"/>
      <c r="KC34" s="405"/>
      <c r="KD34" s="405"/>
      <c r="KE34" s="405"/>
      <c r="KF34" s="405"/>
      <c r="KG34" s="405"/>
      <c r="KH34" s="405"/>
      <c r="KI34" s="405"/>
      <c r="KJ34" s="405"/>
      <c r="KK34" s="405"/>
      <c r="KL34" s="405"/>
      <c r="KM34" s="405"/>
      <c r="KN34" s="405"/>
      <c r="KO34" s="405"/>
      <c r="KP34" s="405"/>
      <c r="KQ34" s="405"/>
      <c r="KR34" s="405"/>
      <c r="KS34" s="405"/>
      <c r="KT34" s="405"/>
      <c r="KU34" s="405"/>
      <c r="KV34" s="405"/>
      <c r="KW34" s="405"/>
      <c r="KX34" s="405"/>
      <c r="KY34" s="405"/>
      <c r="KZ34" s="405"/>
      <c r="LA34" s="405"/>
      <c r="LB34" s="405"/>
      <c r="LC34" s="405"/>
      <c r="LD34" s="405"/>
      <c r="LE34" s="405"/>
      <c r="LF34" s="405"/>
      <c r="LG34" s="405"/>
      <c r="LH34" s="405"/>
      <c r="LI34" s="405"/>
      <c r="LJ34" s="405"/>
      <c r="LK34" s="405"/>
      <c r="LL34" s="405"/>
      <c r="LM34" s="405"/>
      <c r="LN34" s="405"/>
      <c r="LO34" s="405"/>
      <c r="LP34" s="405"/>
      <c r="LQ34" s="405"/>
      <c r="LR34" s="405"/>
      <c r="LS34" s="405"/>
      <c r="LT34" s="405"/>
      <c r="LU34" s="405"/>
      <c r="LV34" s="405"/>
      <c r="LW34" s="405"/>
      <c r="LX34" s="405"/>
      <c r="LY34" s="405"/>
      <c r="LZ34" s="405"/>
      <c r="MA34" s="405"/>
      <c r="MB34" s="405"/>
      <c r="MC34" s="405"/>
      <c r="MD34" s="405"/>
      <c r="ME34" s="405"/>
      <c r="MF34" s="405"/>
      <c r="MG34" s="405"/>
      <c r="MH34" s="405"/>
      <c r="MI34" s="405"/>
      <c r="MJ34" s="405"/>
      <c r="MK34" s="405"/>
      <c r="ML34" s="405"/>
      <c r="MM34" s="405"/>
      <c r="MN34" s="405"/>
      <c r="MO34" s="405"/>
      <c r="MP34" s="405"/>
      <c r="MQ34" s="405"/>
      <c r="MR34" s="405"/>
      <c r="MS34" s="405"/>
      <c r="MT34" s="405"/>
      <c r="MU34" s="405"/>
      <c r="MV34" s="405"/>
      <c r="MW34" s="405"/>
      <c r="MX34" s="405"/>
      <c r="MY34" s="405"/>
      <c r="MZ34" s="405"/>
      <c r="NA34" s="405"/>
      <c r="NB34" s="405"/>
      <c r="NC34" s="405"/>
      <c r="ND34" s="405"/>
      <c r="NE34" s="405"/>
      <c r="NF34" s="405"/>
      <c r="NG34" s="405"/>
      <c r="NH34" s="405"/>
      <c r="NI34" s="405"/>
      <c r="NJ34" s="405"/>
      <c r="NK34" s="405"/>
      <c r="NL34" s="405"/>
      <c r="NM34" s="405"/>
      <c r="NN34" s="405"/>
      <c r="NO34" s="405"/>
      <c r="NP34" s="405"/>
      <c r="NQ34" s="405"/>
      <c r="NR34" s="405"/>
      <c r="NS34" s="405"/>
      <c r="NT34" s="405"/>
      <c r="NU34" s="405"/>
      <c r="NV34" s="405"/>
      <c r="NW34" s="405"/>
      <c r="NX34" s="405"/>
      <c r="NY34" s="405"/>
      <c r="NZ34" s="405"/>
      <c r="OA34" s="405"/>
      <c r="OB34" s="405"/>
      <c r="OC34" s="405"/>
      <c r="OD34" s="405"/>
      <c r="OE34" s="405"/>
      <c r="OF34" s="405"/>
      <c r="OG34" s="405"/>
      <c r="OH34" s="405"/>
      <c r="OI34" s="405"/>
      <c r="OJ34" s="405"/>
      <c r="OK34" s="405"/>
      <c r="OL34" s="405"/>
      <c r="OM34" s="405"/>
      <c r="ON34" s="405"/>
      <c r="OO34" s="405"/>
      <c r="OP34" s="405"/>
      <c r="OQ34" s="405"/>
      <c r="OR34" s="405"/>
      <c r="OS34" s="405"/>
      <c r="OT34" s="405"/>
      <c r="OU34" s="405"/>
      <c r="OV34" s="405"/>
      <c r="OW34" s="405"/>
      <c r="OX34" s="405"/>
      <c r="OY34" s="405"/>
      <c r="OZ34" s="405"/>
      <c r="PA34" s="405"/>
      <c r="PB34" s="405"/>
      <c r="PC34" s="405"/>
      <c r="PD34" s="405"/>
      <c r="PE34" s="405"/>
      <c r="PF34" s="405"/>
      <c r="PG34" s="405"/>
      <c r="PH34" s="405"/>
      <c r="PI34" s="405"/>
      <c r="PJ34" s="405"/>
      <c r="PK34" s="405"/>
      <c r="PL34" s="405"/>
      <c r="PM34" s="405"/>
      <c r="PN34" s="405"/>
      <c r="PO34" s="405"/>
      <c r="PP34" s="405"/>
      <c r="PQ34" s="405"/>
      <c r="PR34" s="405"/>
      <c r="PS34" s="405"/>
      <c r="PT34" s="405"/>
      <c r="PU34" s="405"/>
      <c r="PV34" s="405"/>
      <c r="PW34" s="405"/>
      <c r="PX34" s="405"/>
      <c r="PY34" s="405"/>
      <c r="PZ34" s="405"/>
      <c r="QA34" s="405"/>
      <c r="QB34" s="405"/>
      <c r="QC34" s="405"/>
      <c r="QD34" s="405"/>
      <c r="QE34" s="405"/>
      <c r="QF34" s="405"/>
      <c r="QG34" s="405"/>
      <c r="QH34" s="405"/>
      <c r="QI34" s="405"/>
      <c r="QJ34" s="405"/>
      <c r="QK34" s="405"/>
      <c r="QL34" s="405"/>
      <c r="QM34" s="405"/>
      <c r="QN34" s="405"/>
      <c r="QO34" s="405"/>
      <c r="QP34" s="405"/>
      <c r="QQ34" s="405"/>
      <c r="QR34" s="405"/>
      <c r="QS34" s="405"/>
      <c r="QT34" s="405"/>
      <c r="QU34" s="405"/>
      <c r="QV34" s="405"/>
      <c r="QW34" s="405"/>
      <c r="QX34" s="405"/>
      <c r="QY34" s="405"/>
      <c r="QZ34" s="405"/>
      <c r="RA34" s="405"/>
      <c r="RB34" s="405"/>
      <c r="RC34" s="405"/>
      <c r="RD34" s="405"/>
      <c r="RE34" s="405"/>
      <c r="RF34" s="405"/>
      <c r="RG34" s="405"/>
      <c r="RH34" s="405"/>
      <c r="RI34" s="405"/>
      <c r="RJ34" s="405"/>
      <c r="RK34" s="405"/>
      <c r="RL34" s="405"/>
      <c r="RM34" s="405"/>
      <c r="RN34" s="405"/>
      <c r="RO34" s="405"/>
      <c r="RP34" s="405"/>
      <c r="RQ34" s="405"/>
      <c r="RR34" s="405"/>
      <c r="RS34" s="405"/>
      <c r="RT34" s="405"/>
      <c r="RU34" s="405"/>
      <c r="RV34" s="405"/>
      <c r="RW34" s="405"/>
      <c r="RX34" s="405"/>
      <c r="RY34" s="405"/>
      <c r="RZ34" s="405"/>
      <c r="SA34" s="405"/>
      <c r="SB34" s="405"/>
      <c r="SC34" s="405"/>
      <c r="SD34" s="405"/>
      <c r="SE34" s="405"/>
      <c r="SF34" s="405"/>
      <c r="SG34" s="405"/>
      <c r="SH34" s="405"/>
      <c r="SI34" s="405"/>
      <c r="SJ34" s="405"/>
      <c r="SK34" s="405"/>
      <c r="SL34" s="405"/>
      <c r="SM34" s="405"/>
      <c r="SN34" s="405"/>
      <c r="SO34" s="405"/>
      <c r="SP34" s="405"/>
      <c r="SQ34" s="405"/>
      <c r="SR34" s="405"/>
      <c r="SS34" s="405"/>
      <c r="ST34" s="405"/>
      <c r="SU34" s="405"/>
      <c r="SV34" s="405"/>
      <c r="SW34" s="405"/>
      <c r="SX34" s="405"/>
      <c r="SY34" s="405"/>
      <c r="SZ34" s="405"/>
      <c r="TA34" s="405"/>
      <c r="TB34" s="405"/>
      <c r="TC34" s="405"/>
      <c r="TD34" s="405"/>
      <c r="TE34" s="405"/>
      <c r="TF34" s="405"/>
      <c r="TG34" s="405"/>
      <c r="TH34" s="405"/>
      <c r="TI34" s="405"/>
      <c r="TJ34" s="405"/>
      <c r="TK34" s="405"/>
      <c r="TL34" s="405"/>
      <c r="TM34" s="405"/>
      <c r="TN34" s="405"/>
      <c r="TO34" s="405"/>
      <c r="TP34" s="405"/>
      <c r="TQ34" s="405"/>
      <c r="TR34" s="405"/>
      <c r="TS34" s="405"/>
      <c r="TT34" s="405"/>
      <c r="TU34" s="405"/>
      <c r="TV34" s="405"/>
      <c r="TW34" s="405"/>
      <c r="TX34" s="405"/>
      <c r="TY34" s="405"/>
      <c r="TZ34" s="405"/>
      <c r="UA34" s="405"/>
      <c r="UB34" s="405"/>
      <c r="UC34" s="405"/>
      <c r="UD34" s="405"/>
      <c r="UE34" s="405"/>
      <c r="UF34" s="405"/>
      <c r="UG34" s="405"/>
      <c r="UH34" s="405"/>
      <c r="UI34" s="405"/>
      <c r="UJ34" s="405"/>
      <c r="UK34" s="405"/>
      <c r="UL34" s="405"/>
      <c r="UM34" s="405"/>
      <c r="UN34" s="405"/>
      <c r="UO34" s="405"/>
      <c r="UP34" s="405"/>
      <c r="UQ34" s="405"/>
      <c r="UR34" s="405"/>
      <c r="US34" s="405"/>
      <c r="UT34" s="405"/>
      <c r="UU34" s="405"/>
      <c r="UV34" s="405"/>
      <c r="UW34" s="405"/>
      <c r="UX34" s="405"/>
      <c r="UY34" s="405"/>
      <c r="UZ34" s="405"/>
      <c r="VA34" s="405"/>
      <c r="VB34" s="405"/>
      <c r="VC34" s="405"/>
      <c r="VD34" s="405"/>
      <c r="VE34" s="405"/>
      <c r="VF34" s="405"/>
      <c r="VG34" s="405"/>
      <c r="VH34" s="405"/>
      <c r="VI34" s="405"/>
      <c r="VJ34" s="405"/>
      <c r="VK34" s="405"/>
      <c r="VL34" s="405"/>
      <c r="VM34" s="405"/>
      <c r="VN34" s="405"/>
      <c r="VO34" s="405"/>
      <c r="VP34" s="405"/>
      <c r="VQ34" s="405"/>
      <c r="VR34" s="405"/>
      <c r="VS34" s="405"/>
      <c r="VT34" s="405"/>
      <c r="VU34" s="405"/>
      <c r="VV34" s="405"/>
      <c r="VW34" s="405"/>
      <c r="VX34" s="405"/>
      <c r="VY34" s="405"/>
      <c r="VZ34" s="405"/>
      <c r="WA34" s="405"/>
      <c r="WB34" s="405"/>
      <c r="WC34" s="405"/>
      <c r="WD34" s="405"/>
      <c r="WE34" s="405"/>
      <c r="WF34" s="405"/>
      <c r="WG34" s="405"/>
      <c r="WH34" s="405"/>
      <c r="WI34" s="405"/>
      <c r="WJ34" s="405"/>
      <c r="WK34" s="405"/>
      <c r="WL34" s="405"/>
      <c r="WM34" s="405"/>
      <c r="WN34" s="405"/>
      <c r="WO34" s="405"/>
      <c r="WP34" s="405"/>
      <c r="WQ34" s="405"/>
      <c r="WR34" s="405"/>
      <c r="WS34" s="405"/>
      <c r="WT34" s="405"/>
      <c r="WU34" s="405"/>
      <c r="WV34" s="405"/>
      <c r="WW34" s="405"/>
      <c r="WX34" s="405"/>
      <c r="WY34" s="405"/>
      <c r="WZ34" s="405"/>
      <c r="XA34" s="405"/>
      <c r="XB34" s="405"/>
      <c r="XC34" s="405"/>
      <c r="XD34" s="405"/>
      <c r="XE34" s="405"/>
      <c r="XF34" s="405"/>
      <c r="XG34" s="405"/>
      <c r="XH34" s="405"/>
      <c r="XI34" s="405"/>
      <c r="XJ34" s="405"/>
      <c r="XK34" s="405"/>
      <c r="XL34" s="405"/>
      <c r="XM34" s="405"/>
      <c r="XN34" s="405"/>
      <c r="XO34" s="405"/>
      <c r="XP34" s="405"/>
      <c r="XQ34" s="405"/>
      <c r="XR34" s="405"/>
      <c r="XS34" s="405"/>
      <c r="XT34" s="405"/>
      <c r="XU34" s="405"/>
      <c r="XV34" s="405"/>
      <c r="XW34" s="405"/>
      <c r="XX34" s="405"/>
      <c r="XY34" s="405"/>
      <c r="XZ34" s="405"/>
      <c r="YA34" s="405"/>
      <c r="YB34" s="405"/>
      <c r="YC34" s="405"/>
      <c r="YD34" s="405"/>
      <c r="YE34" s="405"/>
      <c r="YF34" s="405"/>
      <c r="YG34" s="405"/>
      <c r="YH34" s="405"/>
      <c r="YI34" s="405"/>
      <c r="YJ34" s="405"/>
      <c r="YK34" s="405"/>
      <c r="YL34" s="405"/>
      <c r="YM34" s="405"/>
      <c r="YN34" s="405"/>
      <c r="YO34" s="405"/>
      <c r="YP34" s="405"/>
      <c r="YQ34" s="405"/>
      <c r="YR34" s="405"/>
      <c r="YS34" s="405"/>
      <c r="YT34" s="405"/>
      <c r="YU34" s="405"/>
      <c r="YV34" s="405"/>
      <c r="YW34" s="405"/>
      <c r="YX34" s="405"/>
      <c r="YY34" s="405"/>
      <c r="YZ34" s="405"/>
      <c r="ZA34" s="405"/>
      <c r="ZB34" s="405"/>
      <c r="ZC34" s="405"/>
      <c r="ZD34" s="405"/>
      <c r="ZE34" s="405"/>
      <c r="ZF34" s="405"/>
      <c r="ZG34" s="405"/>
      <c r="ZH34" s="405"/>
      <c r="ZI34" s="405"/>
      <c r="ZJ34" s="405"/>
      <c r="ZK34" s="405"/>
      <c r="ZL34" s="405"/>
      <c r="ZM34" s="405"/>
      <c r="ZN34" s="405"/>
      <c r="ZO34" s="405"/>
      <c r="ZP34" s="405"/>
      <c r="ZQ34" s="405"/>
      <c r="ZR34" s="405"/>
      <c r="ZS34" s="405"/>
      <c r="ZT34" s="405"/>
      <c r="ZU34" s="405"/>
      <c r="ZV34" s="405"/>
      <c r="ZW34" s="405"/>
      <c r="ZX34" s="405"/>
      <c r="ZY34" s="405"/>
      <c r="ZZ34" s="405"/>
      <c r="AAA34" s="405"/>
      <c r="AAB34" s="405"/>
      <c r="AAC34" s="405"/>
      <c r="AAD34" s="405"/>
      <c r="AAE34" s="405"/>
      <c r="AAF34" s="405"/>
      <c r="AAG34" s="405"/>
      <c r="AAH34" s="405"/>
      <c r="AAI34" s="405"/>
      <c r="AAJ34" s="405"/>
      <c r="AAK34" s="405"/>
      <c r="AAL34" s="405"/>
      <c r="AAM34" s="405"/>
      <c r="AAN34" s="405"/>
      <c r="AAO34" s="405"/>
      <c r="AAP34" s="405"/>
      <c r="AAQ34" s="405"/>
      <c r="AAR34" s="405"/>
      <c r="AAS34" s="405"/>
      <c r="AAT34" s="405"/>
      <c r="AAU34" s="405"/>
      <c r="AAV34" s="405"/>
      <c r="AAW34" s="405"/>
      <c r="AAX34" s="405"/>
      <c r="AAY34" s="405"/>
      <c r="AAZ34" s="405"/>
      <c r="ABA34" s="405"/>
      <c r="ABB34" s="405"/>
      <c r="ABC34" s="405"/>
      <c r="ABD34" s="405"/>
      <c r="ABE34" s="405"/>
      <c r="ABF34" s="405"/>
      <c r="ABG34" s="405"/>
      <c r="ABH34" s="405"/>
      <c r="ABI34" s="405"/>
      <c r="ABJ34" s="405"/>
      <c r="ABK34" s="405"/>
      <c r="ABL34" s="405"/>
      <c r="ABM34" s="405"/>
      <c r="ABN34" s="405"/>
      <c r="ABO34" s="405"/>
      <c r="ABP34" s="405"/>
      <c r="ABQ34" s="405"/>
      <c r="ABR34" s="405"/>
      <c r="ABS34" s="405"/>
      <c r="ABT34" s="405"/>
      <c r="ABU34" s="405"/>
      <c r="ABV34" s="405"/>
      <c r="ABW34" s="405"/>
      <c r="ABX34" s="405"/>
      <c r="ABY34" s="405"/>
      <c r="ABZ34" s="405"/>
      <c r="ACA34" s="405"/>
      <c r="ACB34" s="405"/>
      <c r="ACC34" s="405"/>
      <c r="ACD34" s="405"/>
      <c r="ACE34" s="405"/>
      <c r="ACF34" s="405"/>
      <c r="ACG34" s="405"/>
      <c r="ACH34" s="405"/>
      <c r="ACI34" s="405"/>
      <c r="ACJ34" s="405"/>
      <c r="ACK34" s="405"/>
      <c r="ACL34" s="405"/>
      <c r="ACM34" s="405"/>
      <c r="ACN34" s="405"/>
      <c r="ACO34" s="405"/>
      <c r="ACP34" s="405"/>
      <c r="ACQ34" s="405"/>
      <c r="ACR34" s="405"/>
      <c r="ACS34" s="405"/>
      <c r="ACT34" s="405"/>
      <c r="ACU34" s="405"/>
      <c r="ACV34" s="405"/>
      <c r="ACW34" s="405"/>
      <c r="ACX34" s="405"/>
      <c r="ACY34" s="405"/>
      <c r="ACZ34" s="405"/>
      <c r="ADA34" s="405"/>
      <c r="ADB34" s="405"/>
      <c r="ADC34" s="405"/>
      <c r="ADD34" s="405"/>
      <c r="ADE34" s="405"/>
      <c r="ADF34" s="405"/>
      <c r="ADG34" s="405"/>
      <c r="ADH34" s="405"/>
      <c r="ADI34" s="405"/>
      <c r="ADJ34" s="405"/>
      <c r="ADK34" s="405"/>
      <c r="ADL34" s="405"/>
      <c r="ADM34" s="405"/>
      <c r="ADN34" s="405"/>
      <c r="ADO34" s="405"/>
      <c r="ADP34" s="405"/>
      <c r="ADQ34" s="405"/>
      <c r="ADR34" s="405"/>
      <c r="ADS34" s="405"/>
      <c r="ADT34" s="405"/>
      <c r="ADU34" s="405"/>
      <c r="ADV34" s="405"/>
      <c r="ADW34" s="405"/>
      <c r="ADX34" s="405"/>
      <c r="ADY34" s="405"/>
      <c r="ADZ34" s="405"/>
      <c r="AEA34" s="405"/>
      <c r="AEB34" s="405"/>
      <c r="AEC34" s="405"/>
      <c r="AED34" s="405"/>
      <c r="AEE34" s="405"/>
      <c r="AEF34" s="405"/>
      <c r="AEG34" s="405"/>
      <c r="AEH34" s="405"/>
      <c r="AEI34" s="405"/>
      <c r="AEJ34" s="405"/>
      <c r="AEK34" s="405"/>
      <c r="AEL34" s="405"/>
      <c r="AEM34" s="405"/>
      <c r="AEN34" s="405"/>
      <c r="AEO34" s="405"/>
      <c r="AEP34" s="405"/>
      <c r="AEQ34" s="405"/>
      <c r="AER34" s="405"/>
      <c r="AES34" s="405"/>
      <c r="AET34" s="405"/>
      <c r="AEU34" s="405"/>
      <c r="AEV34" s="405"/>
      <c r="AEW34" s="405"/>
      <c r="AEX34" s="405"/>
      <c r="AEY34" s="405"/>
      <c r="AEZ34" s="405"/>
      <c r="AFA34" s="405"/>
      <c r="AFB34" s="405"/>
      <c r="AFC34" s="405"/>
      <c r="AFD34" s="405"/>
      <c r="AFE34" s="405"/>
      <c r="AFF34" s="405"/>
      <c r="AFG34" s="405"/>
      <c r="AFH34" s="405"/>
      <c r="AFI34" s="405"/>
      <c r="AFJ34" s="405"/>
      <c r="AFK34" s="405"/>
      <c r="AFL34" s="405"/>
      <c r="AFM34" s="405"/>
      <c r="AFN34" s="405"/>
      <c r="AFO34" s="405"/>
      <c r="AFP34" s="405"/>
      <c r="AFQ34" s="405"/>
      <c r="AFR34" s="405"/>
      <c r="AFS34" s="405"/>
      <c r="AFT34" s="405"/>
      <c r="AFU34" s="405"/>
      <c r="AFV34" s="405"/>
      <c r="AFW34" s="405"/>
      <c r="AFX34" s="405"/>
      <c r="AFY34" s="405"/>
      <c r="AFZ34" s="405"/>
      <c r="AGA34" s="405"/>
      <c r="AGB34" s="405"/>
      <c r="AGC34" s="405"/>
      <c r="AGD34" s="405"/>
      <c r="AGE34" s="405"/>
      <c r="AGF34" s="405"/>
      <c r="AGG34" s="405"/>
      <c r="AGH34" s="405"/>
      <c r="AGI34" s="405"/>
      <c r="AGJ34" s="405"/>
      <c r="AGK34" s="405"/>
      <c r="AGL34" s="405"/>
      <c r="AGM34" s="405"/>
      <c r="AGN34" s="405"/>
      <c r="AGO34" s="405"/>
      <c r="AGP34" s="405"/>
      <c r="AGQ34" s="405"/>
      <c r="AGR34" s="405"/>
      <c r="AGS34" s="405"/>
      <c r="AGT34" s="405"/>
      <c r="AGU34" s="405"/>
      <c r="AGV34" s="405"/>
      <c r="AGW34" s="405"/>
      <c r="AGX34" s="405"/>
      <c r="AGY34" s="405"/>
      <c r="AGZ34" s="405"/>
      <c r="AHA34" s="405"/>
      <c r="AHB34" s="405"/>
      <c r="AHC34" s="405"/>
      <c r="AHD34" s="405"/>
      <c r="AHE34" s="405"/>
      <c r="AHF34" s="405"/>
      <c r="AHG34" s="405"/>
      <c r="AHH34" s="405"/>
      <c r="AHI34" s="405"/>
      <c r="AHJ34" s="405"/>
      <c r="AHK34" s="405"/>
      <c r="AHL34" s="405"/>
      <c r="AHM34" s="405"/>
      <c r="AHN34" s="405"/>
      <c r="AHO34" s="405"/>
      <c r="AHP34" s="405"/>
      <c r="AHQ34" s="405"/>
      <c r="AHR34" s="405"/>
      <c r="AHS34" s="405"/>
      <c r="AHT34" s="405"/>
      <c r="AHU34" s="405"/>
      <c r="AHV34" s="405"/>
      <c r="AHW34" s="405"/>
      <c r="AHX34" s="405"/>
      <c r="AHY34" s="405"/>
      <c r="AHZ34" s="405"/>
      <c r="AIA34" s="405"/>
      <c r="AIB34" s="405"/>
      <c r="AIC34" s="405"/>
      <c r="AID34" s="405"/>
      <c r="AIE34" s="405"/>
      <c r="AIF34" s="405"/>
      <c r="AIG34" s="405"/>
      <c r="AIH34" s="405"/>
      <c r="AII34" s="405"/>
      <c r="AIJ34" s="405"/>
      <c r="AIK34" s="405"/>
      <c r="AIL34" s="405"/>
      <c r="AIM34" s="405"/>
      <c r="AIN34" s="405"/>
      <c r="AIO34" s="405"/>
      <c r="AIP34" s="405"/>
      <c r="AIQ34" s="405"/>
      <c r="AIR34" s="405"/>
      <c r="AIS34" s="405"/>
      <c r="AIT34" s="405"/>
      <c r="AIU34" s="405"/>
      <c r="AIV34" s="405"/>
      <c r="AIW34" s="405"/>
      <c r="AIX34" s="405"/>
      <c r="AIY34" s="405"/>
      <c r="AIZ34" s="405"/>
      <c r="AJA34" s="405"/>
      <c r="AJB34" s="405"/>
      <c r="AJC34" s="405"/>
      <c r="AJD34" s="405"/>
      <c r="AJE34" s="405"/>
      <c r="AJF34" s="405"/>
      <c r="AJG34" s="405"/>
      <c r="AJH34" s="405"/>
      <c r="AJI34" s="405"/>
      <c r="AJJ34" s="405"/>
      <c r="AJK34" s="405"/>
      <c r="AJL34" s="405"/>
      <c r="AJM34" s="405"/>
      <c r="AJN34" s="405"/>
      <c r="AJO34" s="405"/>
      <c r="AJP34" s="405"/>
      <c r="AJQ34" s="405"/>
      <c r="AJR34" s="405"/>
      <c r="AJS34" s="405"/>
      <c r="AJT34" s="405"/>
      <c r="AJU34" s="405"/>
      <c r="AJV34" s="405"/>
      <c r="AJW34" s="405"/>
      <c r="AJX34" s="405"/>
      <c r="AJY34" s="405"/>
      <c r="AJZ34" s="405"/>
      <c r="AKA34" s="405"/>
      <c r="AKB34" s="405"/>
      <c r="AKC34" s="405"/>
      <c r="AKD34" s="405"/>
      <c r="AKE34" s="405"/>
      <c r="AKF34" s="405"/>
      <c r="AKG34" s="405"/>
      <c r="AKH34" s="405"/>
      <c r="AKI34" s="405"/>
      <c r="AKJ34" s="405"/>
      <c r="AKK34" s="405"/>
      <c r="AKL34" s="405"/>
      <c r="AKM34" s="405"/>
      <c r="AKN34" s="405"/>
      <c r="AKO34" s="405"/>
      <c r="AKP34" s="405"/>
      <c r="AKQ34" s="405"/>
      <c r="AKR34" s="405"/>
      <c r="AKS34" s="405"/>
      <c r="AKT34" s="405"/>
      <c r="AKU34" s="405"/>
      <c r="AKV34" s="405"/>
      <c r="AKW34" s="405"/>
      <c r="AKX34" s="405"/>
      <c r="AKY34" s="405"/>
      <c r="AKZ34" s="405"/>
      <c r="ALA34" s="405"/>
      <c r="ALB34" s="405"/>
      <c r="ALC34" s="405"/>
      <c r="ALD34" s="405"/>
      <c r="ALE34" s="405"/>
      <c r="ALF34" s="405"/>
      <c r="ALG34" s="405"/>
      <c r="ALH34" s="405"/>
      <c r="ALI34" s="405"/>
      <c r="ALJ34" s="405"/>
      <c r="ALK34" s="405"/>
      <c r="ALL34" s="405"/>
      <c r="ALM34" s="405"/>
      <c r="ALN34" s="405"/>
      <c r="ALO34" s="405"/>
      <c r="ALP34" s="405"/>
      <c r="ALQ34" s="405"/>
      <c r="ALR34" s="405"/>
      <c r="ALS34" s="405"/>
      <c r="ALT34" s="405"/>
      <c r="ALU34" s="405"/>
      <c r="ALV34" s="405"/>
      <c r="ALW34" s="405"/>
      <c r="ALX34" s="405"/>
      <c r="ALY34" s="405"/>
      <c r="ALZ34" s="405"/>
      <c r="AMA34" s="405"/>
      <c r="AMB34" s="405"/>
      <c r="AMC34" s="405"/>
      <c r="AMD34" s="405"/>
      <c r="AME34" s="405"/>
      <c r="AMF34" s="405"/>
      <c r="AMG34" s="405"/>
      <c r="AMH34" s="405"/>
      <c r="AMI34" s="405"/>
      <c r="AMJ34" s="405"/>
      <c r="AMK34" s="405"/>
    </row>
    <row r="35" spans="1:1025" s="406" customFormat="1" ht="22.5" x14ac:dyDescent="0.25">
      <c r="A35" s="102">
        <f>IF(COUNTBLANK(B35)=1," ",COUNTA(B$14:B35))</f>
        <v>18</v>
      </c>
      <c r="B35" s="399" t="s">
        <v>87</v>
      </c>
      <c r="C35" s="564" t="s">
        <v>349</v>
      </c>
      <c r="D35" s="883" t="s">
        <v>58</v>
      </c>
      <c r="E35" s="407">
        <v>63</v>
      </c>
      <c r="F35" s="401"/>
      <c r="G35" s="210"/>
      <c r="H35" s="208">
        <f t="shared" si="0"/>
        <v>0</v>
      </c>
      <c r="I35" s="400"/>
      <c r="J35" s="209"/>
      <c r="K35" s="307">
        <f t="shared" si="1"/>
        <v>0</v>
      </c>
      <c r="L35" s="307">
        <f t="shared" si="2"/>
        <v>0</v>
      </c>
      <c r="M35" s="307">
        <f t="shared" si="3"/>
        <v>0</v>
      </c>
      <c r="N35" s="307">
        <f t="shared" si="4"/>
        <v>0</v>
      </c>
      <c r="O35" s="307">
        <f t="shared" si="5"/>
        <v>0</v>
      </c>
      <c r="P35" s="307">
        <f t="shared" si="6"/>
        <v>0</v>
      </c>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05"/>
      <c r="BA35" s="405"/>
      <c r="BB35" s="405"/>
      <c r="BC35" s="405"/>
      <c r="BD35" s="405"/>
      <c r="BE35" s="405"/>
      <c r="BF35" s="405"/>
      <c r="BG35" s="405"/>
      <c r="BH35" s="405"/>
      <c r="BI35" s="405"/>
      <c r="BJ35" s="405"/>
      <c r="BK35" s="405"/>
      <c r="BL35" s="405"/>
      <c r="BM35" s="405"/>
      <c r="BN35" s="405"/>
      <c r="BO35" s="405"/>
      <c r="BP35" s="405"/>
      <c r="BQ35" s="405"/>
      <c r="BR35" s="405"/>
      <c r="BS35" s="405"/>
      <c r="BT35" s="405"/>
      <c r="BU35" s="405"/>
      <c r="BV35" s="405"/>
      <c r="BW35" s="405"/>
      <c r="BX35" s="405"/>
      <c r="BY35" s="405"/>
      <c r="BZ35" s="405"/>
      <c r="CA35" s="405"/>
      <c r="CB35" s="405"/>
      <c r="CC35" s="405"/>
      <c r="CD35" s="405"/>
      <c r="CE35" s="405"/>
      <c r="CF35" s="405"/>
      <c r="CG35" s="405"/>
      <c r="CH35" s="405"/>
      <c r="CI35" s="405"/>
      <c r="CJ35" s="405"/>
      <c r="CK35" s="405"/>
      <c r="CL35" s="405"/>
      <c r="CM35" s="405"/>
      <c r="CN35" s="405"/>
      <c r="CO35" s="405"/>
      <c r="CP35" s="405"/>
      <c r="CQ35" s="405"/>
      <c r="CR35" s="405"/>
      <c r="CS35" s="405"/>
      <c r="CT35" s="405"/>
      <c r="CU35" s="405"/>
      <c r="CV35" s="405"/>
      <c r="CW35" s="405"/>
      <c r="CX35" s="405"/>
      <c r="CY35" s="405"/>
      <c r="CZ35" s="405"/>
      <c r="DA35" s="405"/>
      <c r="DB35" s="405"/>
      <c r="DC35" s="405"/>
      <c r="DD35" s="405"/>
      <c r="DE35" s="405"/>
      <c r="DF35" s="405"/>
      <c r="DG35" s="405"/>
      <c r="DH35" s="405"/>
      <c r="DI35" s="405"/>
      <c r="DJ35" s="405"/>
      <c r="DK35" s="405"/>
      <c r="DL35" s="405"/>
      <c r="DM35" s="405"/>
      <c r="DN35" s="405"/>
      <c r="DO35" s="405"/>
      <c r="DP35" s="405"/>
      <c r="DQ35" s="405"/>
      <c r="DR35" s="405"/>
      <c r="DS35" s="405"/>
      <c r="DT35" s="405"/>
      <c r="DU35" s="405"/>
      <c r="DV35" s="405"/>
      <c r="DW35" s="405"/>
      <c r="DX35" s="405"/>
      <c r="DY35" s="405"/>
      <c r="DZ35" s="405"/>
      <c r="EA35" s="405"/>
      <c r="EB35" s="405"/>
      <c r="EC35" s="405"/>
      <c r="ED35" s="405"/>
      <c r="EE35" s="405"/>
      <c r="EF35" s="405"/>
      <c r="EG35" s="405"/>
      <c r="EH35" s="405"/>
      <c r="EI35" s="405"/>
      <c r="EJ35" s="405"/>
      <c r="EK35" s="405"/>
      <c r="EL35" s="405"/>
      <c r="EM35" s="405"/>
      <c r="EN35" s="405"/>
      <c r="EO35" s="405"/>
      <c r="EP35" s="405"/>
      <c r="EQ35" s="405"/>
      <c r="ER35" s="405"/>
      <c r="ES35" s="405"/>
      <c r="ET35" s="405"/>
      <c r="EU35" s="405"/>
      <c r="EV35" s="405"/>
      <c r="EW35" s="405"/>
      <c r="EX35" s="405"/>
      <c r="EY35" s="405"/>
      <c r="EZ35" s="405"/>
      <c r="FA35" s="405"/>
      <c r="FB35" s="405"/>
      <c r="FC35" s="405"/>
      <c r="FD35" s="405"/>
      <c r="FE35" s="405"/>
      <c r="FF35" s="405"/>
      <c r="FG35" s="405"/>
      <c r="FH35" s="405"/>
      <c r="FI35" s="405"/>
      <c r="FJ35" s="405"/>
      <c r="FK35" s="405"/>
      <c r="FL35" s="405"/>
      <c r="FM35" s="405"/>
      <c r="FN35" s="405"/>
      <c r="FO35" s="405"/>
      <c r="FP35" s="405"/>
      <c r="FQ35" s="405"/>
      <c r="FR35" s="405"/>
      <c r="FS35" s="405"/>
      <c r="FT35" s="405"/>
      <c r="FU35" s="405"/>
      <c r="FV35" s="405"/>
      <c r="FW35" s="405"/>
      <c r="FX35" s="405"/>
      <c r="FY35" s="405"/>
      <c r="FZ35" s="405"/>
      <c r="GA35" s="405"/>
      <c r="GB35" s="405"/>
      <c r="GC35" s="405"/>
      <c r="GD35" s="405"/>
      <c r="GE35" s="405"/>
      <c r="GF35" s="405"/>
      <c r="GG35" s="405"/>
      <c r="GH35" s="405"/>
      <c r="GI35" s="405"/>
      <c r="GJ35" s="405"/>
      <c r="GK35" s="405"/>
      <c r="GL35" s="405"/>
      <c r="GM35" s="405"/>
      <c r="GN35" s="405"/>
      <c r="GO35" s="405"/>
      <c r="GP35" s="405"/>
      <c r="GQ35" s="405"/>
      <c r="GR35" s="405"/>
      <c r="GS35" s="405"/>
      <c r="GT35" s="405"/>
      <c r="GU35" s="405"/>
      <c r="GV35" s="405"/>
      <c r="GW35" s="405"/>
      <c r="GX35" s="405"/>
      <c r="GY35" s="405"/>
      <c r="GZ35" s="405"/>
      <c r="HA35" s="405"/>
      <c r="HB35" s="405"/>
      <c r="HC35" s="405"/>
      <c r="HD35" s="405"/>
      <c r="HE35" s="405"/>
      <c r="HF35" s="405"/>
      <c r="HG35" s="405"/>
      <c r="HH35" s="405"/>
      <c r="HI35" s="405"/>
      <c r="HJ35" s="405"/>
      <c r="HK35" s="405"/>
      <c r="HL35" s="405"/>
      <c r="HM35" s="405"/>
      <c r="HN35" s="405"/>
      <c r="HO35" s="405"/>
      <c r="HP35" s="405"/>
      <c r="HQ35" s="405"/>
      <c r="HR35" s="405"/>
      <c r="HS35" s="405"/>
      <c r="HT35" s="405"/>
      <c r="HU35" s="405"/>
      <c r="HV35" s="405"/>
      <c r="HW35" s="405"/>
      <c r="HX35" s="405"/>
      <c r="HY35" s="405"/>
      <c r="HZ35" s="405"/>
      <c r="IA35" s="405"/>
      <c r="IB35" s="405"/>
      <c r="IC35" s="405"/>
      <c r="ID35" s="405"/>
      <c r="IE35" s="405"/>
      <c r="IF35" s="405"/>
      <c r="IG35" s="405"/>
      <c r="IH35" s="405"/>
      <c r="II35" s="405"/>
      <c r="IJ35" s="405"/>
      <c r="IK35" s="405"/>
      <c r="IL35" s="405"/>
      <c r="IM35" s="405"/>
      <c r="IN35" s="405"/>
      <c r="IO35" s="405"/>
      <c r="IP35" s="405"/>
      <c r="IQ35" s="405"/>
      <c r="IR35" s="405"/>
      <c r="IS35" s="405"/>
      <c r="IT35" s="405"/>
      <c r="IU35" s="405"/>
      <c r="IV35" s="405"/>
      <c r="IW35" s="405"/>
      <c r="IX35" s="405"/>
      <c r="IY35" s="405"/>
      <c r="IZ35" s="405"/>
      <c r="JA35" s="405"/>
      <c r="JB35" s="405"/>
      <c r="JC35" s="405"/>
      <c r="JD35" s="405"/>
      <c r="JE35" s="405"/>
      <c r="JF35" s="405"/>
      <c r="JG35" s="405"/>
      <c r="JH35" s="405"/>
      <c r="JI35" s="405"/>
      <c r="JJ35" s="405"/>
      <c r="JK35" s="405"/>
      <c r="JL35" s="405"/>
      <c r="JM35" s="405"/>
      <c r="JN35" s="405"/>
      <c r="JO35" s="405"/>
      <c r="JP35" s="405"/>
      <c r="JQ35" s="405"/>
      <c r="JR35" s="405"/>
      <c r="JS35" s="405"/>
      <c r="JT35" s="405"/>
      <c r="JU35" s="405"/>
      <c r="JV35" s="405"/>
      <c r="JW35" s="405"/>
      <c r="JX35" s="405"/>
      <c r="JY35" s="405"/>
      <c r="JZ35" s="405"/>
      <c r="KA35" s="405"/>
      <c r="KB35" s="405"/>
      <c r="KC35" s="405"/>
      <c r="KD35" s="405"/>
      <c r="KE35" s="405"/>
      <c r="KF35" s="405"/>
      <c r="KG35" s="405"/>
      <c r="KH35" s="405"/>
      <c r="KI35" s="405"/>
      <c r="KJ35" s="405"/>
      <c r="KK35" s="405"/>
      <c r="KL35" s="405"/>
      <c r="KM35" s="405"/>
      <c r="KN35" s="405"/>
      <c r="KO35" s="405"/>
      <c r="KP35" s="405"/>
      <c r="KQ35" s="405"/>
      <c r="KR35" s="405"/>
      <c r="KS35" s="405"/>
      <c r="KT35" s="405"/>
      <c r="KU35" s="405"/>
      <c r="KV35" s="405"/>
      <c r="KW35" s="405"/>
      <c r="KX35" s="405"/>
      <c r="KY35" s="405"/>
      <c r="KZ35" s="405"/>
      <c r="LA35" s="405"/>
      <c r="LB35" s="405"/>
      <c r="LC35" s="405"/>
      <c r="LD35" s="405"/>
      <c r="LE35" s="405"/>
      <c r="LF35" s="405"/>
      <c r="LG35" s="405"/>
      <c r="LH35" s="405"/>
      <c r="LI35" s="405"/>
      <c r="LJ35" s="405"/>
      <c r="LK35" s="405"/>
      <c r="LL35" s="405"/>
      <c r="LM35" s="405"/>
      <c r="LN35" s="405"/>
      <c r="LO35" s="405"/>
      <c r="LP35" s="405"/>
      <c r="LQ35" s="405"/>
      <c r="LR35" s="405"/>
      <c r="LS35" s="405"/>
      <c r="LT35" s="405"/>
      <c r="LU35" s="405"/>
      <c r="LV35" s="405"/>
      <c r="LW35" s="405"/>
      <c r="LX35" s="405"/>
      <c r="LY35" s="405"/>
      <c r="LZ35" s="405"/>
      <c r="MA35" s="405"/>
      <c r="MB35" s="405"/>
      <c r="MC35" s="405"/>
      <c r="MD35" s="405"/>
      <c r="ME35" s="405"/>
      <c r="MF35" s="405"/>
      <c r="MG35" s="405"/>
      <c r="MH35" s="405"/>
      <c r="MI35" s="405"/>
      <c r="MJ35" s="405"/>
      <c r="MK35" s="405"/>
      <c r="ML35" s="405"/>
      <c r="MM35" s="405"/>
      <c r="MN35" s="405"/>
      <c r="MO35" s="405"/>
      <c r="MP35" s="405"/>
      <c r="MQ35" s="405"/>
      <c r="MR35" s="405"/>
      <c r="MS35" s="405"/>
      <c r="MT35" s="405"/>
      <c r="MU35" s="405"/>
      <c r="MV35" s="405"/>
      <c r="MW35" s="405"/>
      <c r="MX35" s="405"/>
      <c r="MY35" s="405"/>
      <c r="MZ35" s="405"/>
      <c r="NA35" s="405"/>
      <c r="NB35" s="405"/>
      <c r="NC35" s="405"/>
      <c r="ND35" s="405"/>
      <c r="NE35" s="405"/>
      <c r="NF35" s="405"/>
      <c r="NG35" s="405"/>
      <c r="NH35" s="405"/>
      <c r="NI35" s="405"/>
      <c r="NJ35" s="405"/>
      <c r="NK35" s="405"/>
      <c r="NL35" s="405"/>
      <c r="NM35" s="405"/>
      <c r="NN35" s="405"/>
      <c r="NO35" s="405"/>
      <c r="NP35" s="405"/>
      <c r="NQ35" s="405"/>
      <c r="NR35" s="405"/>
      <c r="NS35" s="405"/>
      <c r="NT35" s="405"/>
      <c r="NU35" s="405"/>
      <c r="NV35" s="405"/>
      <c r="NW35" s="405"/>
      <c r="NX35" s="405"/>
      <c r="NY35" s="405"/>
      <c r="NZ35" s="405"/>
      <c r="OA35" s="405"/>
      <c r="OB35" s="405"/>
      <c r="OC35" s="405"/>
      <c r="OD35" s="405"/>
      <c r="OE35" s="405"/>
      <c r="OF35" s="405"/>
      <c r="OG35" s="405"/>
      <c r="OH35" s="405"/>
      <c r="OI35" s="405"/>
      <c r="OJ35" s="405"/>
      <c r="OK35" s="405"/>
      <c r="OL35" s="405"/>
      <c r="OM35" s="405"/>
      <c r="ON35" s="405"/>
      <c r="OO35" s="405"/>
      <c r="OP35" s="405"/>
      <c r="OQ35" s="405"/>
      <c r="OR35" s="405"/>
      <c r="OS35" s="405"/>
      <c r="OT35" s="405"/>
      <c r="OU35" s="405"/>
      <c r="OV35" s="405"/>
      <c r="OW35" s="405"/>
      <c r="OX35" s="405"/>
      <c r="OY35" s="405"/>
      <c r="OZ35" s="405"/>
      <c r="PA35" s="405"/>
      <c r="PB35" s="405"/>
      <c r="PC35" s="405"/>
      <c r="PD35" s="405"/>
      <c r="PE35" s="405"/>
      <c r="PF35" s="405"/>
      <c r="PG35" s="405"/>
      <c r="PH35" s="405"/>
      <c r="PI35" s="405"/>
      <c r="PJ35" s="405"/>
      <c r="PK35" s="405"/>
      <c r="PL35" s="405"/>
      <c r="PM35" s="405"/>
      <c r="PN35" s="405"/>
      <c r="PO35" s="405"/>
      <c r="PP35" s="405"/>
      <c r="PQ35" s="405"/>
      <c r="PR35" s="405"/>
      <c r="PS35" s="405"/>
      <c r="PT35" s="405"/>
      <c r="PU35" s="405"/>
      <c r="PV35" s="405"/>
      <c r="PW35" s="405"/>
      <c r="PX35" s="405"/>
      <c r="PY35" s="405"/>
      <c r="PZ35" s="405"/>
      <c r="QA35" s="405"/>
      <c r="QB35" s="405"/>
      <c r="QC35" s="405"/>
      <c r="QD35" s="405"/>
      <c r="QE35" s="405"/>
      <c r="QF35" s="405"/>
      <c r="QG35" s="405"/>
      <c r="QH35" s="405"/>
      <c r="QI35" s="405"/>
      <c r="QJ35" s="405"/>
      <c r="QK35" s="405"/>
      <c r="QL35" s="405"/>
      <c r="QM35" s="405"/>
      <c r="QN35" s="405"/>
      <c r="QO35" s="405"/>
      <c r="QP35" s="405"/>
      <c r="QQ35" s="405"/>
      <c r="QR35" s="405"/>
      <c r="QS35" s="405"/>
      <c r="QT35" s="405"/>
      <c r="QU35" s="405"/>
      <c r="QV35" s="405"/>
      <c r="QW35" s="405"/>
      <c r="QX35" s="405"/>
      <c r="QY35" s="405"/>
      <c r="QZ35" s="405"/>
      <c r="RA35" s="405"/>
      <c r="RB35" s="405"/>
      <c r="RC35" s="405"/>
      <c r="RD35" s="405"/>
      <c r="RE35" s="405"/>
      <c r="RF35" s="405"/>
      <c r="RG35" s="405"/>
      <c r="RH35" s="405"/>
      <c r="RI35" s="405"/>
      <c r="RJ35" s="405"/>
      <c r="RK35" s="405"/>
      <c r="RL35" s="405"/>
      <c r="RM35" s="405"/>
      <c r="RN35" s="405"/>
      <c r="RO35" s="405"/>
      <c r="RP35" s="405"/>
      <c r="RQ35" s="405"/>
      <c r="RR35" s="405"/>
      <c r="RS35" s="405"/>
      <c r="RT35" s="405"/>
      <c r="RU35" s="405"/>
      <c r="RV35" s="405"/>
      <c r="RW35" s="405"/>
      <c r="RX35" s="405"/>
      <c r="RY35" s="405"/>
      <c r="RZ35" s="405"/>
      <c r="SA35" s="405"/>
      <c r="SB35" s="405"/>
      <c r="SC35" s="405"/>
      <c r="SD35" s="405"/>
      <c r="SE35" s="405"/>
      <c r="SF35" s="405"/>
      <c r="SG35" s="405"/>
      <c r="SH35" s="405"/>
      <c r="SI35" s="405"/>
      <c r="SJ35" s="405"/>
      <c r="SK35" s="405"/>
      <c r="SL35" s="405"/>
      <c r="SM35" s="405"/>
      <c r="SN35" s="405"/>
      <c r="SO35" s="405"/>
      <c r="SP35" s="405"/>
      <c r="SQ35" s="405"/>
      <c r="SR35" s="405"/>
      <c r="SS35" s="405"/>
      <c r="ST35" s="405"/>
      <c r="SU35" s="405"/>
      <c r="SV35" s="405"/>
      <c r="SW35" s="405"/>
      <c r="SX35" s="405"/>
      <c r="SY35" s="405"/>
      <c r="SZ35" s="405"/>
      <c r="TA35" s="405"/>
      <c r="TB35" s="405"/>
      <c r="TC35" s="405"/>
      <c r="TD35" s="405"/>
      <c r="TE35" s="405"/>
      <c r="TF35" s="405"/>
      <c r="TG35" s="405"/>
      <c r="TH35" s="405"/>
      <c r="TI35" s="405"/>
      <c r="TJ35" s="405"/>
      <c r="TK35" s="405"/>
      <c r="TL35" s="405"/>
      <c r="TM35" s="405"/>
      <c r="TN35" s="405"/>
      <c r="TO35" s="405"/>
      <c r="TP35" s="405"/>
      <c r="TQ35" s="405"/>
      <c r="TR35" s="405"/>
      <c r="TS35" s="405"/>
      <c r="TT35" s="405"/>
      <c r="TU35" s="405"/>
      <c r="TV35" s="405"/>
      <c r="TW35" s="405"/>
      <c r="TX35" s="405"/>
      <c r="TY35" s="405"/>
      <c r="TZ35" s="405"/>
      <c r="UA35" s="405"/>
      <c r="UB35" s="405"/>
      <c r="UC35" s="405"/>
      <c r="UD35" s="405"/>
      <c r="UE35" s="405"/>
      <c r="UF35" s="405"/>
      <c r="UG35" s="405"/>
      <c r="UH35" s="405"/>
      <c r="UI35" s="405"/>
      <c r="UJ35" s="405"/>
      <c r="UK35" s="405"/>
      <c r="UL35" s="405"/>
      <c r="UM35" s="405"/>
      <c r="UN35" s="405"/>
      <c r="UO35" s="405"/>
      <c r="UP35" s="405"/>
      <c r="UQ35" s="405"/>
      <c r="UR35" s="405"/>
      <c r="US35" s="405"/>
      <c r="UT35" s="405"/>
      <c r="UU35" s="405"/>
      <c r="UV35" s="405"/>
      <c r="UW35" s="405"/>
      <c r="UX35" s="405"/>
      <c r="UY35" s="405"/>
      <c r="UZ35" s="405"/>
      <c r="VA35" s="405"/>
      <c r="VB35" s="405"/>
      <c r="VC35" s="405"/>
      <c r="VD35" s="405"/>
      <c r="VE35" s="405"/>
      <c r="VF35" s="405"/>
      <c r="VG35" s="405"/>
      <c r="VH35" s="405"/>
      <c r="VI35" s="405"/>
      <c r="VJ35" s="405"/>
      <c r="VK35" s="405"/>
      <c r="VL35" s="405"/>
      <c r="VM35" s="405"/>
      <c r="VN35" s="405"/>
      <c r="VO35" s="405"/>
      <c r="VP35" s="405"/>
      <c r="VQ35" s="405"/>
      <c r="VR35" s="405"/>
      <c r="VS35" s="405"/>
      <c r="VT35" s="405"/>
      <c r="VU35" s="405"/>
      <c r="VV35" s="405"/>
      <c r="VW35" s="405"/>
      <c r="VX35" s="405"/>
      <c r="VY35" s="405"/>
      <c r="VZ35" s="405"/>
      <c r="WA35" s="405"/>
      <c r="WB35" s="405"/>
      <c r="WC35" s="405"/>
      <c r="WD35" s="405"/>
      <c r="WE35" s="405"/>
      <c r="WF35" s="405"/>
      <c r="WG35" s="405"/>
      <c r="WH35" s="405"/>
      <c r="WI35" s="405"/>
      <c r="WJ35" s="405"/>
      <c r="WK35" s="405"/>
      <c r="WL35" s="405"/>
      <c r="WM35" s="405"/>
      <c r="WN35" s="405"/>
      <c r="WO35" s="405"/>
      <c r="WP35" s="405"/>
      <c r="WQ35" s="405"/>
      <c r="WR35" s="405"/>
      <c r="WS35" s="405"/>
      <c r="WT35" s="405"/>
      <c r="WU35" s="405"/>
      <c r="WV35" s="405"/>
      <c r="WW35" s="405"/>
      <c r="WX35" s="405"/>
      <c r="WY35" s="405"/>
      <c r="WZ35" s="405"/>
      <c r="XA35" s="405"/>
      <c r="XB35" s="405"/>
      <c r="XC35" s="405"/>
      <c r="XD35" s="405"/>
      <c r="XE35" s="405"/>
      <c r="XF35" s="405"/>
      <c r="XG35" s="405"/>
      <c r="XH35" s="405"/>
      <c r="XI35" s="405"/>
      <c r="XJ35" s="405"/>
      <c r="XK35" s="405"/>
      <c r="XL35" s="405"/>
      <c r="XM35" s="405"/>
      <c r="XN35" s="405"/>
      <c r="XO35" s="405"/>
      <c r="XP35" s="405"/>
      <c r="XQ35" s="405"/>
      <c r="XR35" s="405"/>
      <c r="XS35" s="405"/>
      <c r="XT35" s="405"/>
      <c r="XU35" s="405"/>
      <c r="XV35" s="405"/>
      <c r="XW35" s="405"/>
      <c r="XX35" s="405"/>
      <c r="XY35" s="405"/>
      <c r="XZ35" s="405"/>
      <c r="YA35" s="405"/>
      <c r="YB35" s="405"/>
      <c r="YC35" s="405"/>
      <c r="YD35" s="405"/>
      <c r="YE35" s="405"/>
      <c r="YF35" s="405"/>
      <c r="YG35" s="405"/>
      <c r="YH35" s="405"/>
      <c r="YI35" s="405"/>
      <c r="YJ35" s="405"/>
      <c r="YK35" s="405"/>
      <c r="YL35" s="405"/>
      <c r="YM35" s="405"/>
      <c r="YN35" s="405"/>
      <c r="YO35" s="405"/>
      <c r="YP35" s="405"/>
      <c r="YQ35" s="405"/>
      <c r="YR35" s="405"/>
      <c r="YS35" s="405"/>
      <c r="YT35" s="405"/>
      <c r="YU35" s="405"/>
      <c r="YV35" s="405"/>
      <c r="YW35" s="405"/>
      <c r="YX35" s="405"/>
      <c r="YY35" s="405"/>
      <c r="YZ35" s="405"/>
      <c r="ZA35" s="405"/>
      <c r="ZB35" s="405"/>
      <c r="ZC35" s="405"/>
      <c r="ZD35" s="405"/>
      <c r="ZE35" s="405"/>
      <c r="ZF35" s="405"/>
      <c r="ZG35" s="405"/>
      <c r="ZH35" s="405"/>
      <c r="ZI35" s="405"/>
      <c r="ZJ35" s="405"/>
      <c r="ZK35" s="405"/>
      <c r="ZL35" s="405"/>
      <c r="ZM35" s="405"/>
      <c r="ZN35" s="405"/>
      <c r="ZO35" s="405"/>
      <c r="ZP35" s="405"/>
      <c r="ZQ35" s="405"/>
      <c r="ZR35" s="405"/>
      <c r="ZS35" s="405"/>
      <c r="ZT35" s="405"/>
      <c r="ZU35" s="405"/>
      <c r="ZV35" s="405"/>
      <c r="ZW35" s="405"/>
      <c r="ZX35" s="405"/>
      <c r="ZY35" s="405"/>
      <c r="ZZ35" s="405"/>
      <c r="AAA35" s="405"/>
      <c r="AAB35" s="405"/>
      <c r="AAC35" s="405"/>
      <c r="AAD35" s="405"/>
      <c r="AAE35" s="405"/>
      <c r="AAF35" s="405"/>
      <c r="AAG35" s="405"/>
      <c r="AAH35" s="405"/>
      <c r="AAI35" s="405"/>
      <c r="AAJ35" s="405"/>
      <c r="AAK35" s="405"/>
      <c r="AAL35" s="405"/>
      <c r="AAM35" s="405"/>
      <c r="AAN35" s="405"/>
      <c r="AAO35" s="405"/>
      <c r="AAP35" s="405"/>
      <c r="AAQ35" s="405"/>
      <c r="AAR35" s="405"/>
      <c r="AAS35" s="405"/>
      <c r="AAT35" s="405"/>
      <c r="AAU35" s="405"/>
      <c r="AAV35" s="405"/>
      <c r="AAW35" s="405"/>
      <c r="AAX35" s="405"/>
      <c r="AAY35" s="405"/>
      <c r="AAZ35" s="405"/>
      <c r="ABA35" s="405"/>
      <c r="ABB35" s="405"/>
      <c r="ABC35" s="405"/>
      <c r="ABD35" s="405"/>
      <c r="ABE35" s="405"/>
      <c r="ABF35" s="405"/>
      <c r="ABG35" s="405"/>
      <c r="ABH35" s="405"/>
      <c r="ABI35" s="405"/>
      <c r="ABJ35" s="405"/>
      <c r="ABK35" s="405"/>
      <c r="ABL35" s="405"/>
      <c r="ABM35" s="405"/>
      <c r="ABN35" s="405"/>
      <c r="ABO35" s="405"/>
      <c r="ABP35" s="405"/>
      <c r="ABQ35" s="405"/>
      <c r="ABR35" s="405"/>
      <c r="ABS35" s="405"/>
      <c r="ABT35" s="405"/>
      <c r="ABU35" s="405"/>
      <c r="ABV35" s="405"/>
      <c r="ABW35" s="405"/>
      <c r="ABX35" s="405"/>
      <c r="ABY35" s="405"/>
      <c r="ABZ35" s="405"/>
      <c r="ACA35" s="405"/>
      <c r="ACB35" s="405"/>
      <c r="ACC35" s="405"/>
      <c r="ACD35" s="405"/>
      <c r="ACE35" s="405"/>
      <c r="ACF35" s="405"/>
      <c r="ACG35" s="405"/>
      <c r="ACH35" s="405"/>
      <c r="ACI35" s="405"/>
      <c r="ACJ35" s="405"/>
      <c r="ACK35" s="405"/>
      <c r="ACL35" s="405"/>
      <c r="ACM35" s="405"/>
      <c r="ACN35" s="405"/>
      <c r="ACO35" s="405"/>
      <c r="ACP35" s="405"/>
      <c r="ACQ35" s="405"/>
      <c r="ACR35" s="405"/>
      <c r="ACS35" s="405"/>
      <c r="ACT35" s="405"/>
      <c r="ACU35" s="405"/>
      <c r="ACV35" s="405"/>
      <c r="ACW35" s="405"/>
      <c r="ACX35" s="405"/>
      <c r="ACY35" s="405"/>
      <c r="ACZ35" s="405"/>
      <c r="ADA35" s="405"/>
      <c r="ADB35" s="405"/>
      <c r="ADC35" s="405"/>
      <c r="ADD35" s="405"/>
      <c r="ADE35" s="405"/>
      <c r="ADF35" s="405"/>
      <c r="ADG35" s="405"/>
      <c r="ADH35" s="405"/>
      <c r="ADI35" s="405"/>
      <c r="ADJ35" s="405"/>
      <c r="ADK35" s="405"/>
      <c r="ADL35" s="405"/>
      <c r="ADM35" s="405"/>
      <c r="ADN35" s="405"/>
      <c r="ADO35" s="405"/>
      <c r="ADP35" s="405"/>
      <c r="ADQ35" s="405"/>
      <c r="ADR35" s="405"/>
      <c r="ADS35" s="405"/>
      <c r="ADT35" s="405"/>
      <c r="ADU35" s="405"/>
      <c r="ADV35" s="405"/>
      <c r="ADW35" s="405"/>
      <c r="ADX35" s="405"/>
      <c r="ADY35" s="405"/>
      <c r="ADZ35" s="405"/>
      <c r="AEA35" s="405"/>
      <c r="AEB35" s="405"/>
      <c r="AEC35" s="405"/>
      <c r="AED35" s="405"/>
      <c r="AEE35" s="405"/>
      <c r="AEF35" s="405"/>
      <c r="AEG35" s="405"/>
      <c r="AEH35" s="405"/>
      <c r="AEI35" s="405"/>
      <c r="AEJ35" s="405"/>
      <c r="AEK35" s="405"/>
      <c r="AEL35" s="405"/>
      <c r="AEM35" s="405"/>
      <c r="AEN35" s="405"/>
      <c r="AEO35" s="405"/>
      <c r="AEP35" s="405"/>
      <c r="AEQ35" s="405"/>
      <c r="AER35" s="405"/>
      <c r="AES35" s="405"/>
      <c r="AET35" s="405"/>
      <c r="AEU35" s="405"/>
      <c r="AEV35" s="405"/>
      <c r="AEW35" s="405"/>
      <c r="AEX35" s="405"/>
      <c r="AEY35" s="405"/>
      <c r="AEZ35" s="405"/>
      <c r="AFA35" s="405"/>
      <c r="AFB35" s="405"/>
      <c r="AFC35" s="405"/>
      <c r="AFD35" s="405"/>
      <c r="AFE35" s="405"/>
      <c r="AFF35" s="405"/>
      <c r="AFG35" s="405"/>
      <c r="AFH35" s="405"/>
      <c r="AFI35" s="405"/>
      <c r="AFJ35" s="405"/>
      <c r="AFK35" s="405"/>
      <c r="AFL35" s="405"/>
      <c r="AFM35" s="405"/>
      <c r="AFN35" s="405"/>
      <c r="AFO35" s="405"/>
      <c r="AFP35" s="405"/>
      <c r="AFQ35" s="405"/>
      <c r="AFR35" s="405"/>
      <c r="AFS35" s="405"/>
      <c r="AFT35" s="405"/>
      <c r="AFU35" s="405"/>
      <c r="AFV35" s="405"/>
      <c r="AFW35" s="405"/>
      <c r="AFX35" s="405"/>
      <c r="AFY35" s="405"/>
      <c r="AFZ35" s="405"/>
      <c r="AGA35" s="405"/>
      <c r="AGB35" s="405"/>
      <c r="AGC35" s="405"/>
      <c r="AGD35" s="405"/>
      <c r="AGE35" s="405"/>
      <c r="AGF35" s="405"/>
      <c r="AGG35" s="405"/>
      <c r="AGH35" s="405"/>
      <c r="AGI35" s="405"/>
      <c r="AGJ35" s="405"/>
      <c r="AGK35" s="405"/>
      <c r="AGL35" s="405"/>
      <c r="AGM35" s="405"/>
      <c r="AGN35" s="405"/>
      <c r="AGO35" s="405"/>
      <c r="AGP35" s="405"/>
      <c r="AGQ35" s="405"/>
      <c r="AGR35" s="405"/>
      <c r="AGS35" s="405"/>
      <c r="AGT35" s="405"/>
      <c r="AGU35" s="405"/>
      <c r="AGV35" s="405"/>
      <c r="AGW35" s="405"/>
      <c r="AGX35" s="405"/>
      <c r="AGY35" s="405"/>
      <c r="AGZ35" s="405"/>
      <c r="AHA35" s="405"/>
      <c r="AHB35" s="405"/>
      <c r="AHC35" s="405"/>
      <c r="AHD35" s="405"/>
      <c r="AHE35" s="405"/>
      <c r="AHF35" s="405"/>
      <c r="AHG35" s="405"/>
      <c r="AHH35" s="405"/>
      <c r="AHI35" s="405"/>
      <c r="AHJ35" s="405"/>
      <c r="AHK35" s="405"/>
      <c r="AHL35" s="405"/>
      <c r="AHM35" s="405"/>
      <c r="AHN35" s="405"/>
      <c r="AHO35" s="405"/>
      <c r="AHP35" s="405"/>
      <c r="AHQ35" s="405"/>
      <c r="AHR35" s="405"/>
      <c r="AHS35" s="405"/>
      <c r="AHT35" s="405"/>
      <c r="AHU35" s="405"/>
      <c r="AHV35" s="405"/>
      <c r="AHW35" s="405"/>
      <c r="AHX35" s="405"/>
      <c r="AHY35" s="405"/>
      <c r="AHZ35" s="405"/>
      <c r="AIA35" s="405"/>
      <c r="AIB35" s="405"/>
      <c r="AIC35" s="405"/>
      <c r="AID35" s="405"/>
      <c r="AIE35" s="405"/>
      <c r="AIF35" s="405"/>
      <c r="AIG35" s="405"/>
      <c r="AIH35" s="405"/>
      <c r="AII35" s="405"/>
      <c r="AIJ35" s="405"/>
      <c r="AIK35" s="405"/>
      <c r="AIL35" s="405"/>
      <c r="AIM35" s="405"/>
      <c r="AIN35" s="405"/>
      <c r="AIO35" s="405"/>
      <c r="AIP35" s="405"/>
      <c r="AIQ35" s="405"/>
      <c r="AIR35" s="405"/>
      <c r="AIS35" s="405"/>
      <c r="AIT35" s="405"/>
      <c r="AIU35" s="405"/>
      <c r="AIV35" s="405"/>
      <c r="AIW35" s="405"/>
      <c r="AIX35" s="405"/>
      <c r="AIY35" s="405"/>
      <c r="AIZ35" s="405"/>
      <c r="AJA35" s="405"/>
      <c r="AJB35" s="405"/>
      <c r="AJC35" s="405"/>
      <c r="AJD35" s="405"/>
      <c r="AJE35" s="405"/>
      <c r="AJF35" s="405"/>
      <c r="AJG35" s="405"/>
      <c r="AJH35" s="405"/>
      <c r="AJI35" s="405"/>
      <c r="AJJ35" s="405"/>
      <c r="AJK35" s="405"/>
      <c r="AJL35" s="405"/>
      <c r="AJM35" s="405"/>
      <c r="AJN35" s="405"/>
      <c r="AJO35" s="405"/>
      <c r="AJP35" s="405"/>
      <c r="AJQ35" s="405"/>
      <c r="AJR35" s="405"/>
      <c r="AJS35" s="405"/>
      <c r="AJT35" s="405"/>
      <c r="AJU35" s="405"/>
      <c r="AJV35" s="405"/>
      <c r="AJW35" s="405"/>
      <c r="AJX35" s="405"/>
      <c r="AJY35" s="405"/>
      <c r="AJZ35" s="405"/>
      <c r="AKA35" s="405"/>
      <c r="AKB35" s="405"/>
      <c r="AKC35" s="405"/>
      <c r="AKD35" s="405"/>
      <c r="AKE35" s="405"/>
      <c r="AKF35" s="405"/>
      <c r="AKG35" s="405"/>
      <c r="AKH35" s="405"/>
      <c r="AKI35" s="405"/>
      <c r="AKJ35" s="405"/>
      <c r="AKK35" s="405"/>
      <c r="AKL35" s="405"/>
      <c r="AKM35" s="405"/>
      <c r="AKN35" s="405"/>
      <c r="AKO35" s="405"/>
      <c r="AKP35" s="405"/>
      <c r="AKQ35" s="405"/>
      <c r="AKR35" s="405"/>
      <c r="AKS35" s="405"/>
      <c r="AKT35" s="405"/>
      <c r="AKU35" s="405"/>
      <c r="AKV35" s="405"/>
      <c r="AKW35" s="405"/>
      <c r="AKX35" s="405"/>
      <c r="AKY35" s="405"/>
      <c r="AKZ35" s="405"/>
      <c r="ALA35" s="405"/>
      <c r="ALB35" s="405"/>
      <c r="ALC35" s="405"/>
      <c r="ALD35" s="405"/>
      <c r="ALE35" s="405"/>
      <c r="ALF35" s="405"/>
      <c r="ALG35" s="405"/>
      <c r="ALH35" s="405"/>
      <c r="ALI35" s="405"/>
      <c r="ALJ35" s="405"/>
      <c r="ALK35" s="405"/>
      <c r="ALL35" s="405"/>
      <c r="ALM35" s="405"/>
      <c r="ALN35" s="405"/>
      <c r="ALO35" s="405"/>
      <c r="ALP35" s="405"/>
      <c r="ALQ35" s="405"/>
      <c r="ALR35" s="405"/>
      <c r="ALS35" s="405"/>
      <c r="ALT35" s="405"/>
      <c r="ALU35" s="405"/>
      <c r="ALV35" s="405"/>
      <c r="ALW35" s="405"/>
      <c r="ALX35" s="405"/>
      <c r="ALY35" s="405"/>
      <c r="ALZ35" s="405"/>
      <c r="AMA35" s="405"/>
      <c r="AMB35" s="405"/>
      <c r="AMC35" s="405"/>
      <c r="AMD35" s="405"/>
      <c r="AME35" s="405"/>
      <c r="AMF35" s="405"/>
      <c r="AMG35" s="405"/>
      <c r="AMH35" s="405"/>
      <c r="AMI35" s="405"/>
      <c r="AMJ35" s="405"/>
      <c r="AMK35" s="405"/>
    </row>
    <row r="36" spans="1:1025" s="406" customFormat="1" x14ac:dyDescent="0.25">
      <c r="A36" s="102">
        <f>IF(COUNTBLANK(B36)=1," ",COUNTA(B$14:B36))</f>
        <v>19</v>
      </c>
      <c r="B36" s="399" t="s">
        <v>87</v>
      </c>
      <c r="C36" s="884" t="s">
        <v>613</v>
      </c>
      <c r="D36" s="885" t="s">
        <v>58</v>
      </c>
      <c r="E36" s="407">
        <v>63</v>
      </c>
      <c r="F36" s="401"/>
      <c r="G36" s="210"/>
      <c r="H36" s="208">
        <f t="shared" si="0"/>
        <v>0</v>
      </c>
      <c r="I36" s="400"/>
      <c r="J36" s="209"/>
      <c r="K36" s="307">
        <f t="shared" si="1"/>
        <v>0</v>
      </c>
      <c r="L36" s="307">
        <f t="shared" si="2"/>
        <v>0</v>
      </c>
      <c r="M36" s="307">
        <f t="shared" si="3"/>
        <v>0</v>
      </c>
      <c r="N36" s="307">
        <f t="shared" si="4"/>
        <v>0</v>
      </c>
      <c r="O36" s="307">
        <f t="shared" si="5"/>
        <v>0</v>
      </c>
      <c r="P36" s="307">
        <f t="shared" si="6"/>
        <v>0</v>
      </c>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c r="AZ36" s="405"/>
      <c r="BA36" s="405"/>
      <c r="BB36" s="405"/>
      <c r="BC36" s="405"/>
      <c r="BD36" s="405"/>
      <c r="BE36" s="405"/>
      <c r="BF36" s="405"/>
      <c r="BG36" s="405"/>
      <c r="BH36" s="405"/>
      <c r="BI36" s="405"/>
      <c r="BJ36" s="405"/>
      <c r="BK36" s="405"/>
      <c r="BL36" s="405"/>
      <c r="BM36" s="405"/>
      <c r="BN36" s="405"/>
      <c r="BO36" s="405"/>
      <c r="BP36" s="405"/>
      <c r="BQ36" s="405"/>
      <c r="BR36" s="405"/>
      <c r="BS36" s="405"/>
      <c r="BT36" s="405"/>
      <c r="BU36" s="405"/>
      <c r="BV36" s="405"/>
      <c r="BW36" s="405"/>
      <c r="BX36" s="405"/>
      <c r="BY36" s="405"/>
      <c r="BZ36" s="405"/>
      <c r="CA36" s="405"/>
      <c r="CB36" s="405"/>
      <c r="CC36" s="405"/>
      <c r="CD36" s="405"/>
      <c r="CE36" s="405"/>
      <c r="CF36" s="405"/>
      <c r="CG36" s="405"/>
      <c r="CH36" s="405"/>
      <c r="CI36" s="405"/>
      <c r="CJ36" s="405"/>
      <c r="CK36" s="405"/>
      <c r="CL36" s="405"/>
      <c r="CM36" s="405"/>
      <c r="CN36" s="405"/>
      <c r="CO36" s="405"/>
      <c r="CP36" s="405"/>
      <c r="CQ36" s="405"/>
      <c r="CR36" s="405"/>
      <c r="CS36" s="405"/>
      <c r="CT36" s="405"/>
      <c r="CU36" s="405"/>
      <c r="CV36" s="405"/>
      <c r="CW36" s="405"/>
      <c r="CX36" s="405"/>
      <c r="CY36" s="405"/>
      <c r="CZ36" s="405"/>
      <c r="DA36" s="405"/>
      <c r="DB36" s="405"/>
      <c r="DC36" s="405"/>
      <c r="DD36" s="405"/>
      <c r="DE36" s="405"/>
      <c r="DF36" s="405"/>
      <c r="DG36" s="405"/>
      <c r="DH36" s="405"/>
      <c r="DI36" s="405"/>
      <c r="DJ36" s="405"/>
      <c r="DK36" s="405"/>
      <c r="DL36" s="405"/>
      <c r="DM36" s="405"/>
      <c r="DN36" s="405"/>
      <c r="DO36" s="405"/>
      <c r="DP36" s="405"/>
      <c r="DQ36" s="405"/>
      <c r="DR36" s="405"/>
      <c r="DS36" s="405"/>
      <c r="DT36" s="405"/>
      <c r="DU36" s="405"/>
      <c r="DV36" s="405"/>
      <c r="DW36" s="405"/>
      <c r="DX36" s="405"/>
      <c r="DY36" s="405"/>
      <c r="DZ36" s="405"/>
      <c r="EA36" s="405"/>
      <c r="EB36" s="405"/>
      <c r="EC36" s="405"/>
      <c r="ED36" s="405"/>
      <c r="EE36" s="405"/>
      <c r="EF36" s="405"/>
      <c r="EG36" s="405"/>
      <c r="EH36" s="405"/>
      <c r="EI36" s="405"/>
      <c r="EJ36" s="405"/>
      <c r="EK36" s="405"/>
      <c r="EL36" s="405"/>
      <c r="EM36" s="405"/>
      <c r="EN36" s="405"/>
      <c r="EO36" s="405"/>
      <c r="EP36" s="405"/>
      <c r="EQ36" s="405"/>
      <c r="ER36" s="405"/>
      <c r="ES36" s="405"/>
      <c r="ET36" s="405"/>
      <c r="EU36" s="405"/>
      <c r="EV36" s="405"/>
      <c r="EW36" s="405"/>
      <c r="EX36" s="405"/>
      <c r="EY36" s="405"/>
      <c r="EZ36" s="405"/>
      <c r="FA36" s="405"/>
      <c r="FB36" s="405"/>
      <c r="FC36" s="405"/>
      <c r="FD36" s="405"/>
      <c r="FE36" s="405"/>
      <c r="FF36" s="405"/>
      <c r="FG36" s="405"/>
      <c r="FH36" s="405"/>
      <c r="FI36" s="405"/>
      <c r="FJ36" s="405"/>
      <c r="FK36" s="405"/>
      <c r="FL36" s="405"/>
      <c r="FM36" s="405"/>
      <c r="FN36" s="405"/>
      <c r="FO36" s="405"/>
      <c r="FP36" s="405"/>
      <c r="FQ36" s="405"/>
      <c r="FR36" s="405"/>
      <c r="FS36" s="405"/>
      <c r="FT36" s="405"/>
      <c r="FU36" s="405"/>
      <c r="FV36" s="405"/>
      <c r="FW36" s="405"/>
      <c r="FX36" s="405"/>
      <c r="FY36" s="405"/>
      <c r="FZ36" s="405"/>
      <c r="GA36" s="405"/>
      <c r="GB36" s="405"/>
      <c r="GC36" s="405"/>
      <c r="GD36" s="405"/>
      <c r="GE36" s="405"/>
      <c r="GF36" s="405"/>
      <c r="GG36" s="405"/>
      <c r="GH36" s="405"/>
      <c r="GI36" s="405"/>
      <c r="GJ36" s="405"/>
      <c r="GK36" s="405"/>
      <c r="GL36" s="405"/>
      <c r="GM36" s="405"/>
      <c r="GN36" s="405"/>
      <c r="GO36" s="405"/>
      <c r="GP36" s="405"/>
      <c r="GQ36" s="405"/>
      <c r="GR36" s="405"/>
      <c r="GS36" s="405"/>
      <c r="GT36" s="405"/>
      <c r="GU36" s="405"/>
      <c r="GV36" s="405"/>
      <c r="GW36" s="405"/>
      <c r="GX36" s="405"/>
      <c r="GY36" s="405"/>
      <c r="GZ36" s="405"/>
      <c r="HA36" s="405"/>
      <c r="HB36" s="405"/>
      <c r="HC36" s="405"/>
      <c r="HD36" s="405"/>
      <c r="HE36" s="405"/>
      <c r="HF36" s="405"/>
      <c r="HG36" s="405"/>
      <c r="HH36" s="405"/>
      <c r="HI36" s="405"/>
      <c r="HJ36" s="405"/>
      <c r="HK36" s="405"/>
      <c r="HL36" s="405"/>
      <c r="HM36" s="405"/>
      <c r="HN36" s="405"/>
      <c r="HO36" s="405"/>
      <c r="HP36" s="405"/>
      <c r="HQ36" s="405"/>
      <c r="HR36" s="405"/>
      <c r="HS36" s="405"/>
      <c r="HT36" s="405"/>
      <c r="HU36" s="405"/>
      <c r="HV36" s="405"/>
      <c r="HW36" s="405"/>
      <c r="HX36" s="405"/>
      <c r="HY36" s="405"/>
      <c r="HZ36" s="405"/>
      <c r="IA36" s="405"/>
      <c r="IB36" s="405"/>
      <c r="IC36" s="405"/>
      <c r="ID36" s="405"/>
      <c r="IE36" s="405"/>
      <c r="IF36" s="405"/>
      <c r="IG36" s="405"/>
      <c r="IH36" s="405"/>
      <c r="II36" s="405"/>
      <c r="IJ36" s="405"/>
      <c r="IK36" s="405"/>
      <c r="IL36" s="405"/>
      <c r="IM36" s="405"/>
      <c r="IN36" s="405"/>
      <c r="IO36" s="405"/>
      <c r="IP36" s="405"/>
      <c r="IQ36" s="405"/>
      <c r="IR36" s="405"/>
      <c r="IS36" s="405"/>
      <c r="IT36" s="405"/>
      <c r="IU36" s="405"/>
      <c r="IV36" s="405"/>
      <c r="IW36" s="405"/>
      <c r="IX36" s="405"/>
      <c r="IY36" s="405"/>
      <c r="IZ36" s="405"/>
      <c r="JA36" s="405"/>
      <c r="JB36" s="405"/>
      <c r="JC36" s="405"/>
      <c r="JD36" s="405"/>
      <c r="JE36" s="405"/>
      <c r="JF36" s="405"/>
      <c r="JG36" s="405"/>
      <c r="JH36" s="405"/>
      <c r="JI36" s="405"/>
      <c r="JJ36" s="405"/>
      <c r="JK36" s="405"/>
      <c r="JL36" s="405"/>
      <c r="JM36" s="405"/>
      <c r="JN36" s="405"/>
      <c r="JO36" s="405"/>
      <c r="JP36" s="405"/>
      <c r="JQ36" s="405"/>
      <c r="JR36" s="405"/>
      <c r="JS36" s="405"/>
      <c r="JT36" s="405"/>
      <c r="JU36" s="405"/>
      <c r="JV36" s="405"/>
      <c r="JW36" s="405"/>
      <c r="JX36" s="405"/>
      <c r="JY36" s="405"/>
      <c r="JZ36" s="405"/>
      <c r="KA36" s="405"/>
      <c r="KB36" s="405"/>
      <c r="KC36" s="405"/>
      <c r="KD36" s="405"/>
      <c r="KE36" s="405"/>
      <c r="KF36" s="405"/>
      <c r="KG36" s="405"/>
      <c r="KH36" s="405"/>
      <c r="KI36" s="405"/>
      <c r="KJ36" s="405"/>
      <c r="KK36" s="405"/>
      <c r="KL36" s="405"/>
      <c r="KM36" s="405"/>
      <c r="KN36" s="405"/>
      <c r="KO36" s="405"/>
      <c r="KP36" s="405"/>
      <c r="KQ36" s="405"/>
      <c r="KR36" s="405"/>
      <c r="KS36" s="405"/>
      <c r="KT36" s="405"/>
      <c r="KU36" s="405"/>
      <c r="KV36" s="405"/>
      <c r="KW36" s="405"/>
      <c r="KX36" s="405"/>
      <c r="KY36" s="405"/>
      <c r="KZ36" s="405"/>
      <c r="LA36" s="405"/>
      <c r="LB36" s="405"/>
      <c r="LC36" s="405"/>
      <c r="LD36" s="405"/>
      <c r="LE36" s="405"/>
      <c r="LF36" s="405"/>
      <c r="LG36" s="405"/>
      <c r="LH36" s="405"/>
      <c r="LI36" s="405"/>
      <c r="LJ36" s="405"/>
      <c r="LK36" s="405"/>
      <c r="LL36" s="405"/>
      <c r="LM36" s="405"/>
      <c r="LN36" s="405"/>
      <c r="LO36" s="405"/>
      <c r="LP36" s="405"/>
      <c r="LQ36" s="405"/>
      <c r="LR36" s="405"/>
      <c r="LS36" s="405"/>
      <c r="LT36" s="405"/>
      <c r="LU36" s="405"/>
      <c r="LV36" s="405"/>
      <c r="LW36" s="405"/>
      <c r="LX36" s="405"/>
      <c r="LY36" s="405"/>
      <c r="LZ36" s="405"/>
      <c r="MA36" s="405"/>
      <c r="MB36" s="405"/>
      <c r="MC36" s="405"/>
      <c r="MD36" s="405"/>
      <c r="ME36" s="405"/>
      <c r="MF36" s="405"/>
      <c r="MG36" s="405"/>
      <c r="MH36" s="405"/>
      <c r="MI36" s="405"/>
      <c r="MJ36" s="405"/>
      <c r="MK36" s="405"/>
      <c r="ML36" s="405"/>
      <c r="MM36" s="405"/>
      <c r="MN36" s="405"/>
      <c r="MO36" s="405"/>
      <c r="MP36" s="405"/>
      <c r="MQ36" s="405"/>
      <c r="MR36" s="405"/>
      <c r="MS36" s="405"/>
      <c r="MT36" s="405"/>
      <c r="MU36" s="405"/>
      <c r="MV36" s="405"/>
      <c r="MW36" s="405"/>
      <c r="MX36" s="405"/>
      <c r="MY36" s="405"/>
      <c r="MZ36" s="405"/>
      <c r="NA36" s="405"/>
      <c r="NB36" s="405"/>
      <c r="NC36" s="405"/>
      <c r="ND36" s="405"/>
      <c r="NE36" s="405"/>
      <c r="NF36" s="405"/>
      <c r="NG36" s="405"/>
      <c r="NH36" s="405"/>
      <c r="NI36" s="405"/>
      <c r="NJ36" s="405"/>
      <c r="NK36" s="405"/>
      <c r="NL36" s="405"/>
      <c r="NM36" s="405"/>
      <c r="NN36" s="405"/>
      <c r="NO36" s="405"/>
      <c r="NP36" s="405"/>
      <c r="NQ36" s="405"/>
      <c r="NR36" s="405"/>
      <c r="NS36" s="405"/>
      <c r="NT36" s="405"/>
      <c r="NU36" s="405"/>
      <c r="NV36" s="405"/>
      <c r="NW36" s="405"/>
      <c r="NX36" s="405"/>
      <c r="NY36" s="405"/>
      <c r="NZ36" s="405"/>
      <c r="OA36" s="405"/>
      <c r="OB36" s="405"/>
      <c r="OC36" s="405"/>
      <c r="OD36" s="405"/>
      <c r="OE36" s="405"/>
      <c r="OF36" s="405"/>
      <c r="OG36" s="405"/>
      <c r="OH36" s="405"/>
      <c r="OI36" s="405"/>
      <c r="OJ36" s="405"/>
      <c r="OK36" s="405"/>
      <c r="OL36" s="405"/>
      <c r="OM36" s="405"/>
      <c r="ON36" s="405"/>
      <c r="OO36" s="405"/>
      <c r="OP36" s="405"/>
      <c r="OQ36" s="405"/>
      <c r="OR36" s="405"/>
      <c r="OS36" s="405"/>
      <c r="OT36" s="405"/>
      <c r="OU36" s="405"/>
      <c r="OV36" s="405"/>
      <c r="OW36" s="405"/>
      <c r="OX36" s="405"/>
      <c r="OY36" s="405"/>
      <c r="OZ36" s="405"/>
      <c r="PA36" s="405"/>
      <c r="PB36" s="405"/>
      <c r="PC36" s="405"/>
      <c r="PD36" s="405"/>
      <c r="PE36" s="405"/>
      <c r="PF36" s="405"/>
      <c r="PG36" s="405"/>
      <c r="PH36" s="405"/>
      <c r="PI36" s="405"/>
      <c r="PJ36" s="405"/>
      <c r="PK36" s="405"/>
      <c r="PL36" s="405"/>
      <c r="PM36" s="405"/>
      <c r="PN36" s="405"/>
      <c r="PO36" s="405"/>
      <c r="PP36" s="405"/>
      <c r="PQ36" s="405"/>
      <c r="PR36" s="405"/>
      <c r="PS36" s="405"/>
      <c r="PT36" s="405"/>
      <c r="PU36" s="405"/>
      <c r="PV36" s="405"/>
      <c r="PW36" s="405"/>
      <c r="PX36" s="405"/>
      <c r="PY36" s="405"/>
      <c r="PZ36" s="405"/>
      <c r="QA36" s="405"/>
      <c r="QB36" s="405"/>
      <c r="QC36" s="405"/>
      <c r="QD36" s="405"/>
      <c r="QE36" s="405"/>
      <c r="QF36" s="405"/>
      <c r="QG36" s="405"/>
      <c r="QH36" s="405"/>
      <c r="QI36" s="405"/>
      <c r="QJ36" s="405"/>
      <c r="QK36" s="405"/>
      <c r="QL36" s="405"/>
      <c r="QM36" s="405"/>
      <c r="QN36" s="405"/>
      <c r="QO36" s="405"/>
      <c r="QP36" s="405"/>
      <c r="QQ36" s="405"/>
      <c r="QR36" s="405"/>
      <c r="QS36" s="405"/>
      <c r="QT36" s="405"/>
      <c r="QU36" s="405"/>
      <c r="QV36" s="405"/>
      <c r="QW36" s="405"/>
      <c r="QX36" s="405"/>
      <c r="QY36" s="405"/>
      <c r="QZ36" s="405"/>
      <c r="RA36" s="405"/>
      <c r="RB36" s="405"/>
      <c r="RC36" s="405"/>
      <c r="RD36" s="405"/>
      <c r="RE36" s="405"/>
      <c r="RF36" s="405"/>
      <c r="RG36" s="405"/>
      <c r="RH36" s="405"/>
      <c r="RI36" s="405"/>
      <c r="RJ36" s="405"/>
      <c r="RK36" s="405"/>
      <c r="RL36" s="405"/>
      <c r="RM36" s="405"/>
      <c r="RN36" s="405"/>
      <c r="RO36" s="405"/>
      <c r="RP36" s="405"/>
      <c r="RQ36" s="405"/>
      <c r="RR36" s="405"/>
      <c r="RS36" s="405"/>
      <c r="RT36" s="405"/>
      <c r="RU36" s="405"/>
      <c r="RV36" s="405"/>
      <c r="RW36" s="405"/>
      <c r="RX36" s="405"/>
      <c r="RY36" s="405"/>
      <c r="RZ36" s="405"/>
      <c r="SA36" s="405"/>
      <c r="SB36" s="405"/>
      <c r="SC36" s="405"/>
      <c r="SD36" s="405"/>
      <c r="SE36" s="405"/>
      <c r="SF36" s="405"/>
      <c r="SG36" s="405"/>
      <c r="SH36" s="405"/>
      <c r="SI36" s="405"/>
      <c r="SJ36" s="405"/>
      <c r="SK36" s="405"/>
      <c r="SL36" s="405"/>
      <c r="SM36" s="405"/>
      <c r="SN36" s="405"/>
      <c r="SO36" s="405"/>
      <c r="SP36" s="405"/>
      <c r="SQ36" s="405"/>
      <c r="SR36" s="405"/>
      <c r="SS36" s="405"/>
      <c r="ST36" s="405"/>
      <c r="SU36" s="405"/>
      <c r="SV36" s="405"/>
      <c r="SW36" s="405"/>
      <c r="SX36" s="405"/>
      <c r="SY36" s="405"/>
      <c r="SZ36" s="405"/>
      <c r="TA36" s="405"/>
      <c r="TB36" s="405"/>
      <c r="TC36" s="405"/>
      <c r="TD36" s="405"/>
      <c r="TE36" s="405"/>
      <c r="TF36" s="405"/>
      <c r="TG36" s="405"/>
      <c r="TH36" s="405"/>
      <c r="TI36" s="405"/>
      <c r="TJ36" s="405"/>
      <c r="TK36" s="405"/>
      <c r="TL36" s="405"/>
      <c r="TM36" s="405"/>
      <c r="TN36" s="405"/>
      <c r="TO36" s="405"/>
      <c r="TP36" s="405"/>
      <c r="TQ36" s="405"/>
      <c r="TR36" s="405"/>
      <c r="TS36" s="405"/>
      <c r="TT36" s="405"/>
      <c r="TU36" s="405"/>
      <c r="TV36" s="405"/>
      <c r="TW36" s="405"/>
      <c r="TX36" s="405"/>
      <c r="TY36" s="405"/>
      <c r="TZ36" s="405"/>
      <c r="UA36" s="405"/>
      <c r="UB36" s="405"/>
      <c r="UC36" s="405"/>
      <c r="UD36" s="405"/>
      <c r="UE36" s="405"/>
      <c r="UF36" s="405"/>
      <c r="UG36" s="405"/>
      <c r="UH36" s="405"/>
      <c r="UI36" s="405"/>
      <c r="UJ36" s="405"/>
      <c r="UK36" s="405"/>
      <c r="UL36" s="405"/>
      <c r="UM36" s="405"/>
      <c r="UN36" s="405"/>
      <c r="UO36" s="405"/>
      <c r="UP36" s="405"/>
      <c r="UQ36" s="405"/>
      <c r="UR36" s="405"/>
      <c r="US36" s="405"/>
      <c r="UT36" s="405"/>
      <c r="UU36" s="405"/>
      <c r="UV36" s="405"/>
      <c r="UW36" s="405"/>
      <c r="UX36" s="405"/>
      <c r="UY36" s="405"/>
      <c r="UZ36" s="405"/>
      <c r="VA36" s="405"/>
      <c r="VB36" s="405"/>
      <c r="VC36" s="405"/>
      <c r="VD36" s="405"/>
      <c r="VE36" s="405"/>
      <c r="VF36" s="405"/>
      <c r="VG36" s="405"/>
      <c r="VH36" s="405"/>
      <c r="VI36" s="405"/>
      <c r="VJ36" s="405"/>
      <c r="VK36" s="405"/>
      <c r="VL36" s="405"/>
      <c r="VM36" s="405"/>
      <c r="VN36" s="405"/>
      <c r="VO36" s="405"/>
      <c r="VP36" s="405"/>
      <c r="VQ36" s="405"/>
      <c r="VR36" s="405"/>
      <c r="VS36" s="405"/>
      <c r="VT36" s="405"/>
      <c r="VU36" s="405"/>
      <c r="VV36" s="405"/>
      <c r="VW36" s="405"/>
      <c r="VX36" s="405"/>
      <c r="VY36" s="405"/>
      <c r="VZ36" s="405"/>
      <c r="WA36" s="405"/>
      <c r="WB36" s="405"/>
      <c r="WC36" s="405"/>
      <c r="WD36" s="405"/>
      <c r="WE36" s="405"/>
      <c r="WF36" s="405"/>
      <c r="WG36" s="405"/>
      <c r="WH36" s="405"/>
      <c r="WI36" s="405"/>
      <c r="WJ36" s="405"/>
      <c r="WK36" s="405"/>
      <c r="WL36" s="405"/>
      <c r="WM36" s="405"/>
      <c r="WN36" s="405"/>
      <c r="WO36" s="405"/>
      <c r="WP36" s="405"/>
      <c r="WQ36" s="405"/>
      <c r="WR36" s="405"/>
      <c r="WS36" s="405"/>
      <c r="WT36" s="405"/>
      <c r="WU36" s="405"/>
      <c r="WV36" s="405"/>
      <c r="WW36" s="405"/>
      <c r="WX36" s="405"/>
      <c r="WY36" s="405"/>
      <c r="WZ36" s="405"/>
      <c r="XA36" s="405"/>
      <c r="XB36" s="405"/>
      <c r="XC36" s="405"/>
      <c r="XD36" s="405"/>
      <c r="XE36" s="405"/>
      <c r="XF36" s="405"/>
      <c r="XG36" s="405"/>
      <c r="XH36" s="405"/>
      <c r="XI36" s="405"/>
      <c r="XJ36" s="405"/>
      <c r="XK36" s="405"/>
      <c r="XL36" s="405"/>
      <c r="XM36" s="405"/>
      <c r="XN36" s="405"/>
      <c r="XO36" s="405"/>
      <c r="XP36" s="405"/>
      <c r="XQ36" s="405"/>
      <c r="XR36" s="405"/>
      <c r="XS36" s="405"/>
      <c r="XT36" s="405"/>
      <c r="XU36" s="405"/>
      <c r="XV36" s="405"/>
      <c r="XW36" s="405"/>
      <c r="XX36" s="405"/>
      <c r="XY36" s="405"/>
      <c r="XZ36" s="405"/>
      <c r="YA36" s="405"/>
      <c r="YB36" s="405"/>
      <c r="YC36" s="405"/>
      <c r="YD36" s="405"/>
      <c r="YE36" s="405"/>
      <c r="YF36" s="405"/>
      <c r="YG36" s="405"/>
      <c r="YH36" s="405"/>
      <c r="YI36" s="405"/>
      <c r="YJ36" s="405"/>
      <c r="YK36" s="405"/>
      <c r="YL36" s="405"/>
      <c r="YM36" s="405"/>
      <c r="YN36" s="405"/>
      <c r="YO36" s="405"/>
      <c r="YP36" s="405"/>
      <c r="YQ36" s="405"/>
      <c r="YR36" s="405"/>
      <c r="YS36" s="405"/>
      <c r="YT36" s="405"/>
      <c r="YU36" s="405"/>
      <c r="YV36" s="405"/>
      <c r="YW36" s="405"/>
      <c r="YX36" s="405"/>
      <c r="YY36" s="405"/>
      <c r="YZ36" s="405"/>
      <c r="ZA36" s="405"/>
      <c r="ZB36" s="405"/>
      <c r="ZC36" s="405"/>
      <c r="ZD36" s="405"/>
      <c r="ZE36" s="405"/>
      <c r="ZF36" s="405"/>
      <c r="ZG36" s="405"/>
      <c r="ZH36" s="405"/>
      <c r="ZI36" s="405"/>
      <c r="ZJ36" s="405"/>
      <c r="ZK36" s="405"/>
      <c r="ZL36" s="405"/>
      <c r="ZM36" s="405"/>
      <c r="ZN36" s="405"/>
      <c r="ZO36" s="405"/>
      <c r="ZP36" s="405"/>
      <c r="ZQ36" s="405"/>
      <c r="ZR36" s="405"/>
      <c r="ZS36" s="405"/>
      <c r="ZT36" s="405"/>
      <c r="ZU36" s="405"/>
      <c r="ZV36" s="405"/>
      <c r="ZW36" s="405"/>
      <c r="ZX36" s="405"/>
      <c r="ZY36" s="405"/>
      <c r="ZZ36" s="405"/>
      <c r="AAA36" s="405"/>
      <c r="AAB36" s="405"/>
      <c r="AAC36" s="405"/>
      <c r="AAD36" s="405"/>
      <c r="AAE36" s="405"/>
      <c r="AAF36" s="405"/>
      <c r="AAG36" s="405"/>
      <c r="AAH36" s="405"/>
      <c r="AAI36" s="405"/>
      <c r="AAJ36" s="405"/>
      <c r="AAK36" s="405"/>
      <c r="AAL36" s="405"/>
      <c r="AAM36" s="405"/>
      <c r="AAN36" s="405"/>
      <c r="AAO36" s="405"/>
      <c r="AAP36" s="405"/>
      <c r="AAQ36" s="405"/>
      <c r="AAR36" s="405"/>
      <c r="AAS36" s="405"/>
      <c r="AAT36" s="405"/>
      <c r="AAU36" s="405"/>
      <c r="AAV36" s="405"/>
      <c r="AAW36" s="405"/>
      <c r="AAX36" s="405"/>
      <c r="AAY36" s="405"/>
      <c r="AAZ36" s="405"/>
      <c r="ABA36" s="405"/>
      <c r="ABB36" s="405"/>
      <c r="ABC36" s="405"/>
      <c r="ABD36" s="405"/>
      <c r="ABE36" s="405"/>
      <c r="ABF36" s="405"/>
      <c r="ABG36" s="405"/>
      <c r="ABH36" s="405"/>
      <c r="ABI36" s="405"/>
      <c r="ABJ36" s="405"/>
      <c r="ABK36" s="405"/>
      <c r="ABL36" s="405"/>
      <c r="ABM36" s="405"/>
      <c r="ABN36" s="405"/>
      <c r="ABO36" s="405"/>
      <c r="ABP36" s="405"/>
      <c r="ABQ36" s="405"/>
      <c r="ABR36" s="405"/>
      <c r="ABS36" s="405"/>
      <c r="ABT36" s="405"/>
      <c r="ABU36" s="405"/>
      <c r="ABV36" s="405"/>
      <c r="ABW36" s="405"/>
      <c r="ABX36" s="405"/>
      <c r="ABY36" s="405"/>
      <c r="ABZ36" s="405"/>
      <c r="ACA36" s="405"/>
      <c r="ACB36" s="405"/>
      <c r="ACC36" s="405"/>
      <c r="ACD36" s="405"/>
      <c r="ACE36" s="405"/>
      <c r="ACF36" s="405"/>
      <c r="ACG36" s="405"/>
      <c r="ACH36" s="405"/>
      <c r="ACI36" s="405"/>
      <c r="ACJ36" s="405"/>
      <c r="ACK36" s="405"/>
      <c r="ACL36" s="405"/>
      <c r="ACM36" s="405"/>
      <c r="ACN36" s="405"/>
      <c r="ACO36" s="405"/>
      <c r="ACP36" s="405"/>
      <c r="ACQ36" s="405"/>
      <c r="ACR36" s="405"/>
      <c r="ACS36" s="405"/>
      <c r="ACT36" s="405"/>
      <c r="ACU36" s="405"/>
      <c r="ACV36" s="405"/>
      <c r="ACW36" s="405"/>
      <c r="ACX36" s="405"/>
      <c r="ACY36" s="405"/>
      <c r="ACZ36" s="405"/>
      <c r="ADA36" s="405"/>
      <c r="ADB36" s="405"/>
      <c r="ADC36" s="405"/>
      <c r="ADD36" s="405"/>
      <c r="ADE36" s="405"/>
      <c r="ADF36" s="405"/>
      <c r="ADG36" s="405"/>
      <c r="ADH36" s="405"/>
      <c r="ADI36" s="405"/>
      <c r="ADJ36" s="405"/>
      <c r="ADK36" s="405"/>
      <c r="ADL36" s="405"/>
      <c r="ADM36" s="405"/>
      <c r="ADN36" s="405"/>
      <c r="ADO36" s="405"/>
      <c r="ADP36" s="405"/>
      <c r="ADQ36" s="405"/>
      <c r="ADR36" s="405"/>
      <c r="ADS36" s="405"/>
      <c r="ADT36" s="405"/>
      <c r="ADU36" s="405"/>
      <c r="ADV36" s="405"/>
      <c r="ADW36" s="405"/>
      <c r="ADX36" s="405"/>
      <c r="ADY36" s="405"/>
      <c r="ADZ36" s="405"/>
      <c r="AEA36" s="405"/>
      <c r="AEB36" s="405"/>
      <c r="AEC36" s="405"/>
      <c r="AED36" s="405"/>
      <c r="AEE36" s="405"/>
      <c r="AEF36" s="405"/>
      <c r="AEG36" s="405"/>
      <c r="AEH36" s="405"/>
      <c r="AEI36" s="405"/>
      <c r="AEJ36" s="405"/>
      <c r="AEK36" s="405"/>
      <c r="AEL36" s="405"/>
      <c r="AEM36" s="405"/>
      <c r="AEN36" s="405"/>
      <c r="AEO36" s="405"/>
      <c r="AEP36" s="405"/>
      <c r="AEQ36" s="405"/>
      <c r="AER36" s="405"/>
      <c r="AES36" s="405"/>
      <c r="AET36" s="405"/>
      <c r="AEU36" s="405"/>
      <c r="AEV36" s="405"/>
      <c r="AEW36" s="405"/>
      <c r="AEX36" s="405"/>
      <c r="AEY36" s="405"/>
      <c r="AEZ36" s="405"/>
      <c r="AFA36" s="405"/>
      <c r="AFB36" s="405"/>
      <c r="AFC36" s="405"/>
      <c r="AFD36" s="405"/>
      <c r="AFE36" s="405"/>
      <c r="AFF36" s="405"/>
      <c r="AFG36" s="405"/>
      <c r="AFH36" s="405"/>
      <c r="AFI36" s="405"/>
      <c r="AFJ36" s="405"/>
      <c r="AFK36" s="405"/>
      <c r="AFL36" s="405"/>
      <c r="AFM36" s="405"/>
      <c r="AFN36" s="405"/>
      <c r="AFO36" s="405"/>
      <c r="AFP36" s="405"/>
      <c r="AFQ36" s="405"/>
      <c r="AFR36" s="405"/>
      <c r="AFS36" s="405"/>
      <c r="AFT36" s="405"/>
      <c r="AFU36" s="405"/>
      <c r="AFV36" s="405"/>
      <c r="AFW36" s="405"/>
      <c r="AFX36" s="405"/>
      <c r="AFY36" s="405"/>
      <c r="AFZ36" s="405"/>
      <c r="AGA36" s="405"/>
      <c r="AGB36" s="405"/>
      <c r="AGC36" s="405"/>
      <c r="AGD36" s="405"/>
      <c r="AGE36" s="405"/>
      <c r="AGF36" s="405"/>
      <c r="AGG36" s="405"/>
      <c r="AGH36" s="405"/>
      <c r="AGI36" s="405"/>
      <c r="AGJ36" s="405"/>
      <c r="AGK36" s="405"/>
      <c r="AGL36" s="405"/>
      <c r="AGM36" s="405"/>
      <c r="AGN36" s="405"/>
      <c r="AGO36" s="405"/>
      <c r="AGP36" s="405"/>
      <c r="AGQ36" s="405"/>
      <c r="AGR36" s="405"/>
      <c r="AGS36" s="405"/>
      <c r="AGT36" s="405"/>
      <c r="AGU36" s="405"/>
      <c r="AGV36" s="405"/>
      <c r="AGW36" s="405"/>
      <c r="AGX36" s="405"/>
      <c r="AGY36" s="405"/>
      <c r="AGZ36" s="405"/>
      <c r="AHA36" s="405"/>
      <c r="AHB36" s="405"/>
      <c r="AHC36" s="405"/>
      <c r="AHD36" s="405"/>
      <c r="AHE36" s="405"/>
      <c r="AHF36" s="405"/>
      <c r="AHG36" s="405"/>
      <c r="AHH36" s="405"/>
      <c r="AHI36" s="405"/>
      <c r="AHJ36" s="405"/>
      <c r="AHK36" s="405"/>
      <c r="AHL36" s="405"/>
      <c r="AHM36" s="405"/>
      <c r="AHN36" s="405"/>
      <c r="AHO36" s="405"/>
      <c r="AHP36" s="405"/>
      <c r="AHQ36" s="405"/>
      <c r="AHR36" s="405"/>
      <c r="AHS36" s="405"/>
      <c r="AHT36" s="405"/>
      <c r="AHU36" s="405"/>
      <c r="AHV36" s="405"/>
      <c r="AHW36" s="405"/>
      <c r="AHX36" s="405"/>
      <c r="AHY36" s="405"/>
      <c r="AHZ36" s="405"/>
      <c r="AIA36" s="405"/>
      <c r="AIB36" s="405"/>
      <c r="AIC36" s="405"/>
      <c r="AID36" s="405"/>
      <c r="AIE36" s="405"/>
      <c r="AIF36" s="405"/>
      <c r="AIG36" s="405"/>
      <c r="AIH36" s="405"/>
      <c r="AII36" s="405"/>
      <c r="AIJ36" s="405"/>
      <c r="AIK36" s="405"/>
      <c r="AIL36" s="405"/>
      <c r="AIM36" s="405"/>
      <c r="AIN36" s="405"/>
      <c r="AIO36" s="405"/>
      <c r="AIP36" s="405"/>
      <c r="AIQ36" s="405"/>
      <c r="AIR36" s="405"/>
      <c r="AIS36" s="405"/>
      <c r="AIT36" s="405"/>
      <c r="AIU36" s="405"/>
      <c r="AIV36" s="405"/>
      <c r="AIW36" s="405"/>
      <c r="AIX36" s="405"/>
      <c r="AIY36" s="405"/>
      <c r="AIZ36" s="405"/>
      <c r="AJA36" s="405"/>
      <c r="AJB36" s="405"/>
      <c r="AJC36" s="405"/>
      <c r="AJD36" s="405"/>
      <c r="AJE36" s="405"/>
      <c r="AJF36" s="405"/>
      <c r="AJG36" s="405"/>
      <c r="AJH36" s="405"/>
      <c r="AJI36" s="405"/>
      <c r="AJJ36" s="405"/>
      <c r="AJK36" s="405"/>
      <c r="AJL36" s="405"/>
      <c r="AJM36" s="405"/>
      <c r="AJN36" s="405"/>
      <c r="AJO36" s="405"/>
      <c r="AJP36" s="405"/>
      <c r="AJQ36" s="405"/>
      <c r="AJR36" s="405"/>
      <c r="AJS36" s="405"/>
      <c r="AJT36" s="405"/>
      <c r="AJU36" s="405"/>
      <c r="AJV36" s="405"/>
      <c r="AJW36" s="405"/>
      <c r="AJX36" s="405"/>
      <c r="AJY36" s="405"/>
      <c r="AJZ36" s="405"/>
      <c r="AKA36" s="405"/>
      <c r="AKB36" s="405"/>
      <c r="AKC36" s="405"/>
      <c r="AKD36" s="405"/>
      <c r="AKE36" s="405"/>
      <c r="AKF36" s="405"/>
      <c r="AKG36" s="405"/>
      <c r="AKH36" s="405"/>
      <c r="AKI36" s="405"/>
      <c r="AKJ36" s="405"/>
      <c r="AKK36" s="405"/>
      <c r="AKL36" s="405"/>
      <c r="AKM36" s="405"/>
      <c r="AKN36" s="405"/>
      <c r="AKO36" s="405"/>
      <c r="AKP36" s="405"/>
      <c r="AKQ36" s="405"/>
      <c r="AKR36" s="405"/>
      <c r="AKS36" s="405"/>
      <c r="AKT36" s="405"/>
      <c r="AKU36" s="405"/>
      <c r="AKV36" s="405"/>
      <c r="AKW36" s="405"/>
      <c r="AKX36" s="405"/>
      <c r="AKY36" s="405"/>
      <c r="AKZ36" s="405"/>
      <c r="ALA36" s="405"/>
      <c r="ALB36" s="405"/>
      <c r="ALC36" s="405"/>
      <c r="ALD36" s="405"/>
      <c r="ALE36" s="405"/>
      <c r="ALF36" s="405"/>
      <c r="ALG36" s="405"/>
      <c r="ALH36" s="405"/>
      <c r="ALI36" s="405"/>
      <c r="ALJ36" s="405"/>
      <c r="ALK36" s="405"/>
      <c r="ALL36" s="405"/>
      <c r="ALM36" s="405"/>
      <c r="ALN36" s="405"/>
      <c r="ALO36" s="405"/>
      <c r="ALP36" s="405"/>
      <c r="ALQ36" s="405"/>
      <c r="ALR36" s="405"/>
      <c r="ALS36" s="405"/>
      <c r="ALT36" s="405"/>
      <c r="ALU36" s="405"/>
      <c r="ALV36" s="405"/>
      <c r="ALW36" s="405"/>
      <c r="ALX36" s="405"/>
      <c r="ALY36" s="405"/>
      <c r="ALZ36" s="405"/>
      <c r="AMA36" s="405"/>
      <c r="AMB36" s="405"/>
      <c r="AMC36" s="405"/>
      <c r="AMD36" s="405"/>
      <c r="AME36" s="405"/>
      <c r="AMF36" s="405"/>
      <c r="AMG36" s="405"/>
      <c r="AMH36" s="405"/>
      <c r="AMI36" s="405"/>
      <c r="AMJ36" s="405"/>
      <c r="AMK36" s="405"/>
    </row>
    <row r="37" spans="1:1025" s="406" customFormat="1" x14ac:dyDescent="0.25">
      <c r="A37" s="102">
        <f>IF(COUNTBLANK(B37)=1," ",COUNTA(B$14:B37))</f>
        <v>20</v>
      </c>
      <c r="B37" s="399" t="s">
        <v>87</v>
      </c>
      <c r="C37" s="886" t="s">
        <v>110</v>
      </c>
      <c r="D37" s="887" t="s">
        <v>91</v>
      </c>
      <c r="E37" s="888">
        <f>E36*30</f>
        <v>1890</v>
      </c>
      <c r="F37" s="401"/>
      <c r="G37" s="210"/>
      <c r="H37" s="208">
        <f t="shared" si="0"/>
        <v>0</v>
      </c>
      <c r="I37" s="400"/>
      <c r="J37" s="209"/>
      <c r="K37" s="307">
        <f t="shared" si="1"/>
        <v>0</v>
      </c>
      <c r="L37" s="307">
        <f t="shared" si="2"/>
        <v>0</v>
      </c>
      <c r="M37" s="307">
        <f t="shared" si="3"/>
        <v>0</v>
      </c>
      <c r="N37" s="307">
        <f t="shared" si="4"/>
        <v>0</v>
      </c>
      <c r="O37" s="307">
        <f t="shared" si="5"/>
        <v>0</v>
      </c>
      <c r="P37" s="307">
        <f t="shared" si="6"/>
        <v>0</v>
      </c>
      <c r="Q37" s="405"/>
      <c r="R37" s="405"/>
      <c r="S37" s="405"/>
      <c r="T37" s="405"/>
      <c r="U37" s="405"/>
      <c r="V37" s="405"/>
      <c r="W37" s="405"/>
      <c r="X37" s="405"/>
      <c r="Y37" s="405"/>
      <c r="Z37" s="405"/>
      <c r="AA37" s="405"/>
      <c r="AB37" s="405"/>
      <c r="AC37" s="405"/>
      <c r="AD37" s="405"/>
      <c r="AE37" s="405"/>
      <c r="AF37" s="405"/>
      <c r="AG37" s="405"/>
      <c r="AH37" s="405"/>
      <c r="AI37" s="405"/>
      <c r="AJ37" s="405"/>
      <c r="AK37" s="405"/>
      <c r="AL37" s="405"/>
      <c r="AM37" s="405"/>
      <c r="AN37" s="405"/>
      <c r="AO37" s="405"/>
      <c r="AP37" s="405"/>
      <c r="AQ37" s="405"/>
      <c r="AR37" s="405"/>
      <c r="AS37" s="405"/>
      <c r="AT37" s="405"/>
      <c r="AU37" s="405"/>
      <c r="AV37" s="405"/>
      <c r="AW37" s="405"/>
      <c r="AX37" s="405"/>
      <c r="AY37" s="405"/>
      <c r="AZ37" s="405"/>
      <c r="BA37" s="405"/>
      <c r="BB37" s="405"/>
      <c r="BC37" s="405"/>
      <c r="BD37" s="405"/>
      <c r="BE37" s="405"/>
      <c r="BF37" s="405"/>
      <c r="BG37" s="405"/>
      <c r="BH37" s="405"/>
      <c r="BI37" s="405"/>
      <c r="BJ37" s="405"/>
      <c r="BK37" s="405"/>
      <c r="BL37" s="405"/>
      <c r="BM37" s="405"/>
      <c r="BN37" s="405"/>
      <c r="BO37" s="405"/>
      <c r="BP37" s="405"/>
      <c r="BQ37" s="405"/>
      <c r="BR37" s="405"/>
      <c r="BS37" s="405"/>
      <c r="BT37" s="405"/>
      <c r="BU37" s="405"/>
      <c r="BV37" s="405"/>
      <c r="BW37" s="405"/>
      <c r="BX37" s="405"/>
      <c r="BY37" s="405"/>
      <c r="BZ37" s="405"/>
      <c r="CA37" s="405"/>
      <c r="CB37" s="405"/>
      <c r="CC37" s="405"/>
      <c r="CD37" s="405"/>
      <c r="CE37" s="405"/>
      <c r="CF37" s="405"/>
      <c r="CG37" s="405"/>
      <c r="CH37" s="405"/>
      <c r="CI37" s="405"/>
      <c r="CJ37" s="405"/>
      <c r="CK37" s="405"/>
      <c r="CL37" s="405"/>
      <c r="CM37" s="405"/>
      <c r="CN37" s="405"/>
      <c r="CO37" s="405"/>
      <c r="CP37" s="405"/>
      <c r="CQ37" s="405"/>
      <c r="CR37" s="405"/>
      <c r="CS37" s="405"/>
      <c r="CT37" s="405"/>
      <c r="CU37" s="405"/>
      <c r="CV37" s="405"/>
      <c r="CW37" s="405"/>
      <c r="CX37" s="405"/>
      <c r="CY37" s="405"/>
      <c r="CZ37" s="405"/>
      <c r="DA37" s="405"/>
      <c r="DB37" s="405"/>
      <c r="DC37" s="405"/>
      <c r="DD37" s="405"/>
      <c r="DE37" s="405"/>
      <c r="DF37" s="405"/>
      <c r="DG37" s="405"/>
      <c r="DH37" s="405"/>
      <c r="DI37" s="405"/>
      <c r="DJ37" s="405"/>
      <c r="DK37" s="405"/>
      <c r="DL37" s="405"/>
      <c r="DM37" s="405"/>
      <c r="DN37" s="405"/>
      <c r="DO37" s="405"/>
      <c r="DP37" s="405"/>
      <c r="DQ37" s="405"/>
      <c r="DR37" s="405"/>
      <c r="DS37" s="405"/>
      <c r="DT37" s="405"/>
      <c r="DU37" s="405"/>
      <c r="DV37" s="405"/>
      <c r="DW37" s="405"/>
      <c r="DX37" s="405"/>
      <c r="DY37" s="405"/>
      <c r="DZ37" s="405"/>
      <c r="EA37" s="405"/>
      <c r="EB37" s="405"/>
      <c r="EC37" s="405"/>
      <c r="ED37" s="405"/>
      <c r="EE37" s="405"/>
      <c r="EF37" s="405"/>
      <c r="EG37" s="405"/>
      <c r="EH37" s="405"/>
      <c r="EI37" s="405"/>
      <c r="EJ37" s="405"/>
      <c r="EK37" s="405"/>
      <c r="EL37" s="405"/>
      <c r="EM37" s="405"/>
      <c r="EN37" s="405"/>
      <c r="EO37" s="405"/>
      <c r="EP37" s="405"/>
      <c r="EQ37" s="405"/>
      <c r="ER37" s="405"/>
      <c r="ES37" s="405"/>
      <c r="ET37" s="405"/>
      <c r="EU37" s="405"/>
      <c r="EV37" s="405"/>
      <c r="EW37" s="405"/>
      <c r="EX37" s="405"/>
      <c r="EY37" s="405"/>
      <c r="EZ37" s="405"/>
      <c r="FA37" s="405"/>
      <c r="FB37" s="405"/>
      <c r="FC37" s="405"/>
      <c r="FD37" s="405"/>
      <c r="FE37" s="405"/>
      <c r="FF37" s="405"/>
      <c r="FG37" s="405"/>
      <c r="FH37" s="405"/>
      <c r="FI37" s="405"/>
      <c r="FJ37" s="405"/>
      <c r="FK37" s="405"/>
      <c r="FL37" s="405"/>
      <c r="FM37" s="405"/>
      <c r="FN37" s="405"/>
      <c r="FO37" s="405"/>
      <c r="FP37" s="405"/>
      <c r="FQ37" s="405"/>
      <c r="FR37" s="405"/>
      <c r="FS37" s="405"/>
      <c r="FT37" s="405"/>
      <c r="FU37" s="405"/>
      <c r="FV37" s="405"/>
      <c r="FW37" s="405"/>
      <c r="FX37" s="405"/>
      <c r="FY37" s="405"/>
      <c r="FZ37" s="405"/>
      <c r="GA37" s="405"/>
      <c r="GB37" s="405"/>
      <c r="GC37" s="405"/>
      <c r="GD37" s="405"/>
      <c r="GE37" s="405"/>
      <c r="GF37" s="405"/>
      <c r="GG37" s="405"/>
      <c r="GH37" s="405"/>
      <c r="GI37" s="405"/>
      <c r="GJ37" s="405"/>
      <c r="GK37" s="405"/>
      <c r="GL37" s="405"/>
      <c r="GM37" s="405"/>
      <c r="GN37" s="405"/>
      <c r="GO37" s="405"/>
      <c r="GP37" s="405"/>
      <c r="GQ37" s="405"/>
      <c r="GR37" s="405"/>
      <c r="GS37" s="405"/>
      <c r="GT37" s="405"/>
      <c r="GU37" s="405"/>
      <c r="GV37" s="405"/>
      <c r="GW37" s="405"/>
      <c r="GX37" s="405"/>
      <c r="GY37" s="405"/>
      <c r="GZ37" s="405"/>
      <c r="HA37" s="405"/>
      <c r="HB37" s="405"/>
      <c r="HC37" s="405"/>
      <c r="HD37" s="405"/>
      <c r="HE37" s="405"/>
      <c r="HF37" s="405"/>
      <c r="HG37" s="405"/>
      <c r="HH37" s="405"/>
      <c r="HI37" s="405"/>
      <c r="HJ37" s="405"/>
      <c r="HK37" s="405"/>
      <c r="HL37" s="405"/>
      <c r="HM37" s="405"/>
      <c r="HN37" s="405"/>
      <c r="HO37" s="405"/>
      <c r="HP37" s="405"/>
      <c r="HQ37" s="405"/>
      <c r="HR37" s="405"/>
      <c r="HS37" s="405"/>
      <c r="HT37" s="405"/>
      <c r="HU37" s="405"/>
      <c r="HV37" s="405"/>
      <c r="HW37" s="405"/>
      <c r="HX37" s="405"/>
      <c r="HY37" s="405"/>
      <c r="HZ37" s="405"/>
      <c r="IA37" s="405"/>
      <c r="IB37" s="405"/>
      <c r="IC37" s="405"/>
      <c r="ID37" s="405"/>
      <c r="IE37" s="405"/>
      <c r="IF37" s="405"/>
      <c r="IG37" s="405"/>
      <c r="IH37" s="405"/>
      <c r="II37" s="405"/>
      <c r="IJ37" s="405"/>
      <c r="IK37" s="405"/>
      <c r="IL37" s="405"/>
      <c r="IM37" s="405"/>
      <c r="IN37" s="405"/>
      <c r="IO37" s="405"/>
      <c r="IP37" s="405"/>
      <c r="IQ37" s="405"/>
      <c r="IR37" s="405"/>
      <c r="IS37" s="405"/>
      <c r="IT37" s="405"/>
      <c r="IU37" s="405"/>
      <c r="IV37" s="405"/>
      <c r="IW37" s="405"/>
      <c r="IX37" s="405"/>
      <c r="IY37" s="405"/>
      <c r="IZ37" s="405"/>
      <c r="JA37" s="405"/>
      <c r="JB37" s="405"/>
      <c r="JC37" s="405"/>
      <c r="JD37" s="405"/>
      <c r="JE37" s="405"/>
      <c r="JF37" s="405"/>
      <c r="JG37" s="405"/>
      <c r="JH37" s="405"/>
      <c r="JI37" s="405"/>
      <c r="JJ37" s="405"/>
      <c r="JK37" s="405"/>
      <c r="JL37" s="405"/>
      <c r="JM37" s="405"/>
      <c r="JN37" s="405"/>
      <c r="JO37" s="405"/>
      <c r="JP37" s="405"/>
      <c r="JQ37" s="405"/>
      <c r="JR37" s="405"/>
      <c r="JS37" s="405"/>
      <c r="JT37" s="405"/>
      <c r="JU37" s="405"/>
      <c r="JV37" s="405"/>
      <c r="JW37" s="405"/>
      <c r="JX37" s="405"/>
      <c r="JY37" s="405"/>
      <c r="JZ37" s="405"/>
      <c r="KA37" s="405"/>
      <c r="KB37" s="405"/>
      <c r="KC37" s="405"/>
      <c r="KD37" s="405"/>
      <c r="KE37" s="405"/>
      <c r="KF37" s="405"/>
      <c r="KG37" s="405"/>
      <c r="KH37" s="405"/>
      <c r="KI37" s="405"/>
      <c r="KJ37" s="405"/>
      <c r="KK37" s="405"/>
      <c r="KL37" s="405"/>
      <c r="KM37" s="405"/>
      <c r="KN37" s="405"/>
      <c r="KO37" s="405"/>
      <c r="KP37" s="405"/>
      <c r="KQ37" s="405"/>
      <c r="KR37" s="405"/>
      <c r="KS37" s="405"/>
      <c r="KT37" s="405"/>
      <c r="KU37" s="405"/>
      <c r="KV37" s="405"/>
      <c r="KW37" s="405"/>
      <c r="KX37" s="405"/>
      <c r="KY37" s="405"/>
      <c r="KZ37" s="405"/>
      <c r="LA37" s="405"/>
      <c r="LB37" s="405"/>
      <c r="LC37" s="405"/>
      <c r="LD37" s="405"/>
      <c r="LE37" s="405"/>
      <c r="LF37" s="405"/>
      <c r="LG37" s="405"/>
      <c r="LH37" s="405"/>
      <c r="LI37" s="405"/>
      <c r="LJ37" s="405"/>
      <c r="LK37" s="405"/>
      <c r="LL37" s="405"/>
      <c r="LM37" s="405"/>
      <c r="LN37" s="405"/>
      <c r="LO37" s="405"/>
      <c r="LP37" s="405"/>
      <c r="LQ37" s="405"/>
      <c r="LR37" s="405"/>
      <c r="LS37" s="405"/>
      <c r="LT37" s="405"/>
      <c r="LU37" s="405"/>
      <c r="LV37" s="405"/>
      <c r="LW37" s="405"/>
      <c r="LX37" s="405"/>
      <c r="LY37" s="405"/>
      <c r="LZ37" s="405"/>
      <c r="MA37" s="405"/>
      <c r="MB37" s="405"/>
      <c r="MC37" s="405"/>
      <c r="MD37" s="405"/>
      <c r="ME37" s="405"/>
      <c r="MF37" s="405"/>
      <c r="MG37" s="405"/>
      <c r="MH37" s="405"/>
      <c r="MI37" s="405"/>
      <c r="MJ37" s="405"/>
      <c r="MK37" s="405"/>
      <c r="ML37" s="405"/>
      <c r="MM37" s="405"/>
      <c r="MN37" s="405"/>
      <c r="MO37" s="405"/>
      <c r="MP37" s="405"/>
      <c r="MQ37" s="405"/>
      <c r="MR37" s="405"/>
      <c r="MS37" s="405"/>
      <c r="MT37" s="405"/>
      <c r="MU37" s="405"/>
      <c r="MV37" s="405"/>
      <c r="MW37" s="405"/>
      <c r="MX37" s="405"/>
      <c r="MY37" s="405"/>
      <c r="MZ37" s="405"/>
      <c r="NA37" s="405"/>
      <c r="NB37" s="405"/>
      <c r="NC37" s="405"/>
      <c r="ND37" s="405"/>
      <c r="NE37" s="405"/>
      <c r="NF37" s="405"/>
      <c r="NG37" s="405"/>
      <c r="NH37" s="405"/>
      <c r="NI37" s="405"/>
      <c r="NJ37" s="405"/>
      <c r="NK37" s="405"/>
      <c r="NL37" s="405"/>
      <c r="NM37" s="405"/>
      <c r="NN37" s="405"/>
      <c r="NO37" s="405"/>
      <c r="NP37" s="405"/>
      <c r="NQ37" s="405"/>
      <c r="NR37" s="405"/>
      <c r="NS37" s="405"/>
      <c r="NT37" s="405"/>
      <c r="NU37" s="405"/>
      <c r="NV37" s="405"/>
      <c r="NW37" s="405"/>
      <c r="NX37" s="405"/>
      <c r="NY37" s="405"/>
      <c r="NZ37" s="405"/>
      <c r="OA37" s="405"/>
      <c r="OB37" s="405"/>
      <c r="OC37" s="405"/>
      <c r="OD37" s="405"/>
      <c r="OE37" s="405"/>
      <c r="OF37" s="405"/>
      <c r="OG37" s="405"/>
      <c r="OH37" s="405"/>
      <c r="OI37" s="405"/>
      <c r="OJ37" s="405"/>
      <c r="OK37" s="405"/>
      <c r="OL37" s="405"/>
      <c r="OM37" s="405"/>
      <c r="ON37" s="405"/>
      <c r="OO37" s="405"/>
      <c r="OP37" s="405"/>
      <c r="OQ37" s="405"/>
      <c r="OR37" s="405"/>
      <c r="OS37" s="405"/>
      <c r="OT37" s="405"/>
      <c r="OU37" s="405"/>
      <c r="OV37" s="405"/>
      <c r="OW37" s="405"/>
      <c r="OX37" s="405"/>
      <c r="OY37" s="405"/>
      <c r="OZ37" s="405"/>
      <c r="PA37" s="405"/>
      <c r="PB37" s="405"/>
      <c r="PC37" s="405"/>
      <c r="PD37" s="405"/>
      <c r="PE37" s="405"/>
      <c r="PF37" s="405"/>
      <c r="PG37" s="405"/>
      <c r="PH37" s="405"/>
      <c r="PI37" s="405"/>
      <c r="PJ37" s="405"/>
      <c r="PK37" s="405"/>
      <c r="PL37" s="405"/>
      <c r="PM37" s="405"/>
      <c r="PN37" s="405"/>
      <c r="PO37" s="405"/>
      <c r="PP37" s="405"/>
      <c r="PQ37" s="405"/>
      <c r="PR37" s="405"/>
      <c r="PS37" s="405"/>
      <c r="PT37" s="405"/>
      <c r="PU37" s="405"/>
      <c r="PV37" s="405"/>
      <c r="PW37" s="405"/>
      <c r="PX37" s="405"/>
      <c r="PY37" s="405"/>
      <c r="PZ37" s="405"/>
      <c r="QA37" s="405"/>
      <c r="QB37" s="405"/>
      <c r="QC37" s="405"/>
      <c r="QD37" s="405"/>
      <c r="QE37" s="405"/>
      <c r="QF37" s="405"/>
      <c r="QG37" s="405"/>
      <c r="QH37" s="405"/>
      <c r="QI37" s="405"/>
      <c r="QJ37" s="405"/>
      <c r="QK37" s="405"/>
      <c r="QL37" s="405"/>
      <c r="QM37" s="405"/>
      <c r="QN37" s="405"/>
      <c r="QO37" s="405"/>
      <c r="QP37" s="405"/>
      <c r="QQ37" s="405"/>
      <c r="QR37" s="405"/>
      <c r="QS37" s="405"/>
      <c r="QT37" s="405"/>
      <c r="QU37" s="405"/>
      <c r="QV37" s="405"/>
      <c r="QW37" s="405"/>
      <c r="QX37" s="405"/>
      <c r="QY37" s="405"/>
      <c r="QZ37" s="405"/>
      <c r="RA37" s="405"/>
      <c r="RB37" s="405"/>
      <c r="RC37" s="405"/>
      <c r="RD37" s="405"/>
      <c r="RE37" s="405"/>
      <c r="RF37" s="405"/>
      <c r="RG37" s="405"/>
      <c r="RH37" s="405"/>
      <c r="RI37" s="405"/>
      <c r="RJ37" s="405"/>
      <c r="RK37" s="405"/>
      <c r="RL37" s="405"/>
      <c r="RM37" s="405"/>
      <c r="RN37" s="405"/>
      <c r="RO37" s="405"/>
      <c r="RP37" s="405"/>
      <c r="RQ37" s="405"/>
      <c r="RR37" s="405"/>
      <c r="RS37" s="405"/>
      <c r="RT37" s="405"/>
      <c r="RU37" s="405"/>
      <c r="RV37" s="405"/>
      <c r="RW37" s="405"/>
      <c r="RX37" s="405"/>
      <c r="RY37" s="405"/>
      <c r="RZ37" s="405"/>
      <c r="SA37" s="405"/>
      <c r="SB37" s="405"/>
      <c r="SC37" s="405"/>
      <c r="SD37" s="405"/>
      <c r="SE37" s="405"/>
      <c r="SF37" s="405"/>
      <c r="SG37" s="405"/>
      <c r="SH37" s="405"/>
      <c r="SI37" s="405"/>
      <c r="SJ37" s="405"/>
      <c r="SK37" s="405"/>
      <c r="SL37" s="405"/>
      <c r="SM37" s="405"/>
      <c r="SN37" s="405"/>
      <c r="SO37" s="405"/>
      <c r="SP37" s="405"/>
      <c r="SQ37" s="405"/>
      <c r="SR37" s="405"/>
      <c r="SS37" s="405"/>
      <c r="ST37" s="405"/>
      <c r="SU37" s="405"/>
      <c r="SV37" s="405"/>
      <c r="SW37" s="405"/>
      <c r="SX37" s="405"/>
      <c r="SY37" s="405"/>
      <c r="SZ37" s="405"/>
      <c r="TA37" s="405"/>
      <c r="TB37" s="405"/>
      <c r="TC37" s="405"/>
      <c r="TD37" s="405"/>
      <c r="TE37" s="405"/>
      <c r="TF37" s="405"/>
      <c r="TG37" s="405"/>
      <c r="TH37" s="405"/>
      <c r="TI37" s="405"/>
      <c r="TJ37" s="405"/>
      <c r="TK37" s="405"/>
      <c r="TL37" s="405"/>
      <c r="TM37" s="405"/>
      <c r="TN37" s="405"/>
      <c r="TO37" s="405"/>
      <c r="TP37" s="405"/>
      <c r="TQ37" s="405"/>
      <c r="TR37" s="405"/>
      <c r="TS37" s="405"/>
      <c r="TT37" s="405"/>
      <c r="TU37" s="405"/>
      <c r="TV37" s="405"/>
      <c r="TW37" s="405"/>
      <c r="TX37" s="405"/>
      <c r="TY37" s="405"/>
      <c r="TZ37" s="405"/>
      <c r="UA37" s="405"/>
      <c r="UB37" s="405"/>
      <c r="UC37" s="405"/>
      <c r="UD37" s="405"/>
      <c r="UE37" s="405"/>
      <c r="UF37" s="405"/>
      <c r="UG37" s="405"/>
      <c r="UH37" s="405"/>
      <c r="UI37" s="405"/>
      <c r="UJ37" s="405"/>
      <c r="UK37" s="405"/>
      <c r="UL37" s="405"/>
      <c r="UM37" s="405"/>
      <c r="UN37" s="405"/>
      <c r="UO37" s="405"/>
      <c r="UP37" s="405"/>
      <c r="UQ37" s="405"/>
      <c r="UR37" s="405"/>
      <c r="US37" s="405"/>
      <c r="UT37" s="405"/>
      <c r="UU37" s="405"/>
      <c r="UV37" s="405"/>
      <c r="UW37" s="405"/>
      <c r="UX37" s="405"/>
      <c r="UY37" s="405"/>
      <c r="UZ37" s="405"/>
      <c r="VA37" s="405"/>
      <c r="VB37" s="405"/>
      <c r="VC37" s="405"/>
      <c r="VD37" s="405"/>
      <c r="VE37" s="405"/>
      <c r="VF37" s="405"/>
      <c r="VG37" s="405"/>
      <c r="VH37" s="405"/>
      <c r="VI37" s="405"/>
      <c r="VJ37" s="405"/>
      <c r="VK37" s="405"/>
      <c r="VL37" s="405"/>
      <c r="VM37" s="405"/>
      <c r="VN37" s="405"/>
      <c r="VO37" s="405"/>
      <c r="VP37" s="405"/>
      <c r="VQ37" s="405"/>
      <c r="VR37" s="405"/>
      <c r="VS37" s="405"/>
      <c r="VT37" s="405"/>
      <c r="VU37" s="405"/>
      <c r="VV37" s="405"/>
      <c r="VW37" s="405"/>
      <c r="VX37" s="405"/>
      <c r="VY37" s="405"/>
      <c r="VZ37" s="405"/>
      <c r="WA37" s="405"/>
      <c r="WB37" s="405"/>
      <c r="WC37" s="405"/>
      <c r="WD37" s="405"/>
      <c r="WE37" s="405"/>
      <c r="WF37" s="405"/>
      <c r="WG37" s="405"/>
      <c r="WH37" s="405"/>
      <c r="WI37" s="405"/>
      <c r="WJ37" s="405"/>
      <c r="WK37" s="405"/>
      <c r="WL37" s="405"/>
      <c r="WM37" s="405"/>
      <c r="WN37" s="405"/>
      <c r="WO37" s="405"/>
      <c r="WP37" s="405"/>
      <c r="WQ37" s="405"/>
      <c r="WR37" s="405"/>
      <c r="WS37" s="405"/>
      <c r="WT37" s="405"/>
      <c r="WU37" s="405"/>
      <c r="WV37" s="405"/>
      <c r="WW37" s="405"/>
      <c r="WX37" s="405"/>
      <c r="WY37" s="405"/>
      <c r="WZ37" s="405"/>
      <c r="XA37" s="405"/>
      <c r="XB37" s="405"/>
      <c r="XC37" s="405"/>
      <c r="XD37" s="405"/>
      <c r="XE37" s="405"/>
      <c r="XF37" s="405"/>
      <c r="XG37" s="405"/>
      <c r="XH37" s="405"/>
      <c r="XI37" s="405"/>
      <c r="XJ37" s="405"/>
      <c r="XK37" s="405"/>
      <c r="XL37" s="405"/>
      <c r="XM37" s="405"/>
      <c r="XN37" s="405"/>
      <c r="XO37" s="405"/>
      <c r="XP37" s="405"/>
      <c r="XQ37" s="405"/>
      <c r="XR37" s="405"/>
      <c r="XS37" s="405"/>
      <c r="XT37" s="405"/>
      <c r="XU37" s="405"/>
      <c r="XV37" s="405"/>
      <c r="XW37" s="405"/>
      <c r="XX37" s="405"/>
      <c r="XY37" s="405"/>
      <c r="XZ37" s="405"/>
      <c r="YA37" s="405"/>
      <c r="YB37" s="405"/>
      <c r="YC37" s="405"/>
      <c r="YD37" s="405"/>
      <c r="YE37" s="405"/>
      <c r="YF37" s="405"/>
      <c r="YG37" s="405"/>
      <c r="YH37" s="405"/>
      <c r="YI37" s="405"/>
      <c r="YJ37" s="405"/>
      <c r="YK37" s="405"/>
      <c r="YL37" s="405"/>
      <c r="YM37" s="405"/>
      <c r="YN37" s="405"/>
      <c r="YO37" s="405"/>
      <c r="YP37" s="405"/>
      <c r="YQ37" s="405"/>
      <c r="YR37" s="405"/>
      <c r="YS37" s="405"/>
      <c r="YT37" s="405"/>
      <c r="YU37" s="405"/>
      <c r="YV37" s="405"/>
      <c r="YW37" s="405"/>
      <c r="YX37" s="405"/>
      <c r="YY37" s="405"/>
      <c r="YZ37" s="405"/>
      <c r="ZA37" s="405"/>
      <c r="ZB37" s="405"/>
      <c r="ZC37" s="405"/>
      <c r="ZD37" s="405"/>
      <c r="ZE37" s="405"/>
      <c r="ZF37" s="405"/>
      <c r="ZG37" s="405"/>
      <c r="ZH37" s="405"/>
      <c r="ZI37" s="405"/>
      <c r="ZJ37" s="405"/>
      <c r="ZK37" s="405"/>
      <c r="ZL37" s="405"/>
      <c r="ZM37" s="405"/>
      <c r="ZN37" s="405"/>
      <c r="ZO37" s="405"/>
      <c r="ZP37" s="405"/>
      <c r="ZQ37" s="405"/>
      <c r="ZR37" s="405"/>
      <c r="ZS37" s="405"/>
      <c r="ZT37" s="405"/>
      <c r="ZU37" s="405"/>
      <c r="ZV37" s="405"/>
      <c r="ZW37" s="405"/>
      <c r="ZX37" s="405"/>
      <c r="ZY37" s="405"/>
      <c r="ZZ37" s="405"/>
      <c r="AAA37" s="405"/>
      <c r="AAB37" s="405"/>
      <c r="AAC37" s="405"/>
      <c r="AAD37" s="405"/>
      <c r="AAE37" s="405"/>
      <c r="AAF37" s="405"/>
      <c r="AAG37" s="405"/>
      <c r="AAH37" s="405"/>
      <c r="AAI37" s="405"/>
      <c r="AAJ37" s="405"/>
      <c r="AAK37" s="405"/>
      <c r="AAL37" s="405"/>
      <c r="AAM37" s="405"/>
      <c r="AAN37" s="405"/>
      <c r="AAO37" s="405"/>
      <c r="AAP37" s="405"/>
      <c r="AAQ37" s="405"/>
      <c r="AAR37" s="405"/>
      <c r="AAS37" s="405"/>
      <c r="AAT37" s="405"/>
      <c r="AAU37" s="405"/>
      <c r="AAV37" s="405"/>
      <c r="AAW37" s="405"/>
      <c r="AAX37" s="405"/>
      <c r="AAY37" s="405"/>
      <c r="AAZ37" s="405"/>
      <c r="ABA37" s="405"/>
      <c r="ABB37" s="405"/>
      <c r="ABC37" s="405"/>
      <c r="ABD37" s="405"/>
      <c r="ABE37" s="405"/>
      <c r="ABF37" s="405"/>
      <c r="ABG37" s="405"/>
      <c r="ABH37" s="405"/>
      <c r="ABI37" s="405"/>
      <c r="ABJ37" s="405"/>
      <c r="ABK37" s="405"/>
      <c r="ABL37" s="405"/>
      <c r="ABM37" s="405"/>
      <c r="ABN37" s="405"/>
      <c r="ABO37" s="405"/>
      <c r="ABP37" s="405"/>
      <c r="ABQ37" s="405"/>
      <c r="ABR37" s="405"/>
      <c r="ABS37" s="405"/>
      <c r="ABT37" s="405"/>
      <c r="ABU37" s="405"/>
      <c r="ABV37" s="405"/>
      <c r="ABW37" s="405"/>
      <c r="ABX37" s="405"/>
      <c r="ABY37" s="405"/>
      <c r="ABZ37" s="405"/>
      <c r="ACA37" s="405"/>
      <c r="ACB37" s="405"/>
      <c r="ACC37" s="405"/>
      <c r="ACD37" s="405"/>
      <c r="ACE37" s="405"/>
      <c r="ACF37" s="405"/>
      <c r="ACG37" s="405"/>
      <c r="ACH37" s="405"/>
      <c r="ACI37" s="405"/>
      <c r="ACJ37" s="405"/>
      <c r="ACK37" s="405"/>
      <c r="ACL37" s="405"/>
      <c r="ACM37" s="405"/>
      <c r="ACN37" s="405"/>
      <c r="ACO37" s="405"/>
      <c r="ACP37" s="405"/>
      <c r="ACQ37" s="405"/>
      <c r="ACR37" s="405"/>
      <c r="ACS37" s="405"/>
      <c r="ACT37" s="405"/>
      <c r="ACU37" s="405"/>
      <c r="ACV37" s="405"/>
      <c r="ACW37" s="405"/>
      <c r="ACX37" s="405"/>
      <c r="ACY37" s="405"/>
      <c r="ACZ37" s="405"/>
      <c r="ADA37" s="405"/>
      <c r="ADB37" s="405"/>
      <c r="ADC37" s="405"/>
      <c r="ADD37" s="405"/>
      <c r="ADE37" s="405"/>
      <c r="ADF37" s="405"/>
      <c r="ADG37" s="405"/>
      <c r="ADH37" s="405"/>
      <c r="ADI37" s="405"/>
      <c r="ADJ37" s="405"/>
      <c r="ADK37" s="405"/>
      <c r="ADL37" s="405"/>
      <c r="ADM37" s="405"/>
      <c r="ADN37" s="405"/>
      <c r="ADO37" s="405"/>
      <c r="ADP37" s="405"/>
      <c r="ADQ37" s="405"/>
      <c r="ADR37" s="405"/>
      <c r="ADS37" s="405"/>
      <c r="ADT37" s="405"/>
      <c r="ADU37" s="405"/>
      <c r="ADV37" s="405"/>
      <c r="ADW37" s="405"/>
      <c r="ADX37" s="405"/>
      <c r="ADY37" s="405"/>
      <c r="ADZ37" s="405"/>
      <c r="AEA37" s="405"/>
      <c r="AEB37" s="405"/>
      <c r="AEC37" s="405"/>
      <c r="AED37" s="405"/>
      <c r="AEE37" s="405"/>
      <c r="AEF37" s="405"/>
      <c r="AEG37" s="405"/>
      <c r="AEH37" s="405"/>
      <c r="AEI37" s="405"/>
      <c r="AEJ37" s="405"/>
      <c r="AEK37" s="405"/>
      <c r="AEL37" s="405"/>
      <c r="AEM37" s="405"/>
      <c r="AEN37" s="405"/>
      <c r="AEO37" s="405"/>
      <c r="AEP37" s="405"/>
      <c r="AEQ37" s="405"/>
      <c r="AER37" s="405"/>
      <c r="AES37" s="405"/>
      <c r="AET37" s="405"/>
      <c r="AEU37" s="405"/>
      <c r="AEV37" s="405"/>
      <c r="AEW37" s="405"/>
      <c r="AEX37" s="405"/>
      <c r="AEY37" s="405"/>
      <c r="AEZ37" s="405"/>
      <c r="AFA37" s="405"/>
      <c r="AFB37" s="405"/>
      <c r="AFC37" s="405"/>
      <c r="AFD37" s="405"/>
      <c r="AFE37" s="405"/>
      <c r="AFF37" s="405"/>
      <c r="AFG37" s="405"/>
      <c r="AFH37" s="405"/>
      <c r="AFI37" s="405"/>
      <c r="AFJ37" s="405"/>
      <c r="AFK37" s="405"/>
      <c r="AFL37" s="405"/>
      <c r="AFM37" s="405"/>
      <c r="AFN37" s="405"/>
      <c r="AFO37" s="405"/>
      <c r="AFP37" s="405"/>
      <c r="AFQ37" s="405"/>
      <c r="AFR37" s="405"/>
      <c r="AFS37" s="405"/>
      <c r="AFT37" s="405"/>
      <c r="AFU37" s="405"/>
      <c r="AFV37" s="405"/>
      <c r="AFW37" s="405"/>
      <c r="AFX37" s="405"/>
      <c r="AFY37" s="405"/>
      <c r="AFZ37" s="405"/>
      <c r="AGA37" s="405"/>
      <c r="AGB37" s="405"/>
      <c r="AGC37" s="405"/>
      <c r="AGD37" s="405"/>
      <c r="AGE37" s="405"/>
      <c r="AGF37" s="405"/>
      <c r="AGG37" s="405"/>
      <c r="AGH37" s="405"/>
      <c r="AGI37" s="405"/>
      <c r="AGJ37" s="405"/>
      <c r="AGK37" s="405"/>
      <c r="AGL37" s="405"/>
      <c r="AGM37" s="405"/>
      <c r="AGN37" s="405"/>
      <c r="AGO37" s="405"/>
      <c r="AGP37" s="405"/>
      <c r="AGQ37" s="405"/>
      <c r="AGR37" s="405"/>
      <c r="AGS37" s="405"/>
      <c r="AGT37" s="405"/>
      <c r="AGU37" s="405"/>
      <c r="AGV37" s="405"/>
      <c r="AGW37" s="405"/>
      <c r="AGX37" s="405"/>
      <c r="AGY37" s="405"/>
      <c r="AGZ37" s="405"/>
      <c r="AHA37" s="405"/>
      <c r="AHB37" s="405"/>
      <c r="AHC37" s="405"/>
      <c r="AHD37" s="405"/>
      <c r="AHE37" s="405"/>
      <c r="AHF37" s="405"/>
      <c r="AHG37" s="405"/>
      <c r="AHH37" s="405"/>
      <c r="AHI37" s="405"/>
      <c r="AHJ37" s="405"/>
      <c r="AHK37" s="405"/>
      <c r="AHL37" s="405"/>
      <c r="AHM37" s="405"/>
      <c r="AHN37" s="405"/>
      <c r="AHO37" s="405"/>
      <c r="AHP37" s="405"/>
      <c r="AHQ37" s="405"/>
      <c r="AHR37" s="405"/>
      <c r="AHS37" s="405"/>
      <c r="AHT37" s="405"/>
      <c r="AHU37" s="405"/>
      <c r="AHV37" s="405"/>
      <c r="AHW37" s="405"/>
      <c r="AHX37" s="405"/>
      <c r="AHY37" s="405"/>
      <c r="AHZ37" s="405"/>
      <c r="AIA37" s="405"/>
      <c r="AIB37" s="405"/>
      <c r="AIC37" s="405"/>
      <c r="AID37" s="405"/>
      <c r="AIE37" s="405"/>
      <c r="AIF37" s="405"/>
      <c r="AIG37" s="405"/>
      <c r="AIH37" s="405"/>
      <c r="AII37" s="405"/>
      <c r="AIJ37" s="405"/>
      <c r="AIK37" s="405"/>
      <c r="AIL37" s="405"/>
      <c r="AIM37" s="405"/>
      <c r="AIN37" s="405"/>
      <c r="AIO37" s="405"/>
      <c r="AIP37" s="405"/>
      <c r="AIQ37" s="405"/>
      <c r="AIR37" s="405"/>
      <c r="AIS37" s="405"/>
      <c r="AIT37" s="405"/>
      <c r="AIU37" s="405"/>
      <c r="AIV37" s="405"/>
      <c r="AIW37" s="405"/>
      <c r="AIX37" s="405"/>
      <c r="AIY37" s="405"/>
      <c r="AIZ37" s="405"/>
      <c r="AJA37" s="405"/>
      <c r="AJB37" s="405"/>
      <c r="AJC37" s="405"/>
      <c r="AJD37" s="405"/>
      <c r="AJE37" s="405"/>
      <c r="AJF37" s="405"/>
      <c r="AJG37" s="405"/>
      <c r="AJH37" s="405"/>
      <c r="AJI37" s="405"/>
      <c r="AJJ37" s="405"/>
      <c r="AJK37" s="405"/>
      <c r="AJL37" s="405"/>
      <c r="AJM37" s="405"/>
      <c r="AJN37" s="405"/>
      <c r="AJO37" s="405"/>
      <c r="AJP37" s="405"/>
      <c r="AJQ37" s="405"/>
      <c r="AJR37" s="405"/>
      <c r="AJS37" s="405"/>
      <c r="AJT37" s="405"/>
      <c r="AJU37" s="405"/>
      <c r="AJV37" s="405"/>
      <c r="AJW37" s="405"/>
      <c r="AJX37" s="405"/>
      <c r="AJY37" s="405"/>
      <c r="AJZ37" s="405"/>
      <c r="AKA37" s="405"/>
      <c r="AKB37" s="405"/>
      <c r="AKC37" s="405"/>
      <c r="AKD37" s="405"/>
      <c r="AKE37" s="405"/>
      <c r="AKF37" s="405"/>
      <c r="AKG37" s="405"/>
      <c r="AKH37" s="405"/>
      <c r="AKI37" s="405"/>
      <c r="AKJ37" s="405"/>
      <c r="AKK37" s="405"/>
      <c r="AKL37" s="405"/>
      <c r="AKM37" s="405"/>
      <c r="AKN37" s="405"/>
      <c r="AKO37" s="405"/>
      <c r="AKP37" s="405"/>
      <c r="AKQ37" s="405"/>
      <c r="AKR37" s="405"/>
      <c r="AKS37" s="405"/>
      <c r="AKT37" s="405"/>
      <c r="AKU37" s="405"/>
      <c r="AKV37" s="405"/>
      <c r="AKW37" s="405"/>
      <c r="AKX37" s="405"/>
      <c r="AKY37" s="405"/>
      <c r="AKZ37" s="405"/>
      <c r="ALA37" s="405"/>
      <c r="ALB37" s="405"/>
      <c r="ALC37" s="405"/>
      <c r="ALD37" s="405"/>
      <c r="ALE37" s="405"/>
      <c r="ALF37" s="405"/>
      <c r="ALG37" s="405"/>
      <c r="ALH37" s="405"/>
      <c r="ALI37" s="405"/>
      <c r="ALJ37" s="405"/>
      <c r="ALK37" s="405"/>
      <c r="ALL37" s="405"/>
      <c r="ALM37" s="405"/>
      <c r="ALN37" s="405"/>
      <c r="ALO37" s="405"/>
      <c r="ALP37" s="405"/>
      <c r="ALQ37" s="405"/>
      <c r="ALR37" s="405"/>
      <c r="ALS37" s="405"/>
      <c r="ALT37" s="405"/>
      <c r="ALU37" s="405"/>
      <c r="ALV37" s="405"/>
      <c r="ALW37" s="405"/>
      <c r="ALX37" s="405"/>
      <c r="ALY37" s="405"/>
      <c r="ALZ37" s="405"/>
      <c r="AMA37" s="405"/>
      <c r="AMB37" s="405"/>
      <c r="AMC37" s="405"/>
      <c r="AMD37" s="405"/>
      <c r="AME37" s="405"/>
      <c r="AMF37" s="405"/>
      <c r="AMG37" s="405"/>
      <c r="AMH37" s="405"/>
      <c r="AMI37" s="405"/>
      <c r="AMJ37" s="405"/>
      <c r="AMK37" s="405"/>
    </row>
    <row r="38" spans="1:1025" s="406" customFormat="1" x14ac:dyDescent="0.25">
      <c r="A38" s="102">
        <f>IF(COUNTBLANK(B38)=1," ",COUNTA(B$14:B38))</f>
        <v>21</v>
      </c>
      <c r="B38" s="399" t="s">
        <v>87</v>
      </c>
      <c r="C38" s="889" t="s">
        <v>109</v>
      </c>
      <c r="D38" s="890" t="s">
        <v>91</v>
      </c>
      <c r="E38" s="888">
        <f>E37*2</f>
        <v>3780</v>
      </c>
      <c r="F38" s="401"/>
      <c r="G38" s="210"/>
      <c r="H38" s="208">
        <f t="shared" si="0"/>
        <v>0</v>
      </c>
      <c r="I38" s="400"/>
      <c r="J38" s="209"/>
      <c r="K38" s="307">
        <f t="shared" si="1"/>
        <v>0</v>
      </c>
      <c r="L38" s="307">
        <f t="shared" si="2"/>
        <v>0</v>
      </c>
      <c r="M38" s="307">
        <f t="shared" si="3"/>
        <v>0</v>
      </c>
      <c r="N38" s="307">
        <f t="shared" si="4"/>
        <v>0</v>
      </c>
      <c r="O38" s="307">
        <f t="shared" si="5"/>
        <v>0</v>
      </c>
      <c r="P38" s="307">
        <f t="shared" si="6"/>
        <v>0</v>
      </c>
      <c r="Q38" s="405"/>
      <c r="R38" s="405"/>
      <c r="S38" s="405"/>
      <c r="T38" s="405"/>
      <c r="U38" s="405"/>
      <c r="V38" s="405"/>
      <c r="W38" s="405"/>
      <c r="X38" s="405"/>
      <c r="Y38" s="405"/>
      <c r="Z38" s="405"/>
      <c r="AA38" s="405"/>
      <c r="AB38" s="405"/>
      <c r="AC38" s="405"/>
      <c r="AD38" s="405"/>
      <c r="AE38" s="405"/>
      <c r="AF38" s="405"/>
      <c r="AG38" s="405"/>
      <c r="AH38" s="405"/>
      <c r="AI38" s="405"/>
      <c r="AJ38" s="405"/>
      <c r="AK38" s="405"/>
      <c r="AL38" s="405"/>
      <c r="AM38" s="405"/>
      <c r="AN38" s="405"/>
      <c r="AO38" s="405"/>
      <c r="AP38" s="405"/>
      <c r="AQ38" s="405"/>
      <c r="AR38" s="405"/>
      <c r="AS38" s="405"/>
      <c r="AT38" s="405"/>
      <c r="AU38" s="405"/>
      <c r="AV38" s="405"/>
      <c r="AW38" s="405"/>
      <c r="AX38" s="405"/>
      <c r="AY38" s="405"/>
      <c r="AZ38" s="405"/>
      <c r="BA38" s="405"/>
      <c r="BB38" s="405"/>
      <c r="BC38" s="405"/>
      <c r="BD38" s="405"/>
      <c r="BE38" s="405"/>
      <c r="BF38" s="405"/>
      <c r="BG38" s="405"/>
      <c r="BH38" s="405"/>
      <c r="BI38" s="405"/>
      <c r="BJ38" s="405"/>
      <c r="BK38" s="405"/>
      <c r="BL38" s="405"/>
      <c r="BM38" s="405"/>
      <c r="BN38" s="405"/>
      <c r="BO38" s="405"/>
      <c r="BP38" s="405"/>
      <c r="BQ38" s="405"/>
      <c r="BR38" s="405"/>
      <c r="BS38" s="405"/>
      <c r="BT38" s="405"/>
      <c r="BU38" s="405"/>
      <c r="BV38" s="405"/>
      <c r="BW38" s="405"/>
      <c r="BX38" s="405"/>
      <c r="BY38" s="405"/>
      <c r="BZ38" s="405"/>
      <c r="CA38" s="405"/>
      <c r="CB38" s="405"/>
      <c r="CC38" s="405"/>
      <c r="CD38" s="405"/>
      <c r="CE38" s="405"/>
      <c r="CF38" s="405"/>
      <c r="CG38" s="405"/>
      <c r="CH38" s="405"/>
      <c r="CI38" s="405"/>
      <c r="CJ38" s="405"/>
      <c r="CK38" s="405"/>
      <c r="CL38" s="405"/>
      <c r="CM38" s="405"/>
      <c r="CN38" s="405"/>
      <c r="CO38" s="405"/>
      <c r="CP38" s="405"/>
      <c r="CQ38" s="405"/>
      <c r="CR38" s="405"/>
      <c r="CS38" s="405"/>
      <c r="CT38" s="405"/>
      <c r="CU38" s="405"/>
      <c r="CV38" s="405"/>
      <c r="CW38" s="405"/>
      <c r="CX38" s="405"/>
      <c r="CY38" s="405"/>
      <c r="CZ38" s="405"/>
      <c r="DA38" s="405"/>
      <c r="DB38" s="405"/>
      <c r="DC38" s="405"/>
      <c r="DD38" s="405"/>
      <c r="DE38" s="405"/>
      <c r="DF38" s="405"/>
      <c r="DG38" s="405"/>
      <c r="DH38" s="405"/>
      <c r="DI38" s="405"/>
      <c r="DJ38" s="405"/>
      <c r="DK38" s="405"/>
      <c r="DL38" s="405"/>
      <c r="DM38" s="405"/>
      <c r="DN38" s="405"/>
      <c r="DO38" s="405"/>
      <c r="DP38" s="405"/>
      <c r="DQ38" s="405"/>
      <c r="DR38" s="405"/>
      <c r="DS38" s="405"/>
      <c r="DT38" s="405"/>
      <c r="DU38" s="405"/>
      <c r="DV38" s="405"/>
      <c r="DW38" s="405"/>
      <c r="DX38" s="405"/>
      <c r="DY38" s="405"/>
      <c r="DZ38" s="405"/>
      <c r="EA38" s="405"/>
      <c r="EB38" s="405"/>
      <c r="EC38" s="405"/>
      <c r="ED38" s="405"/>
      <c r="EE38" s="405"/>
      <c r="EF38" s="405"/>
      <c r="EG38" s="405"/>
      <c r="EH38" s="405"/>
      <c r="EI38" s="405"/>
      <c r="EJ38" s="405"/>
      <c r="EK38" s="405"/>
      <c r="EL38" s="405"/>
      <c r="EM38" s="405"/>
      <c r="EN38" s="405"/>
      <c r="EO38" s="405"/>
      <c r="EP38" s="405"/>
      <c r="EQ38" s="405"/>
      <c r="ER38" s="405"/>
      <c r="ES38" s="405"/>
      <c r="ET38" s="405"/>
      <c r="EU38" s="405"/>
      <c r="EV38" s="405"/>
      <c r="EW38" s="405"/>
      <c r="EX38" s="405"/>
      <c r="EY38" s="405"/>
      <c r="EZ38" s="405"/>
      <c r="FA38" s="405"/>
      <c r="FB38" s="405"/>
      <c r="FC38" s="405"/>
      <c r="FD38" s="405"/>
      <c r="FE38" s="405"/>
      <c r="FF38" s="405"/>
      <c r="FG38" s="405"/>
      <c r="FH38" s="405"/>
      <c r="FI38" s="405"/>
      <c r="FJ38" s="405"/>
      <c r="FK38" s="405"/>
      <c r="FL38" s="405"/>
      <c r="FM38" s="405"/>
      <c r="FN38" s="405"/>
      <c r="FO38" s="405"/>
      <c r="FP38" s="405"/>
      <c r="FQ38" s="405"/>
      <c r="FR38" s="405"/>
      <c r="FS38" s="405"/>
      <c r="FT38" s="405"/>
      <c r="FU38" s="405"/>
      <c r="FV38" s="405"/>
      <c r="FW38" s="405"/>
      <c r="FX38" s="405"/>
      <c r="FY38" s="405"/>
      <c r="FZ38" s="405"/>
      <c r="GA38" s="405"/>
      <c r="GB38" s="405"/>
      <c r="GC38" s="405"/>
      <c r="GD38" s="405"/>
      <c r="GE38" s="405"/>
      <c r="GF38" s="405"/>
      <c r="GG38" s="405"/>
      <c r="GH38" s="405"/>
      <c r="GI38" s="405"/>
      <c r="GJ38" s="405"/>
      <c r="GK38" s="405"/>
      <c r="GL38" s="405"/>
      <c r="GM38" s="405"/>
      <c r="GN38" s="405"/>
      <c r="GO38" s="405"/>
      <c r="GP38" s="405"/>
      <c r="GQ38" s="405"/>
      <c r="GR38" s="405"/>
      <c r="GS38" s="405"/>
      <c r="GT38" s="405"/>
      <c r="GU38" s="405"/>
      <c r="GV38" s="405"/>
      <c r="GW38" s="405"/>
      <c r="GX38" s="405"/>
      <c r="GY38" s="405"/>
      <c r="GZ38" s="405"/>
      <c r="HA38" s="405"/>
      <c r="HB38" s="405"/>
      <c r="HC38" s="405"/>
      <c r="HD38" s="405"/>
      <c r="HE38" s="405"/>
      <c r="HF38" s="405"/>
      <c r="HG38" s="405"/>
      <c r="HH38" s="405"/>
      <c r="HI38" s="405"/>
      <c r="HJ38" s="405"/>
      <c r="HK38" s="405"/>
      <c r="HL38" s="405"/>
      <c r="HM38" s="405"/>
      <c r="HN38" s="405"/>
      <c r="HO38" s="405"/>
      <c r="HP38" s="405"/>
      <c r="HQ38" s="405"/>
      <c r="HR38" s="405"/>
      <c r="HS38" s="405"/>
      <c r="HT38" s="405"/>
      <c r="HU38" s="405"/>
      <c r="HV38" s="405"/>
      <c r="HW38" s="405"/>
      <c r="HX38" s="405"/>
      <c r="HY38" s="405"/>
      <c r="HZ38" s="405"/>
      <c r="IA38" s="405"/>
      <c r="IB38" s="405"/>
      <c r="IC38" s="405"/>
      <c r="ID38" s="405"/>
      <c r="IE38" s="405"/>
      <c r="IF38" s="405"/>
      <c r="IG38" s="405"/>
      <c r="IH38" s="405"/>
      <c r="II38" s="405"/>
      <c r="IJ38" s="405"/>
      <c r="IK38" s="405"/>
      <c r="IL38" s="405"/>
      <c r="IM38" s="405"/>
      <c r="IN38" s="405"/>
      <c r="IO38" s="405"/>
      <c r="IP38" s="405"/>
      <c r="IQ38" s="405"/>
      <c r="IR38" s="405"/>
      <c r="IS38" s="405"/>
      <c r="IT38" s="405"/>
      <c r="IU38" s="405"/>
      <c r="IV38" s="405"/>
      <c r="IW38" s="405"/>
      <c r="IX38" s="405"/>
      <c r="IY38" s="405"/>
      <c r="IZ38" s="405"/>
      <c r="JA38" s="405"/>
      <c r="JB38" s="405"/>
      <c r="JC38" s="405"/>
      <c r="JD38" s="405"/>
      <c r="JE38" s="405"/>
      <c r="JF38" s="405"/>
      <c r="JG38" s="405"/>
      <c r="JH38" s="405"/>
      <c r="JI38" s="405"/>
      <c r="JJ38" s="405"/>
      <c r="JK38" s="405"/>
      <c r="JL38" s="405"/>
      <c r="JM38" s="405"/>
      <c r="JN38" s="405"/>
      <c r="JO38" s="405"/>
      <c r="JP38" s="405"/>
      <c r="JQ38" s="405"/>
      <c r="JR38" s="405"/>
      <c r="JS38" s="405"/>
      <c r="JT38" s="405"/>
      <c r="JU38" s="405"/>
      <c r="JV38" s="405"/>
      <c r="JW38" s="405"/>
      <c r="JX38" s="405"/>
      <c r="JY38" s="405"/>
      <c r="JZ38" s="405"/>
      <c r="KA38" s="405"/>
      <c r="KB38" s="405"/>
      <c r="KC38" s="405"/>
      <c r="KD38" s="405"/>
      <c r="KE38" s="405"/>
      <c r="KF38" s="405"/>
      <c r="KG38" s="405"/>
      <c r="KH38" s="405"/>
      <c r="KI38" s="405"/>
      <c r="KJ38" s="405"/>
      <c r="KK38" s="405"/>
      <c r="KL38" s="405"/>
      <c r="KM38" s="405"/>
      <c r="KN38" s="405"/>
      <c r="KO38" s="405"/>
      <c r="KP38" s="405"/>
      <c r="KQ38" s="405"/>
      <c r="KR38" s="405"/>
      <c r="KS38" s="405"/>
      <c r="KT38" s="405"/>
      <c r="KU38" s="405"/>
      <c r="KV38" s="405"/>
      <c r="KW38" s="405"/>
      <c r="KX38" s="405"/>
      <c r="KY38" s="405"/>
      <c r="KZ38" s="405"/>
      <c r="LA38" s="405"/>
      <c r="LB38" s="405"/>
      <c r="LC38" s="405"/>
      <c r="LD38" s="405"/>
      <c r="LE38" s="405"/>
      <c r="LF38" s="405"/>
      <c r="LG38" s="405"/>
      <c r="LH38" s="405"/>
      <c r="LI38" s="405"/>
      <c r="LJ38" s="405"/>
      <c r="LK38" s="405"/>
      <c r="LL38" s="405"/>
      <c r="LM38" s="405"/>
      <c r="LN38" s="405"/>
      <c r="LO38" s="405"/>
      <c r="LP38" s="405"/>
      <c r="LQ38" s="405"/>
      <c r="LR38" s="405"/>
      <c r="LS38" s="405"/>
      <c r="LT38" s="405"/>
      <c r="LU38" s="405"/>
      <c r="LV38" s="405"/>
      <c r="LW38" s="405"/>
      <c r="LX38" s="405"/>
      <c r="LY38" s="405"/>
      <c r="LZ38" s="405"/>
      <c r="MA38" s="405"/>
      <c r="MB38" s="405"/>
      <c r="MC38" s="405"/>
      <c r="MD38" s="405"/>
      <c r="ME38" s="405"/>
      <c r="MF38" s="405"/>
      <c r="MG38" s="405"/>
      <c r="MH38" s="405"/>
      <c r="MI38" s="405"/>
      <c r="MJ38" s="405"/>
      <c r="MK38" s="405"/>
      <c r="ML38" s="405"/>
      <c r="MM38" s="405"/>
      <c r="MN38" s="405"/>
      <c r="MO38" s="405"/>
      <c r="MP38" s="405"/>
      <c r="MQ38" s="405"/>
      <c r="MR38" s="405"/>
      <c r="MS38" s="405"/>
      <c r="MT38" s="405"/>
      <c r="MU38" s="405"/>
      <c r="MV38" s="405"/>
      <c r="MW38" s="405"/>
      <c r="MX38" s="405"/>
      <c r="MY38" s="405"/>
      <c r="MZ38" s="405"/>
      <c r="NA38" s="405"/>
      <c r="NB38" s="405"/>
      <c r="NC38" s="405"/>
      <c r="ND38" s="405"/>
      <c r="NE38" s="405"/>
      <c r="NF38" s="405"/>
      <c r="NG38" s="405"/>
      <c r="NH38" s="405"/>
      <c r="NI38" s="405"/>
      <c r="NJ38" s="405"/>
      <c r="NK38" s="405"/>
      <c r="NL38" s="405"/>
      <c r="NM38" s="405"/>
      <c r="NN38" s="405"/>
      <c r="NO38" s="405"/>
      <c r="NP38" s="405"/>
      <c r="NQ38" s="405"/>
      <c r="NR38" s="405"/>
      <c r="NS38" s="405"/>
      <c r="NT38" s="405"/>
      <c r="NU38" s="405"/>
      <c r="NV38" s="405"/>
      <c r="NW38" s="405"/>
      <c r="NX38" s="405"/>
      <c r="NY38" s="405"/>
      <c r="NZ38" s="405"/>
      <c r="OA38" s="405"/>
      <c r="OB38" s="405"/>
      <c r="OC38" s="405"/>
      <c r="OD38" s="405"/>
      <c r="OE38" s="405"/>
      <c r="OF38" s="405"/>
      <c r="OG38" s="405"/>
      <c r="OH38" s="405"/>
      <c r="OI38" s="405"/>
      <c r="OJ38" s="405"/>
      <c r="OK38" s="405"/>
      <c r="OL38" s="405"/>
      <c r="OM38" s="405"/>
      <c r="ON38" s="405"/>
      <c r="OO38" s="405"/>
      <c r="OP38" s="405"/>
      <c r="OQ38" s="405"/>
      <c r="OR38" s="405"/>
      <c r="OS38" s="405"/>
      <c r="OT38" s="405"/>
      <c r="OU38" s="405"/>
      <c r="OV38" s="405"/>
      <c r="OW38" s="405"/>
      <c r="OX38" s="405"/>
      <c r="OY38" s="405"/>
      <c r="OZ38" s="405"/>
      <c r="PA38" s="405"/>
      <c r="PB38" s="405"/>
      <c r="PC38" s="405"/>
      <c r="PD38" s="405"/>
      <c r="PE38" s="405"/>
      <c r="PF38" s="405"/>
      <c r="PG38" s="405"/>
      <c r="PH38" s="405"/>
      <c r="PI38" s="405"/>
      <c r="PJ38" s="405"/>
      <c r="PK38" s="405"/>
      <c r="PL38" s="405"/>
      <c r="PM38" s="405"/>
      <c r="PN38" s="405"/>
      <c r="PO38" s="405"/>
      <c r="PP38" s="405"/>
      <c r="PQ38" s="405"/>
      <c r="PR38" s="405"/>
      <c r="PS38" s="405"/>
      <c r="PT38" s="405"/>
      <c r="PU38" s="405"/>
      <c r="PV38" s="405"/>
      <c r="PW38" s="405"/>
      <c r="PX38" s="405"/>
      <c r="PY38" s="405"/>
      <c r="PZ38" s="405"/>
      <c r="QA38" s="405"/>
      <c r="QB38" s="405"/>
      <c r="QC38" s="405"/>
      <c r="QD38" s="405"/>
      <c r="QE38" s="405"/>
      <c r="QF38" s="405"/>
      <c r="QG38" s="405"/>
      <c r="QH38" s="405"/>
      <c r="QI38" s="405"/>
      <c r="QJ38" s="405"/>
      <c r="QK38" s="405"/>
      <c r="QL38" s="405"/>
      <c r="QM38" s="405"/>
      <c r="QN38" s="405"/>
      <c r="QO38" s="405"/>
      <c r="QP38" s="405"/>
      <c r="QQ38" s="405"/>
      <c r="QR38" s="405"/>
      <c r="QS38" s="405"/>
      <c r="QT38" s="405"/>
      <c r="QU38" s="405"/>
      <c r="QV38" s="405"/>
      <c r="QW38" s="405"/>
      <c r="QX38" s="405"/>
      <c r="QY38" s="405"/>
      <c r="QZ38" s="405"/>
      <c r="RA38" s="405"/>
      <c r="RB38" s="405"/>
      <c r="RC38" s="405"/>
      <c r="RD38" s="405"/>
      <c r="RE38" s="405"/>
      <c r="RF38" s="405"/>
      <c r="RG38" s="405"/>
      <c r="RH38" s="405"/>
      <c r="RI38" s="405"/>
      <c r="RJ38" s="405"/>
      <c r="RK38" s="405"/>
      <c r="RL38" s="405"/>
      <c r="RM38" s="405"/>
      <c r="RN38" s="405"/>
      <c r="RO38" s="405"/>
      <c r="RP38" s="405"/>
      <c r="RQ38" s="405"/>
      <c r="RR38" s="405"/>
      <c r="RS38" s="405"/>
      <c r="RT38" s="405"/>
      <c r="RU38" s="405"/>
      <c r="RV38" s="405"/>
      <c r="RW38" s="405"/>
      <c r="RX38" s="405"/>
      <c r="RY38" s="405"/>
      <c r="RZ38" s="405"/>
      <c r="SA38" s="405"/>
      <c r="SB38" s="405"/>
      <c r="SC38" s="405"/>
      <c r="SD38" s="405"/>
      <c r="SE38" s="405"/>
      <c r="SF38" s="405"/>
      <c r="SG38" s="405"/>
      <c r="SH38" s="405"/>
      <c r="SI38" s="405"/>
      <c r="SJ38" s="405"/>
      <c r="SK38" s="405"/>
      <c r="SL38" s="405"/>
      <c r="SM38" s="405"/>
      <c r="SN38" s="405"/>
      <c r="SO38" s="405"/>
      <c r="SP38" s="405"/>
      <c r="SQ38" s="405"/>
      <c r="SR38" s="405"/>
      <c r="SS38" s="405"/>
      <c r="ST38" s="405"/>
      <c r="SU38" s="405"/>
      <c r="SV38" s="405"/>
      <c r="SW38" s="405"/>
      <c r="SX38" s="405"/>
      <c r="SY38" s="405"/>
      <c r="SZ38" s="405"/>
      <c r="TA38" s="405"/>
      <c r="TB38" s="405"/>
      <c r="TC38" s="405"/>
      <c r="TD38" s="405"/>
      <c r="TE38" s="405"/>
      <c r="TF38" s="405"/>
      <c r="TG38" s="405"/>
      <c r="TH38" s="405"/>
      <c r="TI38" s="405"/>
      <c r="TJ38" s="405"/>
      <c r="TK38" s="405"/>
      <c r="TL38" s="405"/>
      <c r="TM38" s="405"/>
      <c r="TN38" s="405"/>
      <c r="TO38" s="405"/>
      <c r="TP38" s="405"/>
      <c r="TQ38" s="405"/>
      <c r="TR38" s="405"/>
      <c r="TS38" s="405"/>
      <c r="TT38" s="405"/>
      <c r="TU38" s="405"/>
      <c r="TV38" s="405"/>
      <c r="TW38" s="405"/>
      <c r="TX38" s="405"/>
      <c r="TY38" s="405"/>
      <c r="TZ38" s="405"/>
      <c r="UA38" s="405"/>
      <c r="UB38" s="405"/>
      <c r="UC38" s="405"/>
      <c r="UD38" s="405"/>
      <c r="UE38" s="405"/>
      <c r="UF38" s="405"/>
      <c r="UG38" s="405"/>
      <c r="UH38" s="405"/>
      <c r="UI38" s="405"/>
      <c r="UJ38" s="405"/>
      <c r="UK38" s="405"/>
      <c r="UL38" s="405"/>
      <c r="UM38" s="405"/>
      <c r="UN38" s="405"/>
      <c r="UO38" s="405"/>
      <c r="UP38" s="405"/>
      <c r="UQ38" s="405"/>
      <c r="UR38" s="405"/>
      <c r="US38" s="405"/>
      <c r="UT38" s="405"/>
      <c r="UU38" s="405"/>
      <c r="UV38" s="405"/>
      <c r="UW38" s="405"/>
      <c r="UX38" s="405"/>
      <c r="UY38" s="405"/>
      <c r="UZ38" s="405"/>
      <c r="VA38" s="405"/>
      <c r="VB38" s="405"/>
      <c r="VC38" s="405"/>
      <c r="VD38" s="405"/>
      <c r="VE38" s="405"/>
      <c r="VF38" s="405"/>
      <c r="VG38" s="405"/>
      <c r="VH38" s="405"/>
      <c r="VI38" s="405"/>
      <c r="VJ38" s="405"/>
      <c r="VK38" s="405"/>
      <c r="VL38" s="405"/>
      <c r="VM38" s="405"/>
      <c r="VN38" s="405"/>
      <c r="VO38" s="405"/>
      <c r="VP38" s="405"/>
      <c r="VQ38" s="405"/>
      <c r="VR38" s="405"/>
      <c r="VS38" s="405"/>
      <c r="VT38" s="405"/>
      <c r="VU38" s="405"/>
      <c r="VV38" s="405"/>
      <c r="VW38" s="405"/>
      <c r="VX38" s="405"/>
      <c r="VY38" s="405"/>
      <c r="VZ38" s="405"/>
      <c r="WA38" s="405"/>
      <c r="WB38" s="405"/>
      <c r="WC38" s="405"/>
      <c r="WD38" s="405"/>
      <c r="WE38" s="405"/>
      <c r="WF38" s="405"/>
      <c r="WG38" s="405"/>
      <c r="WH38" s="405"/>
      <c r="WI38" s="405"/>
      <c r="WJ38" s="405"/>
      <c r="WK38" s="405"/>
      <c r="WL38" s="405"/>
      <c r="WM38" s="405"/>
      <c r="WN38" s="405"/>
      <c r="WO38" s="405"/>
      <c r="WP38" s="405"/>
      <c r="WQ38" s="405"/>
      <c r="WR38" s="405"/>
      <c r="WS38" s="405"/>
      <c r="WT38" s="405"/>
      <c r="WU38" s="405"/>
      <c r="WV38" s="405"/>
      <c r="WW38" s="405"/>
      <c r="WX38" s="405"/>
      <c r="WY38" s="405"/>
      <c r="WZ38" s="405"/>
      <c r="XA38" s="405"/>
      <c r="XB38" s="405"/>
      <c r="XC38" s="405"/>
      <c r="XD38" s="405"/>
      <c r="XE38" s="405"/>
      <c r="XF38" s="405"/>
      <c r="XG38" s="405"/>
      <c r="XH38" s="405"/>
      <c r="XI38" s="405"/>
      <c r="XJ38" s="405"/>
      <c r="XK38" s="405"/>
      <c r="XL38" s="405"/>
      <c r="XM38" s="405"/>
      <c r="XN38" s="405"/>
      <c r="XO38" s="405"/>
      <c r="XP38" s="405"/>
      <c r="XQ38" s="405"/>
      <c r="XR38" s="405"/>
      <c r="XS38" s="405"/>
      <c r="XT38" s="405"/>
      <c r="XU38" s="405"/>
      <c r="XV38" s="405"/>
      <c r="XW38" s="405"/>
      <c r="XX38" s="405"/>
      <c r="XY38" s="405"/>
      <c r="XZ38" s="405"/>
      <c r="YA38" s="405"/>
      <c r="YB38" s="405"/>
      <c r="YC38" s="405"/>
      <c r="YD38" s="405"/>
      <c r="YE38" s="405"/>
      <c r="YF38" s="405"/>
      <c r="YG38" s="405"/>
      <c r="YH38" s="405"/>
      <c r="YI38" s="405"/>
      <c r="YJ38" s="405"/>
      <c r="YK38" s="405"/>
      <c r="YL38" s="405"/>
      <c r="YM38" s="405"/>
      <c r="YN38" s="405"/>
      <c r="YO38" s="405"/>
      <c r="YP38" s="405"/>
      <c r="YQ38" s="405"/>
      <c r="YR38" s="405"/>
      <c r="YS38" s="405"/>
      <c r="YT38" s="405"/>
      <c r="YU38" s="405"/>
      <c r="YV38" s="405"/>
      <c r="YW38" s="405"/>
      <c r="YX38" s="405"/>
      <c r="YY38" s="405"/>
      <c r="YZ38" s="405"/>
      <c r="ZA38" s="405"/>
      <c r="ZB38" s="405"/>
      <c r="ZC38" s="405"/>
      <c r="ZD38" s="405"/>
      <c r="ZE38" s="405"/>
      <c r="ZF38" s="405"/>
      <c r="ZG38" s="405"/>
      <c r="ZH38" s="405"/>
      <c r="ZI38" s="405"/>
      <c r="ZJ38" s="405"/>
      <c r="ZK38" s="405"/>
      <c r="ZL38" s="405"/>
      <c r="ZM38" s="405"/>
      <c r="ZN38" s="405"/>
      <c r="ZO38" s="405"/>
      <c r="ZP38" s="405"/>
      <c r="ZQ38" s="405"/>
      <c r="ZR38" s="405"/>
      <c r="ZS38" s="405"/>
      <c r="ZT38" s="405"/>
      <c r="ZU38" s="405"/>
      <c r="ZV38" s="405"/>
      <c r="ZW38" s="405"/>
      <c r="ZX38" s="405"/>
      <c r="ZY38" s="405"/>
      <c r="ZZ38" s="405"/>
      <c r="AAA38" s="405"/>
      <c r="AAB38" s="405"/>
      <c r="AAC38" s="405"/>
      <c r="AAD38" s="405"/>
      <c r="AAE38" s="405"/>
      <c r="AAF38" s="405"/>
      <c r="AAG38" s="405"/>
      <c r="AAH38" s="405"/>
      <c r="AAI38" s="405"/>
      <c r="AAJ38" s="405"/>
      <c r="AAK38" s="405"/>
      <c r="AAL38" s="405"/>
      <c r="AAM38" s="405"/>
      <c r="AAN38" s="405"/>
      <c r="AAO38" s="405"/>
      <c r="AAP38" s="405"/>
      <c r="AAQ38" s="405"/>
      <c r="AAR38" s="405"/>
      <c r="AAS38" s="405"/>
      <c r="AAT38" s="405"/>
      <c r="AAU38" s="405"/>
      <c r="AAV38" s="405"/>
      <c r="AAW38" s="405"/>
      <c r="AAX38" s="405"/>
      <c r="AAY38" s="405"/>
      <c r="AAZ38" s="405"/>
      <c r="ABA38" s="405"/>
      <c r="ABB38" s="405"/>
      <c r="ABC38" s="405"/>
      <c r="ABD38" s="405"/>
      <c r="ABE38" s="405"/>
      <c r="ABF38" s="405"/>
      <c r="ABG38" s="405"/>
      <c r="ABH38" s="405"/>
      <c r="ABI38" s="405"/>
      <c r="ABJ38" s="405"/>
      <c r="ABK38" s="405"/>
      <c r="ABL38" s="405"/>
      <c r="ABM38" s="405"/>
      <c r="ABN38" s="405"/>
      <c r="ABO38" s="405"/>
      <c r="ABP38" s="405"/>
      <c r="ABQ38" s="405"/>
      <c r="ABR38" s="405"/>
      <c r="ABS38" s="405"/>
      <c r="ABT38" s="405"/>
      <c r="ABU38" s="405"/>
      <c r="ABV38" s="405"/>
      <c r="ABW38" s="405"/>
      <c r="ABX38" s="405"/>
      <c r="ABY38" s="405"/>
      <c r="ABZ38" s="405"/>
      <c r="ACA38" s="405"/>
      <c r="ACB38" s="405"/>
      <c r="ACC38" s="405"/>
      <c r="ACD38" s="405"/>
      <c r="ACE38" s="405"/>
      <c r="ACF38" s="405"/>
      <c r="ACG38" s="405"/>
      <c r="ACH38" s="405"/>
      <c r="ACI38" s="405"/>
      <c r="ACJ38" s="405"/>
      <c r="ACK38" s="405"/>
      <c r="ACL38" s="405"/>
      <c r="ACM38" s="405"/>
      <c r="ACN38" s="405"/>
      <c r="ACO38" s="405"/>
      <c r="ACP38" s="405"/>
      <c r="ACQ38" s="405"/>
      <c r="ACR38" s="405"/>
      <c r="ACS38" s="405"/>
      <c r="ACT38" s="405"/>
      <c r="ACU38" s="405"/>
      <c r="ACV38" s="405"/>
      <c r="ACW38" s="405"/>
      <c r="ACX38" s="405"/>
      <c r="ACY38" s="405"/>
      <c r="ACZ38" s="405"/>
      <c r="ADA38" s="405"/>
      <c r="ADB38" s="405"/>
      <c r="ADC38" s="405"/>
      <c r="ADD38" s="405"/>
      <c r="ADE38" s="405"/>
      <c r="ADF38" s="405"/>
      <c r="ADG38" s="405"/>
      <c r="ADH38" s="405"/>
      <c r="ADI38" s="405"/>
      <c r="ADJ38" s="405"/>
      <c r="ADK38" s="405"/>
      <c r="ADL38" s="405"/>
      <c r="ADM38" s="405"/>
      <c r="ADN38" s="405"/>
      <c r="ADO38" s="405"/>
      <c r="ADP38" s="405"/>
      <c r="ADQ38" s="405"/>
      <c r="ADR38" s="405"/>
      <c r="ADS38" s="405"/>
      <c r="ADT38" s="405"/>
      <c r="ADU38" s="405"/>
      <c r="ADV38" s="405"/>
      <c r="ADW38" s="405"/>
      <c r="ADX38" s="405"/>
      <c r="ADY38" s="405"/>
      <c r="ADZ38" s="405"/>
      <c r="AEA38" s="405"/>
      <c r="AEB38" s="405"/>
      <c r="AEC38" s="405"/>
      <c r="AED38" s="405"/>
      <c r="AEE38" s="405"/>
      <c r="AEF38" s="405"/>
      <c r="AEG38" s="405"/>
      <c r="AEH38" s="405"/>
      <c r="AEI38" s="405"/>
      <c r="AEJ38" s="405"/>
      <c r="AEK38" s="405"/>
      <c r="AEL38" s="405"/>
      <c r="AEM38" s="405"/>
      <c r="AEN38" s="405"/>
      <c r="AEO38" s="405"/>
      <c r="AEP38" s="405"/>
      <c r="AEQ38" s="405"/>
      <c r="AER38" s="405"/>
      <c r="AES38" s="405"/>
      <c r="AET38" s="405"/>
      <c r="AEU38" s="405"/>
      <c r="AEV38" s="405"/>
      <c r="AEW38" s="405"/>
      <c r="AEX38" s="405"/>
      <c r="AEY38" s="405"/>
      <c r="AEZ38" s="405"/>
      <c r="AFA38" s="405"/>
      <c r="AFB38" s="405"/>
      <c r="AFC38" s="405"/>
      <c r="AFD38" s="405"/>
      <c r="AFE38" s="405"/>
      <c r="AFF38" s="405"/>
      <c r="AFG38" s="405"/>
      <c r="AFH38" s="405"/>
      <c r="AFI38" s="405"/>
      <c r="AFJ38" s="405"/>
      <c r="AFK38" s="405"/>
      <c r="AFL38" s="405"/>
      <c r="AFM38" s="405"/>
      <c r="AFN38" s="405"/>
      <c r="AFO38" s="405"/>
      <c r="AFP38" s="405"/>
      <c r="AFQ38" s="405"/>
      <c r="AFR38" s="405"/>
      <c r="AFS38" s="405"/>
      <c r="AFT38" s="405"/>
      <c r="AFU38" s="405"/>
      <c r="AFV38" s="405"/>
      <c r="AFW38" s="405"/>
      <c r="AFX38" s="405"/>
      <c r="AFY38" s="405"/>
      <c r="AFZ38" s="405"/>
      <c r="AGA38" s="405"/>
      <c r="AGB38" s="405"/>
      <c r="AGC38" s="405"/>
      <c r="AGD38" s="405"/>
      <c r="AGE38" s="405"/>
      <c r="AGF38" s="405"/>
      <c r="AGG38" s="405"/>
      <c r="AGH38" s="405"/>
      <c r="AGI38" s="405"/>
      <c r="AGJ38" s="405"/>
      <c r="AGK38" s="405"/>
      <c r="AGL38" s="405"/>
      <c r="AGM38" s="405"/>
      <c r="AGN38" s="405"/>
      <c r="AGO38" s="405"/>
      <c r="AGP38" s="405"/>
      <c r="AGQ38" s="405"/>
      <c r="AGR38" s="405"/>
      <c r="AGS38" s="405"/>
      <c r="AGT38" s="405"/>
      <c r="AGU38" s="405"/>
      <c r="AGV38" s="405"/>
      <c r="AGW38" s="405"/>
      <c r="AGX38" s="405"/>
      <c r="AGY38" s="405"/>
      <c r="AGZ38" s="405"/>
      <c r="AHA38" s="405"/>
      <c r="AHB38" s="405"/>
      <c r="AHC38" s="405"/>
      <c r="AHD38" s="405"/>
      <c r="AHE38" s="405"/>
      <c r="AHF38" s="405"/>
      <c r="AHG38" s="405"/>
      <c r="AHH38" s="405"/>
      <c r="AHI38" s="405"/>
      <c r="AHJ38" s="405"/>
      <c r="AHK38" s="405"/>
      <c r="AHL38" s="405"/>
      <c r="AHM38" s="405"/>
      <c r="AHN38" s="405"/>
      <c r="AHO38" s="405"/>
      <c r="AHP38" s="405"/>
      <c r="AHQ38" s="405"/>
      <c r="AHR38" s="405"/>
      <c r="AHS38" s="405"/>
      <c r="AHT38" s="405"/>
      <c r="AHU38" s="405"/>
      <c r="AHV38" s="405"/>
      <c r="AHW38" s="405"/>
      <c r="AHX38" s="405"/>
      <c r="AHY38" s="405"/>
      <c r="AHZ38" s="405"/>
      <c r="AIA38" s="405"/>
      <c r="AIB38" s="405"/>
      <c r="AIC38" s="405"/>
      <c r="AID38" s="405"/>
      <c r="AIE38" s="405"/>
      <c r="AIF38" s="405"/>
      <c r="AIG38" s="405"/>
      <c r="AIH38" s="405"/>
      <c r="AII38" s="405"/>
      <c r="AIJ38" s="405"/>
      <c r="AIK38" s="405"/>
      <c r="AIL38" s="405"/>
      <c r="AIM38" s="405"/>
      <c r="AIN38" s="405"/>
      <c r="AIO38" s="405"/>
      <c r="AIP38" s="405"/>
      <c r="AIQ38" s="405"/>
      <c r="AIR38" s="405"/>
      <c r="AIS38" s="405"/>
      <c r="AIT38" s="405"/>
      <c r="AIU38" s="405"/>
      <c r="AIV38" s="405"/>
      <c r="AIW38" s="405"/>
      <c r="AIX38" s="405"/>
      <c r="AIY38" s="405"/>
      <c r="AIZ38" s="405"/>
      <c r="AJA38" s="405"/>
      <c r="AJB38" s="405"/>
      <c r="AJC38" s="405"/>
      <c r="AJD38" s="405"/>
      <c r="AJE38" s="405"/>
      <c r="AJF38" s="405"/>
      <c r="AJG38" s="405"/>
      <c r="AJH38" s="405"/>
      <c r="AJI38" s="405"/>
      <c r="AJJ38" s="405"/>
      <c r="AJK38" s="405"/>
      <c r="AJL38" s="405"/>
      <c r="AJM38" s="405"/>
      <c r="AJN38" s="405"/>
      <c r="AJO38" s="405"/>
      <c r="AJP38" s="405"/>
      <c r="AJQ38" s="405"/>
      <c r="AJR38" s="405"/>
      <c r="AJS38" s="405"/>
      <c r="AJT38" s="405"/>
      <c r="AJU38" s="405"/>
      <c r="AJV38" s="405"/>
      <c r="AJW38" s="405"/>
      <c r="AJX38" s="405"/>
      <c r="AJY38" s="405"/>
      <c r="AJZ38" s="405"/>
      <c r="AKA38" s="405"/>
      <c r="AKB38" s="405"/>
      <c r="AKC38" s="405"/>
      <c r="AKD38" s="405"/>
      <c r="AKE38" s="405"/>
      <c r="AKF38" s="405"/>
      <c r="AKG38" s="405"/>
      <c r="AKH38" s="405"/>
      <c r="AKI38" s="405"/>
      <c r="AKJ38" s="405"/>
      <c r="AKK38" s="405"/>
      <c r="AKL38" s="405"/>
      <c r="AKM38" s="405"/>
      <c r="AKN38" s="405"/>
      <c r="AKO38" s="405"/>
      <c r="AKP38" s="405"/>
      <c r="AKQ38" s="405"/>
      <c r="AKR38" s="405"/>
      <c r="AKS38" s="405"/>
      <c r="AKT38" s="405"/>
      <c r="AKU38" s="405"/>
      <c r="AKV38" s="405"/>
      <c r="AKW38" s="405"/>
      <c r="AKX38" s="405"/>
      <c r="AKY38" s="405"/>
      <c r="AKZ38" s="405"/>
      <c r="ALA38" s="405"/>
      <c r="ALB38" s="405"/>
      <c r="ALC38" s="405"/>
      <c r="ALD38" s="405"/>
      <c r="ALE38" s="405"/>
      <c r="ALF38" s="405"/>
      <c r="ALG38" s="405"/>
      <c r="ALH38" s="405"/>
      <c r="ALI38" s="405"/>
      <c r="ALJ38" s="405"/>
      <c r="ALK38" s="405"/>
      <c r="ALL38" s="405"/>
      <c r="ALM38" s="405"/>
      <c r="ALN38" s="405"/>
      <c r="ALO38" s="405"/>
      <c r="ALP38" s="405"/>
      <c r="ALQ38" s="405"/>
      <c r="ALR38" s="405"/>
      <c r="ALS38" s="405"/>
      <c r="ALT38" s="405"/>
      <c r="ALU38" s="405"/>
      <c r="ALV38" s="405"/>
      <c r="ALW38" s="405"/>
      <c r="ALX38" s="405"/>
      <c r="ALY38" s="405"/>
      <c r="ALZ38" s="405"/>
      <c r="AMA38" s="405"/>
      <c r="AMB38" s="405"/>
      <c r="AMC38" s="405"/>
      <c r="AMD38" s="405"/>
      <c r="AME38" s="405"/>
      <c r="AMF38" s="405"/>
      <c r="AMG38" s="405"/>
      <c r="AMH38" s="405"/>
      <c r="AMI38" s="405"/>
      <c r="AMJ38" s="405"/>
      <c r="AMK38" s="405"/>
    </row>
    <row r="39" spans="1:1025" s="406" customFormat="1" x14ac:dyDescent="0.25">
      <c r="A39" s="102">
        <f>IF(COUNTBLANK(B39)=1," ",COUNTA(B$14:B39))</f>
        <v>22</v>
      </c>
      <c r="B39" s="399" t="s">
        <v>87</v>
      </c>
      <c r="C39" s="886" t="s">
        <v>356</v>
      </c>
      <c r="D39" s="887" t="s">
        <v>92</v>
      </c>
      <c r="E39" s="888">
        <f>E36*6</f>
        <v>378</v>
      </c>
      <c r="F39" s="401"/>
      <c r="G39" s="210"/>
      <c r="H39" s="208">
        <f t="shared" si="0"/>
        <v>0</v>
      </c>
      <c r="I39" s="400"/>
      <c r="J39" s="209"/>
      <c r="K39" s="307">
        <f t="shared" si="1"/>
        <v>0</v>
      </c>
      <c r="L39" s="307">
        <f t="shared" si="2"/>
        <v>0</v>
      </c>
      <c r="M39" s="307">
        <f t="shared" si="3"/>
        <v>0</v>
      </c>
      <c r="N39" s="307">
        <f t="shared" si="4"/>
        <v>0</v>
      </c>
      <c r="O39" s="307">
        <f t="shared" si="5"/>
        <v>0</v>
      </c>
      <c r="P39" s="307">
        <f t="shared" si="6"/>
        <v>0</v>
      </c>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5"/>
      <c r="BO39" s="405"/>
      <c r="BP39" s="405"/>
      <c r="BQ39" s="405"/>
      <c r="BR39" s="405"/>
      <c r="BS39" s="405"/>
      <c r="BT39" s="405"/>
      <c r="BU39" s="405"/>
      <c r="BV39" s="405"/>
      <c r="BW39" s="405"/>
      <c r="BX39" s="405"/>
      <c r="BY39" s="405"/>
      <c r="BZ39" s="405"/>
      <c r="CA39" s="405"/>
      <c r="CB39" s="405"/>
      <c r="CC39" s="405"/>
      <c r="CD39" s="405"/>
      <c r="CE39" s="405"/>
      <c r="CF39" s="405"/>
      <c r="CG39" s="405"/>
      <c r="CH39" s="405"/>
      <c r="CI39" s="405"/>
      <c r="CJ39" s="405"/>
      <c r="CK39" s="405"/>
      <c r="CL39" s="405"/>
      <c r="CM39" s="405"/>
      <c r="CN39" s="405"/>
      <c r="CO39" s="405"/>
      <c r="CP39" s="405"/>
      <c r="CQ39" s="405"/>
      <c r="CR39" s="405"/>
      <c r="CS39" s="405"/>
      <c r="CT39" s="405"/>
      <c r="CU39" s="405"/>
      <c r="CV39" s="405"/>
      <c r="CW39" s="405"/>
      <c r="CX39" s="405"/>
      <c r="CY39" s="405"/>
      <c r="CZ39" s="405"/>
      <c r="DA39" s="405"/>
      <c r="DB39" s="405"/>
      <c r="DC39" s="405"/>
      <c r="DD39" s="405"/>
      <c r="DE39" s="405"/>
      <c r="DF39" s="405"/>
      <c r="DG39" s="405"/>
      <c r="DH39" s="405"/>
      <c r="DI39" s="405"/>
      <c r="DJ39" s="405"/>
      <c r="DK39" s="405"/>
      <c r="DL39" s="405"/>
      <c r="DM39" s="405"/>
      <c r="DN39" s="405"/>
      <c r="DO39" s="405"/>
      <c r="DP39" s="405"/>
      <c r="DQ39" s="405"/>
      <c r="DR39" s="405"/>
      <c r="DS39" s="405"/>
      <c r="DT39" s="405"/>
      <c r="DU39" s="405"/>
      <c r="DV39" s="405"/>
      <c r="DW39" s="405"/>
      <c r="DX39" s="405"/>
      <c r="DY39" s="405"/>
      <c r="DZ39" s="405"/>
      <c r="EA39" s="405"/>
      <c r="EB39" s="405"/>
      <c r="EC39" s="405"/>
      <c r="ED39" s="405"/>
      <c r="EE39" s="405"/>
      <c r="EF39" s="405"/>
      <c r="EG39" s="405"/>
      <c r="EH39" s="405"/>
      <c r="EI39" s="405"/>
      <c r="EJ39" s="405"/>
      <c r="EK39" s="405"/>
      <c r="EL39" s="405"/>
      <c r="EM39" s="405"/>
      <c r="EN39" s="405"/>
      <c r="EO39" s="405"/>
      <c r="EP39" s="405"/>
      <c r="EQ39" s="405"/>
      <c r="ER39" s="405"/>
      <c r="ES39" s="405"/>
      <c r="ET39" s="405"/>
      <c r="EU39" s="405"/>
      <c r="EV39" s="405"/>
      <c r="EW39" s="405"/>
      <c r="EX39" s="405"/>
      <c r="EY39" s="405"/>
      <c r="EZ39" s="405"/>
      <c r="FA39" s="405"/>
      <c r="FB39" s="405"/>
      <c r="FC39" s="405"/>
      <c r="FD39" s="405"/>
      <c r="FE39" s="405"/>
      <c r="FF39" s="405"/>
      <c r="FG39" s="405"/>
      <c r="FH39" s="405"/>
      <c r="FI39" s="405"/>
      <c r="FJ39" s="405"/>
      <c r="FK39" s="405"/>
      <c r="FL39" s="405"/>
      <c r="FM39" s="405"/>
      <c r="FN39" s="405"/>
      <c r="FO39" s="405"/>
      <c r="FP39" s="405"/>
      <c r="FQ39" s="405"/>
      <c r="FR39" s="405"/>
      <c r="FS39" s="405"/>
      <c r="FT39" s="405"/>
      <c r="FU39" s="405"/>
      <c r="FV39" s="405"/>
      <c r="FW39" s="405"/>
      <c r="FX39" s="405"/>
      <c r="FY39" s="405"/>
      <c r="FZ39" s="405"/>
      <c r="GA39" s="405"/>
      <c r="GB39" s="405"/>
      <c r="GC39" s="405"/>
      <c r="GD39" s="405"/>
      <c r="GE39" s="405"/>
      <c r="GF39" s="405"/>
      <c r="GG39" s="405"/>
      <c r="GH39" s="405"/>
      <c r="GI39" s="405"/>
      <c r="GJ39" s="405"/>
      <c r="GK39" s="405"/>
      <c r="GL39" s="405"/>
      <c r="GM39" s="405"/>
      <c r="GN39" s="405"/>
      <c r="GO39" s="405"/>
      <c r="GP39" s="405"/>
      <c r="GQ39" s="405"/>
      <c r="GR39" s="405"/>
      <c r="GS39" s="405"/>
      <c r="GT39" s="405"/>
      <c r="GU39" s="405"/>
      <c r="GV39" s="405"/>
      <c r="GW39" s="405"/>
      <c r="GX39" s="405"/>
      <c r="GY39" s="405"/>
      <c r="GZ39" s="405"/>
      <c r="HA39" s="405"/>
      <c r="HB39" s="405"/>
      <c r="HC39" s="405"/>
      <c r="HD39" s="405"/>
      <c r="HE39" s="405"/>
      <c r="HF39" s="405"/>
      <c r="HG39" s="405"/>
      <c r="HH39" s="405"/>
      <c r="HI39" s="405"/>
      <c r="HJ39" s="405"/>
      <c r="HK39" s="405"/>
      <c r="HL39" s="405"/>
      <c r="HM39" s="405"/>
      <c r="HN39" s="405"/>
      <c r="HO39" s="405"/>
      <c r="HP39" s="405"/>
      <c r="HQ39" s="405"/>
      <c r="HR39" s="405"/>
      <c r="HS39" s="405"/>
      <c r="HT39" s="405"/>
      <c r="HU39" s="405"/>
      <c r="HV39" s="405"/>
      <c r="HW39" s="405"/>
      <c r="HX39" s="405"/>
      <c r="HY39" s="405"/>
      <c r="HZ39" s="405"/>
      <c r="IA39" s="405"/>
      <c r="IB39" s="405"/>
      <c r="IC39" s="405"/>
      <c r="ID39" s="405"/>
      <c r="IE39" s="405"/>
      <c r="IF39" s="405"/>
      <c r="IG39" s="405"/>
      <c r="IH39" s="405"/>
      <c r="II39" s="405"/>
      <c r="IJ39" s="405"/>
      <c r="IK39" s="405"/>
      <c r="IL39" s="405"/>
      <c r="IM39" s="405"/>
      <c r="IN39" s="405"/>
      <c r="IO39" s="405"/>
      <c r="IP39" s="405"/>
      <c r="IQ39" s="405"/>
      <c r="IR39" s="405"/>
      <c r="IS39" s="405"/>
      <c r="IT39" s="405"/>
      <c r="IU39" s="405"/>
      <c r="IV39" s="405"/>
      <c r="IW39" s="405"/>
      <c r="IX39" s="405"/>
      <c r="IY39" s="405"/>
      <c r="IZ39" s="405"/>
      <c r="JA39" s="405"/>
      <c r="JB39" s="405"/>
      <c r="JC39" s="405"/>
      <c r="JD39" s="405"/>
      <c r="JE39" s="405"/>
      <c r="JF39" s="405"/>
      <c r="JG39" s="405"/>
      <c r="JH39" s="405"/>
      <c r="JI39" s="405"/>
      <c r="JJ39" s="405"/>
      <c r="JK39" s="405"/>
      <c r="JL39" s="405"/>
      <c r="JM39" s="405"/>
      <c r="JN39" s="405"/>
      <c r="JO39" s="405"/>
      <c r="JP39" s="405"/>
      <c r="JQ39" s="405"/>
      <c r="JR39" s="405"/>
      <c r="JS39" s="405"/>
      <c r="JT39" s="405"/>
      <c r="JU39" s="405"/>
      <c r="JV39" s="405"/>
      <c r="JW39" s="405"/>
      <c r="JX39" s="405"/>
      <c r="JY39" s="405"/>
      <c r="JZ39" s="405"/>
      <c r="KA39" s="405"/>
      <c r="KB39" s="405"/>
      <c r="KC39" s="405"/>
      <c r="KD39" s="405"/>
      <c r="KE39" s="405"/>
      <c r="KF39" s="405"/>
      <c r="KG39" s="405"/>
      <c r="KH39" s="405"/>
      <c r="KI39" s="405"/>
      <c r="KJ39" s="405"/>
      <c r="KK39" s="405"/>
      <c r="KL39" s="405"/>
      <c r="KM39" s="405"/>
      <c r="KN39" s="405"/>
      <c r="KO39" s="405"/>
      <c r="KP39" s="405"/>
      <c r="KQ39" s="405"/>
      <c r="KR39" s="405"/>
      <c r="KS39" s="405"/>
      <c r="KT39" s="405"/>
      <c r="KU39" s="405"/>
      <c r="KV39" s="405"/>
      <c r="KW39" s="405"/>
      <c r="KX39" s="405"/>
      <c r="KY39" s="405"/>
      <c r="KZ39" s="405"/>
      <c r="LA39" s="405"/>
      <c r="LB39" s="405"/>
      <c r="LC39" s="405"/>
      <c r="LD39" s="405"/>
      <c r="LE39" s="405"/>
      <c r="LF39" s="405"/>
      <c r="LG39" s="405"/>
      <c r="LH39" s="405"/>
      <c r="LI39" s="405"/>
      <c r="LJ39" s="405"/>
      <c r="LK39" s="405"/>
      <c r="LL39" s="405"/>
      <c r="LM39" s="405"/>
      <c r="LN39" s="405"/>
      <c r="LO39" s="405"/>
      <c r="LP39" s="405"/>
      <c r="LQ39" s="405"/>
      <c r="LR39" s="405"/>
      <c r="LS39" s="405"/>
      <c r="LT39" s="405"/>
      <c r="LU39" s="405"/>
      <c r="LV39" s="405"/>
      <c r="LW39" s="405"/>
      <c r="LX39" s="405"/>
      <c r="LY39" s="405"/>
      <c r="LZ39" s="405"/>
      <c r="MA39" s="405"/>
      <c r="MB39" s="405"/>
      <c r="MC39" s="405"/>
      <c r="MD39" s="405"/>
      <c r="ME39" s="405"/>
      <c r="MF39" s="405"/>
      <c r="MG39" s="405"/>
      <c r="MH39" s="405"/>
      <c r="MI39" s="405"/>
      <c r="MJ39" s="405"/>
      <c r="MK39" s="405"/>
      <c r="ML39" s="405"/>
      <c r="MM39" s="405"/>
      <c r="MN39" s="405"/>
      <c r="MO39" s="405"/>
      <c r="MP39" s="405"/>
      <c r="MQ39" s="405"/>
      <c r="MR39" s="405"/>
      <c r="MS39" s="405"/>
      <c r="MT39" s="405"/>
      <c r="MU39" s="405"/>
      <c r="MV39" s="405"/>
      <c r="MW39" s="405"/>
      <c r="MX39" s="405"/>
      <c r="MY39" s="405"/>
      <c r="MZ39" s="405"/>
      <c r="NA39" s="405"/>
      <c r="NB39" s="405"/>
      <c r="NC39" s="405"/>
      <c r="ND39" s="405"/>
      <c r="NE39" s="405"/>
      <c r="NF39" s="405"/>
      <c r="NG39" s="405"/>
      <c r="NH39" s="405"/>
      <c r="NI39" s="405"/>
      <c r="NJ39" s="405"/>
      <c r="NK39" s="405"/>
      <c r="NL39" s="405"/>
      <c r="NM39" s="405"/>
      <c r="NN39" s="405"/>
      <c r="NO39" s="405"/>
      <c r="NP39" s="405"/>
      <c r="NQ39" s="405"/>
      <c r="NR39" s="405"/>
      <c r="NS39" s="405"/>
      <c r="NT39" s="405"/>
      <c r="NU39" s="405"/>
      <c r="NV39" s="405"/>
      <c r="NW39" s="405"/>
      <c r="NX39" s="405"/>
      <c r="NY39" s="405"/>
      <c r="NZ39" s="405"/>
      <c r="OA39" s="405"/>
      <c r="OB39" s="405"/>
      <c r="OC39" s="405"/>
      <c r="OD39" s="405"/>
      <c r="OE39" s="405"/>
      <c r="OF39" s="405"/>
      <c r="OG39" s="405"/>
      <c r="OH39" s="405"/>
      <c r="OI39" s="405"/>
      <c r="OJ39" s="405"/>
      <c r="OK39" s="405"/>
      <c r="OL39" s="405"/>
      <c r="OM39" s="405"/>
      <c r="ON39" s="405"/>
      <c r="OO39" s="405"/>
      <c r="OP39" s="405"/>
      <c r="OQ39" s="405"/>
      <c r="OR39" s="405"/>
      <c r="OS39" s="405"/>
      <c r="OT39" s="405"/>
      <c r="OU39" s="405"/>
      <c r="OV39" s="405"/>
      <c r="OW39" s="405"/>
      <c r="OX39" s="405"/>
      <c r="OY39" s="405"/>
      <c r="OZ39" s="405"/>
      <c r="PA39" s="405"/>
      <c r="PB39" s="405"/>
      <c r="PC39" s="405"/>
      <c r="PD39" s="405"/>
      <c r="PE39" s="405"/>
      <c r="PF39" s="405"/>
      <c r="PG39" s="405"/>
      <c r="PH39" s="405"/>
      <c r="PI39" s="405"/>
      <c r="PJ39" s="405"/>
      <c r="PK39" s="405"/>
      <c r="PL39" s="405"/>
      <c r="PM39" s="405"/>
      <c r="PN39" s="405"/>
      <c r="PO39" s="405"/>
      <c r="PP39" s="405"/>
      <c r="PQ39" s="405"/>
      <c r="PR39" s="405"/>
      <c r="PS39" s="405"/>
      <c r="PT39" s="405"/>
      <c r="PU39" s="405"/>
      <c r="PV39" s="405"/>
      <c r="PW39" s="405"/>
      <c r="PX39" s="405"/>
      <c r="PY39" s="405"/>
      <c r="PZ39" s="405"/>
      <c r="QA39" s="405"/>
      <c r="QB39" s="405"/>
      <c r="QC39" s="405"/>
      <c r="QD39" s="405"/>
      <c r="QE39" s="405"/>
      <c r="QF39" s="405"/>
      <c r="QG39" s="405"/>
      <c r="QH39" s="405"/>
      <c r="QI39" s="405"/>
      <c r="QJ39" s="405"/>
      <c r="QK39" s="405"/>
      <c r="QL39" s="405"/>
      <c r="QM39" s="405"/>
      <c r="QN39" s="405"/>
      <c r="QO39" s="405"/>
      <c r="QP39" s="405"/>
      <c r="QQ39" s="405"/>
      <c r="QR39" s="405"/>
      <c r="QS39" s="405"/>
      <c r="QT39" s="405"/>
      <c r="QU39" s="405"/>
      <c r="QV39" s="405"/>
      <c r="QW39" s="405"/>
      <c r="QX39" s="405"/>
      <c r="QY39" s="405"/>
      <c r="QZ39" s="405"/>
      <c r="RA39" s="405"/>
      <c r="RB39" s="405"/>
      <c r="RC39" s="405"/>
      <c r="RD39" s="405"/>
      <c r="RE39" s="405"/>
      <c r="RF39" s="405"/>
      <c r="RG39" s="405"/>
      <c r="RH39" s="405"/>
      <c r="RI39" s="405"/>
      <c r="RJ39" s="405"/>
      <c r="RK39" s="405"/>
      <c r="RL39" s="405"/>
      <c r="RM39" s="405"/>
      <c r="RN39" s="405"/>
      <c r="RO39" s="405"/>
      <c r="RP39" s="405"/>
      <c r="RQ39" s="405"/>
      <c r="RR39" s="405"/>
      <c r="RS39" s="405"/>
      <c r="RT39" s="405"/>
      <c r="RU39" s="405"/>
      <c r="RV39" s="405"/>
      <c r="RW39" s="405"/>
      <c r="RX39" s="405"/>
      <c r="RY39" s="405"/>
      <c r="RZ39" s="405"/>
      <c r="SA39" s="405"/>
      <c r="SB39" s="405"/>
      <c r="SC39" s="405"/>
      <c r="SD39" s="405"/>
      <c r="SE39" s="405"/>
      <c r="SF39" s="405"/>
      <c r="SG39" s="405"/>
      <c r="SH39" s="405"/>
      <c r="SI39" s="405"/>
      <c r="SJ39" s="405"/>
      <c r="SK39" s="405"/>
      <c r="SL39" s="405"/>
      <c r="SM39" s="405"/>
      <c r="SN39" s="405"/>
      <c r="SO39" s="405"/>
      <c r="SP39" s="405"/>
      <c r="SQ39" s="405"/>
      <c r="SR39" s="405"/>
      <c r="SS39" s="405"/>
      <c r="ST39" s="405"/>
      <c r="SU39" s="405"/>
      <c r="SV39" s="405"/>
      <c r="SW39" s="405"/>
      <c r="SX39" s="405"/>
      <c r="SY39" s="405"/>
      <c r="SZ39" s="405"/>
      <c r="TA39" s="405"/>
      <c r="TB39" s="405"/>
      <c r="TC39" s="405"/>
      <c r="TD39" s="405"/>
      <c r="TE39" s="405"/>
      <c r="TF39" s="405"/>
      <c r="TG39" s="405"/>
      <c r="TH39" s="405"/>
      <c r="TI39" s="405"/>
      <c r="TJ39" s="405"/>
      <c r="TK39" s="405"/>
      <c r="TL39" s="405"/>
      <c r="TM39" s="405"/>
      <c r="TN39" s="405"/>
      <c r="TO39" s="405"/>
      <c r="TP39" s="405"/>
      <c r="TQ39" s="405"/>
      <c r="TR39" s="405"/>
      <c r="TS39" s="405"/>
      <c r="TT39" s="405"/>
      <c r="TU39" s="405"/>
      <c r="TV39" s="405"/>
      <c r="TW39" s="405"/>
      <c r="TX39" s="405"/>
      <c r="TY39" s="405"/>
      <c r="TZ39" s="405"/>
      <c r="UA39" s="405"/>
      <c r="UB39" s="405"/>
      <c r="UC39" s="405"/>
      <c r="UD39" s="405"/>
      <c r="UE39" s="405"/>
      <c r="UF39" s="405"/>
      <c r="UG39" s="405"/>
      <c r="UH39" s="405"/>
      <c r="UI39" s="405"/>
      <c r="UJ39" s="405"/>
      <c r="UK39" s="405"/>
      <c r="UL39" s="405"/>
      <c r="UM39" s="405"/>
      <c r="UN39" s="405"/>
      <c r="UO39" s="405"/>
      <c r="UP39" s="405"/>
      <c r="UQ39" s="405"/>
      <c r="UR39" s="405"/>
      <c r="US39" s="405"/>
      <c r="UT39" s="405"/>
      <c r="UU39" s="405"/>
      <c r="UV39" s="405"/>
      <c r="UW39" s="405"/>
      <c r="UX39" s="405"/>
      <c r="UY39" s="405"/>
      <c r="UZ39" s="405"/>
      <c r="VA39" s="405"/>
      <c r="VB39" s="405"/>
      <c r="VC39" s="405"/>
      <c r="VD39" s="405"/>
      <c r="VE39" s="405"/>
      <c r="VF39" s="405"/>
      <c r="VG39" s="405"/>
      <c r="VH39" s="405"/>
      <c r="VI39" s="405"/>
      <c r="VJ39" s="405"/>
      <c r="VK39" s="405"/>
      <c r="VL39" s="405"/>
      <c r="VM39" s="405"/>
      <c r="VN39" s="405"/>
      <c r="VO39" s="405"/>
      <c r="VP39" s="405"/>
      <c r="VQ39" s="405"/>
      <c r="VR39" s="405"/>
      <c r="VS39" s="405"/>
      <c r="VT39" s="405"/>
      <c r="VU39" s="405"/>
      <c r="VV39" s="405"/>
      <c r="VW39" s="405"/>
      <c r="VX39" s="405"/>
      <c r="VY39" s="405"/>
      <c r="VZ39" s="405"/>
      <c r="WA39" s="405"/>
      <c r="WB39" s="405"/>
      <c r="WC39" s="405"/>
      <c r="WD39" s="405"/>
      <c r="WE39" s="405"/>
      <c r="WF39" s="405"/>
      <c r="WG39" s="405"/>
      <c r="WH39" s="405"/>
      <c r="WI39" s="405"/>
      <c r="WJ39" s="405"/>
      <c r="WK39" s="405"/>
      <c r="WL39" s="405"/>
      <c r="WM39" s="405"/>
      <c r="WN39" s="405"/>
      <c r="WO39" s="405"/>
      <c r="WP39" s="405"/>
      <c r="WQ39" s="405"/>
      <c r="WR39" s="405"/>
      <c r="WS39" s="405"/>
      <c r="WT39" s="405"/>
      <c r="WU39" s="405"/>
      <c r="WV39" s="405"/>
      <c r="WW39" s="405"/>
      <c r="WX39" s="405"/>
      <c r="WY39" s="405"/>
      <c r="WZ39" s="405"/>
      <c r="XA39" s="405"/>
      <c r="XB39" s="405"/>
      <c r="XC39" s="405"/>
      <c r="XD39" s="405"/>
      <c r="XE39" s="405"/>
      <c r="XF39" s="405"/>
      <c r="XG39" s="405"/>
      <c r="XH39" s="405"/>
      <c r="XI39" s="405"/>
      <c r="XJ39" s="405"/>
      <c r="XK39" s="405"/>
      <c r="XL39" s="405"/>
      <c r="XM39" s="405"/>
      <c r="XN39" s="405"/>
      <c r="XO39" s="405"/>
      <c r="XP39" s="405"/>
      <c r="XQ39" s="405"/>
      <c r="XR39" s="405"/>
      <c r="XS39" s="405"/>
      <c r="XT39" s="405"/>
      <c r="XU39" s="405"/>
      <c r="XV39" s="405"/>
      <c r="XW39" s="405"/>
      <c r="XX39" s="405"/>
      <c r="XY39" s="405"/>
      <c r="XZ39" s="405"/>
      <c r="YA39" s="405"/>
      <c r="YB39" s="405"/>
      <c r="YC39" s="405"/>
      <c r="YD39" s="405"/>
      <c r="YE39" s="405"/>
      <c r="YF39" s="405"/>
      <c r="YG39" s="405"/>
      <c r="YH39" s="405"/>
      <c r="YI39" s="405"/>
      <c r="YJ39" s="405"/>
      <c r="YK39" s="405"/>
      <c r="YL39" s="405"/>
      <c r="YM39" s="405"/>
      <c r="YN39" s="405"/>
      <c r="YO39" s="405"/>
      <c r="YP39" s="405"/>
      <c r="YQ39" s="405"/>
      <c r="YR39" s="405"/>
      <c r="YS39" s="405"/>
      <c r="YT39" s="405"/>
      <c r="YU39" s="405"/>
      <c r="YV39" s="405"/>
      <c r="YW39" s="405"/>
      <c r="YX39" s="405"/>
      <c r="YY39" s="405"/>
      <c r="YZ39" s="405"/>
      <c r="ZA39" s="405"/>
      <c r="ZB39" s="405"/>
      <c r="ZC39" s="405"/>
      <c r="ZD39" s="405"/>
      <c r="ZE39" s="405"/>
      <c r="ZF39" s="405"/>
      <c r="ZG39" s="405"/>
      <c r="ZH39" s="405"/>
      <c r="ZI39" s="405"/>
      <c r="ZJ39" s="405"/>
      <c r="ZK39" s="405"/>
      <c r="ZL39" s="405"/>
      <c r="ZM39" s="405"/>
      <c r="ZN39" s="405"/>
      <c r="ZO39" s="405"/>
      <c r="ZP39" s="405"/>
      <c r="ZQ39" s="405"/>
      <c r="ZR39" s="405"/>
      <c r="ZS39" s="405"/>
      <c r="ZT39" s="405"/>
      <c r="ZU39" s="405"/>
      <c r="ZV39" s="405"/>
      <c r="ZW39" s="405"/>
      <c r="ZX39" s="405"/>
      <c r="ZY39" s="405"/>
      <c r="ZZ39" s="405"/>
      <c r="AAA39" s="405"/>
      <c r="AAB39" s="405"/>
      <c r="AAC39" s="405"/>
      <c r="AAD39" s="405"/>
      <c r="AAE39" s="405"/>
      <c r="AAF39" s="405"/>
      <c r="AAG39" s="405"/>
      <c r="AAH39" s="405"/>
      <c r="AAI39" s="405"/>
      <c r="AAJ39" s="405"/>
      <c r="AAK39" s="405"/>
      <c r="AAL39" s="405"/>
      <c r="AAM39" s="405"/>
      <c r="AAN39" s="405"/>
      <c r="AAO39" s="405"/>
      <c r="AAP39" s="405"/>
      <c r="AAQ39" s="405"/>
      <c r="AAR39" s="405"/>
      <c r="AAS39" s="405"/>
      <c r="AAT39" s="405"/>
      <c r="AAU39" s="405"/>
      <c r="AAV39" s="405"/>
      <c r="AAW39" s="405"/>
      <c r="AAX39" s="405"/>
      <c r="AAY39" s="405"/>
      <c r="AAZ39" s="405"/>
      <c r="ABA39" s="405"/>
      <c r="ABB39" s="405"/>
      <c r="ABC39" s="405"/>
      <c r="ABD39" s="405"/>
      <c r="ABE39" s="405"/>
      <c r="ABF39" s="405"/>
      <c r="ABG39" s="405"/>
      <c r="ABH39" s="405"/>
      <c r="ABI39" s="405"/>
      <c r="ABJ39" s="405"/>
      <c r="ABK39" s="405"/>
      <c r="ABL39" s="405"/>
      <c r="ABM39" s="405"/>
      <c r="ABN39" s="405"/>
      <c r="ABO39" s="405"/>
      <c r="ABP39" s="405"/>
      <c r="ABQ39" s="405"/>
      <c r="ABR39" s="405"/>
      <c r="ABS39" s="405"/>
      <c r="ABT39" s="405"/>
      <c r="ABU39" s="405"/>
      <c r="ABV39" s="405"/>
      <c r="ABW39" s="405"/>
      <c r="ABX39" s="405"/>
      <c r="ABY39" s="405"/>
      <c r="ABZ39" s="405"/>
      <c r="ACA39" s="405"/>
      <c r="ACB39" s="405"/>
      <c r="ACC39" s="405"/>
      <c r="ACD39" s="405"/>
      <c r="ACE39" s="405"/>
      <c r="ACF39" s="405"/>
      <c r="ACG39" s="405"/>
      <c r="ACH39" s="405"/>
      <c r="ACI39" s="405"/>
      <c r="ACJ39" s="405"/>
      <c r="ACK39" s="405"/>
      <c r="ACL39" s="405"/>
      <c r="ACM39" s="405"/>
      <c r="ACN39" s="405"/>
      <c r="ACO39" s="405"/>
      <c r="ACP39" s="405"/>
      <c r="ACQ39" s="405"/>
      <c r="ACR39" s="405"/>
      <c r="ACS39" s="405"/>
      <c r="ACT39" s="405"/>
      <c r="ACU39" s="405"/>
      <c r="ACV39" s="405"/>
      <c r="ACW39" s="405"/>
      <c r="ACX39" s="405"/>
      <c r="ACY39" s="405"/>
      <c r="ACZ39" s="405"/>
      <c r="ADA39" s="405"/>
      <c r="ADB39" s="405"/>
      <c r="ADC39" s="405"/>
      <c r="ADD39" s="405"/>
      <c r="ADE39" s="405"/>
      <c r="ADF39" s="405"/>
      <c r="ADG39" s="405"/>
      <c r="ADH39" s="405"/>
      <c r="ADI39" s="405"/>
      <c r="ADJ39" s="405"/>
      <c r="ADK39" s="405"/>
      <c r="ADL39" s="405"/>
      <c r="ADM39" s="405"/>
      <c r="ADN39" s="405"/>
      <c r="ADO39" s="405"/>
      <c r="ADP39" s="405"/>
      <c r="ADQ39" s="405"/>
      <c r="ADR39" s="405"/>
      <c r="ADS39" s="405"/>
      <c r="ADT39" s="405"/>
      <c r="ADU39" s="405"/>
      <c r="ADV39" s="405"/>
      <c r="ADW39" s="405"/>
      <c r="ADX39" s="405"/>
      <c r="ADY39" s="405"/>
      <c r="ADZ39" s="405"/>
      <c r="AEA39" s="405"/>
      <c r="AEB39" s="405"/>
      <c r="AEC39" s="405"/>
      <c r="AED39" s="405"/>
      <c r="AEE39" s="405"/>
      <c r="AEF39" s="405"/>
      <c r="AEG39" s="405"/>
      <c r="AEH39" s="405"/>
      <c r="AEI39" s="405"/>
      <c r="AEJ39" s="405"/>
      <c r="AEK39" s="405"/>
      <c r="AEL39" s="405"/>
      <c r="AEM39" s="405"/>
      <c r="AEN39" s="405"/>
      <c r="AEO39" s="405"/>
      <c r="AEP39" s="405"/>
      <c r="AEQ39" s="405"/>
      <c r="AER39" s="405"/>
      <c r="AES39" s="405"/>
      <c r="AET39" s="405"/>
      <c r="AEU39" s="405"/>
      <c r="AEV39" s="405"/>
      <c r="AEW39" s="405"/>
      <c r="AEX39" s="405"/>
      <c r="AEY39" s="405"/>
      <c r="AEZ39" s="405"/>
      <c r="AFA39" s="405"/>
      <c r="AFB39" s="405"/>
      <c r="AFC39" s="405"/>
      <c r="AFD39" s="405"/>
      <c r="AFE39" s="405"/>
      <c r="AFF39" s="405"/>
      <c r="AFG39" s="405"/>
      <c r="AFH39" s="405"/>
      <c r="AFI39" s="405"/>
      <c r="AFJ39" s="405"/>
      <c r="AFK39" s="405"/>
      <c r="AFL39" s="405"/>
      <c r="AFM39" s="405"/>
      <c r="AFN39" s="405"/>
      <c r="AFO39" s="405"/>
      <c r="AFP39" s="405"/>
      <c r="AFQ39" s="405"/>
      <c r="AFR39" s="405"/>
      <c r="AFS39" s="405"/>
      <c r="AFT39" s="405"/>
      <c r="AFU39" s="405"/>
      <c r="AFV39" s="405"/>
      <c r="AFW39" s="405"/>
      <c r="AFX39" s="405"/>
      <c r="AFY39" s="405"/>
      <c r="AFZ39" s="405"/>
      <c r="AGA39" s="405"/>
      <c r="AGB39" s="405"/>
      <c r="AGC39" s="405"/>
      <c r="AGD39" s="405"/>
      <c r="AGE39" s="405"/>
      <c r="AGF39" s="405"/>
      <c r="AGG39" s="405"/>
      <c r="AGH39" s="405"/>
      <c r="AGI39" s="405"/>
      <c r="AGJ39" s="405"/>
      <c r="AGK39" s="405"/>
      <c r="AGL39" s="405"/>
      <c r="AGM39" s="405"/>
      <c r="AGN39" s="405"/>
      <c r="AGO39" s="405"/>
      <c r="AGP39" s="405"/>
      <c r="AGQ39" s="405"/>
      <c r="AGR39" s="405"/>
      <c r="AGS39" s="405"/>
      <c r="AGT39" s="405"/>
      <c r="AGU39" s="405"/>
      <c r="AGV39" s="405"/>
      <c r="AGW39" s="405"/>
      <c r="AGX39" s="405"/>
      <c r="AGY39" s="405"/>
      <c r="AGZ39" s="405"/>
      <c r="AHA39" s="405"/>
      <c r="AHB39" s="405"/>
      <c r="AHC39" s="405"/>
      <c r="AHD39" s="405"/>
      <c r="AHE39" s="405"/>
      <c r="AHF39" s="405"/>
      <c r="AHG39" s="405"/>
      <c r="AHH39" s="405"/>
      <c r="AHI39" s="405"/>
      <c r="AHJ39" s="405"/>
      <c r="AHK39" s="405"/>
      <c r="AHL39" s="405"/>
      <c r="AHM39" s="405"/>
      <c r="AHN39" s="405"/>
      <c r="AHO39" s="405"/>
      <c r="AHP39" s="405"/>
      <c r="AHQ39" s="405"/>
      <c r="AHR39" s="405"/>
      <c r="AHS39" s="405"/>
      <c r="AHT39" s="405"/>
      <c r="AHU39" s="405"/>
      <c r="AHV39" s="405"/>
      <c r="AHW39" s="405"/>
      <c r="AHX39" s="405"/>
      <c r="AHY39" s="405"/>
      <c r="AHZ39" s="405"/>
      <c r="AIA39" s="405"/>
      <c r="AIB39" s="405"/>
      <c r="AIC39" s="405"/>
      <c r="AID39" s="405"/>
      <c r="AIE39" s="405"/>
      <c r="AIF39" s="405"/>
      <c r="AIG39" s="405"/>
      <c r="AIH39" s="405"/>
      <c r="AII39" s="405"/>
      <c r="AIJ39" s="405"/>
      <c r="AIK39" s="405"/>
      <c r="AIL39" s="405"/>
      <c r="AIM39" s="405"/>
      <c r="AIN39" s="405"/>
      <c r="AIO39" s="405"/>
      <c r="AIP39" s="405"/>
      <c r="AIQ39" s="405"/>
      <c r="AIR39" s="405"/>
      <c r="AIS39" s="405"/>
      <c r="AIT39" s="405"/>
      <c r="AIU39" s="405"/>
      <c r="AIV39" s="405"/>
      <c r="AIW39" s="405"/>
      <c r="AIX39" s="405"/>
      <c r="AIY39" s="405"/>
      <c r="AIZ39" s="405"/>
      <c r="AJA39" s="405"/>
      <c r="AJB39" s="405"/>
      <c r="AJC39" s="405"/>
      <c r="AJD39" s="405"/>
      <c r="AJE39" s="405"/>
      <c r="AJF39" s="405"/>
      <c r="AJG39" s="405"/>
      <c r="AJH39" s="405"/>
      <c r="AJI39" s="405"/>
      <c r="AJJ39" s="405"/>
      <c r="AJK39" s="405"/>
      <c r="AJL39" s="405"/>
      <c r="AJM39" s="405"/>
      <c r="AJN39" s="405"/>
      <c r="AJO39" s="405"/>
      <c r="AJP39" s="405"/>
      <c r="AJQ39" s="405"/>
      <c r="AJR39" s="405"/>
      <c r="AJS39" s="405"/>
      <c r="AJT39" s="405"/>
      <c r="AJU39" s="405"/>
      <c r="AJV39" s="405"/>
      <c r="AJW39" s="405"/>
      <c r="AJX39" s="405"/>
      <c r="AJY39" s="405"/>
      <c r="AJZ39" s="405"/>
      <c r="AKA39" s="405"/>
      <c r="AKB39" s="405"/>
      <c r="AKC39" s="405"/>
      <c r="AKD39" s="405"/>
      <c r="AKE39" s="405"/>
      <c r="AKF39" s="405"/>
      <c r="AKG39" s="405"/>
      <c r="AKH39" s="405"/>
      <c r="AKI39" s="405"/>
      <c r="AKJ39" s="405"/>
      <c r="AKK39" s="405"/>
      <c r="AKL39" s="405"/>
      <c r="AKM39" s="405"/>
      <c r="AKN39" s="405"/>
      <c r="AKO39" s="405"/>
      <c r="AKP39" s="405"/>
      <c r="AKQ39" s="405"/>
      <c r="AKR39" s="405"/>
      <c r="AKS39" s="405"/>
      <c r="AKT39" s="405"/>
      <c r="AKU39" s="405"/>
      <c r="AKV39" s="405"/>
      <c r="AKW39" s="405"/>
      <c r="AKX39" s="405"/>
      <c r="AKY39" s="405"/>
      <c r="AKZ39" s="405"/>
      <c r="ALA39" s="405"/>
      <c r="ALB39" s="405"/>
      <c r="ALC39" s="405"/>
      <c r="ALD39" s="405"/>
      <c r="ALE39" s="405"/>
      <c r="ALF39" s="405"/>
      <c r="ALG39" s="405"/>
      <c r="ALH39" s="405"/>
      <c r="ALI39" s="405"/>
      <c r="ALJ39" s="405"/>
      <c r="ALK39" s="405"/>
      <c r="ALL39" s="405"/>
      <c r="ALM39" s="405"/>
      <c r="ALN39" s="405"/>
      <c r="ALO39" s="405"/>
      <c r="ALP39" s="405"/>
      <c r="ALQ39" s="405"/>
      <c r="ALR39" s="405"/>
      <c r="ALS39" s="405"/>
      <c r="ALT39" s="405"/>
      <c r="ALU39" s="405"/>
      <c r="ALV39" s="405"/>
      <c r="ALW39" s="405"/>
      <c r="ALX39" s="405"/>
      <c r="ALY39" s="405"/>
      <c r="ALZ39" s="405"/>
      <c r="AMA39" s="405"/>
      <c r="AMB39" s="405"/>
      <c r="AMC39" s="405"/>
      <c r="AMD39" s="405"/>
      <c r="AME39" s="405"/>
      <c r="AMF39" s="405"/>
      <c r="AMG39" s="405"/>
      <c r="AMH39" s="405"/>
      <c r="AMI39" s="405"/>
      <c r="AMJ39" s="405"/>
      <c r="AMK39" s="405"/>
    </row>
    <row r="40" spans="1:1025" s="406" customFormat="1" x14ac:dyDescent="0.25">
      <c r="A40" s="102">
        <f>IF(COUNTBLANK(B40)=1," ",COUNTA(B$14:B40))</f>
        <v>23</v>
      </c>
      <c r="B40" s="399" t="s">
        <v>87</v>
      </c>
      <c r="C40" s="891" t="s">
        <v>108</v>
      </c>
      <c r="D40" s="892" t="s">
        <v>91</v>
      </c>
      <c r="E40" s="893">
        <f>E37*2</f>
        <v>3780</v>
      </c>
      <c r="F40" s="401"/>
      <c r="G40" s="210"/>
      <c r="H40" s="208">
        <f t="shared" si="0"/>
        <v>0</v>
      </c>
      <c r="I40" s="400"/>
      <c r="J40" s="209"/>
      <c r="K40" s="307">
        <f t="shared" si="1"/>
        <v>0</v>
      </c>
      <c r="L40" s="307">
        <f t="shared" si="2"/>
        <v>0</v>
      </c>
      <c r="M40" s="307">
        <f t="shared" si="3"/>
        <v>0</v>
      </c>
      <c r="N40" s="307">
        <f t="shared" si="4"/>
        <v>0</v>
      </c>
      <c r="O40" s="307">
        <f t="shared" si="5"/>
        <v>0</v>
      </c>
      <c r="P40" s="307">
        <f t="shared" si="6"/>
        <v>0</v>
      </c>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c r="BF40" s="405"/>
      <c r="BG40" s="405"/>
      <c r="BH40" s="405"/>
      <c r="BI40" s="405"/>
      <c r="BJ40" s="405"/>
      <c r="BK40" s="405"/>
      <c r="BL40" s="405"/>
      <c r="BM40" s="405"/>
      <c r="BN40" s="405"/>
      <c r="BO40" s="405"/>
      <c r="BP40" s="405"/>
      <c r="BQ40" s="405"/>
      <c r="BR40" s="405"/>
      <c r="BS40" s="405"/>
      <c r="BT40" s="405"/>
      <c r="BU40" s="405"/>
      <c r="BV40" s="405"/>
      <c r="BW40" s="405"/>
      <c r="BX40" s="405"/>
      <c r="BY40" s="405"/>
      <c r="BZ40" s="405"/>
      <c r="CA40" s="405"/>
      <c r="CB40" s="405"/>
      <c r="CC40" s="405"/>
      <c r="CD40" s="405"/>
      <c r="CE40" s="405"/>
      <c r="CF40" s="405"/>
      <c r="CG40" s="405"/>
      <c r="CH40" s="405"/>
      <c r="CI40" s="405"/>
      <c r="CJ40" s="405"/>
      <c r="CK40" s="405"/>
      <c r="CL40" s="405"/>
      <c r="CM40" s="405"/>
      <c r="CN40" s="405"/>
      <c r="CO40" s="405"/>
      <c r="CP40" s="405"/>
      <c r="CQ40" s="405"/>
      <c r="CR40" s="405"/>
      <c r="CS40" s="405"/>
      <c r="CT40" s="405"/>
      <c r="CU40" s="405"/>
      <c r="CV40" s="405"/>
      <c r="CW40" s="405"/>
      <c r="CX40" s="405"/>
      <c r="CY40" s="405"/>
      <c r="CZ40" s="405"/>
      <c r="DA40" s="405"/>
      <c r="DB40" s="405"/>
      <c r="DC40" s="405"/>
      <c r="DD40" s="405"/>
      <c r="DE40" s="405"/>
      <c r="DF40" s="405"/>
      <c r="DG40" s="405"/>
      <c r="DH40" s="405"/>
      <c r="DI40" s="405"/>
      <c r="DJ40" s="405"/>
      <c r="DK40" s="405"/>
      <c r="DL40" s="405"/>
      <c r="DM40" s="405"/>
      <c r="DN40" s="405"/>
      <c r="DO40" s="405"/>
      <c r="DP40" s="405"/>
      <c r="DQ40" s="405"/>
      <c r="DR40" s="405"/>
      <c r="DS40" s="405"/>
      <c r="DT40" s="405"/>
      <c r="DU40" s="405"/>
      <c r="DV40" s="405"/>
      <c r="DW40" s="405"/>
      <c r="DX40" s="405"/>
      <c r="DY40" s="405"/>
      <c r="DZ40" s="405"/>
      <c r="EA40" s="405"/>
      <c r="EB40" s="405"/>
      <c r="EC40" s="405"/>
      <c r="ED40" s="405"/>
      <c r="EE40" s="405"/>
      <c r="EF40" s="405"/>
      <c r="EG40" s="405"/>
      <c r="EH40" s="405"/>
      <c r="EI40" s="405"/>
      <c r="EJ40" s="405"/>
      <c r="EK40" s="405"/>
      <c r="EL40" s="405"/>
      <c r="EM40" s="405"/>
      <c r="EN40" s="405"/>
      <c r="EO40" s="405"/>
      <c r="EP40" s="405"/>
      <c r="EQ40" s="405"/>
      <c r="ER40" s="405"/>
      <c r="ES40" s="405"/>
      <c r="ET40" s="405"/>
      <c r="EU40" s="405"/>
      <c r="EV40" s="405"/>
      <c r="EW40" s="405"/>
      <c r="EX40" s="405"/>
      <c r="EY40" s="405"/>
      <c r="EZ40" s="405"/>
      <c r="FA40" s="405"/>
      <c r="FB40" s="405"/>
      <c r="FC40" s="405"/>
      <c r="FD40" s="405"/>
      <c r="FE40" s="405"/>
      <c r="FF40" s="405"/>
      <c r="FG40" s="405"/>
      <c r="FH40" s="405"/>
      <c r="FI40" s="405"/>
      <c r="FJ40" s="405"/>
      <c r="FK40" s="405"/>
      <c r="FL40" s="405"/>
      <c r="FM40" s="405"/>
      <c r="FN40" s="405"/>
      <c r="FO40" s="405"/>
      <c r="FP40" s="405"/>
      <c r="FQ40" s="405"/>
      <c r="FR40" s="405"/>
      <c r="FS40" s="405"/>
      <c r="FT40" s="405"/>
      <c r="FU40" s="405"/>
      <c r="FV40" s="405"/>
      <c r="FW40" s="405"/>
      <c r="FX40" s="405"/>
      <c r="FY40" s="405"/>
      <c r="FZ40" s="405"/>
      <c r="GA40" s="405"/>
      <c r="GB40" s="405"/>
      <c r="GC40" s="405"/>
      <c r="GD40" s="405"/>
      <c r="GE40" s="405"/>
      <c r="GF40" s="405"/>
      <c r="GG40" s="405"/>
      <c r="GH40" s="405"/>
      <c r="GI40" s="405"/>
      <c r="GJ40" s="405"/>
      <c r="GK40" s="405"/>
      <c r="GL40" s="405"/>
      <c r="GM40" s="405"/>
      <c r="GN40" s="405"/>
      <c r="GO40" s="405"/>
      <c r="GP40" s="405"/>
      <c r="GQ40" s="405"/>
      <c r="GR40" s="405"/>
      <c r="GS40" s="405"/>
      <c r="GT40" s="405"/>
      <c r="GU40" s="405"/>
      <c r="GV40" s="405"/>
      <c r="GW40" s="405"/>
      <c r="GX40" s="405"/>
      <c r="GY40" s="405"/>
      <c r="GZ40" s="405"/>
      <c r="HA40" s="405"/>
      <c r="HB40" s="405"/>
      <c r="HC40" s="405"/>
      <c r="HD40" s="405"/>
      <c r="HE40" s="405"/>
      <c r="HF40" s="405"/>
      <c r="HG40" s="405"/>
      <c r="HH40" s="405"/>
      <c r="HI40" s="405"/>
      <c r="HJ40" s="405"/>
      <c r="HK40" s="405"/>
      <c r="HL40" s="405"/>
      <c r="HM40" s="405"/>
      <c r="HN40" s="405"/>
      <c r="HO40" s="405"/>
      <c r="HP40" s="405"/>
      <c r="HQ40" s="405"/>
      <c r="HR40" s="405"/>
      <c r="HS40" s="405"/>
      <c r="HT40" s="405"/>
      <c r="HU40" s="405"/>
      <c r="HV40" s="405"/>
      <c r="HW40" s="405"/>
      <c r="HX40" s="405"/>
      <c r="HY40" s="405"/>
      <c r="HZ40" s="405"/>
      <c r="IA40" s="405"/>
      <c r="IB40" s="405"/>
      <c r="IC40" s="405"/>
      <c r="ID40" s="405"/>
      <c r="IE40" s="405"/>
      <c r="IF40" s="405"/>
      <c r="IG40" s="405"/>
      <c r="IH40" s="405"/>
      <c r="II40" s="405"/>
      <c r="IJ40" s="405"/>
      <c r="IK40" s="405"/>
      <c r="IL40" s="405"/>
      <c r="IM40" s="405"/>
      <c r="IN40" s="405"/>
      <c r="IO40" s="405"/>
      <c r="IP40" s="405"/>
      <c r="IQ40" s="405"/>
      <c r="IR40" s="405"/>
      <c r="IS40" s="405"/>
      <c r="IT40" s="405"/>
      <c r="IU40" s="405"/>
      <c r="IV40" s="405"/>
      <c r="IW40" s="405"/>
      <c r="IX40" s="405"/>
      <c r="IY40" s="405"/>
      <c r="IZ40" s="405"/>
      <c r="JA40" s="405"/>
      <c r="JB40" s="405"/>
      <c r="JC40" s="405"/>
      <c r="JD40" s="405"/>
      <c r="JE40" s="405"/>
      <c r="JF40" s="405"/>
      <c r="JG40" s="405"/>
      <c r="JH40" s="405"/>
      <c r="JI40" s="405"/>
      <c r="JJ40" s="405"/>
      <c r="JK40" s="405"/>
      <c r="JL40" s="405"/>
      <c r="JM40" s="405"/>
      <c r="JN40" s="405"/>
      <c r="JO40" s="405"/>
      <c r="JP40" s="405"/>
      <c r="JQ40" s="405"/>
      <c r="JR40" s="405"/>
      <c r="JS40" s="405"/>
      <c r="JT40" s="405"/>
      <c r="JU40" s="405"/>
      <c r="JV40" s="405"/>
      <c r="JW40" s="405"/>
      <c r="JX40" s="405"/>
      <c r="JY40" s="405"/>
      <c r="JZ40" s="405"/>
      <c r="KA40" s="405"/>
      <c r="KB40" s="405"/>
      <c r="KC40" s="405"/>
      <c r="KD40" s="405"/>
      <c r="KE40" s="405"/>
      <c r="KF40" s="405"/>
      <c r="KG40" s="405"/>
      <c r="KH40" s="405"/>
      <c r="KI40" s="405"/>
      <c r="KJ40" s="405"/>
      <c r="KK40" s="405"/>
      <c r="KL40" s="405"/>
      <c r="KM40" s="405"/>
      <c r="KN40" s="405"/>
      <c r="KO40" s="405"/>
      <c r="KP40" s="405"/>
      <c r="KQ40" s="405"/>
      <c r="KR40" s="405"/>
      <c r="KS40" s="405"/>
      <c r="KT40" s="405"/>
      <c r="KU40" s="405"/>
      <c r="KV40" s="405"/>
      <c r="KW40" s="405"/>
      <c r="KX40" s="405"/>
      <c r="KY40" s="405"/>
      <c r="KZ40" s="405"/>
      <c r="LA40" s="405"/>
      <c r="LB40" s="405"/>
      <c r="LC40" s="405"/>
      <c r="LD40" s="405"/>
      <c r="LE40" s="405"/>
      <c r="LF40" s="405"/>
      <c r="LG40" s="405"/>
      <c r="LH40" s="405"/>
      <c r="LI40" s="405"/>
      <c r="LJ40" s="405"/>
      <c r="LK40" s="405"/>
      <c r="LL40" s="405"/>
      <c r="LM40" s="405"/>
      <c r="LN40" s="405"/>
      <c r="LO40" s="405"/>
      <c r="LP40" s="405"/>
      <c r="LQ40" s="405"/>
      <c r="LR40" s="405"/>
      <c r="LS40" s="405"/>
      <c r="LT40" s="405"/>
      <c r="LU40" s="405"/>
      <c r="LV40" s="405"/>
      <c r="LW40" s="405"/>
      <c r="LX40" s="405"/>
      <c r="LY40" s="405"/>
      <c r="LZ40" s="405"/>
      <c r="MA40" s="405"/>
      <c r="MB40" s="405"/>
      <c r="MC40" s="405"/>
      <c r="MD40" s="405"/>
      <c r="ME40" s="405"/>
      <c r="MF40" s="405"/>
      <c r="MG40" s="405"/>
      <c r="MH40" s="405"/>
      <c r="MI40" s="405"/>
      <c r="MJ40" s="405"/>
      <c r="MK40" s="405"/>
      <c r="ML40" s="405"/>
      <c r="MM40" s="405"/>
      <c r="MN40" s="405"/>
      <c r="MO40" s="405"/>
      <c r="MP40" s="405"/>
      <c r="MQ40" s="405"/>
      <c r="MR40" s="405"/>
      <c r="MS40" s="405"/>
      <c r="MT40" s="405"/>
      <c r="MU40" s="405"/>
      <c r="MV40" s="405"/>
      <c r="MW40" s="405"/>
      <c r="MX40" s="405"/>
      <c r="MY40" s="405"/>
      <c r="MZ40" s="405"/>
      <c r="NA40" s="405"/>
      <c r="NB40" s="405"/>
      <c r="NC40" s="405"/>
      <c r="ND40" s="405"/>
      <c r="NE40" s="405"/>
      <c r="NF40" s="405"/>
      <c r="NG40" s="405"/>
      <c r="NH40" s="405"/>
      <c r="NI40" s="405"/>
      <c r="NJ40" s="405"/>
      <c r="NK40" s="405"/>
      <c r="NL40" s="405"/>
      <c r="NM40" s="405"/>
      <c r="NN40" s="405"/>
      <c r="NO40" s="405"/>
      <c r="NP40" s="405"/>
      <c r="NQ40" s="405"/>
      <c r="NR40" s="405"/>
      <c r="NS40" s="405"/>
      <c r="NT40" s="405"/>
      <c r="NU40" s="405"/>
      <c r="NV40" s="405"/>
      <c r="NW40" s="405"/>
      <c r="NX40" s="405"/>
      <c r="NY40" s="405"/>
      <c r="NZ40" s="405"/>
      <c r="OA40" s="405"/>
      <c r="OB40" s="405"/>
      <c r="OC40" s="405"/>
      <c r="OD40" s="405"/>
      <c r="OE40" s="405"/>
      <c r="OF40" s="405"/>
      <c r="OG40" s="405"/>
      <c r="OH40" s="405"/>
      <c r="OI40" s="405"/>
      <c r="OJ40" s="405"/>
      <c r="OK40" s="405"/>
      <c r="OL40" s="405"/>
      <c r="OM40" s="405"/>
      <c r="ON40" s="405"/>
      <c r="OO40" s="405"/>
      <c r="OP40" s="405"/>
      <c r="OQ40" s="405"/>
      <c r="OR40" s="405"/>
      <c r="OS40" s="405"/>
      <c r="OT40" s="405"/>
      <c r="OU40" s="405"/>
      <c r="OV40" s="405"/>
      <c r="OW40" s="405"/>
      <c r="OX40" s="405"/>
      <c r="OY40" s="405"/>
      <c r="OZ40" s="405"/>
      <c r="PA40" s="405"/>
      <c r="PB40" s="405"/>
      <c r="PC40" s="405"/>
      <c r="PD40" s="405"/>
      <c r="PE40" s="405"/>
      <c r="PF40" s="405"/>
      <c r="PG40" s="405"/>
      <c r="PH40" s="405"/>
      <c r="PI40" s="405"/>
      <c r="PJ40" s="405"/>
      <c r="PK40" s="405"/>
      <c r="PL40" s="405"/>
      <c r="PM40" s="405"/>
      <c r="PN40" s="405"/>
      <c r="PO40" s="405"/>
      <c r="PP40" s="405"/>
      <c r="PQ40" s="405"/>
      <c r="PR40" s="405"/>
      <c r="PS40" s="405"/>
      <c r="PT40" s="405"/>
      <c r="PU40" s="405"/>
      <c r="PV40" s="405"/>
      <c r="PW40" s="405"/>
      <c r="PX40" s="405"/>
      <c r="PY40" s="405"/>
      <c r="PZ40" s="405"/>
      <c r="QA40" s="405"/>
      <c r="QB40" s="405"/>
      <c r="QC40" s="405"/>
      <c r="QD40" s="405"/>
      <c r="QE40" s="405"/>
      <c r="QF40" s="405"/>
      <c r="QG40" s="405"/>
      <c r="QH40" s="405"/>
      <c r="QI40" s="405"/>
      <c r="QJ40" s="405"/>
      <c r="QK40" s="405"/>
      <c r="QL40" s="405"/>
      <c r="QM40" s="405"/>
      <c r="QN40" s="405"/>
      <c r="QO40" s="405"/>
      <c r="QP40" s="405"/>
      <c r="QQ40" s="405"/>
      <c r="QR40" s="405"/>
      <c r="QS40" s="405"/>
      <c r="QT40" s="405"/>
      <c r="QU40" s="405"/>
      <c r="QV40" s="405"/>
      <c r="QW40" s="405"/>
      <c r="QX40" s="405"/>
      <c r="QY40" s="405"/>
      <c r="QZ40" s="405"/>
      <c r="RA40" s="405"/>
      <c r="RB40" s="405"/>
      <c r="RC40" s="405"/>
      <c r="RD40" s="405"/>
      <c r="RE40" s="405"/>
      <c r="RF40" s="405"/>
      <c r="RG40" s="405"/>
      <c r="RH40" s="405"/>
      <c r="RI40" s="405"/>
      <c r="RJ40" s="405"/>
      <c r="RK40" s="405"/>
      <c r="RL40" s="405"/>
      <c r="RM40" s="405"/>
      <c r="RN40" s="405"/>
      <c r="RO40" s="405"/>
      <c r="RP40" s="405"/>
      <c r="RQ40" s="405"/>
      <c r="RR40" s="405"/>
      <c r="RS40" s="405"/>
      <c r="RT40" s="405"/>
      <c r="RU40" s="405"/>
      <c r="RV40" s="405"/>
      <c r="RW40" s="405"/>
      <c r="RX40" s="405"/>
      <c r="RY40" s="405"/>
      <c r="RZ40" s="405"/>
      <c r="SA40" s="405"/>
      <c r="SB40" s="405"/>
      <c r="SC40" s="405"/>
      <c r="SD40" s="405"/>
      <c r="SE40" s="405"/>
      <c r="SF40" s="405"/>
      <c r="SG40" s="405"/>
      <c r="SH40" s="405"/>
      <c r="SI40" s="405"/>
      <c r="SJ40" s="405"/>
      <c r="SK40" s="405"/>
      <c r="SL40" s="405"/>
      <c r="SM40" s="405"/>
      <c r="SN40" s="405"/>
      <c r="SO40" s="405"/>
      <c r="SP40" s="405"/>
      <c r="SQ40" s="405"/>
      <c r="SR40" s="405"/>
      <c r="SS40" s="405"/>
      <c r="ST40" s="405"/>
      <c r="SU40" s="405"/>
      <c r="SV40" s="405"/>
      <c r="SW40" s="405"/>
      <c r="SX40" s="405"/>
      <c r="SY40" s="405"/>
      <c r="SZ40" s="405"/>
      <c r="TA40" s="405"/>
      <c r="TB40" s="405"/>
      <c r="TC40" s="405"/>
      <c r="TD40" s="405"/>
      <c r="TE40" s="405"/>
      <c r="TF40" s="405"/>
      <c r="TG40" s="405"/>
      <c r="TH40" s="405"/>
      <c r="TI40" s="405"/>
      <c r="TJ40" s="405"/>
      <c r="TK40" s="405"/>
      <c r="TL40" s="405"/>
      <c r="TM40" s="405"/>
      <c r="TN40" s="405"/>
      <c r="TO40" s="405"/>
      <c r="TP40" s="405"/>
      <c r="TQ40" s="405"/>
      <c r="TR40" s="405"/>
      <c r="TS40" s="405"/>
      <c r="TT40" s="405"/>
      <c r="TU40" s="405"/>
      <c r="TV40" s="405"/>
      <c r="TW40" s="405"/>
      <c r="TX40" s="405"/>
      <c r="TY40" s="405"/>
      <c r="TZ40" s="405"/>
      <c r="UA40" s="405"/>
      <c r="UB40" s="405"/>
      <c r="UC40" s="405"/>
      <c r="UD40" s="405"/>
      <c r="UE40" s="405"/>
      <c r="UF40" s="405"/>
      <c r="UG40" s="405"/>
      <c r="UH40" s="405"/>
      <c r="UI40" s="405"/>
      <c r="UJ40" s="405"/>
      <c r="UK40" s="405"/>
      <c r="UL40" s="405"/>
      <c r="UM40" s="405"/>
      <c r="UN40" s="405"/>
      <c r="UO40" s="405"/>
      <c r="UP40" s="405"/>
      <c r="UQ40" s="405"/>
      <c r="UR40" s="405"/>
      <c r="US40" s="405"/>
      <c r="UT40" s="405"/>
      <c r="UU40" s="405"/>
      <c r="UV40" s="405"/>
      <c r="UW40" s="405"/>
      <c r="UX40" s="405"/>
      <c r="UY40" s="405"/>
      <c r="UZ40" s="405"/>
      <c r="VA40" s="405"/>
      <c r="VB40" s="405"/>
      <c r="VC40" s="405"/>
      <c r="VD40" s="405"/>
      <c r="VE40" s="405"/>
      <c r="VF40" s="405"/>
      <c r="VG40" s="405"/>
      <c r="VH40" s="405"/>
      <c r="VI40" s="405"/>
      <c r="VJ40" s="405"/>
      <c r="VK40" s="405"/>
      <c r="VL40" s="405"/>
      <c r="VM40" s="405"/>
      <c r="VN40" s="405"/>
      <c r="VO40" s="405"/>
      <c r="VP40" s="405"/>
      <c r="VQ40" s="405"/>
      <c r="VR40" s="405"/>
      <c r="VS40" s="405"/>
      <c r="VT40" s="405"/>
      <c r="VU40" s="405"/>
      <c r="VV40" s="405"/>
      <c r="VW40" s="405"/>
      <c r="VX40" s="405"/>
      <c r="VY40" s="405"/>
      <c r="VZ40" s="405"/>
      <c r="WA40" s="405"/>
      <c r="WB40" s="405"/>
      <c r="WC40" s="405"/>
      <c r="WD40" s="405"/>
      <c r="WE40" s="405"/>
      <c r="WF40" s="405"/>
      <c r="WG40" s="405"/>
      <c r="WH40" s="405"/>
      <c r="WI40" s="405"/>
      <c r="WJ40" s="405"/>
      <c r="WK40" s="405"/>
      <c r="WL40" s="405"/>
      <c r="WM40" s="405"/>
      <c r="WN40" s="405"/>
      <c r="WO40" s="405"/>
      <c r="WP40" s="405"/>
      <c r="WQ40" s="405"/>
      <c r="WR40" s="405"/>
      <c r="WS40" s="405"/>
      <c r="WT40" s="405"/>
      <c r="WU40" s="405"/>
      <c r="WV40" s="405"/>
      <c r="WW40" s="405"/>
      <c r="WX40" s="405"/>
      <c r="WY40" s="405"/>
      <c r="WZ40" s="405"/>
      <c r="XA40" s="405"/>
      <c r="XB40" s="405"/>
      <c r="XC40" s="405"/>
      <c r="XD40" s="405"/>
      <c r="XE40" s="405"/>
      <c r="XF40" s="405"/>
      <c r="XG40" s="405"/>
      <c r="XH40" s="405"/>
      <c r="XI40" s="405"/>
      <c r="XJ40" s="405"/>
      <c r="XK40" s="405"/>
      <c r="XL40" s="405"/>
      <c r="XM40" s="405"/>
      <c r="XN40" s="405"/>
      <c r="XO40" s="405"/>
      <c r="XP40" s="405"/>
      <c r="XQ40" s="405"/>
      <c r="XR40" s="405"/>
      <c r="XS40" s="405"/>
      <c r="XT40" s="405"/>
      <c r="XU40" s="405"/>
      <c r="XV40" s="405"/>
      <c r="XW40" s="405"/>
      <c r="XX40" s="405"/>
      <c r="XY40" s="405"/>
      <c r="XZ40" s="405"/>
      <c r="YA40" s="405"/>
      <c r="YB40" s="405"/>
      <c r="YC40" s="405"/>
      <c r="YD40" s="405"/>
      <c r="YE40" s="405"/>
      <c r="YF40" s="405"/>
      <c r="YG40" s="405"/>
      <c r="YH40" s="405"/>
      <c r="YI40" s="405"/>
      <c r="YJ40" s="405"/>
      <c r="YK40" s="405"/>
      <c r="YL40" s="405"/>
      <c r="YM40" s="405"/>
      <c r="YN40" s="405"/>
      <c r="YO40" s="405"/>
      <c r="YP40" s="405"/>
      <c r="YQ40" s="405"/>
      <c r="YR40" s="405"/>
      <c r="YS40" s="405"/>
      <c r="YT40" s="405"/>
      <c r="YU40" s="405"/>
      <c r="YV40" s="405"/>
      <c r="YW40" s="405"/>
      <c r="YX40" s="405"/>
      <c r="YY40" s="405"/>
      <c r="YZ40" s="405"/>
      <c r="ZA40" s="405"/>
      <c r="ZB40" s="405"/>
      <c r="ZC40" s="405"/>
      <c r="ZD40" s="405"/>
      <c r="ZE40" s="405"/>
      <c r="ZF40" s="405"/>
      <c r="ZG40" s="405"/>
      <c r="ZH40" s="405"/>
      <c r="ZI40" s="405"/>
      <c r="ZJ40" s="405"/>
      <c r="ZK40" s="405"/>
      <c r="ZL40" s="405"/>
      <c r="ZM40" s="405"/>
      <c r="ZN40" s="405"/>
      <c r="ZO40" s="405"/>
      <c r="ZP40" s="405"/>
      <c r="ZQ40" s="405"/>
      <c r="ZR40" s="405"/>
      <c r="ZS40" s="405"/>
      <c r="ZT40" s="405"/>
      <c r="ZU40" s="405"/>
      <c r="ZV40" s="405"/>
      <c r="ZW40" s="405"/>
      <c r="ZX40" s="405"/>
      <c r="ZY40" s="405"/>
      <c r="ZZ40" s="405"/>
      <c r="AAA40" s="405"/>
      <c r="AAB40" s="405"/>
      <c r="AAC40" s="405"/>
      <c r="AAD40" s="405"/>
      <c r="AAE40" s="405"/>
      <c r="AAF40" s="405"/>
      <c r="AAG40" s="405"/>
      <c r="AAH40" s="405"/>
      <c r="AAI40" s="405"/>
      <c r="AAJ40" s="405"/>
      <c r="AAK40" s="405"/>
      <c r="AAL40" s="405"/>
      <c r="AAM40" s="405"/>
      <c r="AAN40" s="405"/>
      <c r="AAO40" s="405"/>
      <c r="AAP40" s="405"/>
      <c r="AAQ40" s="405"/>
      <c r="AAR40" s="405"/>
      <c r="AAS40" s="405"/>
      <c r="AAT40" s="405"/>
      <c r="AAU40" s="405"/>
      <c r="AAV40" s="405"/>
      <c r="AAW40" s="405"/>
      <c r="AAX40" s="405"/>
      <c r="AAY40" s="405"/>
      <c r="AAZ40" s="405"/>
      <c r="ABA40" s="405"/>
      <c r="ABB40" s="405"/>
      <c r="ABC40" s="405"/>
      <c r="ABD40" s="405"/>
      <c r="ABE40" s="405"/>
      <c r="ABF40" s="405"/>
      <c r="ABG40" s="405"/>
      <c r="ABH40" s="405"/>
      <c r="ABI40" s="405"/>
      <c r="ABJ40" s="405"/>
      <c r="ABK40" s="405"/>
      <c r="ABL40" s="405"/>
      <c r="ABM40" s="405"/>
      <c r="ABN40" s="405"/>
      <c r="ABO40" s="405"/>
      <c r="ABP40" s="405"/>
      <c r="ABQ40" s="405"/>
      <c r="ABR40" s="405"/>
      <c r="ABS40" s="405"/>
      <c r="ABT40" s="405"/>
      <c r="ABU40" s="405"/>
      <c r="ABV40" s="405"/>
      <c r="ABW40" s="405"/>
      <c r="ABX40" s="405"/>
      <c r="ABY40" s="405"/>
      <c r="ABZ40" s="405"/>
      <c r="ACA40" s="405"/>
      <c r="ACB40" s="405"/>
      <c r="ACC40" s="405"/>
      <c r="ACD40" s="405"/>
      <c r="ACE40" s="405"/>
      <c r="ACF40" s="405"/>
      <c r="ACG40" s="405"/>
      <c r="ACH40" s="405"/>
      <c r="ACI40" s="405"/>
      <c r="ACJ40" s="405"/>
      <c r="ACK40" s="405"/>
      <c r="ACL40" s="405"/>
      <c r="ACM40" s="405"/>
      <c r="ACN40" s="405"/>
      <c r="ACO40" s="405"/>
      <c r="ACP40" s="405"/>
      <c r="ACQ40" s="405"/>
      <c r="ACR40" s="405"/>
      <c r="ACS40" s="405"/>
      <c r="ACT40" s="405"/>
      <c r="ACU40" s="405"/>
      <c r="ACV40" s="405"/>
      <c r="ACW40" s="405"/>
      <c r="ACX40" s="405"/>
      <c r="ACY40" s="405"/>
      <c r="ACZ40" s="405"/>
      <c r="ADA40" s="405"/>
      <c r="ADB40" s="405"/>
      <c r="ADC40" s="405"/>
      <c r="ADD40" s="405"/>
      <c r="ADE40" s="405"/>
      <c r="ADF40" s="405"/>
      <c r="ADG40" s="405"/>
      <c r="ADH40" s="405"/>
      <c r="ADI40" s="405"/>
      <c r="ADJ40" s="405"/>
      <c r="ADK40" s="405"/>
      <c r="ADL40" s="405"/>
      <c r="ADM40" s="405"/>
      <c r="ADN40" s="405"/>
      <c r="ADO40" s="405"/>
      <c r="ADP40" s="405"/>
      <c r="ADQ40" s="405"/>
      <c r="ADR40" s="405"/>
      <c r="ADS40" s="405"/>
      <c r="ADT40" s="405"/>
      <c r="ADU40" s="405"/>
      <c r="ADV40" s="405"/>
      <c r="ADW40" s="405"/>
      <c r="ADX40" s="405"/>
      <c r="ADY40" s="405"/>
      <c r="ADZ40" s="405"/>
      <c r="AEA40" s="405"/>
      <c r="AEB40" s="405"/>
      <c r="AEC40" s="405"/>
      <c r="AED40" s="405"/>
      <c r="AEE40" s="405"/>
      <c r="AEF40" s="405"/>
      <c r="AEG40" s="405"/>
      <c r="AEH40" s="405"/>
      <c r="AEI40" s="405"/>
      <c r="AEJ40" s="405"/>
      <c r="AEK40" s="405"/>
      <c r="AEL40" s="405"/>
      <c r="AEM40" s="405"/>
      <c r="AEN40" s="405"/>
      <c r="AEO40" s="405"/>
      <c r="AEP40" s="405"/>
      <c r="AEQ40" s="405"/>
      <c r="AER40" s="405"/>
      <c r="AES40" s="405"/>
      <c r="AET40" s="405"/>
      <c r="AEU40" s="405"/>
      <c r="AEV40" s="405"/>
      <c r="AEW40" s="405"/>
      <c r="AEX40" s="405"/>
      <c r="AEY40" s="405"/>
      <c r="AEZ40" s="405"/>
      <c r="AFA40" s="405"/>
      <c r="AFB40" s="405"/>
      <c r="AFC40" s="405"/>
      <c r="AFD40" s="405"/>
      <c r="AFE40" s="405"/>
      <c r="AFF40" s="405"/>
      <c r="AFG40" s="405"/>
      <c r="AFH40" s="405"/>
      <c r="AFI40" s="405"/>
      <c r="AFJ40" s="405"/>
      <c r="AFK40" s="405"/>
      <c r="AFL40" s="405"/>
      <c r="AFM40" s="405"/>
      <c r="AFN40" s="405"/>
      <c r="AFO40" s="405"/>
      <c r="AFP40" s="405"/>
      <c r="AFQ40" s="405"/>
      <c r="AFR40" s="405"/>
      <c r="AFS40" s="405"/>
      <c r="AFT40" s="405"/>
      <c r="AFU40" s="405"/>
      <c r="AFV40" s="405"/>
      <c r="AFW40" s="405"/>
      <c r="AFX40" s="405"/>
      <c r="AFY40" s="405"/>
      <c r="AFZ40" s="405"/>
      <c r="AGA40" s="405"/>
      <c r="AGB40" s="405"/>
      <c r="AGC40" s="405"/>
      <c r="AGD40" s="405"/>
      <c r="AGE40" s="405"/>
      <c r="AGF40" s="405"/>
      <c r="AGG40" s="405"/>
      <c r="AGH40" s="405"/>
      <c r="AGI40" s="405"/>
      <c r="AGJ40" s="405"/>
      <c r="AGK40" s="405"/>
      <c r="AGL40" s="405"/>
      <c r="AGM40" s="405"/>
      <c r="AGN40" s="405"/>
      <c r="AGO40" s="405"/>
      <c r="AGP40" s="405"/>
      <c r="AGQ40" s="405"/>
      <c r="AGR40" s="405"/>
      <c r="AGS40" s="405"/>
      <c r="AGT40" s="405"/>
      <c r="AGU40" s="405"/>
      <c r="AGV40" s="405"/>
      <c r="AGW40" s="405"/>
      <c r="AGX40" s="405"/>
      <c r="AGY40" s="405"/>
      <c r="AGZ40" s="405"/>
      <c r="AHA40" s="405"/>
      <c r="AHB40" s="405"/>
      <c r="AHC40" s="405"/>
      <c r="AHD40" s="405"/>
      <c r="AHE40" s="405"/>
      <c r="AHF40" s="405"/>
      <c r="AHG40" s="405"/>
      <c r="AHH40" s="405"/>
      <c r="AHI40" s="405"/>
      <c r="AHJ40" s="405"/>
      <c r="AHK40" s="405"/>
      <c r="AHL40" s="405"/>
      <c r="AHM40" s="405"/>
      <c r="AHN40" s="405"/>
      <c r="AHO40" s="405"/>
      <c r="AHP40" s="405"/>
      <c r="AHQ40" s="405"/>
      <c r="AHR40" s="405"/>
      <c r="AHS40" s="405"/>
      <c r="AHT40" s="405"/>
      <c r="AHU40" s="405"/>
      <c r="AHV40" s="405"/>
      <c r="AHW40" s="405"/>
      <c r="AHX40" s="405"/>
      <c r="AHY40" s="405"/>
      <c r="AHZ40" s="405"/>
      <c r="AIA40" s="405"/>
      <c r="AIB40" s="405"/>
      <c r="AIC40" s="405"/>
      <c r="AID40" s="405"/>
      <c r="AIE40" s="405"/>
      <c r="AIF40" s="405"/>
      <c r="AIG40" s="405"/>
      <c r="AIH40" s="405"/>
      <c r="AII40" s="405"/>
      <c r="AIJ40" s="405"/>
      <c r="AIK40" s="405"/>
      <c r="AIL40" s="405"/>
      <c r="AIM40" s="405"/>
      <c r="AIN40" s="405"/>
      <c r="AIO40" s="405"/>
      <c r="AIP40" s="405"/>
      <c r="AIQ40" s="405"/>
      <c r="AIR40" s="405"/>
      <c r="AIS40" s="405"/>
      <c r="AIT40" s="405"/>
      <c r="AIU40" s="405"/>
      <c r="AIV40" s="405"/>
      <c r="AIW40" s="405"/>
      <c r="AIX40" s="405"/>
      <c r="AIY40" s="405"/>
      <c r="AIZ40" s="405"/>
      <c r="AJA40" s="405"/>
      <c r="AJB40" s="405"/>
      <c r="AJC40" s="405"/>
      <c r="AJD40" s="405"/>
      <c r="AJE40" s="405"/>
      <c r="AJF40" s="405"/>
      <c r="AJG40" s="405"/>
      <c r="AJH40" s="405"/>
      <c r="AJI40" s="405"/>
      <c r="AJJ40" s="405"/>
      <c r="AJK40" s="405"/>
      <c r="AJL40" s="405"/>
      <c r="AJM40" s="405"/>
      <c r="AJN40" s="405"/>
      <c r="AJO40" s="405"/>
      <c r="AJP40" s="405"/>
      <c r="AJQ40" s="405"/>
      <c r="AJR40" s="405"/>
      <c r="AJS40" s="405"/>
      <c r="AJT40" s="405"/>
      <c r="AJU40" s="405"/>
      <c r="AJV40" s="405"/>
      <c r="AJW40" s="405"/>
      <c r="AJX40" s="405"/>
      <c r="AJY40" s="405"/>
      <c r="AJZ40" s="405"/>
      <c r="AKA40" s="405"/>
      <c r="AKB40" s="405"/>
      <c r="AKC40" s="405"/>
      <c r="AKD40" s="405"/>
      <c r="AKE40" s="405"/>
      <c r="AKF40" s="405"/>
      <c r="AKG40" s="405"/>
      <c r="AKH40" s="405"/>
      <c r="AKI40" s="405"/>
      <c r="AKJ40" s="405"/>
      <c r="AKK40" s="405"/>
      <c r="AKL40" s="405"/>
      <c r="AKM40" s="405"/>
      <c r="AKN40" s="405"/>
      <c r="AKO40" s="405"/>
      <c r="AKP40" s="405"/>
      <c r="AKQ40" s="405"/>
      <c r="AKR40" s="405"/>
      <c r="AKS40" s="405"/>
      <c r="AKT40" s="405"/>
      <c r="AKU40" s="405"/>
      <c r="AKV40" s="405"/>
      <c r="AKW40" s="405"/>
      <c r="AKX40" s="405"/>
      <c r="AKY40" s="405"/>
      <c r="AKZ40" s="405"/>
      <c r="ALA40" s="405"/>
      <c r="ALB40" s="405"/>
      <c r="ALC40" s="405"/>
      <c r="ALD40" s="405"/>
      <c r="ALE40" s="405"/>
      <c r="ALF40" s="405"/>
      <c r="ALG40" s="405"/>
      <c r="ALH40" s="405"/>
      <c r="ALI40" s="405"/>
      <c r="ALJ40" s="405"/>
      <c r="ALK40" s="405"/>
      <c r="ALL40" s="405"/>
      <c r="ALM40" s="405"/>
      <c r="ALN40" s="405"/>
      <c r="ALO40" s="405"/>
      <c r="ALP40" s="405"/>
      <c r="ALQ40" s="405"/>
      <c r="ALR40" s="405"/>
      <c r="ALS40" s="405"/>
      <c r="ALT40" s="405"/>
      <c r="ALU40" s="405"/>
      <c r="ALV40" s="405"/>
      <c r="ALW40" s="405"/>
      <c r="ALX40" s="405"/>
      <c r="ALY40" s="405"/>
      <c r="ALZ40" s="405"/>
      <c r="AMA40" s="405"/>
      <c r="AMB40" s="405"/>
      <c r="AMC40" s="405"/>
      <c r="AMD40" s="405"/>
      <c r="AME40" s="405"/>
      <c r="AMF40" s="405"/>
      <c r="AMG40" s="405"/>
      <c r="AMH40" s="405"/>
      <c r="AMI40" s="405"/>
      <c r="AMJ40" s="405"/>
      <c r="AMK40" s="405"/>
    </row>
    <row r="41" spans="1:1025" s="406" customFormat="1" x14ac:dyDescent="0.25">
      <c r="A41" s="102">
        <f>IF(COUNTBLANK(B41)=1," ",COUNTA(B$14:B41))</f>
        <v>24</v>
      </c>
      <c r="B41" s="399" t="s">
        <v>87</v>
      </c>
      <c r="C41" s="886" t="s">
        <v>282</v>
      </c>
      <c r="D41" s="887" t="s">
        <v>92</v>
      </c>
      <c r="E41" s="219">
        <f>ROUNDUP(E36*0.5,2)</f>
        <v>31.5</v>
      </c>
      <c r="F41" s="401"/>
      <c r="G41" s="210"/>
      <c r="H41" s="208">
        <f t="shared" si="0"/>
        <v>0</v>
      </c>
      <c r="I41" s="400"/>
      <c r="J41" s="209"/>
      <c r="K41" s="307">
        <f t="shared" si="1"/>
        <v>0</v>
      </c>
      <c r="L41" s="307">
        <f t="shared" si="2"/>
        <v>0</v>
      </c>
      <c r="M41" s="307">
        <f t="shared" si="3"/>
        <v>0</v>
      </c>
      <c r="N41" s="307">
        <f t="shared" si="4"/>
        <v>0</v>
      </c>
      <c r="O41" s="307">
        <f t="shared" si="5"/>
        <v>0</v>
      </c>
      <c r="P41" s="307">
        <f t="shared" si="6"/>
        <v>0</v>
      </c>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c r="BF41" s="405"/>
      <c r="BG41" s="405"/>
      <c r="BH41" s="405"/>
      <c r="BI41" s="405"/>
      <c r="BJ41" s="405"/>
      <c r="BK41" s="405"/>
      <c r="BL41" s="405"/>
      <c r="BM41" s="405"/>
      <c r="BN41" s="405"/>
      <c r="BO41" s="405"/>
      <c r="BP41" s="405"/>
      <c r="BQ41" s="405"/>
      <c r="BR41" s="405"/>
      <c r="BS41" s="405"/>
      <c r="BT41" s="405"/>
      <c r="BU41" s="405"/>
      <c r="BV41" s="405"/>
      <c r="BW41" s="405"/>
      <c r="BX41" s="405"/>
      <c r="BY41" s="405"/>
      <c r="BZ41" s="405"/>
      <c r="CA41" s="405"/>
      <c r="CB41" s="405"/>
      <c r="CC41" s="405"/>
      <c r="CD41" s="405"/>
      <c r="CE41" s="405"/>
      <c r="CF41" s="405"/>
      <c r="CG41" s="405"/>
      <c r="CH41" s="405"/>
      <c r="CI41" s="405"/>
      <c r="CJ41" s="405"/>
      <c r="CK41" s="405"/>
      <c r="CL41" s="405"/>
      <c r="CM41" s="405"/>
      <c r="CN41" s="405"/>
      <c r="CO41" s="405"/>
      <c r="CP41" s="405"/>
      <c r="CQ41" s="405"/>
      <c r="CR41" s="405"/>
      <c r="CS41" s="405"/>
      <c r="CT41" s="405"/>
      <c r="CU41" s="405"/>
      <c r="CV41" s="405"/>
      <c r="CW41" s="405"/>
      <c r="CX41" s="405"/>
      <c r="CY41" s="405"/>
      <c r="CZ41" s="405"/>
      <c r="DA41" s="405"/>
      <c r="DB41" s="405"/>
      <c r="DC41" s="405"/>
      <c r="DD41" s="405"/>
      <c r="DE41" s="405"/>
      <c r="DF41" s="405"/>
      <c r="DG41" s="405"/>
      <c r="DH41" s="405"/>
      <c r="DI41" s="405"/>
      <c r="DJ41" s="405"/>
      <c r="DK41" s="405"/>
      <c r="DL41" s="405"/>
      <c r="DM41" s="405"/>
      <c r="DN41" s="405"/>
      <c r="DO41" s="405"/>
      <c r="DP41" s="405"/>
      <c r="DQ41" s="405"/>
      <c r="DR41" s="405"/>
      <c r="DS41" s="405"/>
      <c r="DT41" s="405"/>
      <c r="DU41" s="405"/>
      <c r="DV41" s="405"/>
      <c r="DW41" s="405"/>
      <c r="DX41" s="405"/>
      <c r="DY41" s="405"/>
      <c r="DZ41" s="405"/>
      <c r="EA41" s="405"/>
      <c r="EB41" s="405"/>
      <c r="EC41" s="405"/>
      <c r="ED41" s="405"/>
      <c r="EE41" s="405"/>
      <c r="EF41" s="405"/>
      <c r="EG41" s="405"/>
      <c r="EH41" s="405"/>
      <c r="EI41" s="405"/>
      <c r="EJ41" s="405"/>
      <c r="EK41" s="405"/>
      <c r="EL41" s="405"/>
      <c r="EM41" s="405"/>
      <c r="EN41" s="405"/>
      <c r="EO41" s="405"/>
      <c r="EP41" s="405"/>
      <c r="EQ41" s="405"/>
      <c r="ER41" s="405"/>
      <c r="ES41" s="405"/>
      <c r="ET41" s="405"/>
      <c r="EU41" s="405"/>
      <c r="EV41" s="405"/>
      <c r="EW41" s="405"/>
      <c r="EX41" s="405"/>
      <c r="EY41" s="405"/>
      <c r="EZ41" s="405"/>
      <c r="FA41" s="405"/>
      <c r="FB41" s="405"/>
      <c r="FC41" s="405"/>
      <c r="FD41" s="405"/>
      <c r="FE41" s="405"/>
      <c r="FF41" s="405"/>
      <c r="FG41" s="405"/>
      <c r="FH41" s="405"/>
      <c r="FI41" s="405"/>
      <c r="FJ41" s="405"/>
      <c r="FK41" s="405"/>
      <c r="FL41" s="405"/>
      <c r="FM41" s="405"/>
      <c r="FN41" s="405"/>
      <c r="FO41" s="405"/>
      <c r="FP41" s="405"/>
      <c r="FQ41" s="405"/>
      <c r="FR41" s="405"/>
      <c r="FS41" s="405"/>
      <c r="FT41" s="405"/>
      <c r="FU41" s="405"/>
      <c r="FV41" s="405"/>
      <c r="FW41" s="405"/>
      <c r="FX41" s="405"/>
      <c r="FY41" s="405"/>
      <c r="FZ41" s="405"/>
      <c r="GA41" s="405"/>
      <c r="GB41" s="405"/>
      <c r="GC41" s="405"/>
      <c r="GD41" s="405"/>
      <c r="GE41" s="405"/>
      <c r="GF41" s="405"/>
      <c r="GG41" s="405"/>
      <c r="GH41" s="405"/>
      <c r="GI41" s="405"/>
      <c r="GJ41" s="405"/>
      <c r="GK41" s="405"/>
      <c r="GL41" s="405"/>
      <c r="GM41" s="405"/>
      <c r="GN41" s="405"/>
      <c r="GO41" s="405"/>
      <c r="GP41" s="405"/>
      <c r="GQ41" s="405"/>
      <c r="GR41" s="405"/>
      <c r="GS41" s="405"/>
      <c r="GT41" s="405"/>
      <c r="GU41" s="405"/>
      <c r="GV41" s="405"/>
      <c r="GW41" s="405"/>
      <c r="GX41" s="405"/>
      <c r="GY41" s="405"/>
      <c r="GZ41" s="405"/>
      <c r="HA41" s="405"/>
      <c r="HB41" s="405"/>
      <c r="HC41" s="405"/>
      <c r="HD41" s="405"/>
      <c r="HE41" s="405"/>
      <c r="HF41" s="405"/>
      <c r="HG41" s="405"/>
      <c r="HH41" s="405"/>
      <c r="HI41" s="405"/>
      <c r="HJ41" s="405"/>
      <c r="HK41" s="405"/>
      <c r="HL41" s="405"/>
      <c r="HM41" s="405"/>
      <c r="HN41" s="405"/>
      <c r="HO41" s="405"/>
      <c r="HP41" s="405"/>
      <c r="HQ41" s="405"/>
      <c r="HR41" s="405"/>
      <c r="HS41" s="405"/>
      <c r="HT41" s="405"/>
      <c r="HU41" s="405"/>
      <c r="HV41" s="405"/>
      <c r="HW41" s="405"/>
      <c r="HX41" s="405"/>
      <c r="HY41" s="405"/>
      <c r="HZ41" s="405"/>
      <c r="IA41" s="405"/>
      <c r="IB41" s="405"/>
      <c r="IC41" s="405"/>
      <c r="ID41" s="405"/>
      <c r="IE41" s="405"/>
      <c r="IF41" s="405"/>
      <c r="IG41" s="405"/>
      <c r="IH41" s="405"/>
      <c r="II41" s="405"/>
      <c r="IJ41" s="405"/>
      <c r="IK41" s="405"/>
      <c r="IL41" s="405"/>
      <c r="IM41" s="405"/>
      <c r="IN41" s="405"/>
      <c r="IO41" s="405"/>
      <c r="IP41" s="405"/>
      <c r="IQ41" s="405"/>
      <c r="IR41" s="405"/>
      <c r="IS41" s="405"/>
      <c r="IT41" s="405"/>
      <c r="IU41" s="405"/>
      <c r="IV41" s="405"/>
      <c r="IW41" s="405"/>
      <c r="IX41" s="405"/>
      <c r="IY41" s="405"/>
      <c r="IZ41" s="405"/>
      <c r="JA41" s="405"/>
      <c r="JB41" s="405"/>
      <c r="JC41" s="405"/>
      <c r="JD41" s="405"/>
      <c r="JE41" s="405"/>
      <c r="JF41" s="405"/>
      <c r="JG41" s="405"/>
      <c r="JH41" s="405"/>
      <c r="JI41" s="405"/>
      <c r="JJ41" s="405"/>
      <c r="JK41" s="405"/>
      <c r="JL41" s="405"/>
      <c r="JM41" s="405"/>
      <c r="JN41" s="405"/>
      <c r="JO41" s="405"/>
      <c r="JP41" s="405"/>
      <c r="JQ41" s="405"/>
      <c r="JR41" s="405"/>
      <c r="JS41" s="405"/>
      <c r="JT41" s="405"/>
      <c r="JU41" s="405"/>
      <c r="JV41" s="405"/>
      <c r="JW41" s="405"/>
      <c r="JX41" s="405"/>
      <c r="JY41" s="405"/>
      <c r="JZ41" s="405"/>
      <c r="KA41" s="405"/>
      <c r="KB41" s="405"/>
      <c r="KC41" s="405"/>
      <c r="KD41" s="405"/>
      <c r="KE41" s="405"/>
      <c r="KF41" s="405"/>
      <c r="KG41" s="405"/>
      <c r="KH41" s="405"/>
      <c r="KI41" s="405"/>
      <c r="KJ41" s="405"/>
      <c r="KK41" s="405"/>
      <c r="KL41" s="405"/>
      <c r="KM41" s="405"/>
      <c r="KN41" s="405"/>
      <c r="KO41" s="405"/>
      <c r="KP41" s="405"/>
      <c r="KQ41" s="405"/>
      <c r="KR41" s="405"/>
      <c r="KS41" s="405"/>
      <c r="KT41" s="405"/>
      <c r="KU41" s="405"/>
      <c r="KV41" s="405"/>
      <c r="KW41" s="405"/>
      <c r="KX41" s="405"/>
      <c r="KY41" s="405"/>
      <c r="KZ41" s="405"/>
      <c r="LA41" s="405"/>
      <c r="LB41" s="405"/>
      <c r="LC41" s="405"/>
      <c r="LD41" s="405"/>
      <c r="LE41" s="405"/>
      <c r="LF41" s="405"/>
      <c r="LG41" s="405"/>
      <c r="LH41" s="405"/>
      <c r="LI41" s="405"/>
      <c r="LJ41" s="405"/>
      <c r="LK41" s="405"/>
      <c r="LL41" s="405"/>
      <c r="LM41" s="405"/>
      <c r="LN41" s="405"/>
      <c r="LO41" s="405"/>
      <c r="LP41" s="405"/>
      <c r="LQ41" s="405"/>
      <c r="LR41" s="405"/>
      <c r="LS41" s="405"/>
      <c r="LT41" s="405"/>
      <c r="LU41" s="405"/>
      <c r="LV41" s="405"/>
      <c r="LW41" s="405"/>
      <c r="LX41" s="405"/>
      <c r="LY41" s="405"/>
      <c r="LZ41" s="405"/>
      <c r="MA41" s="405"/>
      <c r="MB41" s="405"/>
      <c r="MC41" s="405"/>
      <c r="MD41" s="405"/>
      <c r="ME41" s="405"/>
      <c r="MF41" s="405"/>
      <c r="MG41" s="405"/>
      <c r="MH41" s="405"/>
      <c r="MI41" s="405"/>
      <c r="MJ41" s="405"/>
      <c r="MK41" s="405"/>
      <c r="ML41" s="405"/>
      <c r="MM41" s="405"/>
      <c r="MN41" s="405"/>
      <c r="MO41" s="405"/>
      <c r="MP41" s="405"/>
      <c r="MQ41" s="405"/>
      <c r="MR41" s="405"/>
      <c r="MS41" s="405"/>
      <c r="MT41" s="405"/>
      <c r="MU41" s="405"/>
      <c r="MV41" s="405"/>
      <c r="MW41" s="405"/>
      <c r="MX41" s="405"/>
      <c r="MY41" s="405"/>
      <c r="MZ41" s="405"/>
      <c r="NA41" s="405"/>
      <c r="NB41" s="405"/>
      <c r="NC41" s="405"/>
      <c r="ND41" s="405"/>
      <c r="NE41" s="405"/>
      <c r="NF41" s="405"/>
      <c r="NG41" s="405"/>
      <c r="NH41" s="405"/>
      <c r="NI41" s="405"/>
      <c r="NJ41" s="405"/>
      <c r="NK41" s="405"/>
      <c r="NL41" s="405"/>
      <c r="NM41" s="405"/>
      <c r="NN41" s="405"/>
      <c r="NO41" s="405"/>
      <c r="NP41" s="405"/>
      <c r="NQ41" s="405"/>
      <c r="NR41" s="405"/>
      <c r="NS41" s="405"/>
      <c r="NT41" s="405"/>
      <c r="NU41" s="405"/>
      <c r="NV41" s="405"/>
      <c r="NW41" s="405"/>
      <c r="NX41" s="405"/>
      <c r="NY41" s="405"/>
      <c r="NZ41" s="405"/>
      <c r="OA41" s="405"/>
      <c r="OB41" s="405"/>
      <c r="OC41" s="405"/>
      <c r="OD41" s="405"/>
      <c r="OE41" s="405"/>
      <c r="OF41" s="405"/>
      <c r="OG41" s="405"/>
      <c r="OH41" s="405"/>
      <c r="OI41" s="405"/>
      <c r="OJ41" s="405"/>
      <c r="OK41" s="405"/>
      <c r="OL41" s="405"/>
      <c r="OM41" s="405"/>
      <c r="ON41" s="405"/>
      <c r="OO41" s="405"/>
      <c r="OP41" s="405"/>
      <c r="OQ41" s="405"/>
      <c r="OR41" s="405"/>
      <c r="OS41" s="405"/>
      <c r="OT41" s="405"/>
      <c r="OU41" s="405"/>
      <c r="OV41" s="405"/>
      <c r="OW41" s="405"/>
      <c r="OX41" s="405"/>
      <c r="OY41" s="405"/>
      <c r="OZ41" s="405"/>
      <c r="PA41" s="405"/>
      <c r="PB41" s="405"/>
      <c r="PC41" s="405"/>
      <c r="PD41" s="405"/>
      <c r="PE41" s="405"/>
      <c r="PF41" s="405"/>
      <c r="PG41" s="405"/>
      <c r="PH41" s="405"/>
      <c r="PI41" s="405"/>
      <c r="PJ41" s="405"/>
      <c r="PK41" s="405"/>
      <c r="PL41" s="405"/>
      <c r="PM41" s="405"/>
      <c r="PN41" s="405"/>
      <c r="PO41" s="405"/>
      <c r="PP41" s="405"/>
      <c r="PQ41" s="405"/>
      <c r="PR41" s="405"/>
      <c r="PS41" s="405"/>
      <c r="PT41" s="405"/>
      <c r="PU41" s="405"/>
      <c r="PV41" s="405"/>
      <c r="PW41" s="405"/>
      <c r="PX41" s="405"/>
      <c r="PY41" s="405"/>
      <c r="PZ41" s="405"/>
      <c r="QA41" s="405"/>
      <c r="QB41" s="405"/>
      <c r="QC41" s="405"/>
      <c r="QD41" s="405"/>
      <c r="QE41" s="405"/>
      <c r="QF41" s="405"/>
      <c r="QG41" s="405"/>
      <c r="QH41" s="405"/>
      <c r="QI41" s="405"/>
      <c r="QJ41" s="405"/>
      <c r="QK41" s="405"/>
      <c r="QL41" s="405"/>
      <c r="QM41" s="405"/>
      <c r="QN41" s="405"/>
      <c r="QO41" s="405"/>
      <c r="QP41" s="405"/>
      <c r="QQ41" s="405"/>
      <c r="QR41" s="405"/>
      <c r="QS41" s="405"/>
      <c r="QT41" s="405"/>
      <c r="QU41" s="405"/>
      <c r="QV41" s="405"/>
      <c r="QW41" s="405"/>
      <c r="QX41" s="405"/>
      <c r="QY41" s="405"/>
      <c r="QZ41" s="405"/>
      <c r="RA41" s="405"/>
      <c r="RB41" s="405"/>
      <c r="RC41" s="405"/>
      <c r="RD41" s="405"/>
      <c r="RE41" s="405"/>
      <c r="RF41" s="405"/>
      <c r="RG41" s="405"/>
      <c r="RH41" s="405"/>
      <c r="RI41" s="405"/>
      <c r="RJ41" s="405"/>
      <c r="RK41" s="405"/>
      <c r="RL41" s="405"/>
      <c r="RM41" s="405"/>
      <c r="RN41" s="405"/>
      <c r="RO41" s="405"/>
      <c r="RP41" s="405"/>
      <c r="RQ41" s="405"/>
      <c r="RR41" s="405"/>
      <c r="RS41" s="405"/>
      <c r="RT41" s="405"/>
      <c r="RU41" s="405"/>
      <c r="RV41" s="405"/>
      <c r="RW41" s="405"/>
      <c r="RX41" s="405"/>
      <c r="RY41" s="405"/>
      <c r="RZ41" s="405"/>
      <c r="SA41" s="405"/>
      <c r="SB41" s="405"/>
      <c r="SC41" s="405"/>
      <c r="SD41" s="405"/>
      <c r="SE41" s="405"/>
      <c r="SF41" s="405"/>
      <c r="SG41" s="405"/>
      <c r="SH41" s="405"/>
      <c r="SI41" s="405"/>
      <c r="SJ41" s="405"/>
      <c r="SK41" s="405"/>
      <c r="SL41" s="405"/>
      <c r="SM41" s="405"/>
      <c r="SN41" s="405"/>
      <c r="SO41" s="405"/>
      <c r="SP41" s="405"/>
      <c r="SQ41" s="405"/>
      <c r="SR41" s="405"/>
      <c r="SS41" s="405"/>
      <c r="ST41" s="405"/>
      <c r="SU41" s="405"/>
      <c r="SV41" s="405"/>
      <c r="SW41" s="405"/>
      <c r="SX41" s="405"/>
      <c r="SY41" s="405"/>
      <c r="SZ41" s="405"/>
      <c r="TA41" s="405"/>
      <c r="TB41" s="405"/>
      <c r="TC41" s="405"/>
      <c r="TD41" s="405"/>
      <c r="TE41" s="405"/>
      <c r="TF41" s="405"/>
      <c r="TG41" s="405"/>
      <c r="TH41" s="405"/>
      <c r="TI41" s="405"/>
      <c r="TJ41" s="405"/>
      <c r="TK41" s="405"/>
      <c r="TL41" s="405"/>
      <c r="TM41" s="405"/>
      <c r="TN41" s="405"/>
      <c r="TO41" s="405"/>
      <c r="TP41" s="405"/>
      <c r="TQ41" s="405"/>
      <c r="TR41" s="405"/>
      <c r="TS41" s="405"/>
      <c r="TT41" s="405"/>
      <c r="TU41" s="405"/>
      <c r="TV41" s="405"/>
      <c r="TW41" s="405"/>
      <c r="TX41" s="405"/>
      <c r="TY41" s="405"/>
      <c r="TZ41" s="405"/>
      <c r="UA41" s="405"/>
      <c r="UB41" s="405"/>
      <c r="UC41" s="405"/>
      <c r="UD41" s="405"/>
      <c r="UE41" s="405"/>
      <c r="UF41" s="405"/>
      <c r="UG41" s="405"/>
      <c r="UH41" s="405"/>
      <c r="UI41" s="405"/>
      <c r="UJ41" s="405"/>
      <c r="UK41" s="405"/>
      <c r="UL41" s="405"/>
      <c r="UM41" s="405"/>
      <c r="UN41" s="405"/>
      <c r="UO41" s="405"/>
      <c r="UP41" s="405"/>
      <c r="UQ41" s="405"/>
      <c r="UR41" s="405"/>
      <c r="US41" s="405"/>
      <c r="UT41" s="405"/>
      <c r="UU41" s="405"/>
      <c r="UV41" s="405"/>
      <c r="UW41" s="405"/>
      <c r="UX41" s="405"/>
      <c r="UY41" s="405"/>
      <c r="UZ41" s="405"/>
      <c r="VA41" s="405"/>
      <c r="VB41" s="405"/>
      <c r="VC41" s="405"/>
      <c r="VD41" s="405"/>
      <c r="VE41" s="405"/>
      <c r="VF41" s="405"/>
      <c r="VG41" s="405"/>
      <c r="VH41" s="405"/>
      <c r="VI41" s="405"/>
      <c r="VJ41" s="405"/>
      <c r="VK41" s="405"/>
      <c r="VL41" s="405"/>
      <c r="VM41" s="405"/>
      <c r="VN41" s="405"/>
      <c r="VO41" s="405"/>
      <c r="VP41" s="405"/>
      <c r="VQ41" s="405"/>
      <c r="VR41" s="405"/>
      <c r="VS41" s="405"/>
      <c r="VT41" s="405"/>
      <c r="VU41" s="405"/>
      <c r="VV41" s="405"/>
      <c r="VW41" s="405"/>
      <c r="VX41" s="405"/>
      <c r="VY41" s="405"/>
      <c r="VZ41" s="405"/>
      <c r="WA41" s="405"/>
      <c r="WB41" s="405"/>
      <c r="WC41" s="405"/>
      <c r="WD41" s="405"/>
      <c r="WE41" s="405"/>
      <c r="WF41" s="405"/>
      <c r="WG41" s="405"/>
      <c r="WH41" s="405"/>
      <c r="WI41" s="405"/>
      <c r="WJ41" s="405"/>
      <c r="WK41" s="405"/>
      <c r="WL41" s="405"/>
      <c r="WM41" s="405"/>
      <c r="WN41" s="405"/>
      <c r="WO41" s="405"/>
      <c r="WP41" s="405"/>
      <c r="WQ41" s="405"/>
      <c r="WR41" s="405"/>
      <c r="WS41" s="405"/>
      <c r="WT41" s="405"/>
      <c r="WU41" s="405"/>
      <c r="WV41" s="405"/>
      <c r="WW41" s="405"/>
      <c r="WX41" s="405"/>
      <c r="WY41" s="405"/>
      <c r="WZ41" s="405"/>
      <c r="XA41" s="405"/>
      <c r="XB41" s="405"/>
      <c r="XC41" s="405"/>
      <c r="XD41" s="405"/>
      <c r="XE41" s="405"/>
      <c r="XF41" s="405"/>
      <c r="XG41" s="405"/>
      <c r="XH41" s="405"/>
      <c r="XI41" s="405"/>
      <c r="XJ41" s="405"/>
      <c r="XK41" s="405"/>
      <c r="XL41" s="405"/>
      <c r="XM41" s="405"/>
      <c r="XN41" s="405"/>
      <c r="XO41" s="405"/>
      <c r="XP41" s="405"/>
      <c r="XQ41" s="405"/>
      <c r="XR41" s="405"/>
      <c r="XS41" s="405"/>
      <c r="XT41" s="405"/>
      <c r="XU41" s="405"/>
      <c r="XV41" s="405"/>
      <c r="XW41" s="405"/>
      <c r="XX41" s="405"/>
      <c r="XY41" s="405"/>
      <c r="XZ41" s="405"/>
      <c r="YA41" s="405"/>
      <c r="YB41" s="405"/>
      <c r="YC41" s="405"/>
      <c r="YD41" s="405"/>
      <c r="YE41" s="405"/>
      <c r="YF41" s="405"/>
      <c r="YG41" s="405"/>
      <c r="YH41" s="405"/>
      <c r="YI41" s="405"/>
      <c r="YJ41" s="405"/>
      <c r="YK41" s="405"/>
      <c r="YL41" s="405"/>
      <c r="YM41" s="405"/>
      <c r="YN41" s="405"/>
      <c r="YO41" s="405"/>
      <c r="YP41" s="405"/>
      <c r="YQ41" s="405"/>
      <c r="YR41" s="405"/>
      <c r="YS41" s="405"/>
      <c r="YT41" s="405"/>
      <c r="YU41" s="405"/>
      <c r="YV41" s="405"/>
      <c r="YW41" s="405"/>
      <c r="YX41" s="405"/>
      <c r="YY41" s="405"/>
      <c r="YZ41" s="405"/>
      <c r="ZA41" s="405"/>
      <c r="ZB41" s="405"/>
      <c r="ZC41" s="405"/>
      <c r="ZD41" s="405"/>
      <c r="ZE41" s="405"/>
      <c r="ZF41" s="405"/>
      <c r="ZG41" s="405"/>
      <c r="ZH41" s="405"/>
      <c r="ZI41" s="405"/>
      <c r="ZJ41" s="405"/>
      <c r="ZK41" s="405"/>
      <c r="ZL41" s="405"/>
      <c r="ZM41" s="405"/>
      <c r="ZN41" s="405"/>
      <c r="ZO41" s="405"/>
      <c r="ZP41" s="405"/>
      <c r="ZQ41" s="405"/>
      <c r="ZR41" s="405"/>
      <c r="ZS41" s="405"/>
      <c r="ZT41" s="405"/>
      <c r="ZU41" s="405"/>
      <c r="ZV41" s="405"/>
      <c r="ZW41" s="405"/>
      <c r="ZX41" s="405"/>
      <c r="ZY41" s="405"/>
      <c r="ZZ41" s="405"/>
      <c r="AAA41" s="405"/>
      <c r="AAB41" s="405"/>
      <c r="AAC41" s="405"/>
      <c r="AAD41" s="405"/>
      <c r="AAE41" s="405"/>
      <c r="AAF41" s="405"/>
      <c r="AAG41" s="405"/>
      <c r="AAH41" s="405"/>
      <c r="AAI41" s="405"/>
      <c r="AAJ41" s="405"/>
      <c r="AAK41" s="405"/>
      <c r="AAL41" s="405"/>
      <c r="AAM41" s="405"/>
      <c r="AAN41" s="405"/>
      <c r="AAO41" s="405"/>
      <c r="AAP41" s="405"/>
      <c r="AAQ41" s="405"/>
      <c r="AAR41" s="405"/>
      <c r="AAS41" s="405"/>
      <c r="AAT41" s="405"/>
      <c r="AAU41" s="405"/>
      <c r="AAV41" s="405"/>
      <c r="AAW41" s="405"/>
      <c r="AAX41" s="405"/>
      <c r="AAY41" s="405"/>
      <c r="AAZ41" s="405"/>
      <c r="ABA41" s="405"/>
      <c r="ABB41" s="405"/>
      <c r="ABC41" s="405"/>
      <c r="ABD41" s="405"/>
      <c r="ABE41" s="405"/>
      <c r="ABF41" s="405"/>
      <c r="ABG41" s="405"/>
      <c r="ABH41" s="405"/>
      <c r="ABI41" s="405"/>
      <c r="ABJ41" s="405"/>
      <c r="ABK41" s="405"/>
      <c r="ABL41" s="405"/>
      <c r="ABM41" s="405"/>
      <c r="ABN41" s="405"/>
      <c r="ABO41" s="405"/>
      <c r="ABP41" s="405"/>
      <c r="ABQ41" s="405"/>
      <c r="ABR41" s="405"/>
      <c r="ABS41" s="405"/>
      <c r="ABT41" s="405"/>
      <c r="ABU41" s="405"/>
      <c r="ABV41" s="405"/>
      <c r="ABW41" s="405"/>
      <c r="ABX41" s="405"/>
      <c r="ABY41" s="405"/>
      <c r="ABZ41" s="405"/>
      <c r="ACA41" s="405"/>
      <c r="ACB41" s="405"/>
      <c r="ACC41" s="405"/>
      <c r="ACD41" s="405"/>
      <c r="ACE41" s="405"/>
      <c r="ACF41" s="405"/>
      <c r="ACG41" s="405"/>
      <c r="ACH41" s="405"/>
      <c r="ACI41" s="405"/>
      <c r="ACJ41" s="405"/>
      <c r="ACK41" s="405"/>
      <c r="ACL41" s="405"/>
      <c r="ACM41" s="405"/>
      <c r="ACN41" s="405"/>
      <c r="ACO41" s="405"/>
      <c r="ACP41" s="405"/>
      <c r="ACQ41" s="405"/>
      <c r="ACR41" s="405"/>
      <c r="ACS41" s="405"/>
      <c r="ACT41" s="405"/>
      <c r="ACU41" s="405"/>
      <c r="ACV41" s="405"/>
      <c r="ACW41" s="405"/>
      <c r="ACX41" s="405"/>
      <c r="ACY41" s="405"/>
      <c r="ACZ41" s="405"/>
      <c r="ADA41" s="405"/>
      <c r="ADB41" s="405"/>
      <c r="ADC41" s="405"/>
      <c r="ADD41" s="405"/>
      <c r="ADE41" s="405"/>
      <c r="ADF41" s="405"/>
      <c r="ADG41" s="405"/>
      <c r="ADH41" s="405"/>
      <c r="ADI41" s="405"/>
      <c r="ADJ41" s="405"/>
      <c r="ADK41" s="405"/>
      <c r="ADL41" s="405"/>
      <c r="ADM41" s="405"/>
      <c r="ADN41" s="405"/>
      <c r="ADO41" s="405"/>
      <c r="ADP41" s="405"/>
      <c r="ADQ41" s="405"/>
      <c r="ADR41" s="405"/>
      <c r="ADS41" s="405"/>
      <c r="ADT41" s="405"/>
      <c r="ADU41" s="405"/>
      <c r="ADV41" s="405"/>
      <c r="ADW41" s="405"/>
      <c r="ADX41" s="405"/>
      <c r="ADY41" s="405"/>
      <c r="ADZ41" s="405"/>
      <c r="AEA41" s="405"/>
      <c r="AEB41" s="405"/>
      <c r="AEC41" s="405"/>
      <c r="AED41" s="405"/>
      <c r="AEE41" s="405"/>
      <c r="AEF41" s="405"/>
      <c r="AEG41" s="405"/>
      <c r="AEH41" s="405"/>
      <c r="AEI41" s="405"/>
      <c r="AEJ41" s="405"/>
      <c r="AEK41" s="405"/>
      <c r="AEL41" s="405"/>
      <c r="AEM41" s="405"/>
      <c r="AEN41" s="405"/>
      <c r="AEO41" s="405"/>
      <c r="AEP41" s="405"/>
      <c r="AEQ41" s="405"/>
      <c r="AER41" s="405"/>
      <c r="AES41" s="405"/>
      <c r="AET41" s="405"/>
      <c r="AEU41" s="405"/>
      <c r="AEV41" s="405"/>
      <c r="AEW41" s="405"/>
      <c r="AEX41" s="405"/>
      <c r="AEY41" s="405"/>
      <c r="AEZ41" s="405"/>
      <c r="AFA41" s="405"/>
      <c r="AFB41" s="405"/>
      <c r="AFC41" s="405"/>
      <c r="AFD41" s="405"/>
      <c r="AFE41" s="405"/>
      <c r="AFF41" s="405"/>
      <c r="AFG41" s="405"/>
      <c r="AFH41" s="405"/>
      <c r="AFI41" s="405"/>
      <c r="AFJ41" s="405"/>
      <c r="AFK41" s="405"/>
      <c r="AFL41" s="405"/>
      <c r="AFM41" s="405"/>
      <c r="AFN41" s="405"/>
      <c r="AFO41" s="405"/>
      <c r="AFP41" s="405"/>
      <c r="AFQ41" s="405"/>
      <c r="AFR41" s="405"/>
      <c r="AFS41" s="405"/>
      <c r="AFT41" s="405"/>
      <c r="AFU41" s="405"/>
      <c r="AFV41" s="405"/>
      <c r="AFW41" s="405"/>
      <c r="AFX41" s="405"/>
      <c r="AFY41" s="405"/>
      <c r="AFZ41" s="405"/>
      <c r="AGA41" s="405"/>
      <c r="AGB41" s="405"/>
      <c r="AGC41" s="405"/>
      <c r="AGD41" s="405"/>
      <c r="AGE41" s="405"/>
      <c r="AGF41" s="405"/>
      <c r="AGG41" s="405"/>
      <c r="AGH41" s="405"/>
      <c r="AGI41" s="405"/>
      <c r="AGJ41" s="405"/>
      <c r="AGK41" s="405"/>
      <c r="AGL41" s="405"/>
      <c r="AGM41" s="405"/>
      <c r="AGN41" s="405"/>
      <c r="AGO41" s="405"/>
      <c r="AGP41" s="405"/>
      <c r="AGQ41" s="405"/>
      <c r="AGR41" s="405"/>
      <c r="AGS41" s="405"/>
      <c r="AGT41" s="405"/>
      <c r="AGU41" s="405"/>
      <c r="AGV41" s="405"/>
      <c r="AGW41" s="405"/>
      <c r="AGX41" s="405"/>
      <c r="AGY41" s="405"/>
      <c r="AGZ41" s="405"/>
      <c r="AHA41" s="405"/>
      <c r="AHB41" s="405"/>
      <c r="AHC41" s="405"/>
      <c r="AHD41" s="405"/>
      <c r="AHE41" s="405"/>
      <c r="AHF41" s="405"/>
      <c r="AHG41" s="405"/>
      <c r="AHH41" s="405"/>
      <c r="AHI41" s="405"/>
      <c r="AHJ41" s="405"/>
      <c r="AHK41" s="405"/>
      <c r="AHL41" s="405"/>
      <c r="AHM41" s="405"/>
      <c r="AHN41" s="405"/>
      <c r="AHO41" s="405"/>
      <c r="AHP41" s="405"/>
      <c r="AHQ41" s="405"/>
      <c r="AHR41" s="405"/>
      <c r="AHS41" s="405"/>
      <c r="AHT41" s="405"/>
      <c r="AHU41" s="405"/>
      <c r="AHV41" s="405"/>
      <c r="AHW41" s="405"/>
      <c r="AHX41" s="405"/>
      <c r="AHY41" s="405"/>
      <c r="AHZ41" s="405"/>
      <c r="AIA41" s="405"/>
      <c r="AIB41" s="405"/>
      <c r="AIC41" s="405"/>
      <c r="AID41" s="405"/>
      <c r="AIE41" s="405"/>
      <c r="AIF41" s="405"/>
      <c r="AIG41" s="405"/>
      <c r="AIH41" s="405"/>
      <c r="AII41" s="405"/>
      <c r="AIJ41" s="405"/>
      <c r="AIK41" s="405"/>
      <c r="AIL41" s="405"/>
      <c r="AIM41" s="405"/>
      <c r="AIN41" s="405"/>
      <c r="AIO41" s="405"/>
      <c r="AIP41" s="405"/>
      <c r="AIQ41" s="405"/>
      <c r="AIR41" s="405"/>
      <c r="AIS41" s="405"/>
      <c r="AIT41" s="405"/>
      <c r="AIU41" s="405"/>
      <c r="AIV41" s="405"/>
      <c r="AIW41" s="405"/>
      <c r="AIX41" s="405"/>
      <c r="AIY41" s="405"/>
      <c r="AIZ41" s="405"/>
      <c r="AJA41" s="405"/>
      <c r="AJB41" s="405"/>
      <c r="AJC41" s="405"/>
      <c r="AJD41" s="405"/>
      <c r="AJE41" s="405"/>
      <c r="AJF41" s="405"/>
      <c r="AJG41" s="405"/>
      <c r="AJH41" s="405"/>
      <c r="AJI41" s="405"/>
      <c r="AJJ41" s="405"/>
      <c r="AJK41" s="405"/>
      <c r="AJL41" s="405"/>
      <c r="AJM41" s="405"/>
      <c r="AJN41" s="405"/>
      <c r="AJO41" s="405"/>
      <c r="AJP41" s="405"/>
      <c r="AJQ41" s="405"/>
      <c r="AJR41" s="405"/>
      <c r="AJS41" s="405"/>
      <c r="AJT41" s="405"/>
      <c r="AJU41" s="405"/>
      <c r="AJV41" s="405"/>
      <c r="AJW41" s="405"/>
      <c r="AJX41" s="405"/>
      <c r="AJY41" s="405"/>
      <c r="AJZ41" s="405"/>
      <c r="AKA41" s="405"/>
      <c r="AKB41" s="405"/>
      <c r="AKC41" s="405"/>
      <c r="AKD41" s="405"/>
      <c r="AKE41" s="405"/>
      <c r="AKF41" s="405"/>
      <c r="AKG41" s="405"/>
      <c r="AKH41" s="405"/>
      <c r="AKI41" s="405"/>
      <c r="AKJ41" s="405"/>
      <c r="AKK41" s="405"/>
      <c r="AKL41" s="405"/>
      <c r="AKM41" s="405"/>
      <c r="AKN41" s="405"/>
      <c r="AKO41" s="405"/>
      <c r="AKP41" s="405"/>
      <c r="AKQ41" s="405"/>
      <c r="AKR41" s="405"/>
      <c r="AKS41" s="405"/>
      <c r="AKT41" s="405"/>
      <c r="AKU41" s="405"/>
      <c r="AKV41" s="405"/>
      <c r="AKW41" s="405"/>
      <c r="AKX41" s="405"/>
      <c r="AKY41" s="405"/>
      <c r="AKZ41" s="405"/>
      <c r="ALA41" s="405"/>
      <c r="ALB41" s="405"/>
      <c r="ALC41" s="405"/>
      <c r="ALD41" s="405"/>
      <c r="ALE41" s="405"/>
      <c r="ALF41" s="405"/>
      <c r="ALG41" s="405"/>
      <c r="ALH41" s="405"/>
      <c r="ALI41" s="405"/>
      <c r="ALJ41" s="405"/>
      <c r="ALK41" s="405"/>
      <c r="ALL41" s="405"/>
      <c r="ALM41" s="405"/>
      <c r="ALN41" s="405"/>
      <c r="ALO41" s="405"/>
      <c r="ALP41" s="405"/>
      <c r="ALQ41" s="405"/>
      <c r="ALR41" s="405"/>
      <c r="ALS41" s="405"/>
      <c r="ALT41" s="405"/>
      <c r="ALU41" s="405"/>
      <c r="ALV41" s="405"/>
      <c r="ALW41" s="405"/>
      <c r="ALX41" s="405"/>
      <c r="ALY41" s="405"/>
      <c r="ALZ41" s="405"/>
      <c r="AMA41" s="405"/>
      <c r="AMB41" s="405"/>
      <c r="AMC41" s="405"/>
      <c r="AMD41" s="405"/>
      <c r="AME41" s="405"/>
      <c r="AMF41" s="405"/>
      <c r="AMG41" s="405"/>
      <c r="AMH41" s="405"/>
      <c r="AMI41" s="405"/>
      <c r="AMJ41" s="405"/>
      <c r="AMK41" s="405"/>
    </row>
    <row r="42" spans="1:1025" s="406" customFormat="1" ht="22.5" x14ac:dyDescent="0.25">
      <c r="A42" s="102" t="str">
        <f>IF(COUNTBLANK(B42)=1," ",COUNTA(B$14:B42))</f>
        <v xml:space="preserve"> </v>
      </c>
      <c r="B42" s="399"/>
      <c r="C42" s="565" t="s">
        <v>350</v>
      </c>
      <c r="D42" s="894"/>
      <c r="E42" s="408"/>
      <c r="F42" s="401"/>
      <c r="G42" s="210"/>
      <c r="H42" s="208">
        <f t="shared" si="0"/>
        <v>0</v>
      </c>
      <c r="I42" s="400"/>
      <c r="J42" s="209"/>
      <c r="K42" s="307">
        <f t="shared" si="1"/>
        <v>0</v>
      </c>
      <c r="L42" s="307">
        <f t="shared" si="2"/>
        <v>0</v>
      </c>
      <c r="M42" s="307">
        <f t="shared" si="3"/>
        <v>0</v>
      </c>
      <c r="N42" s="307">
        <f t="shared" si="4"/>
        <v>0</v>
      </c>
      <c r="O42" s="307">
        <f t="shared" si="5"/>
        <v>0</v>
      </c>
      <c r="P42" s="307">
        <f t="shared" si="6"/>
        <v>0</v>
      </c>
      <c r="Q42" s="405"/>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5"/>
      <c r="AZ42" s="405"/>
      <c r="BA42" s="405"/>
      <c r="BB42" s="405"/>
      <c r="BC42" s="405"/>
      <c r="BD42" s="405"/>
      <c r="BE42" s="405"/>
      <c r="BF42" s="405"/>
      <c r="BG42" s="405"/>
      <c r="BH42" s="405"/>
      <c r="BI42" s="405"/>
      <c r="BJ42" s="405"/>
      <c r="BK42" s="405"/>
      <c r="BL42" s="405"/>
      <c r="BM42" s="405"/>
      <c r="BN42" s="405"/>
      <c r="BO42" s="405"/>
      <c r="BP42" s="405"/>
      <c r="BQ42" s="405"/>
      <c r="BR42" s="405"/>
      <c r="BS42" s="405"/>
      <c r="BT42" s="405"/>
      <c r="BU42" s="405"/>
      <c r="BV42" s="405"/>
      <c r="BW42" s="405"/>
      <c r="BX42" s="405"/>
      <c r="BY42" s="405"/>
      <c r="BZ42" s="405"/>
      <c r="CA42" s="405"/>
      <c r="CB42" s="405"/>
      <c r="CC42" s="405"/>
      <c r="CD42" s="405"/>
      <c r="CE42" s="405"/>
      <c r="CF42" s="405"/>
      <c r="CG42" s="405"/>
      <c r="CH42" s="405"/>
      <c r="CI42" s="405"/>
      <c r="CJ42" s="405"/>
      <c r="CK42" s="405"/>
      <c r="CL42" s="405"/>
      <c r="CM42" s="405"/>
      <c r="CN42" s="405"/>
      <c r="CO42" s="405"/>
      <c r="CP42" s="405"/>
      <c r="CQ42" s="405"/>
      <c r="CR42" s="405"/>
      <c r="CS42" s="405"/>
      <c r="CT42" s="405"/>
      <c r="CU42" s="405"/>
      <c r="CV42" s="405"/>
      <c r="CW42" s="405"/>
      <c r="CX42" s="405"/>
      <c r="CY42" s="405"/>
      <c r="CZ42" s="405"/>
      <c r="DA42" s="405"/>
      <c r="DB42" s="405"/>
      <c r="DC42" s="405"/>
      <c r="DD42" s="405"/>
      <c r="DE42" s="405"/>
      <c r="DF42" s="405"/>
      <c r="DG42" s="405"/>
      <c r="DH42" s="405"/>
      <c r="DI42" s="405"/>
      <c r="DJ42" s="405"/>
      <c r="DK42" s="405"/>
      <c r="DL42" s="405"/>
      <c r="DM42" s="405"/>
      <c r="DN42" s="405"/>
      <c r="DO42" s="405"/>
      <c r="DP42" s="405"/>
      <c r="DQ42" s="405"/>
      <c r="DR42" s="405"/>
      <c r="DS42" s="405"/>
      <c r="DT42" s="405"/>
      <c r="DU42" s="405"/>
      <c r="DV42" s="405"/>
      <c r="DW42" s="405"/>
      <c r="DX42" s="405"/>
      <c r="DY42" s="405"/>
      <c r="DZ42" s="405"/>
      <c r="EA42" s="405"/>
      <c r="EB42" s="405"/>
      <c r="EC42" s="405"/>
      <c r="ED42" s="405"/>
      <c r="EE42" s="405"/>
      <c r="EF42" s="405"/>
      <c r="EG42" s="405"/>
      <c r="EH42" s="405"/>
      <c r="EI42" s="405"/>
      <c r="EJ42" s="405"/>
      <c r="EK42" s="405"/>
      <c r="EL42" s="405"/>
      <c r="EM42" s="405"/>
      <c r="EN42" s="405"/>
      <c r="EO42" s="405"/>
      <c r="EP42" s="405"/>
      <c r="EQ42" s="405"/>
      <c r="ER42" s="405"/>
      <c r="ES42" s="405"/>
      <c r="ET42" s="405"/>
      <c r="EU42" s="405"/>
      <c r="EV42" s="405"/>
      <c r="EW42" s="405"/>
      <c r="EX42" s="405"/>
      <c r="EY42" s="405"/>
      <c r="EZ42" s="405"/>
      <c r="FA42" s="405"/>
      <c r="FB42" s="405"/>
      <c r="FC42" s="405"/>
      <c r="FD42" s="405"/>
      <c r="FE42" s="405"/>
      <c r="FF42" s="405"/>
      <c r="FG42" s="405"/>
      <c r="FH42" s="405"/>
      <c r="FI42" s="405"/>
      <c r="FJ42" s="405"/>
      <c r="FK42" s="405"/>
      <c r="FL42" s="405"/>
      <c r="FM42" s="405"/>
      <c r="FN42" s="405"/>
      <c r="FO42" s="405"/>
      <c r="FP42" s="405"/>
      <c r="FQ42" s="405"/>
      <c r="FR42" s="405"/>
      <c r="FS42" s="405"/>
      <c r="FT42" s="405"/>
      <c r="FU42" s="405"/>
      <c r="FV42" s="405"/>
      <c r="FW42" s="405"/>
      <c r="FX42" s="405"/>
      <c r="FY42" s="405"/>
      <c r="FZ42" s="405"/>
      <c r="GA42" s="405"/>
      <c r="GB42" s="405"/>
      <c r="GC42" s="405"/>
      <c r="GD42" s="405"/>
      <c r="GE42" s="405"/>
      <c r="GF42" s="405"/>
      <c r="GG42" s="405"/>
      <c r="GH42" s="405"/>
      <c r="GI42" s="405"/>
      <c r="GJ42" s="405"/>
      <c r="GK42" s="405"/>
      <c r="GL42" s="405"/>
      <c r="GM42" s="405"/>
      <c r="GN42" s="405"/>
      <c r="GO42" s="405"/>
      <c r="GP42" s="405"/>
      <c r="GQ42" s="405"/>
      <c r="GR42" s="405"/>
      <c r="GS42" s="405"/>
      <c r="GT42" s="405"/>
      <c r="GU42" s="405"/>
      <c r="GV42" s="405"/>
      <c r="GW42" s="405"/>
      <c r="GX42" s="405"/>
      <c r="GY42" s="405"/>
      <c r="GZ42" s="405"/>
      <c r="HA42" s="405"/>
      <c r="HB42" s="405"/>
      <c r="HC42" s="405"/>
      <c r="HD42" s="405"/>
      <c r="HE42" s="405"/>
      <c r="HF42" s="405"/>
      <c r="HG42" s="405"/>
      <c r="HH42" s="405"/>
      <c r="HI42" s="405"/>
      <c r="HJ42" s="405"/>
      <c r="HK42" s="405"/>
      <c r="HL42" s="405"/>
      <c r="HM42" s="405"/>
      <c r="HN42" s="405"/>
      <c r="HO42" s="405"/>
      <c r="HP42" s="405"/>
      <c r="HQ42" s="405"/>
      <c r="HR42" s="405"/>
      <c r="HS42" s="405"/>
      <c r="HT42" s="405"/>
      <c r="HU42" s="405"/>
      <c r="HV42" s="405"/>
      <c r="HW42" s="405"/>
      <c r="HX42" s="405"/>
      <c r="HY42" s="405"/>
      <c r="HZ42" s="405"/>
      <c r="IA42" s="405"/>
      <c r="IB42" s="405"/>
      <c r="IC42" s="405"/>
      <c r="ID42" s="405"/>
      <c r="IE42" s="405"/>
      <c r="IF42" s="405"/>
      <c r="IG42" s="405"/>
      <c r="IH42" s="405"/>
      <c r="II42" s="405"/>
      <c r="IJ42" s="405"/>
      <c r="IK42" s="405"/>
      <c r="IL42" s="405"/>
      <c r="IM42" s="405"/>
      <c r="IN42" s="405"/>
      <c r="IO42" s="405"/>
      <c r="IP42" s="405"/>
      <c r="IQ42" s="405"/>
      <c r="IR42" s="405"/>
      <c r="IS42" s="405"/>
      <c r="IT42" s="405"/>
      <c r="IU42" s="405"/>
      <c r="IV42" s="405"/>
      <c r="IW42" s="405"/>
      <c r="IX42" s="405"/>
      <c r="IY42" s="405"/>
      <c r="IZ42" s="405"/>
      <c r="JA42" s="405"/>
      <c r="JB42" s="405"/>
      <c r="JC42" s="405"/>
      <c r="JD42" s="405"/>
      <c r="JE42" s="405"/>
      <c r="JF42" s="405"/>
      <c r="JG42" s="405"/>
      <c r="JH42" s="405"/>
      <c r="JI42" s="405"/>
      <c r="JJ42" s="405"/>
      <c r="JK42" s="405"/>
      <c r="JL42" s="405"/>
      <c r="JM42" s="405"/>
      <c r="JN42" s="405"/>
      <c r="JO42" s="405"/>
      <c r="JP42" s="405"/>
      <c r="JQ42" s="405"/>
      <c r="JR42" s="405"/>
      <c r="JS42" s="405"/>
      <c r="JT42" s="405"/>
      <c r="JU42" s="405"/>
      <c r="JV42" s="405"/>
      <c r="JW42" s="405"/>
      <c r="JX42" s="405"/>
      <c r="JY42" s="405"/>
      <c r="JZ42" s="405"/>
      <c r="KA42" s="405"/>
      <c r="KB42" s="405"/>
      <c r="KC42" s="405"/>
      <c r="KD42" s="405"/>
      <c r="KE42" s="405"/>
      <c r="KF42" s="405"/>
      <c r="KG42" s="405"/>
      <c r="KH42" s="405"/>
      <c r="KI42" s="405"/>
      <c r="KJ42" s="405"/>
      <c r="KK42" s="405"/>
      <c r="KL42" s="405"/>
      <c r="KM42" s="405"/>
      <c r="KN42" s="405"/>
      <c r="KO42" s="405"/>
      <c r="KP42" s="405"/>
      <c r="KQ42" s="405"/>
      <c r="KR42" s="405"/>
      <c r="KS42" s="405"/>
      <c r="KT42" s="405"/>
      <c r="KU42" s="405"/>
      <c r="KV42" s="405"/>
      <c r="KW42" s="405"/>
      <c r="KX42" s="405"/>
      <c r="KY42" s="405"/>
      <c r="KZ42" s="405"/>
      <c r="LA42" s="405"/>
      <c r="LB42" s="405"/>
      <c r="LC42" s="405"/>
      <c r="LD42" s="405"/>
      <c r="LE42" s="405"/>
      <c r="LF42" s="405"/>
      <c r="LG42" s="405"/>
      <c r="LH42" s="405"/>
      <c r="LI42" s="405"/>
      <c r="LJ42" s="405"/>
      <c r="LK42" s="405"/>
      <c r="LL42" s="405"/>
      <c r="LM42" s="405"/>
      <c r="LN42" s="405"/>
      <c r="LO42" s="405"/>
      <c r="LP42" s="405"/>
      <c r="LQ42" s="405"/>
      <c r="LR42" s="405"/>
      <c r="LS42" s="405"/>
      <c r="LT42" s="405"/>
      <c r="LU42" s="405"/>
      <c r="LV42" s="405"/>
      <c r="LW42" s="405"/>
      <c r="LX42" s="405"/>
      <c r="LY42" s="405"/>
      <c r="LZ42" s="405"/>
      <c r="MA42" s="405"/>
      <c r="MB42" s="405"/>
      <c r="MC42" s="405"/>
      <c r="MD42" s="405"/>
      <c r="ME42" s="405"/>
      <c r="MF42" s="405"/>
      <c r="MG42" s="405"/>
      <c r="MH42" s="405"/>
      <c r="MI42" s="405"/>
      <c r="MJ42" s="405"/>
      <c r="MK42" s="405"/>
      <c r="ML42" s="405"/>
      <c r="MM42" s="405"/>
      <c r="MN42" s="405"/>
      <c r="MO42" s="405"/>
      <c r="MP42" s="405"/>
      <c r="MQ42" s="405"/>
      <c r="MR42" s="405"/>
      <c r="MS42" s="405"/>
      <c r="MT42" s="405"/>
      <c r="MU42" s="405"/>
      <c r="MV42" s="405"/>
      <c r="MW42" s="405"/>
      <c r="MX42" s="405"/>
      <c r="MY42" s="405"/>
      <c r="MZ42" s="405"/>
      <c r="NA42" s="405"/>
      <c r="NB42" s="405"/>
      <c r="NC42" s="405"/>
      <c r="ND42" s="405"/>
      <c r="NE42" s="405"/>
      <c r="NF42" s="405"/>
      <c r="NG42" s="405"/>
      <c r="NH42" s="405"/>
      <c r="NI42" s="405"/>
      <c r="NJ42" s="405"/>
      <c r="NK42" s="405"/>
      <c r="NL42" s="405"/>
      <c r="NM42" s="405"/>
      <c r="NN42" s="405"/>
      <c r="NO42" s="405"/>
      <c r="NP42" s="405"/>
      <c r="NQ42" s="405"/>
      <c r="NR42" s="405"/>
      <c r="NS42" s="405"/>
      <c r="NT42" s="405"/>
      <c r="NU42" s="405"/>
      <c r="NV42" s="405"/>
      <c r="NW42" s="405"/>
      <c r="NX42" s="405"/>
      <c r="NY42" s="405"/>
      <c r="NZ42" s="405"/>
      <c r="OA42" s="405"/>
      <c r="OB42" s="405"/>
      <c r="OC42" s="405"/>
      <c r="OD42" s="405"/>
      <c r="OE42" s="405"/>
      <c r="OF42" s="405"/>
      <c r="OG42" s="405"/>
      <c r="OH42" s="405"/>
      <c r="OI42" s="405"/>
      <c r="OJ42" s="405"/>
      <c r="OK42" s="405"/>
      <c r="OL42" s="405"/>
      <c r="OM42" s="405"/>
      <c r="ON42" s="405"/>
      <c r="OO42" s="405"/>
      <c r="OP42" s="405"/>
      <c r="OQ42" s="405"/>
      <c r="OR42" s="405"/>
      <c r="OS42" s="405"/>
      <c r="OT42" s="405"/>
      <c r="OU42" s="405"/>
      <c r="OV42" s="405"/>
      <c r="OW42" s="405"/>
      <c r="OX42" s="405"/>
      <c r="OY42" s="405"/>
      <c r="OZ42" s="405"/>
      <c r="PA42" s="405"/>
      <c r="PB42" s="405"/>
      <c r="PC42" s="405"/>
      <c r="PD42" s="405"/>
      <c r="PE42" s="405"/>
      <c r="PF42" s="405"/>
      <c r="PG42" s="405"/>
      <c r="PH42" s="405"/>
      <c r="PI42" s="405"/>
      <c r="PJ42" s="405"/>
      <c r="PK42" s="405"/>
      <c r="PL42" s="405"/>
      <c r="PM42" s="405"/>
      <c r="PN42" s="405"/>
      <c r="PO42" s="405"/>
      <c r="PP42" s="405"/>
      <c r="PQ42" s="405"/>
      <c r="PR42" s="405"/>
      <c r="PS42" s="405"/>
      <c r="PT42" s="405"/>
      <c r="PU42" s="405"/>
      <c r="PV42" s="405"/>
      <c r="PW42" s="405"/>
      <c r="PX42" s="405"/>
      <c r="PY42" s="405"/>
      <c r="PZ42" s="405"/>
      <c r="QA42" s="405"/>
      <c r="QB42" s="405"/>
      <c r="QC42" s="405"/>
      <c r="QD42" s="405"/>
      <c r="QE42" s="405"/>
      <c r="QF42" s="405"/>
      <c r="QG42" s="405"/>
      <c r="QH42" s="405"/>
      <c r="QI42" s="405"/>
      <c r="QJ42" s="405"/>
      <c r="QK42" s="405"/>
      <c r="QL42" s="405"/>
      <c r="QM42" s="405"/>
      <c r="QN42" s="405"/>
      <c r="QO42" s="405"/>
      <c r="QP42" s="405"/>
      <c r="QQ42" s="405"/>
      <c r="QR42" s="405"/>
      <c r="QS42" s="405"/>
      <c r="QT42" s="405"/>
      <c r="QU42" s="405"/>
      <c r="QV42" s="405"/>
      <c r="QW42" s="405"/>
      <c r="QX42" s="405"/>
      <c r="QY42" s="405"/>
      <c r="QZ42" s="405"/>
      <c r="RA42" s="405"/>
      <c r="RB42" s="405"/>
      <c r="RC42" s="405"/>
      <c r="RD42" s="405"/>
      <c r="RE42" s="405"/>
      <c r="RF42" s="405"/>
      <c r="RG42" s="405"/>
      <c r="RH42" s="405"/>
      <c r="RI42" s="405"/>
      <c r="RJ42" s="405"/>
      <c r="RK42" s="405"/>
      <c r="RL42" s="405"/>
      <c r="RM42" s="405"/>
      <c r="RN42" s="405"/>
      <c r="RO42" s="405"/>
      <c r="RP42" s="405"/>
      <c r="RQ42" s="405"/>
      <c r="RR42" s="405"/>
      <c r="RS42" s="405"/>
      <c r="RT42" s="405"/>
      <c r="RU42" s="405"/>
      <c r="RV42" s="405"/>
      <c r="RW42" s="405"/>
      <c r="RX42" s="405"/>
      <c r="RY42" s="405"/>
      <c r="RZ42" s="405"/>
      <c r="SA42" s="405"/>
      <c r="SB42" s="405"/>
      <c r="SC42" s="405"/>
      <c r="SD42" s="405"/>
      <c r="SE42" s="405"/>
      <c r="SF42" s="405"/>
      <c r="SG42" s="405"/>
      <c r="SH42" s="405"/>
      <c r="SI42" s="405"/>
      <c r="SJ42" s="405"/>
      <c r="SK42" s="405"/>
      <c r="SL42" s="405"/>
      <c r="SM42" s="405"/>
      <c r="SN42" s="405"/>
      <c r="SO42" s="405"/>
      <c r="SP42" s="405"/>
      <c r="SQ42" s="405"/>
      <c r="SR42" s="405"/>
      <c r="SS42" s="405"/>
      <c r="ST42" s="405"/>
      <c r="SU42" s="405"/>
      <c r="SV42" s="405"/>
      <c r="SW42" s="405"/>
      <c r="SX42" s="405"/>
      <c r="SY42" s="405"/>
      <c r="SZ42" s="405"/>
      <c r="TA42" s="405"/>
      <c r="TB42" s="405"/>
      <c r="TC42" s="405"/>
      <c r="TD42" s="405"/>
      <c r="TE42" s="405"/>
      <c r="TF42" s="405"/>
      <c r="TG42" s="405"/>
      <c r="TH42" s="405"/>
      <c r="TI42" s="405"/>
      <c r="TJ42" s="405"/>
      <c r="TK42" s="405"/>
      <c r="TL42" s="405"/>
      <c r="TM42" s="405"/>
      <c r="TN42" s="405"/>
      <c r="TO42" s="405"/>
      <c r="TP42" s="405"/>
      <c r="TQ42" s="405"/>
      <c r="TR42" s="405"/>
      <c r="TS42" s="405"/>
      <c r="TT42" s="405"/>
      <c r="TU42" s="405"/>
      <c r="TV42" s="405"/>
      <c r="TW42" s="405"/>
      <c r="TX42" s="405"/>
      <c r="TY42" s="405"/>
      <c r="TZ42" s="405"/>
      <c r="UA42" s="405"/>
      <c r="UB42" s="405"/>
      <c r="UC42" s="405"/>
      <c r="UD42" s="405"/>
      <c r="UE42" s="405"/>
      <c r="UF42" s="405"/>
      <c r="UG42" s="405"/>
      <c r="UH42" s="405"/>
      <c r="UI42" s="405"/>
      <c r="UJ42" s="405"/>
      <c r="UK42" s="405"/>
      <c r="UL42" s="405"/>
      <c r="UM42" s="405"/>
      <c r="UN42" s="405"/>
      <c r="UO42" s="405"/>
      <c r="UP42" s="405"/>
      <c r="UQ42" s="405"/>
      <c r="UR42" s="405"/>
      <c r="US42" s="405"/>
      <c r="UT42" s="405"/>
      <c r="UU42" s="405"/>
      <c r="UV42" s="405"/>
      <c r="UW42" s="405"/>
      <c r="UX42" s="405"/>
      <c r="UY42" s="405"/>
      <c r="UZ42" s="405"/>
      <c r="VA42" s="405"/>
      <c r="VB42" s="405"/>
      <c r="VC42" s="405"/>
      <c r="VD42" s="405"/>
      <c r="VE42" s="405"/>
      <c r="VF42" s="405"/>
      <c r="VG42" s="405"/>
      <c r="VH42" s="405"/>
      <c r="VI42" s="405"/>
      <c r="VJ42" s="405"/>
      <c r="VK42" s="405"/>
      <c r="VL42" s="405"/>
      <c r="VM42" s="405"/>
      <c r="VN42" s="405"/>
      <c r="VO42" s="405"/>
      <c r="VP42" s="405"/>
      <c r="VQ42" s="405"/>
      <c r="VR42" s="405"/>
      <c r="VS42" s="405"/>
      <c r="VT42" s="405"/>
      <c r="VU42" s="405"/>
      <c r="VV42" s="405"/>
      <c r="VW42" s="405"/>
      <c r="VX42" s="405"/>
      <c r="VY42" s="405"/>
      <c r="VZ42" s="405"/>
      <c r="WA42" s="405"/>
      <c r="WB42" s="405"/>
      <c r="WC42" s="405"/>
      <c r="WD42" s="405"/>
      <c r="WE42" s="405"/>
      <c r="WF42" s="405"/>
      <c r="WG42" s="405"/>
      <c r="WH42" s="405"/>
      <c r="WI42" s="405"/>
      <c r="WJ42" s="405"/>
      <c r="WK42" s="405"/>
      <c r="WL42" s="405"/>
      <c r="WM42" s="405"/>
      <c r="WN42" s="405"/>
      <c r="WO42" s="405"/>
      <c r="WP42" s="405"/>
      <c r="WQ42" s="405"/>
      <c r="WR42" s="405"/>
      <c r="WS42" s="405"/>
      <c r="WT42" s="405"/>
      <c r="WU42" s="405"/>
      <c r="WV42" s="405"/>
      <c r="WW42" s="405"/>
      <c r="WX42" s="405"/>
      <c r="WY42" s="405"/>
      <c r="WZ42" s="405"/>
      <c r="XA42" s="405"/>
      <c r="XB42" s="405"/>
      <c r="XC42" s="405"/>
      <c r="XD42" s="405"/>
      <c r="XE42" s="405"/>
      <c r="XF42" s="405"/>
      <c r="XG42" s="405"/>
      <c r="XH42" s="405"/>
      <c r="XI42" s="405"/>
      <c r="XJ42" s="405"/>
      <c r="XK42" s="405"/>
      <c r="XL42" s="405"/>
      <c r="XM42" s="405"/>
      <c r="XN42" s="405"/>
      <c r="XO42" s="405"/>
      <c r="XP42" s="405"/>
      <c r="XQ42" s="405"/>
      <c r="XR42" s="405"/>
      <c r="XS42" s="405"/>
      <c r="XT42" s="405"/>
      <c r="XU42" s="405"/>
      <c r="XV42" s="405"/>
      <c r="XW42" s="405"/>
      <c r="XX42" s="405"/>
      <c r="XY42" s="405"/>
      <c r="XZ42" s="405"/>
      <c r="YA42" s="405"/>
      <c r="YB42" s="405"/>
      <c r="YC42" s="405"/>
      <c r="YD42" s="405"/>
      <c r="YE42" s="405"/>
      <c r="YF42" s="405"/>
      <c r="YG42" s="405"/>
      <c r="YH42" s="405"/>
      <c r="YI42" s="405"/>
      <c r="YJ42" s="405"/>
      <c r="YK42" s="405"/>
      <c r="YL42" s="405"/>
      <c r="YM42" s="405"/>
      <c r="YN42" s="405"/>
      <c r="YO42" s="405"/>
      <c r="YP42" s="405"/>
      <c r="YQ42" s="405"/>
      <c r="YR42" s="405"/>
      <c r="YS42" s="405"/>
      <c r="YT42" s="405"/>
      <c r="YU42" s="405"/>
      <c r="YV42" s="405"/>
      <c r="YW42" s="405"/>
      <c r="YX42" s="405"/>
      <c r="YY42" s="405"/>
      <c r="YZ42" s="405"/>
      <c r="ZA42" s="405"/>
      <c r="ZB42" s="405"/>
      <c r="ZC42" s="405"/>
      <c r="ZD42" s="405"/>
      <c r="ZE42" s="405"/>
      <c r="ZF42" s="405"/>
      <c r="ZG42" s="405"/>
      <c r="ZH42" s="405"/>
      <c r="ZI42" s="405"/>
      <c r="ZJ42" s="405"/>
      <c r="ZK42" s="405"/>
      <c r="ZL42" s="405"/>
      <c r="ZM42" s="405"/>
      <c r="ZN42" s="405"/>
      <c r="ZO42" s="405"/>
      <c r="ZP42" s="405"/>
      <c r="ZQ42" s="405"/>
      <c r="ZR42" s="405"/>
      <c r="ZS42" s="405"/>
      <c r="ZT42" s="405"/>
      <c r="ZU42" s="405"/>
      <c r="ZV42" s="405"/>
      <c r="ZW42" s="405"/>
      <c r="ZX42" s="405"/>
      <c r="ZY42" s="405"/>
      <c r="ZZ42" s="405"/>
      <c r="AAA42" s="405"/>
      <c r="AAB42" s="405"/>
      <c r="AAC42" s="405"/>
      <c r="AAD42" s="405"/>
      <c r="AAE42" s="405"/>
      <c r="AAF42" s="405"/>
      <c r="AAG42" s="405"/>
      <c r="AAH42" s="405"/>
      <c r="AAI42" s="405"/>
      <c r="AAJ42" s="405"/>
      <c r="AAK42" s="405"/>
      <c r="AAL42" s="405"/>
      <c r="AAM42" s="405"/>
      <c r="AAN42" s="405"/>
      <c r="AAO42" s="405"/>
      <c r="AAP42" s="405"/>
      <c r="AAQ42" s="405"/>
      <c r="AAR42" s="405"/>
      <c r="AAS42" s="405"/>
      <c r="AAT42" s="405"/>
      <c r="AAU42" s="405"/>
      <c r="AAV42" s="405"/>
      <c r="AAW42" s="405"/>
      <c r="AAX42" s="405"/>
      <c r="AAY42" s="405"/>
      <c r="AAZ42" s="405"/>
      <c r="ABA42" s="405"/>
      <c r="ABB42" s="405"/>
      <c r="ABC42" s="405"/>
      <c r="ABD42" s="405"/>
      <c r="ABE42" s="405"/>
      <c r="ABF42" s="405"/>
      <c r="ABG42" s="405"/>
      <c r="ABH42" s="405"/>
      <c r="ABI42" s="405"/>
      <c r="ABJ42" s="405"/>
      <c r="ABK42" s="405"/>
      <c r="ABL42" s="405"/>
      <c r="ABM42" s="405"/>
      <c r="ABN42" s="405"/>
      <c r="ABO42" s="405"/>
      <c r="ABP42" s="405"/>
      <c r="ABQ42" s="405"/>
      <c r="ABR42" s="405"/>
      <c r="ABS42" s="405"/>
      <c r="ABT42" s="405"/>
      <c r="ABU42" s="405"/>
      <c r="ABV42" s="405"/>
      <c r="ABW42" s="405"/>
      <c r="ABX42" s="405"/>
      <c r="ABY42" s="405"/>
      <c r="ABZ42" s="405"/>
      <c r="ACA42" s="405"/>
      <c r="ACB42" s="405"/>
      <c r="ACC42" s="405"/>
      <c r="ACD42" s="405"/>
      <c r="ACE42" s="405"/>
      <c r="ACF42" s="405"/>
      <c r="ACG42" s="405"/>
      <c r="ACH42" s="405"/>
      <c r="ACI42" s="405"/>
      <c r="ACJ42" s="405"/>
      <c r="ACK42" s="405"/>
      <c r="ACL42" s="405"/>
      <c r="ACM42" s="405"/>
      <c r="ACN42" s="405"/>
      <c r="ACO42" s="405"/>
      <c r="ACP42" s="405"/>
      <c r="ACQ42" s="405"/>
      <c r="ACR42" s="405"/>
      <c r="ACS42" s="405"/>
      <c r="ACT42" s="405"/>
      <c r="ACU42" s="405"/>
      <c r="ACV42" s="405"/>
      <c r="ACW42" s="405"/>
      <c r="ACX42" s="405"/>
      <c r="ACY42" s="405"/>
      <c r="ACZ42" s="405"/>
      <c r="ADA42" s="405"/>
      <c r="ADB42" s="405"/>
      <c r="ADC42" s="405"/>
      <c r="ADD42" s="405"/>
      <c r="ADE42" s="405"/>
      <c r="ADF42" s="405"/>
      <c r="ADG42" s="405"/>
      <c r="ADH42" s="405"/>
      <c r="ADI42" s="405"/>
      <c r="ADJ42" s="405"/>
      <c r="ADK42" s="405"/>
      <c r="ADL42" s="405"/>
      <c r="ADM42" s="405"/>
      <c r="ADN42" s="405"/>
      <c r="ADO42" s="405"/>
      <c r="ADP42" s="405"/>
      <c r="ADQ42" s="405"/>
      <c r="ADR42" s="405"/>
      <c r="ADS42" s="405"/>
      <c r="ADT42" s="405"/>
      <c r="ADU42" s="405"/>
      <c r="ADV42" s="405"/>
      <c r="ADW42" s="405"/>
      <c r="ADX42" s="405"/>
      <c r="ADY42" s="405"/>
      <c r="ADZ42" s="405"/>
      <c r="AEA42" s="405"/>
      <c r="AEB42" s="405"/>
      <c r="AEC42" s="405"/>
      <c r="AED42" s="405"/>
      <c r="AEE42" s="405"/>
      <c r="AEF42" s="405"/>
      <c r="AEG42" s="405"/>
      <c r="AEH42" s="405"/>
      <c r="AEI42" s="405"/>
      <c r="AEJ42" s="405"/>
      <c r="AEK42" s="405"/>
      <c r="AEL42" s="405"/>
      <c r="AEM42" s="405"/>
      <c r="AEN42" s="405"/>
      <c r="AEO42" s="405"/>
      <c r="AEP42" s="405"/>
      <c r="AEQ42" s="405"/>
      <c r="AER42" s="405"/>
      <c r="AES42" s="405"/>
      <c r="AET42" s="405"/>
      <c r="AEU42" s="405"/>
      <c r="AEV42" s="405"/>
      <c r="AEW42" s="405"/>
      <c r="AEX42" s="405"/>
      <c r="AEY42" s="405"/>
      <c r="AEZ42" s="405"/>
      <c r="AFA42" s="405"/>
      <c r="AFB42" s="405"/>
      <c r="AFC42" s="405"/>
      <c r="AFD42" s="405"/>
      <c r="AFE42" s="405"/>
      <c r="AFF42" s="405"/>
      <c r="AFG42" s="405"/>
      <c r="AFH42" s="405"/>
      <c r="AFI42" s="405"/>
      <c r="AFJ42" s="405"/>
      <c r="AFK42" s="405"/>
      <c r="AFL42" s="405"/>
      <c r="AFM42" s="405"/>
      <c r="AFN42" s="405"/>
      <c r="AFO42" s="405"/>
      <c r="AFP42" s="405"/>
      <c r="AFQ42" s="405"/>
      <c r="AFR42" s="405"/>
      <c r="AFS42" s="405"/>
      <c r="AFT42" s="405"/>
      <c r="AFU42" s="405"/>
      <c r="AFV42" s="405"/>
      <c r="AFW42" s="405"/>
      <c r="AFX42" s="405"/>
      <c r="AFY42" s="405"/>
      <c r="AFZ42" s="405"/>
      <c r="AGA42" s="405"/>
      <c r="AGB42" s="405"/>
      <c r="AGC42" s="405"/>
      <c r="AGD42" s="405"/>
      <c r="AGE42" s="405"/>
      <c r="AGF42" s="405"/>
      <c r="AGG42" s="405"/>
      <c r="AGH42" s="405"/>
      <c r="AGI42" s="405"/>
      <c r="AGJ42" s="405"/>
      <c r="AGK42" s="405"/>
      <c r="AGL42" s="405"/>
      <c r="AGM42" s="405"/>
      <c r="AGN42" s="405"/>
      <c r="AGO42" s="405"/>
      <c r="AGP42" s="405"/>
      <c r="AGQ42" s="405"/>
      <c r="AGR42" s="405"/>
      <c r="AGS42" s="405"/>
      <c r="AGT42" s="405"/>
      <c r="AGU42" s="405"/>
      <c r="AGV42" s="405"/>
      <c r="AGW42" s="405"/>
      <c r="AGX42" s="405"/>
      <c r="AGY42" s="405"/>
      <c r="AGZ42" s="405"/>
      <c r="AHA42" s="405"/>
      <c r="AHB42" s="405"/>
      <c r="AHC42" s="405"/>
      <c r="AHD42" s="405"/>
      <c r="AHE42" s="405"/>
      <c r="AHF42" s="405"/>
      <c r="AHG42" s="405"/>
      <c r="AHH42" s="405"/>
      <c r="AHI42" s="405"/>
      <c r="AHJ42" s="405"/>
      <c r="AHK42" s="405"/>
      <c r="AHL42" s="405"/>
      <c r="AHM42" s="405"/>
      <c r="AHN42" s="405"/>
      <c r="AHO42" s="405"/>
      <c r="AHP42" s="405"/>
      <c r="AHQ42" s="405"/>
      <c r="AHR42" s="405"/>
      <c r="AHS42" s="405"/>
      <c r="AHT42" s="405"/>
      <c r="AHU42" s="405"/>
      <c r="AHV42" s="405"/>
      <c r="AHW42" s="405"/>
      <c r="AHX42" s="405"/>
      <c r="AHY42" s="405"/>
      <c r="AHZ42" s="405"/>
      <c r="AIA42" s="405"/>
      <c r="AIB42" s="405"/>
      <c r="AIC42" s="405"/>
      <c r="AID42" s="405"/>
      <c r="AIE42" s="405"/>
      <c r="AIF42" s="405"/>
      <c r="AIG42" s="405"/>
      <c r="AIH42" s="405"/>
      <c r="AII42" s="405"/>
      <c r="AIJ42" s="405"/>
      <c r="AIK42" s="405"/>
      <c r="AIL42" s="405"/>
      <c r="AIM42" s="405"/>
      <c r="AIN42" s="405"/>
      <c r="AIO42" s="405"/>
      <c r="AIP42" s="405"/>
      <c r="AIQ42" s="405"/>
      <c r="AIR42" s="405"/>
      <c r="AIS42" s="405"/>
      <c r="AIT42" s="405"/>
      <c r="AIU42" s="405"/>
      <c r="AIV42" s="405"/>
      <c r="AIW42" s="405"/>
      <c r="AIX42" s="405"/>
      <c r="AIY42" s="405"/>
      <c r="AIZ42" s="405"/>
      <c r="AJA42" s="405"/>
      <c r="AJB42" s="405"/>
      <c r="AJC42" s="405"/>
      <c r="AJD42" s="405"/>
      <c r="AJE42" s="405"/>
      <c r="AJF42" s="405"/>
      <c r="AJG42" s="405"/>
      <c r="AJH42" s="405"/>
      <c r="AJI42" s="405"/>
      <c r="AJJ42" s="405"/>
      <c r="AJK42" s="405"/>
      <c r="AJL42" s="405"/>
      <c r="AJM42" s="405"/>
      <c r="AJN42" s="405"/>
      <c r="AJO42" s="405"/>
      <c r="AJP42" s="405"/>
      <c r="AJQ42" s="405"/>
      <c r="AJR42" s="405"/>
      <c r="AJS42" s="405"/>
      <c r="AJT42" s="405"/>
      <c r="AJU42" s="405"/>
      <c r="AJV42" s="405"/>
      <c r="AJW42" s="405"/>
      <c r="AJX42" s="405"/>
      <c r="AJY42" s="405"/>
      <c r="AJZ42" s="405"/>
      <c r="AKA42" s="405"/>
      <c r="AKB42" s="405"/>
      <c r="AKC42" s="405"/>
      <c r="AKD42" s="405"/>
      <c r="AKE42" s="405"/>
      <c r="AKF42" s="405"/>
      <c r="AKG42" s="405"/>
      <c r="AKH42" s="405"/>
      <c r="AKI42" s="405"/>
      <c r="AKJ42" s="405"/>
      <c r="AKK42" s="405"/>
      <c r="AKL42" s="405"/>
      <c r="AKM42" s="405"/>
      <c r="AKN42" s="405"/>
      <c r="AKO42" s="405"/>
      <c r="AKP42" s="405"/>
      <c r="AKQ42" s="405"/>
      <c r="AKR42" s="405"/>
      <c r="AKS42" s="405"/>
      <c r="AKT42" s="405"/>
      <c r="AKU42" s="405"/>
      <c r="AKV42" s="405"/>
      <c r="AKW42" s="405"/>
      <c r="AKX42" s="405"/>
      <c r="AKY42" s="405"/>
      <c r="AKZ42" s="405"/>
      <c r="ALA42" s="405"/>
      <c r="ALB42" s="405"/>
      <c r="ALC42" s="405"/>
      <c r="ALD42" s="405"/>
      <c r="ALE42" s="405"/>
      <c r="ALF42" s="405"/>
      <c r="ALG42" s="405"/>
      <c r="ALH42" s="405"/>
      <c r="ALI42" s="405"/>
      <c r="ALJ42" s="405"/>
      <c r="ALK42" s="405"/>
      <c r="ALL42" s="405"/>
      <c r="ALM42" s="405"/>
      <c r="ALN42" s="405"/>
      <c r="ALO42" s="405"/>
      <c r="ALP42" s="405"/>
      <c r="ALQ42" s="405"/>
      <c r="ALR42" s="405"/>
      <c r="ALS42" s="405"/>
      <c r="ALT42" s="405"/>
      <c r="ALU42" s="405"/>
      <c r="ALV42" s="405"/>
      <c r="ALW42" s="405"/>
      <c r="ALX42" s="405"/>
      <c r="ALY42" s="405"/>
      <c r="ALZ42" s="405"/>
      <c r="AMA42" s="405"/>
      <c r="AMB42" s="405"/>
      <c r="AMC42" s="405"/>
      <c r="AMD42" s="405"/>
      <c r="AME42" s="405"/>
      <c r="AMF42" s="405"/>
      <c r="AMG42" s="405"/>
      <c r="AMH42" s="405"/>
      <c r="AMI42" s="405"/>
      <c r="AMJ42" s="405"/>
      <c r="AMK42" s="405"/>
    </row>
    <row r="43" spans="1:1025" s="406" customFormat="1" x14ac:dyDescent="0.25">
      <c r="A43" s="102" t="str">
        <f>IF(COUNTBLANK(B43)=1," ",COUNTA(B$14:B43))</f>
        <v xml:space="preserve"> </v>
      </c>
      <c r="B43" s="399"/>
      <c r="C43" s="566" t="s">
        <v>283</v>
      </c>
      <c r="D43" s="895"/>
      <c r="E43" s="402"/>
      <c r="F43" s="401"/>
      <c r="G43" s="210"/>
      <c r="H43" s="208">
        <f t="shared" si="0"/>
        <v>0</v>
      </c>
      <c r="I43" s="400"/>
      <c r="J43" s="209"/>
      <c r="K43" s="307">
        <f t="shared" si="1"/>
        <v>0</v>
      </c>
      <c r="L43" s="307">
        <f t="shared" si="2"/>
        <v>0</v>
      </c>
      <c r="M43" s="307">
        <f t="shared" si="3"/>
        <v>0</v>
      </c>
      <c r="N43" s="307">
        <f t="shared" si="4"/>
        <v>0</v>
      </c>
      <c r="O43" s="307">
        <f t="shared" si="5"/>
        <v>0</v>
      </c>
      <c r="P43" s="307">
        <f t="shared" si="6"/>
        <v>0</v>
      </c>
      <c r="Q43" s="405"/>
      <c r="R43" s="405"/>
      <c r="S43" s="405"/>
      <c r="T43" s="405"/>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c r="BF43" s="405"/>
      <c r="BG43" s="405"/>
      <c r="BH43" s="405"/>
      <c r="BI43" s="405"/>
      <c r="BJ43" s="405"/>
      <c r="BK43" s="405"/>
      <c r="BL43" s="405"/>
      <c r="BM43" s="405"/>
      <c r="BN43" s="405"/>
      <c r="BO43" s="405"/>
      <c r="BP43" s="405"/>
      <c r="BQ43" s="405"/>
      <c r="BR43" s="405"/>
      <c r="BS43" s="405"/>
      <c r="BT43" s="405"/>
      <c r="BU43" s="405"/>
      <c r="BV43" s="405"/>
      <c r="BW43" s="405"/>
      <c r="BX43" s="405"/>
      <c r="BY43" s="405"/>
      <c r="BZ43" s="405"/>
      <c r="CA43" s="405"/>
      <c r="CB43" s="405"/>
      <c r="CC43" s="405"/>
      <c r="CD43" s="405"/>
      <c r="CE43" s="405"/>
      <c r="CF43" s="405"/>
      <c r="CG43" s="405"/>
      <c r="CH43" s="405"/>
      <c r="CI43" s="405"/>
      <c r="CJ43" s="405"/>
      <c r="CK43" s="405"/>
      <c r="CL43" s="405"/>
      <c r="CM43" s="405"/>
      <c r="CN43" s="405"/>
      <c r="CO43" s="405"/>
      <c r="CP43" s="405"/>
      <c r="CQ43" s="405"/>
      <c r="CR43" s="405"/>
      <c r="CS43" s="405"/>
      <c r="CT43" s="405"/>
      <c r="CU43" s="405"/>
      <c r="CV43" s="405"/>
      <c r="CW43" s="405"/>
      <c r="CX43" s="405"/>
      <c r="CY43" s="405"/>
      <c r="CZ43" s="405"/>
      <c r="DA43" s="405"/>
      <c r="DB43" s="405"/>
      <c r="DC43" s="405"/>
      <c r="DD43" s="405"/>
      <c r="DE43" s="405"/>
      <c r="DF43" s="405"/>
      <c r="DG43" s="405"/>
      <c r="DH43" s="405"/>
      <c r="DI43" s="405"/>
      <c r="DJ43" s="405"/>
      <c r="DK43" s="405"/>
      <c r="DL43" s="405"/>
      <c r="DM43" s="405"/>
      <c r="DN43" s="405"/>
      <c r="DO43" s="405"/>
      <c r="DP43" s="405"/>
      <c r="DQ43" s="405"/>
      <c r="DR43" s="405"/>
      <c r="DS43" s="405"/>
      <c r="DT43" s="405"/>
      <c r="DU43" s="405"/>
      <c r="DV43" s="405"/>
      <c r="DW43" s="405"/>
      <c r="DX43" s="405"/>
      <c r="DY43" s="405"/>
      <c r="DZ43" s="405"/>
      <c r="EA43" s="405"/>
      <c r="EB43" s="405"/>
      <c r="EC43" s="405"/>
      <c r="ED43" s="405"/>
      <c r="EE43" s="405"/>
      <c r="EF43" s="405"/>
      <c r="EG43" s="405"/>
      <c r="EH43" s="405"/>
      <c r="EI43" s="405"/>
      <c r="EJ43" s="405"/>
      <c r="EK43" s="405"/>
      <c r="EL43" s="405"/>
      <c r="EM43" s="405"/>
      <c r="EN43" s="405"/>
      <c r="EO43" s="405"/>
      <c r="EP43" s="405"/>
      <c r="EQ43" s="405"/>
      <c r="ER43" s="405"/>
      <c r="ES43" s="405"/>
      <c r="ET43" s="405"/>
      <c r="EU43" s="405"/>
      <c r="EV43" s="405"/>
      <c r="EW43" s="405"/>
      <c r="EX43" s="405"/>
      <c r="EY43" s="405"/>
      <c r="EZ43" s="405"/>
      <c r="FA43" s="405"/>
      <c r="FB43" s="405"/>
      <c r="FC43" s="405"/>
      <c r="FD43" s="405"/>
      <c r="FE43" s="405"/>
      <c r="FF43" s="405"/>
      <c r="FG43" s="405"/>
      <c r="FH43" s="405"/>
      <c r="FI43" s="405"/>
      <c r="FJ43" s="405"/>
      <c r="FK43" s="405"/>
      <c r="FL43" s="405"/>
      <c r="FM43" s="405"/>
      <c r="FN43" s="405"/>
      <c r="FO43" s="405"/>
      <c r="FP43" s="405"/>
      <c r="FQ43" s="405"/>
      <c r="FR43" s="405"/>
      <c r="FS43" s="405"/>
      <c r="FT43" s="405"/>
      <c r="FU43" s="405"/>
      <c r="FV43" s="405"/>
      <c r="FW43" s="405"/>
      <c r="FX43" s="405"/>
      <c r="FY43" s="405"/>
      <c r="FZ43" s="405"/>
      <c r="GA43" s="405"/>
      <c r="GB43" s="405"/>
      <c r="GC43" s="405"/>
      <c r="GD43" s="405"/>
      <c r="GE43" s="405"/>
      <c r="GF43" s="405"/>
      <c r="GG43" s="405"/>
      <c r="GH43" s="405"/>
      <c r="GI43" s="405"/>
      <c r="GJ43" s="405"/>
      <c r="GK43" s="405"/>
      <c r="GL43" s="405"/>
      <c r="GM43" s="405"/>
      <c r="GN43" s="405"/>
      <c r="GO43" s="405"/>
      <c r="GP43" s="405"/>
      <c r="GQ43" s="405"/>
      <c r="GR43" s="405"/>
      <c r="GS43" s="405"/>
      <c r="GT43" s="405"/>
      <c r="GU43" s="405"/>
      <c r="GV43" s="405"/>
      <c r="GW43" s="405"/>
      <c r="GX43" s="405"/>
      <c r="GY43" s="405"/>
      <c r="GZ43" s="405"/>
      <c r="HA43" s="405"/>
      <c r="HB43" s="405"/>
      <c r="HC43" s="405"/>
      <c r="HD43" s="405"/>
      <c r="HE43" s="405"/>
      <c r="HF43" s="405"/>
      <c r="HG43" s="405"/>
      <c r="HH43" s="405"/>
      <c r="HI43" s="405"/>
      <c r="HJ43" s="405"/>
      <c r="HK43" s="405"/>
      <c r="HL43" s="405"/>
      <c r="HM43" s="405"/>
      <c r="HN43" s="405"/>
      <c r="HO43" s="405"/>
      <c r="HP43" s="405"/>
      <c r="HQ43" s="405"/>
      <c r="HR43" s="405"/>
      <c r="HS43" s="405"/>
      <c r="HT43" s="405"/>
      <c r="HU43" s="405"/>
      <c r="HV43" s="405"/>
      <c r="HW43" s="405"/>
      <c r="HX43" s="405"/>
      <c r="HY43" s="405"/>
      <c r="HZ43" s="405"/>
      <c r="IA43" s="405"/>
      <c r="IB43" s="405"/>
      <c r="IC43" s="405"/>
      <c r="ID43" s="405"/>
      <c r="IE43" s="405"/>
      <c r="IF43" s="405"/>
      <c r="IG43" s="405"/>
      <c r="IH43" s="405"/>
      <c r="II43" s="405"/>
      <c r="IJ43" s="405"/>
      <c r="IK43" s="405"/>
      <c r="IL43" s="405"/>
      <c r="IM43" s="405"/>
      <c r="IN43" s="405"/>
      <c r="IO43" s="405"/>
      <c r="IP43" s="405"/>
      <c r="IQ43" s="405"/>
      <c r="IR43" s="405"/>
      <c r="IS43" s="405"/>
      <c r="IT43" s="405"/>
      <c r="IU43" s="405"/>
      <c r="IV43" s="405"/>
      <c r="IW43" s="405"/>
      <c r="IX43" s="405"/>
      <c r="IY43" s="405"/>
      <c r="IZ43" s="405"/>
      <c r="JA43" s="405"/>
      <c r="JB43" s="405"/>
      <c r="JC43" s="405"/>
      <c r="JD43" s="405"/>
      <c r="JE43" s="405"/>
      <c r="JF43" s="405"/>
      <c r="JG43" s="405"/>
      <c r="JH43" s="405"/>
      <c r="JI43" s="405"/>
      <c r="JJ43" s="405"/>
      <c r="JK43" s="405"/>
      <c r="JL43" s="405"/>
      <c r="JM43" s="405"/>
      <c r="JN43" s="405"/>
      <c r="JO43" s="405"/>
      <c r="JP43" s="405"/>
      <c r="JQ43" s="405"/>
      <c r="JR43" s="405"/>
      <c r="JS43" s="405"/>
      <c r="JT43" s="405"/>
      <c r="JU43" s="405"/>
      <c r="JV43" s="405"/>
      <c r="JW43" s="405"/>
      <c r="JX43" s="405"/>
      <c r="JY43" s="405"/>
      <c r="JZ43" s="405"/>
      <c r="KA43" s="405"/>
      <c r="KB43" s="405"/>
      <c r="KC43" s="405"/>
      <c r="KD43" s="405"/>
      <c r="KE43" s="405"/>
      <c r="KF43" s="405"/>
      <c r="KG43" s="405"/>
      <c r="KH43" s="405"/>
      <c r="KI43" s="405"/>
      <c r="KJ43" s="405"/>
      <c r="KK43" s="405"/>
      <c r="KL43" s="405"/>
      <c r="KM43" s="405"/>
      <c r="KN43" s="405"/>
      <c r="KO43" s="405"/>
      <c r="KP43" s="405"/>
      <c r="KQ43" s="405"/>
      <c r="KR43" s="405"/>
      <c r="KS43" s="405"/>
      <c r="KT43" s="405"/>
      <c r="KU43" s="405"/>
      <c r="KV43" s="405"/>
      <c r="KW43" s="405"/>
      <c r="KX43" s="405"/>
      <c r="KY43" s="405"/>
      <c r="KZ43" s="405"/>
      <c r="LA43" s="405"/>
      <c r="LB43" s="405"/>
      <c r="LC43" s="405"/>
      <c r="LD43" s="405"/>
      <c r="LE43" s="405"/>
      <c r="LF43" s="405"/>
      <c r="LG43" s="405"/>
      <c r="LH43" s="405"/>
      <c r="LI43" s="405"/>
      <c r="LJ43" s="405"/>
      <c r="LK43" s="405"/>
      <c r="LL43" s="405"/>
      <c r="LM43" s="405"/>
      <c r="LN43" s="405"/>
      <c r="LO43" s="405"/>
      <c r="LP43" s="405"/>
      <c r="LQ43" s="405"/>
      <c r="LR43" s="405"/>
      <c r="LS43" s="405"/>
      <c r="LT43" s="405"/>
      <c r="LU43" s="405"/>
      <c r="LV43" s="405"/>
      <c r="LW43" s="405"/>
      <c r="LX43" s="405"/>
      <c r="LY43" s="405"/>
      <c r="LZ43" s="405"/>
      <c r="MA43" s="405"/>
      <c r="MB43" s="405"/>
      <c r="MC43" s="405"/>
      <c r="MD43" s="405"/>
      <c r="ME43" s="405"/>
      <c r="MF43" s="405"/>
      <c r="MG43" s="405"/>
      <c r="MH43" s="405"/>
      <c r="MI43" s="405"/>
      <c r="MJ43" s="405"/>
      <c r="MK43" s="405"/>
      <c r="ML43" s="405"/>
      <c r="MM43" s="405"/>
      <c r="MN43" s="405"/>
      <c r="MO43" s="405"/>
      <c r="MP43" s="405"/>
      <c r="MQ43" s="405"/>
      <c r="MR43" s="405"/>
      <c r="MS43" s="405"/>
      <c r="MT43" s="405"/>
      <c r="MU43" s="405"/>
      <c r="MV43" s="405"/>
      <c r="MW43" s="405"/>
      <c r="MX43" s="405"/>
      <c r="MY43" s="405"/>
      <c r="MZ43" s="405"/>
      <c r="NA43" s="405"/>
      <c r="NB43" s="405"/>
      <c r="NC43" s="405"/>
      <c r="ND43" s="405"/>
      <c r="NE43" s="405"/>
      <c r="NF43" s="405"/>
      <c r="NG43" s="405"/>
      <c r="NH43" s="405"/>
      <c r="NI43" s="405"/>
      <c r="NJ43" s="405"/>
      <c r="NK43" s="405"/>
      <c r="NL43" s="405"/>
      <c r="NM43" s="405"/>
      <c r="NN43" s="405"/>
      <c r="NO43" s="405"/>
      <c r="NP43" s="405"/>
      <c r="NQ43" s="405"/>
      <c r="NR43" s="405"/>
      <c r="NS43" s="405"/>
      <c r="NT43" s="405"/>
      <c r="NU43" s="405"/>
      <c r="NV43" s="405"/>
      <c r="NW43" s="405"/>
      <c r="NX43" s="405"/>
      <c r="NY43" s="405"/>
      <c r="NZ43" s="405"/>
      <c r="OA43" s="405"/>
      <c r="OB43" s="405"/>
      <c r="OC43" s="405"/>
      <c r="OD43" s="405"/>
      <c r="OE43" s="405"/>
      <c r="OF43" s="405"/>
      <c r="OG43" s="405"/>
      <c r="OH43" s="405"/>
      <c r="OI43" s="405"/>
      <c r="OJ43" s="405"/>
      <c r="OK43" s="405"/>
      <c r="OL43" s="405"/>
      <c r="OM43" s="405"/>
      <c r="ON43" s="405"/>
      <c r="OO43" s="405"/>
      <c r="OP43" s="405"/>
      <c r="OQ43" s="405"/>
      <c r="OR43" s="405"/>
      <c r="OS43" s="405"/>
      <c r="OT43" s="405"/>
      <c r="OU43" s="405"/>
      <c r="OV43" s="405"/>
      <c r="OW43" s="405"/>
      <c r="OX43" s="405"/>
      <c r="OY43" s="405"/>
      <c r="OZ43" s="405"/>
      <c r="PA43" s="405"/>
      <c r="PB43" s="405"/>
      <c r="PC43" s="405"/>
      <c r="PD43" s="405"/>
      <c r="PE43" s="405"/>
      <c r="PF43" s="405"/>
      <c r="PG43" s="405"/>
      <c r="PH43" s="405"/>
      <c r="PI43" s="405"/>
      <c r="PJ43" s="405"/>
      <c r="PK43" s="405"/>
      <c r="PL43" s="405"/>
      <c r="PM43" s="405"/>
      <c r="PN43" s="405"/>
      <c r="PO43" s="405"/>
      <c r="PP43" s="405"/>
      <c r="PQ43" s="405"/>
      <c r="PR43" s="405"/>
      <c r="PS43" s="405"/>
      <c r="PT43" s="405"/>
      <c r="PU43" s="405"/>
      <c r="PV43" s="405"/>
      <c r="PW43" s="405"/>
      <c r="PX43" s="405"/>
      <c r="PY43" s="405"/>
      <c r="PZ43" s="405"/>
      <c r="QA43" s="405"/>
      <c r="QB43" s="405"/>
      <c r="QC43" s="405"/>
      <c r="QD43" s="405"/>
      <c r="QE43" s="405"/>
      <c r="QF43" s="405"/>
      <c r="QG43" s="405"/>
      <c r="QH43" s="405"/>
      <c r="QI43" s="405"/>
      <c r="QJ43" s="405"/>
      <c r="QK43" s="405"/>
      <c r="QL43" s="405"/>
      <c r="QM43" s="405"/>
      <c r="QN43" s="405"/>
      <c r="QO43" s="405"/>
      <c r="QP43" s="405"/>
      <c r="QQ43" s="405"/>
      <c r="QR43" s="405"/>
      <c r="QS43" s="405"/>
      <c r="QT43" s="405"/>
      <c r="QU43" s="405"/>
      <c r="QV43" s="405"/>
      <c r="QW43" s="405"/>
      <c r="QX43" s="405"/>
      <c r="QY43" s="405"/>
      <c r="QZ43" s="405"/>
      <c r="RA43" s="405"/>
      <c r="RB43" s="405"/>
      <c r="RC43" s="405"/>
      <c r="RD43" s="405"/>
      <c r="RE43" s="405"/>
      <c r="RF43" s="405"/>
      <c r="RG43" s="405"/>
      <c r="RH43" s="405"/>
      <c r="RI43" s="405"/>
      <c r="RJ43" s="405"/>
      <c r="RK43" s="405"/>
      <c r="RL43" s="405"/>
      <c r="RM43" s="405"/>
      <c r="RN43" s="405"/>
      <c r="RO43" s="405"/>
      <c r="RP43" s="405"/>
      <c r="RQ43" s="405"/>
      <c r="RR43" s="405"/>
      <c r="RS43" s="405"/>
      <c r="RT43" s="405"/>
      <c r="RU43" s="405"/>
      <c r="RV43" s="405"/>
      <c r="RW43" s="405"/>
      <c r="RX43" s="405"/>
      <c r="RY43" s="405"/>
      <c r="RZ43" s="405"/>
      <c r="SA43" s="405"/>
      <c r="SB43" s="405"/>
      <c r="SC43" s="405"/>
      <c r="SD43" s="405"/>
      <c r="SE43" s="405"/>
      <c r="SF43" s="405"/>
      <c r="SG43" s="405"/>
      <c r="SH43" s="405"/>
      <c r="SI43" s="405"/>
      <c r="SJ43" s="405"/>
      <c r="SK43" s="405"/>
      <c r="SL43" s="405"/>
      <c r="SM43" s="405"/>
      <c r="SN43" s="405"/>
      <c r="SO43" s="405"/>
      <c r="SP43" s="405"/>
      <c r="SQ43" s="405"/>
      <c r="SR43" s="405"/>
      <c r="SS43" s="405"/>
      <c r="ST43" s="405"/>
      <c r="SU43" s="405"/>
      <c r="SV43" s="405"/>
      <c r="SW43" s="405"/>
      <c r="SX43" s="405"/>
      <c r="SY43" s="405"/>
      <c r="SZ43" s="405"/>
      <c r="TA43" s="405"/>
      <c r="TB43" s="405"/>
      <c r="TC43" s="405"/>
      <c r="TD43" s="405"/>
      <c r="TE43" s="405"/>
      <c r="TF43" s="405"/>
      <c r="TG43" s="405"/>
      <c r="TH43" s="405"/>
      <c r="TI43" s="405"/>
      <c r="TJ43" s="405"/>
      <c r="TK43" s="405"/>
      <c r="TL43" s="405"/>
      <c r="TM43" s="405"/>
      <c r="TN43" s="405"/>
      <c r="TO43" s="405"/>
      <c r="TP43" s="405"/>
      <c r="TQ43" s="405"/>
      <c r="TR43" s="405"/>
      <c r="TS43" s="405"/>
      <c r="TT43" s="405"/>
      <c r="TU43" s="405"/>
      <c r="TV43" s="405"/>
      <c r="TW43" s="405"/>
      <c r="TX43" s="405"/>
      <c r="TY43" s="405"/>
      <c r="TZ43" s="405"/>
      <c r="UA43" s="405"/>
      <c r="UB43" s="405"/>
      <c r="UC43" s="405"/>
      <c r="UD43" s="405"/>
      <c r="UE43" s="405"/>
      <c r="UF43" s="405"/>
      <c r="UG43" s="405"/>
      <c r="UH43" s="405"/>
      <c r="UI43" s="405"/>
      <c r="UJ43" s="405"/>
      <c r="UK43" s="405"/>
      <c r="UL43" s="405"/>
      <c r="UM43" s="405"/>
      <c r="UN43" s="405"/>
      <c r="UO43" s="405"/>
      <c r="UP43" s="405"/>
      <c r="UQ43" s="405"/>
      <c r="UR43" s="405"/>
      <c r="US43" s="405"/>
      <c r="UT43" s="405"/>
      <c r="UU43" s="405"/>
      <c r="UV43" s="405"/>
      <c r="UW43" s="405"/>
      <c r="UX43" s="405"/>
      <c r="UY43" s="405"/>
      <c r="UZ43" s="405"/>
      <c r="VA43" s="405"/>
      <c r="VB43" s="405"/>
      <c r="VC43" s="405"/>
      <c r="VD43" s="405"/>
      <c r="VE43" s="405"/>
      <c r="VF43" s="405"/>
      <c r="VG43" s="405"/>
      <c r="VH43" s="405"/>
      <c r="VI43" s="405"/>
      <c r="VJ43" s="405"/>
      <c r="VK43" s="405"/>
      <c r="VL43" s="405"/>
      <c r="VM43" s="405"/>
      <c r="VN43" s="405"/>
      <c r="VO43" s="405"/>
      <c r="VP43" s="405"/>
      <c r="VQ43" s="405"/>
      <c r="VR43" s="405"/>
      <c r="VS43" s="405"/>
      <c r="VT43" s="405"/>
      <c r="VU43" s="405"/>
      <c r="VV43" s="405"/>
      <c r="VW43" s="405"/>
      <c r="VX43" s="405"/>
      <c r="VY43" s="405"/>
      <c r="VZ43" s="405"/>
      <c r="WA43" s="405"/>
      <c r="WB43" s="405"/>
      <c r="WC43" s="405"/>
      <c r="WD43" s="405"/>
      <c r="WE43" s="405"/>
      <c r="WF43" s="405"/>
      <c r="WG43" s="405"/>
      <c r="WH43" s="405"/>
      <c r="WI43" s="405"/>
      <c r="WJ43" s="405"/>
      <c r="WK43" s="405"/>
      <c r="WL43" s="405"/>
      <c r="WM43" s="405"/>
      <c r="WN43" s="405"/>
      <c r="WO43" s="405"/>
      <c r="WP43" s="405"/>
      <c r="WQ43" s="405"/>
      <c r="WR43" s="405"/>
      <c r="WS43" s="405"/>
      <c r="WT43" s="405"/>
      <c r="WU43" s="405"/>
      <c r="WV43" s="405"/>
      <c r="WW43" s="405"/>
      <c r="WX43" s="405"/>
      <c r="WY43" s="405"/>
      <c r="WZ43" s="405"/>
      <c r="XA43" s="405"/>
      <c r="XB43" s="405"/>
      <c r="XC43" s="405"/>
      <c r="XD43" s="405"/>
      <c r="XE43" s="405"/>
      <c r="XF43" s="405"/>
      <c r="XG43" s="405"/>
      <c r="XH43" s="405"/>
      <c r="XI43" s="405"/>
      <c r="XJ43" s="405"/>
      <c r="XK43" s="405"/>
      <c r="XL43" s="405"/>
      <c r="XM43" s="405"/>
      <c r="XN43" s="405"/>
      <c r="XO43" s="405"/>
      <c r="XP43" s="405"/>
      <c r="XQ43" s="405"/>
      <c r="XR43" s="405"/>
      <c r="XS43" s="405"/>
      <c r="XT43" s="405"/>
      <c r="XU43" s="405"/>
      <c r="XV43" s="405"/>
      <c r="XW43" s="405"/>
      <c r="XX43" s="405"/>
      <c r="XY43" s="405"/>
      <c r="XZ43" s="405"/>
      <c r="YA43" s="405"/>
      <c r="YB43" s="405"/>
      <c r="YC43" s="405"/>
      <c r="YD43" s="405"/>
      <c r="YE43" s="405"/>
      <c r="YF43" s="405"/>
      <c r="YG43" s="405"/>
      <c r="YH43" s="405"/>
      <c r="YI43" s="405"/>
      <c r="YJ43" s="405"/>
      <c r="YK43" s="405"/>
      <c r="YL43" s="405"/>
      <c r="YM43" s="405"/>
      <c r="YN43" s="405"/>
      <c r="YO43" s="405"/>
      <c r="YP43" s="405"/>
      <c r="YQ43" s="405"/>
      <c r="YR43" s="405"/>
      <c r="YS43" s="405"/>
      <c r="YT43" s="405"/>
      <c r="YU43" s="405"/>
      <c r="YV43" s="405"/>
      <c r="YW43" s="405"/>
      <c r="YX43" s="405"/>
      <c r="YY43" s="405"/>
      <c r="YZ43" s="405"/>
      <c r="ZA43" s="405"/>
      <c r="ZB43" s="405"/>
      <c r="ZC43" s="405"/>
      <c r="ZD43" s="405"/>
      <c r="ZE43" s="405"/>
      <c r="ZF43" s="405"/>
      <c r="ZG43" s="405"/>
      <c r="ZH43" s="405"/>
      <c r="ZI43" s="405"/>
      <c r="ZJ43" s="405"/>
      <c r="ZK43" s="405"/>
      <c r="ZL43" s="405"/>
      <c r="ZM43" s="405"/>
      <c r="ZN43" s="405"/>
      <c r="ZO43" s="405"/>
      <c r="ZP43" s="405"/>
      <c r="ZQ43" s="405"/>
      <c r="ZR43" s="405"/>
      <c r="ZS43" s="405"/>
      <c r="ZT43" s="405"/>
      <c r="ZU43" s="405"/>
      <c r="ZV43" s="405"/>
      <c r="ZW43" s="405"/>
      <c r="ZX43" s="405"/>
      <c r="ZY43" s="405"/>
      <c r="ZZ43" s="405"/>
      <c r="AAA43" s="405"/>
      <c r="AAB43" s="405"/>
      <c r="AAC43" s="405"/>
      <c r="AAD43" s="405"/>
      <c r="AAE43" s="405"/>
      <c r="AAF43" s="405"/>
      <c r="AAG43" s="405"/>
      <c r="AAH43" s="405"/>
      <c r="AAI43" s="405"/>
      <c r="AAJ43" s="405"/>
      <c r="AAK43" s="405"/>
      <c r="AAL43" s="405"/>
      <c r="AAM43" s="405"/>
      <c r="AAN43" s="405"/>
      <c r="AAO43" s="405"/>
      <c r="AAP43" s="405"/>
      <c r="AAQ43" s="405"/>
      <c r="AAR43" s="405"/>
      <c r="AAS43" s="405"/>
      <c r="AAT43" s="405"/>
      <c r="AAU43" s="405"/>
      <c r="AAV43" s="405"/>
      <c r="AAW43" s="405"/>
      <c r="AAX43" s="405"/>
      <c r="AAY43" s="405"/>
      <c r="AAZ43" s="405"/>
      <c r="ABA43" s="405"/>
      <c r="ABB43" s="405"/>
      <c r="ABC43" s="405"/>
      <c r="ABD43" s="405"/>
      <c r="ABE43" s="405"/>
      <c r="ABF43" s="405"/>
      <c r="ABG43" s="405"/>
      <c r="ABH43" s="405"/>
      <c r="ABI43" s="405"/>
      <c r="ABJ43" s="405"/>
      <c r="ABK43" s="405"/>
      <c r="ABL43" s="405"/>
      <c r="ABM43" s="405"/>
      <c r="ABN43" s="405"/>
      <c r="ABO43" s="405"/>
      <c r="ABP43" s="405"/>
      <c r="ABQ43" s="405"/>
      <c r="ABR43" s="405"/>
      <c r="ABS43" s="405"/>
      <c r="ABT43" s="405"/>
      <c r="ABU43" s="405"/>
      <c r="ABV43" s="405"/>
      <c r="ABW43" s="405"/>
      <c r="ABX43" s="405"/>
      <c r="ABY43" s="405"/>
      <c r="ABZ43" s="405"/>
      <c r="ACA43" s="405"/>
      <c r="ACB43" s="405"/>
      <c r="ACC43" s="405"/>
      <c r="ACD43" s="405"/>
      <c r="ACE43" s="405"/>
      <c r="ACF43" s="405"/>
      <c r="ACG43" s="405"/>
      <c r="ACH43" s="405"/>
      <c r="ACI43" s="405"/>
      <c r="ACJ43" s="405"/>
      <c r="ACK43" s="405"/>
      <c r="ACL43" s="405"/>
      <c r="ACM43" s="405"/>
      <c r="ACN43" s="405"/>
      <c r="ACO43" s="405"/>
      <c r="ACP43" s="405"/>
      <c r="ACQ43" s="405"/>
      <c r="ACR43" s="405"/>
      <c r="ACS43" s="405"/>
      <c r="ACT43" s="405"/>
      <c r="ACU43" s="405"/>
      <c r="ACV43" s="405"/>
      <c r="ACW43" s="405"/>
      <c r="ACX43" s="405"/>
      <c r="ACY43" s="405"/>
      <c r="ACZ43" s="405"/>
      <c r="ADA43" s="405"/>
      <c r="ADB43" s="405"/>
      <c r="ADC43" s="405"/>
      <c r="ADD43" s="405"/>
      <c r="ADE43" s="405"/>
      <c r="ADF43" s="405"/>
      <c r="ADG43" s="405"/>
      <c r="ADH43" s="405"/>
      <c r="ADI43" s="405"/>
      <c r="ADJ43" s="405"/>
      <c r="ADK43" s="405"/>
      <c r="ADL43" s="405"/>
      <c r="ADM43" s="405"/>
      <c r="ADN43" s="405"/>
      <c r="ADO43" s="405"/>
      <c r="ADP43" s="405"/>
      <c r="ADQ43" s="405"/>
      <c r="ADR43" s="405"/>
      <c r="ADS43" s="405"/>
      <c r="ADT43" s="405"/>
      <c r="ADU43" s="405"/>
      <c r="ADV43" s="405"/>
      <c r="ADW43" s="405"/>
      <c r="ADX43" s="405"/>
      <c r="ADY43" s="405"/>
      <c r="ADZ43" s="405"/>
      <c r="AEA43" s="405"/>
      <c r="AEB43" s="405"/>
      <c r="AEC43" s="405"/>
      <c r="AED43" s="405"/>
      <c r="AEE43" s="405"/>
      <c r="AEF43" s="405"/>
      <c r="AEG43" s="405"/>
      <c r="AEH43" s="405"/>
      <c r="AEI43" s="405"/>
      <c r="AEJ43" s="405"/>
      <c r="AEK43" s="405"/>
      <c r="AEL43" s="405"/>
      <c r="AEM43" s="405"/>
      <c r="AEN43" s="405"/>
      <c r="AEO43" s="405"/>
      <c r="AEP43" s="405"/>
      <c r="AEQ43" s="405"/>
      <c r="AER43" s="405"/>
      <c r="AES43" s="405"/>
      <c r="AET43" s="405"/>
      <c r="AEU43" s="405"/>
      <c r="AEV43" s="405"/>
      <c r="AEW43" s="405"/>
      <c r="AEX43" s="405"/>
      <c r="AEY43" s="405"/>
      <c r="AEZ43" s="405"/>
      <c r="AFA43" s="405"/>
      <c r="AFB43" s="405"/>
      <c r="AFC43" s="405"/>
      <c r="AFD43" s="405"/>
      <c r="AFE43" s="405"/>
      <c r="AFF43" s="405"/>
      <c r="AFG43" s="405"/>
      <c r="AFH43" s="405"/>
      <c r="AFI43" s="405"/>
      <c r="AFJ43" s="405"/>
      <c r="AFK43" s="405"/>
      <c r="AFL43" s="405"/>
      <c r="AFM43" s="405"/>
      <c r="AFN43" s="405"/>
      <c r="AFO43" s="405"/>
      <c r="AFP43" s="405"/>
      <c r="AFQ43" s="405"/>
      <c r="AFR43" s="405"/>
      <c r="AFS43" s="405"/>
      <c r="AFT43" s="405"/>
      <c r="AFU43" s="405"/>
      <c r="AFV43" s="405"/>
      <c r="AFW43" s="405"/>
      <c r="AFX43" s="405"/>
      <c r="AFY43" s="405"/>
      <c r="AFZ43" s="405"/>
      <c r="AGA43" s="405"/>
      <c r="AGB43" s="405"/>
      <c r="AGC43" s="405"/>
      <c r="AGD43" s="405"/>
      <c r="AGE43" s="405"/>
      <c r="AGF43" s="405"/>
      <c r="AGG43" s="405"/>
      <c r="AGH43" s="405"/>
      <c r="AGI43" s="405"/>
      <c r="AGJ43" s="405"/>
      <c r="AGK43" s="405"/>
      <c r="AGL43" s="405"/>
      <c r="AGM43" s="405"/>
      <c r="AGN43" s="405"/>
      <c r="AGO43" s="405"/>
      <c r="AGP43" s="405"/>
      <c r="AGQ43" s="405"/>
      <c r="AGR43" s="405"/>
      <c r="AGS43" s="405"/>
      <c r="AGT43" s="405"/>
      <c r="AGU43" s="405"/>
      <c r="AGV43" s="405"/>
      <c r="AGW43" s="405"/>
      <c r="AGX43" s="405"/>
      <c r="AGY43" s="405"/>
      <c r="AGZ43" s="405"/>
      <c r="AHA43" s="405"/>
      <c r="AHB43" s="405"/>
      <c r="AHC43" s="405"/>
      <c r="AHD43" s="405"/>
      <c r="AHE43" s="405"/>
      <c r="AHF43" s="405"/>
      <c r="AHG43" s="405"/>
      <c r="AHH43" s="405"/>
      <c r="AHI43" s="405"/>
      <c r="AHJ43" s="405"/>
      <c r="AHK43" s="405"/>
      <c r="AHL43" s="405"/>
      <c r="AHM43" s="405"/>
      <c r="AHN43" s="405"/>
      <c r="AHO43" s="405"/>
      <c r="AHP43" s="405"/>
      <c r="AHQ43" s="405"/>
      <c r="AHR43" s="405"/>
      <c r="AHS43" s="405"/>
      <c r="AHT43" s="405"/>
      <c r="AHU43" s="405"/>
      <c r="AHV43" s="405"/>
      <c r="AHW43" s="405"/>
      <c r="AHX43" s="405"/>
      <c r="AHY43" s="405"/>
      <c r="AHZ43" s="405"/>
      <c r="AIA43" s="405"/>
      <c r="AIB43" s="405"/>
      <c r="AIC43" s="405"/>
      <c r="AID43" s="405"/>
      <c r="AIE43" s="405"/>
      <c r="AIF43" s="405"/>
      <c r="AIG43" s="405"/>
      <c r="AIH43" s="405"/>
      <c r="AII43" s="405"/>
      <c r="AIJ43" s="405"/>
      <c r="AIK43" s="405"/>
      <c r="AIL43" s="405"/>
      <c r="AIM43" s="405"/>
      <c r="AIN43" s="405"/>
      <c r="AIO43" s="405"/>
      <c r="AIP43" s="405"/>
      <c r="AIQ43" s="405"/>
      <c r="AIR43" s="405"/>
      <c r="AIS43" s="405"/>
      <c r="AIT43" s="405"/>
      <c r="AIU43" s="405"/>
      <c r="AIV43" s="405"/>
      <c r="AIW43" s="405"/>
      <c r="AIX43" s="405"/>
      <c r="AIY43" s="405"/>
      <c r="AIZ43" s="405"/>
      <c r="AJA43" s="405"/>
      <c r="AJB43" s="405"/>
      <c r="AJC43" s="405"/>
      <c r="AJD43" s="405"/>
      <c r="AJE43" s="405"/>
      <c r="AJF43" s="405"/>
      <c r="AJG43" s="405"/>
      <c r="AJH43" s="405"/>
      <c r="AJI43" s="405"/>
      <c r="AJJ43" s="405"/>
      <c r="AJK43" s="405"/>
      <c r="AJL43" s="405"/>
      <c r="AJM43" s="405"/>
      <c r="AJN43" s="405"/>
      <c r="AJO43" s="405"/>
      <c r="AJP43" s="405"/>
      <c r="AJQ43" s="405"/>
      <c r="AJR43" s="405"/>
      <c r="AJS43" s="405"/>
      <c r="AJT43" s="405"/>
      <c r="AJU43" s="405"/>
      <c r="AJV43" s="405"/>
      <c r="AJW43" s="405"/>
      <c r="AJX43" s="405"/>
      <c r="AJY43" s="405"/>
      <c r="AJZ43" s="405"/>
      <c r="AKA43" s="405"/>
      <c r="AKB43" s="405"/>
      <c r="AKC43" s="405"/>
      <c r="AKD43" s="405"/>
      <c r="AKE43" s="405"/>
      <c r="AKF43" s="405"/>
      <c r="AKG43" s="405"/>
      <c r="AKH43" s="405"/>
      <c r="AKI43" s="405"/>
      <c r="AKJ43" s="405"/>
      <c r="AKK43" s="405"/>
      <c r="AKL43" s="405"/>
      <c r="AKM43" s="405"/>
      <c r="AKN43" s="405"/>
      <c r="AKO43" s="405"/>
      <c r="AKP43" s="405"/>
      <c r="AKQ43" s="405"/>
      <c r="AKR43" s="405"/>
      <c r="AKS43" s="405"/>
      <c r="AKT43" s="405"/>
      <c r="AKU43" s="405"/>
      <c r="AKV43" s="405"/>
      <c r="AKW43" s="405"/>
      <c r="AKX43" s="405"/>
      <c r="AKY43" s="405"/>
      <c r="AKZ43" s="405"/>
      <c r="ALA43" s="405"/>
      <c r="ALB43" s="405"/>
      <c r="ALC43" s="405"/>
      <c r="ALD43" s="405"/>
      <c r="ALE43" s="405"/>
      <c r="ALF43" s="405"/>
      <c r="ALG43" s="405"/>
      <c r="ALH43" s="405"/>
      <c r="ALI43" s="405"/>
      <c r="ALJ43" s="405"/>
      <c r="ALK43" s="405"/>
      <c r="ALL43" s="405"/>
      <c r="ALM43" s="405"/>
      <c r="ALN43" s="405"/>
      <c r="ALO43" s="405"/>
      <c r="ALP43" s="405"/>
      <c r="ALQ43" s="405"/>
      <c r="ALR43" s="405"/>
      <c r="ALS43" s="405"/>
      <c r="ALT43" s="405"/>
      <c r="ALU43" s="405"/>
      <c r="ALV43" s="405"/>
      <c r="ALW43" s="405"/>
      <c r="ALX43" s="405"/>
      <c r="ALY43" s="405"/>
      <c r="ALZ43" s="405"/>
      <c r="AMA43" s="405"/>
      <c r="AMB43" s="405"/>
      <c r="AMC43" s="405"/>
      <c r="AMD43" s="405"/>
      <c r="AME43" s="405"/>
      <c r="AMF43" s="405"/>
      <c r="AMG43" s="405"/>
      <c r="AMH43" s="405"/>
      <c r="AMI43" s="405"/>
      <c r="AMJ43" s="405"/>
      <c r="AMK43" s="405"/>
    </row>
    <row r="44" spans="1:1025" ht="63.75" thickBot="1" x14ac:dyDescent="0.3">
      <c r="A44" s="102" t="str">
        <f>IF(COUNTBLANK(B44)=1," ",COUNTA(B$14:B44))</f>
        <v xml:space="preserve"> </v>
      </c>
      <c r="B44" s="392"/>
      <c r="C44" s="567" t="s">
        <v>351</v>
      </c>
      <c r="D44" s="578"/>
      <c r="E44" s="579"/>
      <c r="F44" s="386"/>
      <c r="G44" s="210"/>
      <c r="H44" s="208">
        <f t="shared" si="0"/>
        <v>0</v>
      </c>
      <c r="I44" s="386"/>
      <c r="J44" s="209"/>
      <c r="K44" s="307">
        <f t="shared" si="1"/>
        <v>0</v>
      </c>
      <c r="L44" s="307">
        <f t="shared" si="2"/>
        <v>0</v>
      </c>
      <c r="M44" s="307">
        <f t="shared" si="3"/>
        <v>0</v>
      </c>
      <c r="N44" s="307">
        <f t="shared" si="4"/>
        <v>0</v>
      </c>
      <c r="O44" s="307">
        <f t="shared" si="5"/>
        <v>0</v>
      </c>
      <c r="P44" s="307">
        <f t="shared" si="6"/>
        <v>0</v>
      </c>
    </row>
    <row r="45" spans="1:1025" x14ac:dyDescent="0.25">
      <c r="A45" s="102">
        <f>IF(COUNTBLANK(B45)=1," ",COUNTA(B$14:B45))</f>
        <v>25</v>
      </c>
      <c r="B45" s="583" t="s">
        <v>87</v>
      </c>
      <c r="C45" s="572" t="s">
        <v>352</v>
      </c>
      <c r="D45" s="584" t="s">
        <v>91</v>
      </c>
      <c r="E45" s="574">
        <v>1</v>
      </c>
      <c r="F45" s="576"/>
      <c r="G45" s="210"/>
      <c r="H45" s="208">
        <f t="shared" si="0"/>
        <v>0</v>
      </c>
      <c r="I45" s="568"/>
      <c r="J45" s="570"/>
      <c r="K45" s="307">
        <f t="shared" si="1"/>
        <v>0</v>
      </c>
      <c r="L45" s="307">
        <f t="shared" si="2"/>
        <v>0</v>
      </c>
      <c r="M45" s="307">
        <f t="shared" si="3"/>
        <v>0</v>
      </c>
      <c r="N45" s="307">
        <f t="shared" si="4"/>
        <v>0</v>
      </c>
      <c r="O45" s="307">
        <f t="shared" si="5"/>
        <v>0</v>
      </c>
      <c r="P45" s="307">
        <f t="shared" si="6"/>
        <v>0</v>
      </c>
    </row>
    <row r="46" spans="1:1025" x14ac:dyDescent="0.25">
      <c r="A46" s="102">
        <f>IF(COUNTBLANK(B46)=1," ",COUNTA(B$14:B46))</f>
        <v>26</v>
      </c>
      <c r="B46" s="583" t="s">
        <v>87</v>
      </c>
      <c r="C46" s="573" t="s">
        <v>353</v>
      </c>
      <c r="D46" s="584" t="s">
        <v>91</v>
      </c>
      <c r="E46" s="574">
        <v>1</v>
      </c>
      <c r="F46" s="576"/>
      <c r="G46" s="210"/>
      <c r="H46" s="208">
        <f t="shared" si="0"/>
        <v>0</v>
      </c>
      <c r="I46" s="568"/>
      <c r="J46" s="570"/>
      <c r="K46" s="307">
        <f t="shared" si="1"/>
        <v>0</v>
      </c>
      <c r="L46" s="307">
        <f t="shared" si="2"/>
        <v>0</v>
      </c>
      <c r="M46" s="307">
        <f t="shared" si="3"/>
        <v>0</v>
      </c>
      <c r="N46" s="307">
        <f t="shared" si="4"/>
        <v>0</v>
      </c>
      <c r="O46" s="307">
        <f t="shared" si="5"/>
        <v>0</v>
      </c>
      <c r="P46" s="307">
        <f t="shared" si="6"/>
        <v>0</v>
      </c>
    </row>
    <row r="47" spans="1:1025" x14ac:dyDescent="0.25">
      <c r="A47" s="102">
        <f>IF(COUNTBLANK(B47)=1," ",COUNTA(B$14:B47))</f>
        <v>27</v>
      </c>
      <c r="B47" s="583" t="s">
        <v>87</v>
      </c>
      <c r="C47" s="573" t="s">
        <v>354</v>
      </c>
      <c r="D47" s="584" t="s">
        <v>91</v>
      </c>
      <c r="E47" s="574">
        <v>1</v>
      </c>
      <c r="F47" s="576"/>
      <c r="G47" s="210"/>
      <c r="H47" s="208">
        <f t="shared" si="0"/>
        <v>0</v>
      </c>
      <c r="I47" s="568"/>
      <c r="J47" s="570"/>
      <c r="K47" s="307">
        <f t="shared" si="1"/>
        <v>0</v>
      </c>
      <c r="L47" s="307">
        <f t="shared" si="2"/>
        <v>0</v>
      </c>
      <c r="M47" s="307">
        <f t="shared" si="3"/>
        <v>0</v>
      </c>
      <c r="N47" s="307">
        <f t="shared" si="4"/>
        <v>0</v>
      </c>
      <c r="O47" s="307">
        <f t="shared" si="5"/>
        <v>0</v>
      </c>
      <c r="P47" s="307">
        <f t="shared" si="6"/>
        <v>0</v>
      </c>
    </row>
    <row r="48" spans="1:1025" x14ac:dyDescent="0.25">
      <c r="A48" s="102">
        <f>IF(COUNTBLANK(B48)=1," ",COUNTA(B$14:B48))</f>
        <v>28</v>
      </c>
      <c r="B48" s="583" t="s">
        <v>87</v>
      </c>
      <c r="C48" s="585" t="s">
        <v>355</v>
      </c>
      <c r="D48" s="586" t="s">
        <v>91</v>
      </c>
      <c r="E48" s="587">
        <v>1</v>
      </c>
      <c r="F48" s="576"/>
      <c r="G48" s="210"/>
      <c r="H48" s="208">
        <f t="shared" si="0"/>
        <v>0</v>
      </c>
      <c r="I48" s="568"/>
      <c r="J48" s="570"/>
      <c r="K48" s="307">
        <f t="shared" si="1"/>
        <v>0</v>
      </c>
      <c r="L48" s="307">
        <f t="shared" si="2"/>
        <v>0</v>
      </c>
      <c r="M48" s="307">
        <f t="shared" si="3"/>
        <v>0</v>
      </c>
      <c r="N48" s="307">
        <f t="shared" si="4"/>
        <v>0</v>
      </c>
      <c r="O48" s="307">
        <f t="shared" si="5"/>
        <v>0</v>
      </c>
      <c r="P48" s="307">
        <f t="shared" si="6"/>
        <v>0</v>
      </c>
    </row>
    <row r="49" spans="1:16" ht="56.25" x14ac:dyDescent="0.25">
      <c r="A49" s="102">
        <f>IF(COUNTBLANK(B49)=1," ",COUNTA(B$14:B49))</f>
        <v>29</v>
      </c>
      <c r="B49" s="583" t="s">
        <v>87</v>
      </c>
      <c r="C49" s="573" t="s">
        <v>614</v>
      </c>
      <c r="D49" s="588" t="s">
        <v>58</v>
      </c>
      <c r="E49" s="589">
        <v>1</v>
      </c>
      <c r="F49" s="577"/>
      <c r="G49" s="210"/>
      <c r="H49" s="208">
        <f t="shared" si="0"/>
        <v>0</v>
      </c>
      <c r="I49" s="163"/>
      <c r="J49" s="209"/>
      <c r="K49" s="307">
        <f t="shared" si="1"/>
        <v>0</v>
      </c>
      <c r="L49" s="307">
        <f t="shared" si="2"/>
        <v>0</v>
      </c>
      <c r="M49" s="307">
        <f t="shared" si="3"/>
        <v>0</v>
      </c>
      <c r="N49" s="307">
        <f t="shared" si="4"/>
        <v>0</v>
      </c>
      <c r="O49" s="307">
        <f t="shared" si="5"/>
        <v>0</v>
      </c>
      <c r="P49" s="307">
        <f t="shared" si="6"/>
        <v>0</v>
      </c>
    </row>
    <row r="50" spans="1:16" ht="57" thickBot="1" x14ac:dyDescent="0.3">
      <c r="A50" s="102">
        <f>IF(COUNTBLANK(B50)=1," ",COUNTA(B$14:B50))</f>
        <v>30</v>
      </c>
      <c r="B50" s="583" t="s">
        <v>87</v>
      </c>
      <c r="C50" s="594" t="s">
        <v>635</v>
      </c>
      <c r="D50" s="590" t="s">
        <v>58</v>
      </c>
      <c r="E50" s="591">
        <v>5</v>
      </c>
      <c r="F50" s="592"/>
      <c r="G50" s="593"/>
      <c r="H50" s="208">
        <f t="shared" si="0"/>
        <v>0</v>
      </c>
      <c r="I50" s="592"/>
      <c r="J50" s="570"/>
      <c r="K50" s="307">
        <f t="shared" si="1"/>
        <v>0</v>
      </c>
      <c r="L50" s="307">
        <f t="shared" si="2"/>
        <v>0</v>
      </c>
      <c r="M50" s="307">
        <f t="shared" si="3"/>
        <v>0</v>
      </c>
      <c r="N50" s="307">
        <f t="shared" si="4"/>
        <v>0</v>
      </c>
      <c r="O50" s="307">
        <f t="shared" si="5"/>
        <v>0</v>
      </c>
      <c r="P50" s="307">
        <f t="shared" si="6"/>
        <v>0</v>
      </c>
    </row>
    <row r="51" spans="1:16" x14ac:dyDescent="0.25">
      <c r="A51" s="102">
        <f>IF(COUNTBLANK(B51)=1," ",COUNTA(B$14:B51))</f>
        <v>31</v>
      </c>
      <c r="B51" s="571" t="s">
        <v>87</v>
      </c>
      <c r="C51" s="580" t="s">
        <v>170</v>
      </c>
      <c r="D51" s="896" t="s">
        <v>58</v>
      </c>
      <c r="E51" s="581">
        <f>SUM(E44:E50)</f>
        <v>10</v>
      </c>
      <c r="F51" s="219"/>
      <c r="G51" s="210"/>
      <c r="H51" s="208">
        <f t="shared" si="0"/>
        <v>0</v>
      </c>
      <c r="I51" s="219"/>
      <c r="J51" s="209"/>
      <c r="K51" s="307">
        <f t="shared" si="1"/>
        <v>0</v>
      </c>
      <c r="L51" s="307">
        <f t="shared" si="2"/>
        <v>0</v>
      </c>
      <c r="M51" s="307">
        <f t="shared" si="3"/>
        <v>0</v>
      </c>
      <c r="N51" s="307">
        <f t="shared" si="4"/>
        <v>0</v>
      </c>
      <c r="O51" s="307">
        <f t="shared" si="5"/>
        <v>0</v>
      </c>
      <c r="P51" s="307">
        <f t="shared" si="6"/>
        <v>0</v>
      </c>
    </row>
    <row r="52" spans="1:16" x14ac:dyDescent="0.25">
      <c r="A52" s="102">
        <f>IF(COUNTBLANK(B52)=1," ",COUNTA(B$14:B52))</f>
        <v>32</v>
      </c>
      <c r="B52" s="222" t="s">
        <v>87</v>
      </c>
      <c r="C52" s="187" t="s">
        <v>110</v>
      </c>
      <c r="D52" s="186" t="s">
        <v>58</v>
      </c>
      <c r="E52" s="219">
        <f>ROUNDUP(E51*10,0)</f>
        <v>100</v>
      </c>
      <c r="F52" s="188"/>
      <c r="G52" s="210"/>
      <c r="H52" s="208">
        <f t="shared" si="0"/>
        <v>0</v>
      </c>
      <c r="I52" s="188"/>
      <c r="J52" s="209"/>
      <c r="K52" s="307">
        <f t="shared" si="1"/>
        <v>0</v>
      </c>
      <c r="L52" s="307">
        <f t="shared" si="2"/>
        <v>0</v>
      </c>
      <c r="M52" s="307">
        <f t="shared" si="3"/>
        <v>0</v>
      </c>
      <c r="N52" s="307">
        <f t="shared" si="4"/>
        <v>0</v>
      </c>
      <c r="O52" s="307">
        <f t="shared" si="5"/>
        <v>0</v>
      </c>
      <c r="P52" s="307">
        <f t="shared" si="6"/>
        <v>0</v>
      </c>
    </row>
    <row r="53" spans="1:16" x14ac:dyDescent="0.25">
      <c r="A53" s="102">
        <f>IF(COUNTBLANK(B53)=1," ",COUNTA(B$14:B53))</f>
        <v>33</v>
      </c>
      <c r="B53" s="222" t="s">
        <v>87</v>
      </c>
      <c r="C53" s="187" t="s">
        <v>108</v>
      </c>
      <c r="D53" s="186" t="s">
        <v>58</v>
      </c>
      <c r="E53" s="219">
        <f>E52*4</f>
        <v>400</v>
      </c>
      <c r="F53" s="219"/>
      <c r="G53" s="210"/>
      <c r="H53" s="208">
        <f t="shared" si="0"/>
        <v>0</v>
      </c>
      <c r="I53" s="188"/>
      <c r="J53" s="209"/>
      <c r="K53" s="307">
        <f t="shared" si="1"/>
        <v>0</v>
      </c>
      <c r="L53" s="307">
        <f t="shared" si="2"/>
        <v>0</v>
      </c>
      <c r="M53" s="307">
        <f t="shared" si="3"/>
        <v>0</v>
      </c>
      <c r="N53" s="307">
        <f t="shared" si="4"/>
        <v>0</v>
      </c>
      <c r="O53" s="307">
        <f t="shared" si="5"/>
        <v>0</v>
      </c>
      <c r="P53" s="307">
        <f t="shared" si="6"/>
        <v>0</v>
      </c>
    </row>
    <row r="54" spans="1:16" x14ac:dyDescent="0.25">
      <c r="A54" s="102">
        <f>IF(COUNTBLANK(B54)=1," ",COUNTA(B$14:B54))</f>
        <v>34</v>
      </c>
      <c r="B54" s="222" t="s">
        <v>87</v>
      </c>
      <c r="C54" s="223" t="s">
        <v>109</v>
      </c>
      <c r="D54" s="188" t="s">
        <v>58</v>
      </c>
      <c r="E54" s="219">
        <f>E52*2</f>
        <v>200</v>
      </c>
      <c r="F54" s="188"/>
      <c r="G54" s="210"/>
      <c r="H54" s="208">
        <f t="shared" si="0"/>
        <v>0</v>
      </c>
      <c r="I54" s="188"/>
      <c r="J54" s="209"/>
      <c r="K54" s="307">
        <f t="shared" si="1"/>
        <v>0</v>
      </c>
      <c r="L54" s="307">
        <f t="shared" si="2"/>
        <v>0</v>
      </c>
      <c r="M54" s="307">
        <f t="shared" si="3"/>
        <v>0</v>
      </c>
      <c r="N54" s="307">
        <f t="shared" si="4"/>
        <v>0</v>
      </c>
      <c r="O54" s="307">
        <f t="shared" si="5"/>
        <v>0</v>
      </c>
      <c r="P54" s="307">
        <f t="shared" si="6"/>
        <v>0</v>
      </c>
    </row>
    <row r="55" spans="1:16" x14ac:dyDescent="0.25">
      <c r="A55" s="102">
        <f>IF(COUNTBLANK(B55)=1," ",COUNTA(B$14:B55))</f>
        <v>35</v>
      </c>
      <c r="B55" s="222" t="s">
        <v>87</v>
      </c>
      <c r="C55" s="187" t="s">
        <v>356</v>
      </c>
      <c r="D55" s="186" t="s">
        <v>92</v>
      </c>
      <c r="E55" s="219">
        <f>ROUNDUP(E51*4,0)</f>
        <v>40</v>
      </c>
      <c r="F55" s="188"/>
      <c r="G55" s="210"/>
      <c r="H55" s="208">
        <f t="shared" si="0"/>
        <v>0</v>
      </c>
      <c r="I55" s="188"/>
      <c r="J55" s="209"/>
      <c r="K55" s="307">
        <f t="shared" si="1"/>
        <v>0</v>
      </c>
      <c r="L55" s="307">
        <f t="shared" si="2"/>
        <v>0</v>
      </c>
      <c r="M55" s="307">
        <f t="shared" si="3"/>
        <v>0</v>
      </c>
      <c r="N55" s="307">
        <f t="shared" si="4"/>
        <v>0</v>
      </c>
      <c r="O55" s="307">
        <f t="shared" si="5"/>
        <v>0</v>
      </c>
      <c r="P55" s="307">
        <f t="shared" si="6"/>
        <v>0</v>
      </c>
    </row>
    <row r="56" spans="1:16" x14ac:dyDescent="0.25">
      <c r="A56" s="102">
        <f>IF(COUNTBLANK(B56)=1," ",COUNTA(B$14:B56))</f>
        <v>36</v>
      </c>
      <c r="B56" s="222" t="s">
        <v>87</v>
      </c>
      <c r="C56" s="886" t="s">
        <v>282</v>
      </c>
      <c r="D56" s="186" t="s">
        <v>92</v>
      </c>
      <c r="E56" s="219">
        <f>ROUNDUP(E51*0.25,2)</f>
        <v>2.5</v>
      </c>
      <c r="F56" s="219"/>
      <c r="G56" s="210"/>
      <c r="H56" s="208">
        <f t="shared" si="0"/>
        <v>0</v>
      </c>
      <c r="I56" s="188"/>
      <c r="J56" s="209"/>
      <c r="K56" s="307">
        <f t="shared" si="1"/>
        <v>0</v>
      </c>
      <c r="L56" s="307">
        <f t="shared" si="2"/>
        <v>0</v>
      </c>
      <c r="M56" s="307">
        <f t="shared" si="3"/>
        <v>0</v>
      </c>
      <c r="N56" s="307">
        <f t="shared" si="4"/>
        <v>0</v>
      </c>
      <c r="O56" s="307">
        <f t="shared" si="5"/>
        <v>0</v>
      </c>
      <c r="P56" s="307">
        <f t="shared" si="6"/>
        <v>0</v>
      </c>
    </row>
    <row r="57" spans="1:16" x14ac:dyDescent="0.25">
      <c r="A57" s="102">
        <f>IF(COUNTBLANK(B57)=1," ",COUNTA(B$14:B57))</f>
        <v>37</v>
      </c>
      <c r="B57" s="222" t="s">
        <v>87</v>
      </c>
      <c r="C57" s="598" t="s">
        <v>656</v>
      </c>
      <c r="D57" s="597" t="s">
        <v>83</v>
      </c>
      <c r="E57" s="574">
        <v>11</v>
      </c>
      <c r="F57" s="595"/>
      <c r="G57" s="593"/>
      <c r="H57" s="208">
        <f t="shared" si="0"/>
        <v>0</v>
      </c>
      <c r="I57" s="596"/>
      <c r="J57" s="570"/>
      <c r="K57" s="307">
        <f t="shared" si="1"/>
        <v>0</v>
      </c>
      <c r="L57" s="307">
        <f t="shared" si="2"/>
        <v>0</v>
      </c>
      <c r="M57" s="307">
        <f t="shared" si="3"/>
        <v>0</v>
      </c>
      <c r="N57" s="307">
        <f t="shared" si="4"/>
        <v>0</v>
      </c>
      <c r="O57" s="307">
        <f t="shared" si="5"/>
        <v>0</v>
      </c>
      <c r="P57" s="307">
        <f t="shared" si="6"/>
        <v>0</v>
      </c>
    </row>
    <row r="58" spans="1:16" x14ac:dyDescent="0.25">
      <c r="A58" s="102">
        <f>IF(COUNTBLANK(B58)=1," ",COUNTA(B$14:B58))</f>
        <v>38</v>
      </c>
      <c r="B58" s="222" t="s">
        <v>87</v>
      </c>
      <c r="C58" s="560" t="s">
        <v>356</v>
      </c>
      <c r="D58" s="597" t="s">
        <v>92</v>
      </c>
      <c r="E58" s="574">
        <f>ROUNDUP(E57*0.2,0)</f>
        <v>3</v>
      </c>
      <c r="F58" s="595"/>
      <c r="G58" s="593"/>
      <c r="H58" s="208">
        <f t="shared" si="0"/>
        <v>0</v>
      </c>
      <c r="I58" s="596"/>
      <c r="J58" s="570"/>
      <c r="K58" s="307">
        <f t="shared" si="1"/>
        <v>0</v>
      </c>
      <c r="L58" s="307">
        <f t="shared" si="2"/>
        <v>0</v>
      </c>
      <c r="M58" s="307">
        <f t="shared" si="3"/>
        <v>0</v>
      </c>
      <c r="N58" s="307">
        <f t="shared" si="4"/>
        <v>0</v>
      </c>
      <c r="O58" s="307">
        <f t="shared" si="5"/>
        <v>0</v>
      </c>
      <c r="P58" s="307">
        <f t="shared" si="6"/>
        <v>0</v>
      </c>
    </row>
    <row r="59" spans="1:16" x14ac:dyDescent="0.25">
      <c r="A59" s="102">
        <f>IF(COUNTBLANK(B59)=1," ",COUNTA(B$14:B59))</f>
        <v>39</v>
      </c>
      <c r="B59" s="222" t="s">
        <v>87</v>
      </c>
      <c r="C59" s="560" t="s">
        <v>108</v>
      </c>
      <c r="D59" s="597" t="s">
        <v>83</v>
      </c>
      <c r="E59" s="574">
        <f>ROUNDUP(E57*8,0)</f>
        <v>88</v>
      </c>
      <c r="F59" s="595"/>
      <c r="G59" s="593"/>
      <c r="H59" s="208">
        <f t="shared" si="0"/>
        <v>0</v>
      </c>
      <c r="I59" s="596"/>
      <c r="J59" s="570"/>
      <c r="K59" s="307">
        <f t="shared" si="1"/>
        <v>0</v>
      </c>
      <c r="L59" s="307">
        <f t="shared" si="2"/>
        <v>0</v>
      </c>
      <c r="M59" s="307">
        <f t="shared" si="3"/>
        <v>0</v>
      </c>
      <c r="N59" s="307">
        <f t="shared" si="4"/>
        <v>0</v>
      </c>
      <c r="O59" s="307">
        <f t="shared" si="5"/>
        <v>0</v>
      </c>
      <c r="P59" s="307">
        <f t="shared" si="6"/>
        <v>0</v>
      </c>
    </row>
    <row r="60" spans="1:16" x14ac:dyDescent="0.25">
      <c r="A60" s="102">
        <f>IF(COUNTBLANK(B60)=1," ",COUNTA(B$14:B60))</f>
        <v>40</v>
      </c>
      <c r="B60" s="222" t="s">
        <v>87</v>
      </c>
      <c r="C60" s="560" t="s">
        <v>282</v>
      </c>
      <c r="D60" s="597" t="s">
        <v>92</v>
      </c>
      <c r="E60" s="574">
        <f>ROUNDUP(E57*0.2,2)</f>
        <v>2.2000000000000002</v>
      </c>
      <c r="F60" s="595"/>
      <c r="G60" s="593"/>
      <c r="H60" s="208">
        <f t="shared" si="0"/>
        <v>0</v>
      </c>
      <c r="I60" s="596"/>
      <c r="J60" s="570"/>
      <c r="K60" s="307">
        <f t="shared" si="1"/>
        <v>0</v>
      </c>
      <c r="L60" s="307">
        <f t="shared" si="2"/>
        <v>0</v>
      </c>
      <c r="M60" s="307">
        <f t="shared" si="3"/>
        <v>0</v>
      </c>
      <c r="N60" s="307">
        <f t="shared" si="4"/>
        <v>0</v>
      </c>
      <c r="O60" s="307">
        <f t="shared" si="5"/>
        <v>0</v>
      </c>
      <c r="P60" s="307">
        <f t="shared" si="6"/>
        <v>0</v>
      </c>
    </row>
    <row r="61" spans="1:16" x14ac:dyDescent="0.25">
      <c r="A61" s="102">
        <f>IF(COUNTBLANK(B61)=1," ",COUNTA(B$14:B61))</f>
        <v>41</v>
      </c>
      <c r="B61" s="222" t="s">
        <v>87</v>
      </c>
      <c r="C61" s="560" t="s">
        <v>657</v>
      </c>
      <c r="D61" s="597" t="s">
        <v>83</v>
      </c>
      <c r="E61" s="574">
        <v>11</v>
      </c>
      <c r="F61" s="595"/>
      <c r="G61" s="593"/>
      <c r="H61" s="208">
        <f t="shared" si="0"/>
        <v>0</v>
      </c>
      <c r="I61" s="596"/>
      <c r="J61" s="570"/>
      <c r="K61" s="307">
        <f t="shared" si="1"/>
        <v>0</v>
      </c>
      <c r="L61" s="307">
        <f t="shared" si="2"/>
        <v>0</v>
      </c>
      <c r="M61" s="307">
        <f t="shared" si="3"/>
        <v>0</v>
      </c>
      <c r="N61" s="307">
        <f t="shared" si="4"/>
        <v>0</v>
      </c>
      <c r="O61" s="307">
        <f t="shared" si="5"/>
        <v>0</v>
      </c>
      <c r="P61" s="307">
        <f t="shared" si="6"/>
        <v>0</v>
      </c>
    </row>
    <row r="62" spans="1:16" ht="22.5" x14ac:dyDescent="0.25">
      <c r="A62" s="102">
        <f>IF(COUNTBLANK(B62)=1," ",COUNTA(B$14:B62))</f>
        <v>42</v>
      </c>
      <c r="B62" s="222" t="s">
        <v>87</v>
      </c>
      <c r="C62" s="598" t="s">
        <v>658</v>
      </c>
      <c r="D62" s="597" t="s">
        <v>83</v>
      </c>
      <c r="E62" s="574">
        <v>34</v>
      </c>
      <c r="F62" s="595"/>
      <c r="G62" s="593"/>
      <c r="H62" s="208">
        <f t="shared" si="0"/>
        <v>0</v>
      </c>
      <c r="I62" s="596"/>
      <c r="J62" s="570"/>
      <c r="K62" s="307">
        <f t="shared" si="1"/>
        <v>0</v>
      </c>
      <c r="L62" s="307">
        <f t="shared" si="2"/>
        <v>0</v>
      </c>
      <c r="M62" s="307">
        <f t="shared" si="3"/>
        <v>0</v>
      </c>
      <c r="N62" s="307">
        <f t="shared" si="4"/>
        <v>0</v>
      </c>
      <c r="O62" s="307">
        <f t="shared" si="5"/>
        <v>0</v>
      </c>
      <c r="P62" s="307">
        <f t="shared" si="6"/>
        <v>0</v>
      </c>
    </row>
    <row r="63" spans="1:16" x14ac:dyDescent="0.25">
      <c r="A63" s="102">
        <f>IF(COUNTBLANK(B63)=1," ",COUNTA(B$14:B63))</f>
        <v>43</v>
      </c>
      <c r="B63" s="222" t="s">
        <v>87</v>
      </c>
      <c r="C63" s="560" t="s">
        <v>356</v>
      </c>
      <c r="D63" s="597" t="s">
        <v>92</v>
      </c>
      <c r="E63" s="574">
        <f>ROUNDUP(E62*0.2,0)</f>
        <v>7</v>
      </c>
      <c r="F63" s="595"/>
      <c r="G63" s="593"/>
      <c r="H63" s="208">
        <f t="shared" si="0"/>
        <v>0</v>
      </c>
      <c r="I63" s="596"/>
      <c r="J63" s="570"/>
      <c r="K63" s="307">
        <f t="shared" si="1"/>
        <v>0</v>
      </c>
      <c r="L63" s="307">
        <f t="shared" si="2"/>
        <v>0</v>
      </c>
      <c r="M63" s="307">
        <f t="shared" si="3"/>
        <v>0</v>
      </c>
      <c r="N63" s="307">
        <f t="shared" si="4"/>
        <v>0</v>
      </c>
      <c r="O63" s="307">
        <f t="shared" si="5"/>
        <v>0</v>
      </c>
      <c r="P63" s="307">
        <f t="shared" si="6"/>
        <v>0</v>
      </c>
    </row>
    <row r="64" spans="1:16" x14ac:dyDescent="0.25">
      <c r="A64" s="102">
        <f>IF(COUNTBLANK(B64)=1," ",COUNTA(B$14:B64))</f>
        <v>44</v>
      </c>
      <c r="B64" s="222" t="s">
        <v>87</v>
      </c>
      <c r="C64" s="560" t="s">
        <v>108</v>
      </c>
      <c r="D64" s="597" t="s">
        <v>83</v>
      </c>
      <c r="E64" s="574">
        <f>ROUNDUP(E62*8,0)</f>
        <v>272</v>
      </c>
      <c r="F64" s="595"/>
      <c r="G64" s="593"/>
      <c r="H64" s="208">
        <f t="shared" si="0"/>
        <v>0</v>
      </c>
      <c r="I64" s="596"/>
      <c r="J64" s="570"/>
      <c r="K64" s="307">
        <f t="shared" si="1"/>
        <v>0</v>
      </c>
      <c r="L64" s="307">
        <f t="shared" si="2"/>
        <v>0</v>
      </c>
      <c r="M64" s="307">
        <f t="shared" si="3"/>
        <v>0</v>
      </c>
      <c r="N64" s="307">
        <f t="shared" si="4"/>
        <v>0</v>
      </c>
      <c r="O64" s="307">
        <f t="shared" si="5"/>
        <v>0</v>
      </c>
      <c r="P64" s="307">
        <f t="shared" si="6"/>
        <v>0</v>
      </c>
    </row>
    <row r="65" spans="1:16" x14ac:dyDescent="0.25">
      <c r="A65" s="102">
        <f>IF(COUNTBLANK(B65)=1," ",COUNTA(B$14:B65))</f>
        <v>45</v>
      </c>
      <c r="B65" s="222" t="s">
        <v>87</v>
      </c>
      <c r="C65" s="560" t="s">
        <v>282</v>
      </c>
      <c r="D65" s="597" t="s">
        <v>92</v>
      </c>
      <c r="E65" s="574">
        <f>ROUNDUP(E62*0.2,2)</f>
        <v>6.8</v>
      </c>
      <c r="F65" s="595"/>
      <c r="G65" s="593"/>
      <c r="H65" s="208">
        <f t="shared" si="0"/>
        <v>0</v>
      </c>
      <c r="I65" s="596"/>
      <c r="J65" s="570"/>
      <c r="K65" s="307">
        <f t="shared" si="1"/>
        <v>0</v>
      </c>
      <c r="L65" s="307">
        <f t="shared" si="2"/>
        <v>0</v>
      </c>
      <c r="M65" s="307">
        <f t="shared" si="3"/>
        <v>0</v>
      </c>
      <c r="N65" s="307">
        <f t="shared" si="4"/>
        <v>0</v>
      </c>
      <c r="O65" s="307">
        <f t="shared" si="5"/>
        <v>0</v>
      </c>
      <c r="P65" s="307">
        <f t="shared" si="6"/>
        <v>0</v>
      </c>
    </row>
    <row r="66" spans="1:16" x14ac:dyDescent="0.25">
      <c r="A66" s="102">
        <f>IF(COUNTBLANK(B66)=1," ",COUNTA(B$14:B66))</f>
        <v>46</v>
      </c>
      <c r="B66" s="222" t="s">
        <v>87</v>
      </c>
      <c r="C66" s="560" t="s">
        <v>659</v>
      </c>
      <c r="D66" s="597" t="s">
        <v>83</v>
      </c>
      <c r="E66" s="574">
        <v>34</v>
      </c>
      <c r="F66" s="595"/>
      <c r="G66" s="593"/>
      <c r="H66" s="208">
        <f t="shared" si="0"/>
        <v>0</v>
      </c>
      <c r="I66" s="596"/>
      <c r="J66" s="570"/>
      <c r="K66" s="307">
        <f t="shared" si="1"/>
        <v>0</v>
      </c>
      <c r="L66" s="307">
        <f t="shared" si="2"/>
        <v>0</v>
      </c>
      <c r="M66" s="307">
        <f t="shared" si="3"/>
        <v>0</v>
      </c>
      <c r="N66" s="307">
        <f t="shared" si="4"/>
        <v>0</v>
      </c>
      <c r="O66" s="307">
        <f t="shared" si="5"/>
        <v>0</v>
      </c>
      <c r="P66" s="307">
        <f t="shared" si="6"/>
        <v>0</v>
      </c>
    </row>
    <row r="67" spans="1:16" ht="22.5" x14ac:dyDescent="0.25">
      <c r="A67" s="102">
        <f>IF(COUNTBLANK(B67)=1," ",COUNTA(B$14:B67))</f>
        <v>47</v>
      </c>
      <c r="B67" s="222" t="s">
        <v>87</v>
      </c>
      <c r="C67" s="897" t="s">
        <v>284</v>
      </c>
      <c r="D67" s="221" t="s">
        <v>89</v>
      </c>
      <c r="E67" s="898">
        <v>884.4</v>
      </c>
      <c r="F67" s="188"/>
      <c r="G67" s="210"/>
      <c r="H67" s="208">
        <f t="shared" si="0"/>
        <v>0</v>
      </c>
      <c r="I67" s="188"/>
      <c r="J67" s="209"/>
      <c r="K67" s="307">
        <f t="shared" si="1"/>
        <v>0</v>
      </c>
      <c r="L67" s="307">
        <f t="shared" si="2"/>
        <v>0</v>
      </c>
      <c r="M67" s="307">
        <f t="shared" si="3"/>
        <v>0</v>
      </c>
      <c r="N67" s="307">
        <f t="shared" si="4"/>
        <v>0</v>
      </c>
      <c r="O67" s="307">
        <f t="shared" si="5"/>
        <v>0</v>
      </c>
      <c r="P67" s="307">
        <f t="shared" si="6"/>
        <v>0</v>
      </c>
    </row>
    <row r="68" spans="1:16" ht="22.5" x14ac:dyDescent="0.25">
      <c r="A68" s="102">
        <f>IF(COUNTBLANK(B68)=1," ",COUNTA(B$14:B68))</f>
        <v>48</v>
      </c>
      <c r="B68" s="222" t="s">
        <v>87</v>
      </c>
      <c r="C68" s="899" t="s">
        <v>357</v>
      </c>
      <c r="D68" s="221" t="s">
        <v>89</v>
      </c>
      <c r="E68" s="898">
        <v>1375.8</v>
      </c>
      <c r="F68" s="188"/>
      <c r="G68" s="210"/>
      <c r="H68" s="208">
        <f t="shared" si="0"/>
        <v>0</v>
      </c>
      <c r="I68" s="188"/>
      <c r="J68" s="209"/>
      <c r="K68" s="307">
        <f t="shared" si="1"/>
        <v>0</v>
      </c>
      <c r="L68" s="307">
        <f t="shared" si="2"/>
        <v>0</v>
      </c>
      <c r="M68" s="307">
        <f t="shared" si="3"/>
        <v>0</v>
      </c>
      <c r="N68" s="307">
        <f t="shared" si="4"/>
        <v>0</v>
      </c>
      <c r="O68" s="307">
        <f t="shared" si="5"/>
        <v>0</v>
      </c>
      <c r="P68" s="307">
        <f t="shared" si="6"/>
        <v>0</v>
      </c>
    </row>
    <row r="69" spans="1:16" ht="22.5" x14ac:dyDescent="0.25">
      <c r="A69" s="102">
        <f>IF(COUNTBLANK(B69)=1," ",COUNTA(B$14:B69))</f>
        <v>49</v>
      </c>
      <c r="B69" s="277" t="s">
        <v>87</v>
      </c>
      <c r="C69" s="564" t="s">
        <v>358</v>
      </c>
      <c r="D69" s="393" t="s">
        <v>83</v>
      </c>
      <c r="E69" s="393">
        <v>296</v>
      </c>
      <c r="F69" s="206"/>
      <c r="G69" s="279"/>
      <c r="H69" s="208">
        <f t="shared" si="0"/>
        <v>0</v>
      </c>
      <c r="I69" s="206"/>
      <c r="J69" s="209"/>
      <c r="K69" s="307">
        <f t="shared" si="1"/>
        <v>0</v>
      </c>
      <c r="L69" s="307">
        <f t="shared" si="2"/>
        <v>0</v>
      </c>
      <c r="M69" s="307">
        <f t="shared" si="3"/>
        <v>0</v>
      </c>
      <c r="N69" s="307">
        <f t="shared" si="4"/>
        <v>0</v>
      </c>
      <c r="O69" s="307">
        <f t="shared" si="5"/>
        <v>0</v>
      </c>
      <c r="P69" s="307">
        <f t="shared" si="6"/>
        <v>0</v>
      </c>
    </row>
    <row r="70" spans="1:16" ht="22.5" x14ac:dyDescent="0.25">
      <c r="A70" s="102">
        <f>IF(COUNTBLANK(B70)=1," ",COUNTA(B$14:B70))</f>
        <v>50</v>
      </c>
      <c r="B70" s="160" t="s">
        <v>87</v>
      </c>
      <c r="C70" s="220" t="s">
        <v>285</v>
      </c>
      <c r="D70" s="212" t="s">
        <v>57</v>
      </c>
      <c r="E70" s="166">
        <v>204</v>
      </c>
      <c r="F70" s="215"/>
      <c r="G70" s="210"/>
      <c r="H70" s="208">
        <f t="shared" si="0"/>
        <v>0</v>
      </c>
      <c r="I70" s="215"/>
      <c r="J70" s="209"/>
      <c r="K70" s="307">
        <f t="shared" si="1"/>
        <v>0</v>
      </c>
      <c r="L70" s="307">
        <f t="shared" si="2"/>
        <v>0</v>
      </c>
      <c r="M70" s="307">
        <f t="shared" si="3"/>
        <v>0</v>
      </c>
      <c r="N70" s="307">
        <f t="shared" si="4"/>
        <v>0</v>
      </c>
      <c r="O70" s="307">
        <f t="shared" si="5"/>
        <v>0</v>
      </c>
      <c r="P70" s="307">
        <f t="shared" si="6"/>
        <v>0</v>
      </c>
    </row>
    <row r="71" spans="1:16" x14ac:dyDescent="0.25">
      <c r="A71" s="102">
        <f>IF(COUNTBLANK(B71)=1," ",COUNTA(B$14:B71))</f>
        <v>51</v>
      </c>
      <c r="B71" s="160" t="s">
        <v>87</v>
      </c>
      <c r="C71" s="409" t="s">
        <v>286</v>
      </c>
      <c r="D71" s="410" t="s">
        <v>89</v>
      </c>
      <c r="E71" s="411">
        <v>526.9</v>
      </c>
      <c r="F71" s="412"/>
      <c r="G71" s="279"/>
      <c r="H71" s="208">
        <f t="shared" si="0"/>
        <v>0</v>
      </c>
      <c r="I71" s="412"/>
      <c r="J71" s="209"/>
      <c r="K71" s="307">
        <f t="shared" si="1"/>
        <v>0</v>
      </c>
      <c r="L71" s="307">
        <f t="shared" si="2"/>
        <v>0</v>
      </c>
      <c r="M71" s="307">
        <f t="shared" si="3"/>
        <v>0</v>
      </c>
      <c r="N71" s="307">
        <f t="shared" si="4"/>
        <v>0</v>
      </c>
      <c r="O71" s="307">
        <f t="shared" si="5"/>
        <v>0</v>
      </c>
      <c r="P71" s="307">
        <f t="shared" si="6"/>
        <v>0</v>
      </c>
    </row>
    <row r="72" spans="1:16" x14ac:dyDescent="0.25">
      <c r="A72" s="102">
        <f>IF(COUNTBLANK(B72)=1," ",COUNTA(B$14:B72))</f>
        <v>52</v>
      </c>
      <c r="B72" s="160" t="s">
        <v>87</v>
      </c>
      <c r="C72" s="224" t="s">
        <v>107</v>
      </c>
      <c r="D72" s="215" t="s">
        <v>89</v>
      </c>
      <c r="E72" s="215">
        <f>ROUNDUP(E70*0.3,0)</f>
        <v>62</v>
      </c>
      <c r="F72" s="215"/>
      <c r="G72" s="210"/>
      <c r="H72" s="208">
        <f t="shared" si="0"/>
        <v>0</v>
      </c>
      <c r="I72" s="215"/>
      <c r="J72" s="209"/>
      <c r="K72" s="307">
        <f t="shared" si="1"/>
        <v>0</v>
      </c>
      <c r="L72" s="307">
        <f t="shared" si="2"/>
        <v>0</v>
      </c>
      <c r="M72" s="307">
        <f t="shared" si="3"/>
        <v>0</v>
      </c>
      <c r="N72" s="307">
        <f t="shared" si="4"/>
        <v>0</v>
      </c>
      <c r="O72" s="307">
        <f t="shared" si="5"/>
        <v>0</v>
      </c>
      <c r="P72" s="307">
        <f t="shared" si="6"/>
        <v>0</v>
      </c>
    </row>
    <row r="73" spans="1:16" x14ac:dyDescent="0.25">
      <c r="A73" s="102">
        <f>IF(COUNTBLANK(B73)=1," ",COUNTA(B$14:B73))</f>
        <v>53</v>
      </c>
      <c r="B73" s="160" t="s">
        <v>87</v>
      </c>
      <c r="C73" s="224" t="s">
        <v>106</v>
      </c>
      <c r="D73" s="215" t="s">
        <v>57</v>
      </c>
      <c r="E73" s="215">
        <f>ROUNDUP(E70*1.2,0)</f>
        <v>245</v>
      </c>
      <c r="F73" s="215"/>
      <c r="G73" s="210"/>
      <c r="H73" s="208">
        <f t="shared" si="0"/>
        <v>0</v>
      </c>
      <c r="I73" s="215"/>
      <c r="J73" s="209"/>
      <c r="K73" s="307">
        <f t="shared" si="1"/>
        <v>0</v>
      </c>
      <c r="L73" s="307">
        <f t="shared" si="2"/>
        <v>0</v>
      </c>
      <c r="M73" s="307">
        <f t="shared" si="3"/>
        <v>0</v>
      </c>
      <c r="N73" s="307">
        <f t="shared" si="4"/>
        <v>0</v>
      </c>
      <c r="O73" s="307">
        <f t="shared" si="5"/>
        <v>0</v>
      </c>
      <c r="P73" s="307">
        <f t="shared" si="6"/>
        <v>0</v>
      </c>
    </row>
    <row r="74" spans="1:16" x14ac:dyDescent="0.25">
      <c r="A74" s="102">
        <f>IF(COUNTBLANK(B74)=1," ",COUNTA(B$14:B74))</f>
        <v>54</v>
      </c>
      <c r="B74" s="160" t="s">
        <v>87</v>
      </c>
      <c r="C74" s="224" t="s">
        <v>105</v>
      </c>
      <c r="D74" s="215" t="s">
        <v>90</v>
      </c>
      <c r="E74" s="215">
        <f>ROUNDUP(E70*1,0)</f>
        <v>204</v>
      </c>
      <c r="F74" s="215"/>
      <c r="G74" s="210"/>
      <c r="H74" s="208">
        <f t="shared" si="0"/>
        <v>0</v>
      </c>
      <c r="I74" s="215"/>
      <c r="J74" s="209"/>
      <c r="K74" s="307">
        <f t="shared" si="1"/>
        <v>0</v>
      </c>
      <c r="L74" s="307">
        <f t="shared" si="2"/>
        <v>0</v>
      </c>
      <c r="M74" s="307">
        <f t="shared" si="3"/>
        <v>0</v>
      </c>
      <c r="N74" s="307">
        <f t="shared" si="4"/>
        <v>0</v>
      </c>
      <c r="O74" s="307">
        <f t="shared" si="5"/>
        <v>0</v>
      </c>
      <c r="P74" s="307">
        <f t="shared" si="6"/>
        <v>0</v>
      </c>
    </row>
    <row r="75" spans="1:16" x14ac:dyDescent="0.25">
      <c r="A75" s="102">
        <f>IF(COUNTBLANK(B75)=1," ",COUNTA(B$14:B75))</f>
        <v>55</v>
      </c>
      <c r="B75" s="160" t="s">
        <v>87</v>
      </c>
      <c r="C75" s="182" t="s">
        <v>171</v>
      </c>
      <c r="D75" s="215" t="s">
        <v>90</v>
      </c>
      <c r="E75" s="215">
        <f>ROUNDUP(E70*0.8,0)</f>
        <v>164</v>
      </c>
      <c r="F75" s="215"/>
      <c r="G75" s="210"/>
      <c r="H75" s="208">
        <f t="shared" si="0"/>
        <v>0</v>
      </c>
      <c r="I75" s="215"/>
      <c r="J75" s="209"/>
      <c r="K75" s="307">
        <f t="shared" si="1"/>
        <v>0</v>
      </c>
      <c r="L75" s="307">
        <f t="shared" si="2"/>
        <v>0</v>
      </c>
      <c r="M75" s="307">
        <f t="shared" si="3"/>
        <v>0</v>
      </c>
      <c r="N75" s="307">
        <f t="shared" si="4"/>
        <v>0</v>
      </c>
      <c r="O75" s="307">
        <f t="shared" si="5"/>
        <v>0</v>
      </c>
      <c r="P75" s="307">
        <f t="shared" si="6"/>
        <v>0</v>
      </c>
    </row>
    <row r="76" spans="1:16" x14ac:dyDescent="0.25">
      <c r="A76" s="102">
        <f>IF(COUNTBLANK(B76)=1," ",COUNTA(B$14:B76))</f>
        <v>56</v>
      </c>
      <c r="B76" s="160" t="s">
        <v>87</v>
      </c>
      <c r="C76" s="224" t="s">
        <v>104</v>
      </c>
      <c r="D76" s="215" t="s">
        <v>90</v>
      </c>
      <c r="E76" s="215">
        <f>ROUNDUP(E70*0.4,2)</f>
        <v>81.599999999999994</v>
      </c>
      <c r="F76" s="215"/>
      <c r="G76" s="210"/>
      <c r="H76" s="208">
        <f t="shared" si="0"/>
        <v>0</v>
      </c>
      <c r="I76" s="215"/>
      <c r="J76" s="209"/>
      <c r="K76" s="307">
        <f t="shared" si="1"/>
        <v>0</v>
      </c>
      <c r="L76" s="307">
        <f t="shared" si="2"/>
        <v>0</v>
      </c>
      <c r="M76" s="307">
        <f t="shared" si="3"/>
        <v>0</v>
      </c>
      <c r="N76" s="307">
        <f t="shared" si="4"/>
        <v>0</v>
      </c>
      <c r="O76" s="307">
        <f t="shared" si="5"/>
        <v>0</v>
      </c>
      <c r="P76" s="307">
        <f t="shared" si="6"/>
        <v>0</v>
      </c>
    </row>
    <row r="77" spans="1:16" ht="15.75" thickBot="1" x14ac:dyDescent="0.3">
      <c r="A77" s="102">
        <f>IF(COUNTBLANK(B77)=1," ",COUNTA(B$14:B77))</f>
        <v>57</v>
      </c>
      <c r="B77" s="160" t="s">
        <v>87</v>
      </c>
      <c r="C77" s="224" t="s">
        <v>103</v>
      </c>
      <c r="D77" s="215" t="s">
        <v>58</v>
      </c>
      <c r="E77" s="599">
        <f>ROUNDUP(E70*0.05,0)</f>
        <v>11</v>
      </c>
      <c r="F77" s="215"/>
      <c r="G77" s="210"/>
      <c r="H77" s="208">
        <f t="shared" si="0"/>
        <v>0</v>
      </c>
      <c r="I77" s="215"/>
      <c r="J77" s="209"/>
      <c r="K77" s="307">
        <f t="shared" si="1"/>
        <v>0</v>
      </c>
      <c r="L77" s="307">
        <f t="shared" si="2"/>
        <v>0</v>
      </c>
      <c r="M77" s="307">
        <f t="shared" si="3"/>
        <v>0</v>
      </c>
      <c r="N77" s="307">
        <f t="shared" si="4"/>
        <v>0</v>
      </c>
      <c r="O77" s="307">
        <f t="shared" si="5"/>
        <v>0</v>
      </c>
      <c r="P77" s="307">
        <f t="shared" si="6"/>
        <v>0</v>
      </c>
    </row>
    <row r="78" spans="1:16" ht="15.75" customHeight="1" thickBot="1" x14ac:dyDescent="0.3">
      <c r="A78" s="965" t="s">
        <v>626</v>
      </c>
      <c r="B78" s="966"/>
      <c r="C78" s="966"/>
      <c r="D78" s="966"/>
      <c r="E78" s="966"/>
      <c r="F78" s="966"/>
      <c r="G78" s="966"/>
      <c r="H78" s="966"/>
      <c r="I78" s="966"/>
      <c r="J78" s="966"/>
      <c r="K78" s="967"/>
      <c r="L78" s="53">
        <f>SUM(L14:L77)</f>
        <v>0</v>
      </c>
      <c r="M78" s="54">
        <f>SUM(M14:M77)</f>
        <v>0</v>
      </c>
      <c r="N78" s="54">
        <f>SUM(N14:N77)</f>
        <v>0</v>
      </c>
      <c r="O78" s="54">
        <f>SUM(O14:O77)</f>
        <v>0</v>
      </c>
      <c r="P78" s="55">
        <f>SUM(P14:P77)</f>
        <v>0</v>
      </c>
    </row>
    <row r="79" spans="1:16" x14ac:dyDescent="0.25">
      <c r="A79" s="14"/>
      <c r="B79" s="14"/>
      <c r="C79" s="14"/>
      <c r="D79" s="14"/>
      <c r="E79" s="14"/>
      <c r="F79" s="14"/>
      <c r="G79" s="14"/>
      <c r="H79" s="14"/>
      <c r="I79" s="14"/>
      <c r="J79" s="14"/>
      <c r="K79" s="14"/>
      <c r="L79" s="14"/>
      <c r="M79" s="14"/>
      <c r="N79" s="14"/>
      <c r="O79" s="14"/>
      <c r="P79" s="14"/>
    </row>
    <row r="80" spans="1:16" x14ac:dyDescent="0.25">
      <c r="A80" s="14"/>
      <c r="B80" s="14"/>
      <c r="C80" s="14"/>
      <c r="D80" s="14"/>
      <c r="E80" s="14"/>
      <c r="F80" s="14"/>
      <c r="G80" s="14"/>
      <c r="H80" s="14"/>
      <c r="I80" s="14"/>
      <c r="J80" s="14"/>
      <c r="K80" s="14"/>
      <c r="L80" s="14"/>
      <c r="M80" s="14"/>
      <c r="N80" s="14"/>
      <c r="O80" s="14"/>
      <c r="P80" s="14"/>
    </row>
    <row r="81" spans="1:16" x14ac:dyDescent="0.25">
      <c r="A81" s="1" t="s">
        <v>14</v>
      </c>
      <c r="B81" s="14"/>
      <c r="C81" s="958">
        <f>'Kops a'!C34:H34</f>
        <v>0</v>
      </c>
      <c r="D81" s="958"/>
      <c r="E81" s="958"/>
      <c r="F81" s="958"/>
      <c r="G81" s="958"/>
      <c r="H81" s="958"/>
      <c r="I81" s="14"/>
      <c r="J81" s="14"/>
      <c r="K81" s="14"/>
      <c r="L81" s="14"/>
      <c r="M81" s="14"/>
      <c r="N81" s="14"/>
      <c r="O81" s="14"/>
      <c r="P81" s="14"/>
    </row>
    <row r="82" spans="1:16" x14ac:dyDescent="0.25">
      <c r="A82" s="14"/>
      <c r="B82" s="14"/>
      <c r="C82" s="996" t="s">
        <v>15</v>
      </c>
      <c r="D82" s="996"/>
      <c r="E82" s="996"/>
      <c r="F82" s="996"/>
      <c r="G82" s="996"/>
      <c r="H82" s="996"/>
      <c r="I82" s="14"/>
      <c r="J82" s="14"/>
      <c r="K82" s="14"/>
      <c r="L82" s="14"/>
      <c r="M82" s="14"/>
      <c r="N82" s="14"/>
      <c r="O82" s="14"/>
      <c r="P82" s="14"/>
    </row>
    <row r="83" spans="1:16" x14ac:dyDescent="0.25">
      <c r="A83" s="14"/>
      <c r="B83" s="14"/>
      <c r="C83" s="77"/>
      <c r="D83" s="77"/>
      <c r="E83" s="77"/>
      <c r="F83" s="77"/>
      <c r="G83" s="77"/>
      <c r="H83" s="77"/>
      <c r="I83" s="14"/>
      <c r="J83" s="14"/>
      <c r="K83" s="14"/>
      <c r="L83" s="14"/>
      <c r="M83" s="14"/>
      <c r="N83" s="14"/>
      <c r="O83" s="14"/>
      <c r="P83" s="14"/>
    </row>
    <row r="84" spans="1:16" x14ac:dyDescent="0.25">
      <c r="A84" s="34" t="str">
        <f>'Kops a'!A37</f>
        <v>Tāme sastādīta 20__. gada __. _________</v>
      </c>
      <c r="B84" s="35"/>
      <c r="C84" s="78"/>
      <c r="D84" s="78"/>
      <c r="E84" s="77"/>
      <c r="F84" s="77"/>
      <c r="G84" s="77"/>
      <c r="H84" s="77"/>
      <c r="I84" s="14"/>
      <c r="J84" s="14"/>
      <c r="K84" s="14"/>
      <c r="L84" s="14"/>
      <c r="M84" s="14"/>
      <c r="N84" s="14"/>
      <c r="O84" s="14"/>
      <c r="P84" s="14"/>
    </row>
    <row r="85" spans="1:16" x14ac:dyDescent="0.25">
      <c r="A85" s="14"/>
      <c r="B85" s="14"/>
      <c r="C85" s="77"/>
      <c r="D85" s="77"/>
      <c r="E85" s="77"/>
      <c r="F85" s="77"/>
      <c r="G85" s="77"/>
      <c r="H85" s="77"/>
      <c r="I85" s="14"/>
      <c r="J85" s="14"/>
      <c r="K85" s="14"/>
      <c r="L85" s="14"/>
      <c r="M85" s="14"/>
      <c r="N85" s="14"/>
      <c r="O85" s="14"/>
      <c r="P85" s="14"/>
    </row>
    <row r="86" spans="1:16" x14ac:dyDescent="0.25">
      <c r="A86" s="1" t="s">
        <v>38</v>
      </c>
      <c r="B86" s="14"/>
      <c r="C86" s="958">
        <f>'Kops a'!C39:H39</f>
        <v>0</v>
      </c>
      <c r="D86" s="958"/>
      <c r="E86" s="958"/>
      <c r="F86" s="958"/>
      <c r="G86" s="958"/>
      <c r="H86" s="958"/>
      <c r="I86" s="14"/>
      <c r="J86" s="14"/>
      <c r="K86" s="14"/>
      <c r="L86" s="14"/>
      <c r="M86" s="14"/>
      <c r="N86" s="14"/>
      <c r="O86" s="14"/>
      <c r="P86" s="14"/>
    </row>
    <row r="87" spans="1:16" x14ac:dyDescent="0.25">
      <c r="A87" s="14"/>
      <c r="B87" s="14"/>
      <c r="C87" s="996" t="s">
        <v>15</v>
      </c>
      <c r="D87" s="996"/>
      <c r="E87" s="996"/>
      <c r="F87" s="996"/>
      <c r="G87" s="996"/>
      <c r="H87" s="996"/>
      <c r="I87" s="14"/>
      <c r="J87" s="14"/>
      <c r="K87" s="14"/>
      <c r="L87" s="14"/>
      <c r="M87" s="14"/>
      <c r="N87" s="14"/>
      <c r="O87" s="14"/>
      <c r="P87" s="14"/>
    </row>
    <row r="88" spans="1:16" x14ac:dyDescent="0.25">
      <c r="A88" s="14"/>
      <c r="B88" s="14"/>
      <c r="C88" s="75"/>
      <c r="D88" s="75"/>
      <c r="E88" s="75"/>
      <c r="F88" s="75"/>
      <c r="G88" s="75"/>
      <c r="H88" s="75"/>
      <c r="I88" s="14"/>
      <c r="J88" s="14"/>
      <c r="K88" s="14"/>
      <c r="L88" s="14"/>
      <c r="M88" s="14"/>
      <c r="N88" s="14"/>
      <c r="O88" s="14"/>
      <c r="P88" s="14"/>
    </row>
    <row r="89" spans="1:16" x14ac:dyDescent="0.25">
      <c r="A89" s="34" t="s">
        <v>54</v>
      </c>
      <c r="B89" s="35"/>
      <c r="C89" s="74">
        <f>'Kops a'!C42</f>
        <v>0</v>
      </c>
      <c r="D89" s="76"/>
      <c r="E89" s="75"/>
      <c r="F89" s="75"/>
      <c r="G89" s="75"/>
      <c r="H89" s="75"/>
      <c r="I89" s="14"/>
      <c r="J89" s="14"/>
      <c r="K89" s="14"/>
      <c r="L89" s="14"/>
      <c r="M89" s="14"/>
      <c r="N89" s="14"/>
      <c r="O89" s="14"/>
      <c r="P89" s="14"/>
    </row>
    <row r="91" spans="1:16" x14ac:dyDescent="0.25">
      <c r="C91" s="913" t="s">
        <v>623</v>
      </c>
    </row>
    <row r="92" spans="1:16" x14ac:dyDescent="0.25">
      <c r="C92" s="914" t="s">
        <v>624</v>
      </c>
    </row>
    <row r="93" spans="1:16" x14ac:dyDescent="0.25">
      <c r="C93" s="914" t="s">
        <v>625</v>
      </c>
    </row>
  </sheetData>
  <mergeCells count="22">
    <mergeCell ref="C2:I2"/>
    <mergeCell ref="C3:I3"/>
    <mergeCell ref="C4:I4"/>
    <mergeCell ref="D5:L5"/>
    <mergeCell ref="D6:L6"/>
    <mergeCell ref="D7:L7"/>
    <mergeCell ref="D8:L8"/>
    <mergeCell ref="A9:F9"/>
    <mergeCell ref="J9:M9"/>
    <mergeCell ref="N9:O9"/>
    <mergeCell ref="A12:A13"/>
    <mergeCell ref="B12:B13"/>
    <mergeCell ref="C12:C13"/>
    <mergeCell ref="D12:D13"/>
    <mergeCell ref="E12:E13"/>
    <mergeCell ref="C86:H86"/>
    <mergeCell ref="C87:H87"/>
    <mergeCell ref="F12:K12"/>
    <mergeCell ref="L12:P12"/>
    <mergeCell ref="C81:H81"/>
    <mergeCell ref="C82:H82"/>
    <mergeCell ref="A78:K78"/>
  </mergeCells>
  <conditionalFormatting sqref="C4:I4 D5:L8 C86:H86 C81:H81 B16:E16 F14:G16 I14:J77 B17:G77">
    <cfRule type="cellIs" dxfId="109" priority="7" operator="equal">
      <formula>0</formula>
    </cfRule>
  </conditionalFormatting>
  <conditionalFormatting sqref="N9:O9 C2:I2 C86:H86 C81:H81 D14:E15 H14:H77 K14:P77 A14:A77">
    <cfRule type="cellIs" dxfId="108" priority="8" operator="equal">
      <formula>0</formula>
    </cfRule>
  </conditionalFormatting>
  <conditionalFormatting sqref="A78:K78">
    <cfRule type="containsText" dxfId="107" priority="9" operator="containsText" text="Tāme sastādīta  20__. gada tirgus cenās, pamatojoties uz ___ daļas rasējumiem"/>
  </conditionalFormatting>
  <conditionalFormatting sqref="O10">
    <cfRule type="cellIs" dxfId="106" priority="11" operator="equal">
      <formula>"20__. gada __. _________"</formula>
    </cfRule>
  </conditionalFormatting>
  <conditionalFormatting sqref="L78:P78">
    <cfRule type="cellIs" dxfId="105" priority="13" operator="equal">
      <formula>0</formula>
    </cfRule>
  </conditionalFormatting>
  <conditionalFormatting sqref="B14:B15">
    <cfRule type="cellIs" dxfId="104" priority="17" operator="equal">
      <formula>0</formula>
    </cfRule>
  </conditionalFormatting>
  <conditionalFormatting sqref="C14:C15">
    <cfRule type="cellIs" dxfId="103" priority="18" operator="equal">
      <formula>0</formula>
    </cfRule>
  </conditionalFormatting>
  <conditionalFormatting sqref="P10">
    <cfRule type="cellIs" dxfId="102" priority="20" operator="equal">
      <formula>"20__. gada __. _________"</formula>
    </cfRule>
  </conditionalFormatting>
  <conditionalFormatting sqref="C89">
    <cfRule type="cellIs" dxfId="101" priority="23" operator="equal">
      <formula>0</formula>
    </cfRule>
  </conditionalFormatting>
  <conditionalFormatting sqref="D1">
    <cfRule type="cellIs" dxfId="100" priority="24" operator="equal">
      <formula>0</formula>
    </cfRule>
  </conditionalFormatting>
  <conditionalFormatting sqref="A9:F9">
    <cfRule type="containsText" dxfId="99" priority="1" operator="containsText" text="Tāme sastādīta  20__. gada tirgus cenās, pamatojoties uz ___ daļas rasējumiem"/>
  </conditionalFormatting>
  <pageMargins left="0.19685039370078741" right="0.19685039370078741" top="0.75196850393700787" bottom="0.39370078740157483" header="0.51181102362204722" footer="0.51181102362204722"/>
  <pageSetup paperSize="9" scale="90" firstPageNumber="0" orientation="landscape" r:id="rId1"/>
  <rowBreaks count="1" manualBreakCount="1">
    <brk id="2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V48"/>
  <sheetViews>
    <sheetView view="pageBreakPreview" topLeftCell="A22" zoomScaleSheetLayoutView="100" workbookViewId="0">
      <selection activeCell="J41" sqref="J41:J48"/>
    </sheetView>
  </sheetViews>
  <sheetFormatPr defaultColWidth="9.140625" defaultRowHeight="11.25" x14ac:dyDescent="0.25"/>
  <cols>
    <col min="1" max="1" width="13.140625" style="81" customWidth="1"/>
    <col min="2" max="2" width="29.85546875" style="81" customWidth="1"/>
    <col min="3" max="3" width="11.85546875" style="58" customWidth="1"/>
    <col min="4" max="4" width="8.140625" style="59" customWidth="1"/>
    <col min="5" max="5" width="5" style="58" customWidth="1"/>
    <col min="6" max="7" width="8.140625" style="58" customWidth="1"/>
    <col min="8" max="8" width="5.7109375" style="58" bestFit="1" customWidth="1"/>
    <col min="9" max="9" width="6.7109375" style="58" bestFit="1" customWidth="1"/>
    <col min="10" max="11" width="7.85546875" style="58" customWidth="1"/>
    <col min="12" max="12" width="10" style="58" customWidth="1"/>
    <col min="13" max="13" width="5.5703125" style="58" customWidth="1"/>
    <col min="14" max="16" width="7" style="58" customWidth="1"/>
    <col min="17" max="18" width="5" style="58" bestFit="1" customWidth="1"/>
    <col min="19" max="19" width="6.42578125" style="58" bestFit="1" customWidth="1"/>
    <col min="20" max="20" width="7.5703125" style="58" bestFit="1" customWidth="1"/>
    <col min="21" max="21" width="7.7109375" style="58" customWidth="1"/>
    <col min="22" max="22" width="11" style="58" bestFit="1" customWidth="1"/>
    <col min="23" max="16384" width="9.140625" style="58"/>
  </cols>
  <sheetData>
    <row r="1" spans="2:22" x14ac:dyDescent="0.25">
      <c r="B1" s="82"/>
      <c r="C1" s="62"/>
      <c r="D1" s="62"/>
      <c r="E1" s="62"/>
      <c r="F1" s="62"/>
      <c r="G1" s="62"/>
      <c r="H1" s="62"/>
      <c r="I1" s="62"/>
      <c r="J1" s="62"/>
      <c r="K1" s="62"/>
      <c r="L1" s="998" t="s">
        <v>82</v>
      </c>
      <c r="M1" s="998"/>
      <c r="N1" s="998" t="s">
        <v>81</v>
      </c>
      <c r="O1" s="998"/>
      <c r="P1" s="998" t="s">
        <v>80</v>
      </c>
      <c r="Q1" s="998"/>
      <c r="R1" s="999" t="s">
        <v>79</v>
      </c>
      <c r="S1" s="999"/>
      <c r="T1" s="999"/>
      <c r="U1" s="999"/>
      <c r="V1" s="999"/>
    </row>
    <row r="2" spans="2:22" x14ac:dyDescent="0.25">
      <c r="B2" s="1005" t="s">
        <v>78</v>
      </c>
      <c r="C2" s="998" t="s">
        <v>77</v>
      </c>
      <c r="D2" s="998"/>
      <c r="E2" s="998"/>
      <c r="F2" s="998" t="s">
        <v>76</v>
      </c>
      <c r="G2" s="998"/>
      <c r="H2" s="998" t="s">
        <v>75</v>
      </c>
      <c r="I2" s="998"/>
      <c r="J2" s="998"/>
      <c r="K2" s="62"/>
      <c r="L2" s="62"/>
      <c r="M2" s="62"/>
      <c r="N2" s="62" t="s">
        <v>74</v>
      </c>
      <c r="O2" s="62" t="s">
        <v>73</v>
      </c>
      <c r="P2" s="62" t="s">
        <v>72</v>
      </c>
      <c r="Q2" s="62" t="s">
        <v>73</v>
      </c>
      <c r="R2" s="997" t="s">
        <v>71</v>
      </c>
      <c r="S2" s="997" t="s">
        <v>70</v>
      </c>
      <c r="T2" s="997" t="s">
        <v>69</v>
      </c>
      <c r="U2" s="997" t="s">
        <v>68</v>
      </c>
      <c r="V2" s="1000" t="s">
        <v>67</v>
      </c>
    </row>
    <row r="3" spans="2:22" ht="22.5" x14ac:dyDescent="0.25">
      <c r="B3" s="1005"/>
      <c r="C3" s="67" t="s">
        <v>132</v>
      </c>
      <c r="D3" s="67" t="s">
        <v>66</v>
      </c>
      <c r="E3" s="62" t="s">
        <v>65</v>
      </c>
      <c r="F3" s="62" t="s">
        <v>64</v>
      </c>
      <c r="G3" s="62" t="s">
        <v>63</v>
      </c>
      <c r="H3" s="62" t="s">
        <v>62</v>
      </c>
      <c r="I3" s="67" t="str">
        <f>D3</f>
        <v>esošie PVC</v>
      </c>
      <c r="J3" s="68" t="str">
        <f>C3</f>
        <v>maināmie</v>
      </c>
      <c r="K3" s="67" t="s">
        <v>133</v>
      </c>
      <c r="L3" s="62" t="s">
        <v>61</v>
      </c>
      <c r="M3" s="62" t="s">
        <v>60</v>
      </c>
      <c r="N3" s="64">
        <v>0.25</v>
      </c>
      <c r="O3" s="64">
        <v>0.30000000000000004</v>
      </c>
      <c r="P3" s="62"/>
      <c r="Q3" s="62"/>
      <c r="R3" s="997"/>
      <c r="S3" s="997"/>
      <c r="T3" s="997"/>
      <c r="U3" s="997"/>
      <c r="V3" s="1000"/>
    </row>
    <row r="4" spans="2:22" x14ac:dyDescent="0.25">
      <c r="B4" s="83" t="s">
        <v>202</v>
      </c>
      <c r="C4" s="61">
        <v>6</v>
      </c>
      <c r="D4" s="61">
        <v>21</v>
      </c>
      <c r="E4" s="63">
        <f>C4+D4</f>
        <v>27</v>
      </c>
      <c r="F4" s="61">
        <v>1.2</v>
      </c>
      <c r="G4" s="61">
        <v>1.4</v>
      </c>
      <c r="H4" s="63">
        <f t="shared" ref="H4:H13" si="0">F4*G4</f>
        <v>1.68</v>
      </c>
      <c r="I4" s="63">
        <f t="shared" ref="I4:I17" si="1">H4*D4</f>
        <v>35.28</v>
      </c>
      <c r="J4" s="89">
        <f t="shared" ref="J4:J17" si="2">H4*C4</f>
        <v>10.08</v>
      </c>
      <c r="K4" s="95">
        <f>(F4*2+G4*2)*E4</f>
        <v>140.39999999999998</v>
      </c>
      <c r="L4" s="63">
        <f t="shared" ref="L4:L13" si="3">(F4*2+G4*2)*E4</f>
        <v>140.39999999999998</v>
      </c>
      <c r="M4" s="63">
        <f t="shared" ref="M4:M17" si="4">(F4*2+G4*2)*C4</f>
        <v>31.199999999999996</v>
      </c>
      <c r="N4" s="63">
        <f t="shared" ref="N4:N13" si="5">L4*$N$3</f>
        <v>35.099999999999994</v>
      </c>
      <c r="O4" s="63">
        <f t="shared" ref="O4:O13" si="6">M4*$O$3</f>
        <v>9.36</v>
      </c>
      <c r="P4" s="63">
        <f t="shared" ref="P4:P13" si="7">E4*F4*1.05</f>
        <v>34.020000000000003</v>
      </c>
      <c r="Q4" s="63">
        <f t="shared" ref="Q4:Q17" si="8">F4*C4</f>
        <v>7.1999999999999993</v>
      </c>
      <c r="R4" s="63">
        <f t="shared" ref="R4:R13" si="9">E4*(F4+2*G4)</f>
        <v>108</v>
      </c>
      <c r="S4" s="63">
        <f t="shared" ref="S4:S13" si="10">R4</f>
        <v>108</v>
      </c>
      <c r="T4" s="63">
        <f t="shared" ref="T4:T13" si="11">E4*F4</f>
        <v>32.4</v>
      </c>
      <c r="U4" s="63">
        <f t="shared" ref="U4:U13" si="12">T4</f>
        <v>32.4</v>
      </c>
      <c r="V4" s="67"/>
    </row>
    <row r="5" spans="2:22" x14ac:dyDescent="0.25">
      <c r="B5" s="83" t="s">
        <v>203</v>
      </c>
      <c r="C5" s="61">
        <v>5</v>
      </c>
      <c r="D5" s="61">
        <v>23</v>
      </c>
      <c r="E5" s="63">
        <f t="shared" ref="E5:E17" si="13">C5+D5</f>
        <v>28</v>
      </c>
      <c r="F5" s="61">
        <v>2.4</v>
      </c>
      <c r="G5" s="61">
        <v>1.4</v>
      </c>
      <c r="H5" s="63">
        <f t="shared" si="0"/>
        <v>3.36</v>
      </c>
      <c r="I5" s="63">
        <f t="shared" si="1"/>
        <v>77.28</v>
      </c>
      <c r="J5" s="90">
        <f t="shared" si="2"/>
        <v>16.8</v>
      </c>
      <c r="K5" s="95">
        <f t="shared" ref="K5:K27" si="14">(F5*2+G5*2)*E5</f>
        <v>212.79999999999998</v>
      </c>
      <c r="L5" s="63">
        <f t="shared" si="3"/>
        <v>212.79999999999998</v>
      </c>
      <c r="M5" s="63">
        <f t="shared" si="4"/>
        <v>38</v>
      </c>
      <c r="N5" s="63">
        <f t="shared" si="5"/>
        <v>53.199999999999996</v>
      </c>
      <c r="O5" s="63">
        <f t="shared" si="6"/>
        <v>11.400000000000002</v>
      </c>
      <c r="P5" s="63">
        <f t="shared" si="7"/>
        <v>70.56</v>
      </c>
      <c r="Q5" s="63">
        <f t="shared" si="8"/>
        <v>12</v>
      </c>
      <c r="R5" s="63">
        <f t="shared" si="9"/>
        <v>145.59999999999997</v>
      </c>
      <c r="S5" s="63">
        <f t="shared" si="10"/>
        <v>145.59999999999997</v>
      </c>
      <c r="T5" s="63">
        <f t="shared" si="11"/>
        <v>67.2</v>
      </c>
      <c r="U5" s="63">
        <f t="shared" si="12"/>
        <v>67.2</v>
      </c>
      <c r="V5" s="67"/>
    </row>
    <row r="6" spans="2:22" x14ac:dyDescent="0.25">
      <c r="B6" s="151" t="s">
        <v>204</v>
      </c>
      <c r="C6" s="61">
        <v>3</v>
      </c>
      <c r="D6" s="61">
        <v>7</v>
      </c>
      <c r="E6" s="63">
        <f t="shared" si="13"/>
        <v>10</v>
      </c>
      <c r="F6" s="61">
        <v>1.4</v>
      </c>
      <c r="G6" s="61">
        <v>1.4</v>
      </c>
      <c r="H6" s="63">
        <f t="shared" si="0"/>
        <v>1.9599999999999997</v>
      </c>
      <c r="I6" s="63">
        <f t="shared" si="1"/>
        <v>13.719999999999999</v>
      </c>
      <c r="J6" s="90">
        <f t="shared" si="2"/>
        <v>5.879999999999999</v>
      </c>
      <c r="K6" s="95">
        <f t="shared" si="14"/>
        <v>56</v>
      </c>
      <c r="L6" s="63">
        <f t="shared" si="3"/>
        <v>56</v>
      </c>
      <c r="M6" s="63">
        <f t="shared" si="4"/>
        <v>16.799999999999997</v>
      </c>
      <c r="N6" s="63">
        <f t="shared" si="5"/>
        <v>14</v>
      </c>
      <c r="O6" s="63">
        <f t="shared" si="6"/>
        <v>5.04</v>
      </c>
      <c r="P6" s="63">
        <f t="shared" si="7"/>
        <v>14.700000000000001</v>
      </c>
      <c r="Q6" s="63">
        <f t="shared" si="8"/>
        <v>4.1999999999999993</v>
      </c>
      <c r="R6" s="63">
        <f t="shared" si="9"/>
        <v>41.999999999999993</v>
      </c>
      <c r="S6" s="63">
        <f t="shared" si="10"/>
        <v>41.999999999999993</v>
      </c>
      <c r="T6" s="63">
        <f t="shared" si="11"/>
        <v>14</v>
      </c>
      <c r="U6" s="63">
        <f t="shared" si="12"/>
        <v>14</v>
      </c>
      <c r="V6" s="67"/>
    </row>
    <row r="7" spans="2:22" x14ac:dyDescent="0.25">
      <c r="B7" s="151" t="s">
        <v>205</v>
      </c>
      <c r="C7" s="61">
        <f>C6</f>
        <v>3</v>
      </c>
      <c r="D7" s="61">
        <f>D6</f>
        <v>7</v>
      </c>
      <c r="E7" s="63">
        <f t="shared" si="13"/>
        <v>10</v>
      </c>
      <c r="F7" s="61">
        <v>0.7</v>
      </c>
      <c r="G7" s="61">
        <v>2</v>
      </c>
      <c r="H7" s="63">
        <f t="shared" si="0"/>
        <v>1.4</v>
      </c>
      <c r="I7" s="63">
        <f t="shared" si="1"/>
        <v>9.7999999999999989</v>
      </c>
      <c r="J7" s="90">
        <f t="shared" si="2"/>
        <v>4.1999999999999993</v>
      </c>
      <c r="K7" s="95">
        <f t="shared" si="14"/>
        <v>54</v>
      </c>
      <c r="L7" s="63">
        <f t="shared" si="3"/>
        <v>54</v>
      </c>
      <c r="M7" s="63">
        <f t="shared" si="4"/>
        <v>16.200000000000003</v>
      </c>
      <c r="N7" s="63">
        <f t="shared" si="5"/>
        <v>13.5</v>
      </c>
      <c r="O7" s="63">
        <f t="shared" si="6"/>
        <v>4.8600000000000012</v>
      </c>
      <c r="P7" s="63">
        <f t="shared" si="7"/>
        <v>7.3500000000000005</v>
      </c>
      <c r="Q7" s="63">
        <f t="shared" si="8"/>
        <v>2.0999999999999996</v>
      </c>
      <c r="R7" s="63">
        <f t="shared" si="9"/>
        <v>47</v>
      </c>
      <c r="S7" s="63">
        <f t="shared" si="10"/>
        <v>47</v>
      </c>
      <c r="T7" s="63">
        <f t="shared" si="11"/>
        <v>7</v>
      </c>
      <c r="U7" s="63">
        <f t="shared" si="12"/>
        <v>7</v>
      </c>
      <c r="V7" s="67"/>
    </row>
    <row r="8" spans="2:22" x14ac:dyDescent="0.25">
      <c r="B8" s="151" t="s">
        <v>206</v>
      </c>
      <c r="C8" s="61">
        <v>2</v>
      </c>
      <c r="D8" s="61">
        <v>18</v>
      </c>
      <c r="E8" s="63">
        <f t="shared" si="13"/>
        <v>20</v>
      </c>
      <c r="F8" s="61">
        <v>1.4</v>
      </c>
      <c r="G8" s="61">
        <v>1.4</v>
      </c>
      <c r="H8" s="63">
        <f t="shared" si="0"/>
        <v>1.9599999999999997</v>
      </c>
      <c r="I8" s="63">
        <f t="shared" si="1"/>
        <v>35.279999999999994</v>
      </c>
      <c r="J8" s="90">
        <f t="shared" si="2"/>
        <v>3.9199999999999995</v>
      </c>
      <c r="K8" s="95">
        <f t="shared" si="14"/>
        <v>112</v>
      </c>
      <c r="L8" s="63">
        <f t="shared" si="3"/>
        <v>112</v>
      </c>
      <c r="M8" s="63">
        <f t="shared" si="4"/>
        <v>11.2</v>
      </c>
      <c r="N8" s="63">
        <f t="shared" si="5"/>
        <v>28</v>
      </c>
      <c r="O8" s="63">
        <f t="shared" si="6"/>
        <v>3.3600000000000003</v>
      </c>
      <c r="P8" s="63">
        <f t="shared" si="7"/>
        <v>29.400000000000002</v>
      </c>
      <c r="Q8" s="63">
        <f t="shared" si="8"/>
        <v>2.8</v>
      </c>
      <c r="R8" s="63">
        <f t="shared" si="9"/>
        <v>83.999999999999986</v>
      </c>
      <c r="S8" s="63">
        <f t="shared" si="10"/>
        <v>83.999999999999986</v>
      </c>
      <c r="T8" s="63">
        <f t="shared" si="11"/>
        <v>28</v>
      </c>
      <c r="U8" s="63">
        <f t="shared" si="12"/>
        <v>28</v>
      </c>
      <c r="V8" s="67"/>
    </row>
    <row r="9" spans="2:22" x14ac:dyDescent="0.25">
      <c r="B9" s="151" t="s">
        <v>207</v>
      </c>
      <c r="C9" s="61">
        <f>C8</f>
        <v>2</v>
      </c>
      <c r="D9" s="61">
        <f>D8</f>
        <v>18</v>
      </c>
      <c r="E9" s="63">
        <f t="shared" si="13"/>
        <v>20</v>
      </c>
      <c r="F9" s="61">
        <v>0.7</v>
      </c>
      <c r="G9" s="61">
        <v>2</v>
      </c>
      <c r="H9" s="63">
        <f t="shared" si="0"/>
        <v>1.4</v>
      </c>
      <c r="I9" s="63">
        <f t="shared" si="1"/>
        <v>25.2</v>
      </c>
      <c r="J9" s="90">
        <f t="shared" si="2"/>
        <v>2.8</v>
      </c>
      <c r="K9" s="95">
        <f t="shared" si="14"/>
        <v>108</v>
      </c>
      <c r="L9" s="63">
        <f t="shared" si="3"/>
        <v>108</v>
      </c>
      <c r="M9" s="63">
        <f t="shared" si="4"/>
        <v>10.8</v>
      </c>
      <c r="N9" s="63">
        <f t="shared" si="5"/>
        <v>27</v>
      </c>
      <c r="O9" s="63">
        <f t="shared" si="6"/>
        <v>3.2400000000000007</v>
      </c>
      <c r="P9" s="63">
        <f t="shared" si="7"/>
        <v>14.700000000000001</v>
      </c>
      <c r="Q9" s="63">
        <f t="shared" si="8"/>
        <v>1.4</v>
      </c>
      <c r="R9" s="63">
        <f t="shared" si="9"/>
        <v>94</v>
      </c>
      <c r="S9" s="63">
        <f t="shared" si="10"/>
        <v>94</v>
      </c>
      <c r="T9" s="63">
        <f t="shared" si="11"/>
        <v>14</v>
      </c>
      <c r="U9" s="63">
        <f t="shared" si="12"/>
        <v>14</v>
      </c>
      <c r="V9" s="67"/>
    </row>
    <row r="10" spans="2:22" x14ac:dyDescent="0.25">
      <c r="B10" s="151" t="s">
        <v>208</v>
      </c>
      <c r="C10" s="61">
        <v>7</v>
      </c>
      <c r="D10" s="61">
        <v>7</v>
      </c>
      <c r="E10" s="63">
        <f t="shared" si="13"/>
        <v>14</v>
      </c>
      <c r="F10" s="61">
        <v>2.9</v>
      </c>
      <c r="G10" s="61">
        <v>0.55500000000000005</v>
      </c>
      <c r="H10" s="63">
        <f t="shared" si="0"/>
        <v>1.6095000000000002</v>
      </c>
      <c r="I10" s="63">
        <f t="shared" si="1"/>
        <v>11.266500000000001</v>
      </c>
      <c r="J10" s="90">
        <f t="shared" si="2"/>
        <v>11.266500000000001</v>
      </c>
      <c r="K10" s="95">
        <f t="shared" si="14"/>
        <v>96.740000000000009</v>
      </c>
      <c r="L10" s="63">
        <f t="shared" si="3"/>
        <v>96.740000000000009</v>
      </c>
      <c r="M10" s="63">
        <f t="shared" si="4"/>
        <v>48.370000000000005</v>
      </c>
      <c r="N10" s="63">
        <f t="shared" si="5"/>
        <v>24.185000000000002</v>
      </c>
      <c r="O10" s="63">
        <f t="shared" si="6"/>
        <v>14.511000000000003</v>
      </c>
      <c r="P10" s="63">
        <f t="shared" si="7"/>
        <v>42.63</v>
      </c>
      <c r="Q10" s="63">
        <f t="shared" si="8"/>
        <v>20.3</v>
      </c>
      <c r="R10" s="63">
        <f t="shared" si="9"/>
        <v>56.14</v>
      </c>
      <c r="S10" s="63">
        <f t="shared" si="10"/>
        <v>56.14</v>
      </c>
      <c r="T10" s="63">
        <f t="shared" si="11"/>
        <v>40.6</v>
      </c>
      <c r="U10" s="63">
        <f t="shared" si="12"/>
        <v>40.6</v>
      </c>
      <c r="V10" s="67"/>
    </row>
    <row r="11" spans="2:22" x14ac:dyDescent="0.25">
      <c r="B11" s="151" t="s">
        <v>209</v>
      </c>
      <c r="C11" s="61">
        <v>1</v>
      </c>
      <c r="D11" s="61">
        <v>1</v>
      </c>
      <c r="E11" s="63">
        <f t="shared" si="13"/>
        <v>2</v>
      </c>
      <c r="F11" s="61">
        <v>2.9</v>
      </c>
      <c r="G11" s="61">
        <v>0.55500000000000005</v>
      </c>
      <c r="H11" s="63">
        <f t="shared" si="0"/>
        <v>1.6095000000000002</v>
      </c>
      <c r="I11" s="63">
        <f t="shared" si="1"/>
        <v>1.6095000000000002</v>
      </c>
      <c r="J11" s="90">
        <f t="shared" si="2"/>
        <v>1.6095000000000002</v>
      </c>
      <c r="K11" s="95">
        <f t="shared" si="14"/>
        <v>13.82</v>
      </c>
      <c r="L11" s="63">
        <f t="shared" si="3"/>
        <v>13.82</v>
      </c>
      <c r="M11" s="63">
        <f t="shared" si="4"/>
        <v>6.91</v>
      </c>
      <c r="N11" s="63">
        <f t="shared" si="5"/>
        <v>3.4550000000000001</v>
      </c>
      <c r="O11" s="63">
        <f t="shared" si="6"/>
        <v>2.0730000000000004</v>
      </c>
      <c r="P11" s="63">
        <f t="shared" si="7"/>
        <v>6.09</v>
      </c>
      <c r="Q11" s="63">
        <f t="shared" si="8"/>
        <v>2.9</v>
      </c>
      <c r="R11" s="63">
        <f t="shared" si="9"/>
        <v>8.02</v>
      </c>
      <c r="S11" s="63">
        <f t="shared" si="10"/>
        <v>8.02</v>
      </c>
      <c r="T11" s="63">
        <f t="shared" si="11"/>
        <v>5.8</v>
      </c>
      <c r="U11" s="63">
        <f t="shared" si="12"/>
        <v>5.8</v>
      </c>
      <c r="V11" s="67"/>
    </row>
    <row r="12" spans="2:22" x14ac:dyDescent="0.25">
      <c r="B12" s="151" t="s">
        <v>210</v>
      </c>
      <c r="C12" s="61">
        <v>4</v>
      </c>
      <c r="D12" s="61">
        <v>4</v>
      </c>
      <c r="E12" s="63">
        <f t="shared" si="13"/>
        <v>8</v>
      </c>
      <c r="F12" s="61">
        <v>1.45</v>
      </c>
      <c r="G12" s="61">
        <v>0.55500000000000005</v>
      </c>
      <c r="H12" s="63">
        <f t="shared" si="0"/>
        <v>0.80475000000000008</v>
      </c>
      <c r="I12" s="63">
        <f t="shared" si="1"/>
        <v>3.2190000000000003</v>
      </c>
      <c r="J12" s="90">
        <f t="shared" si="2"/>
        <v>3.2190000000000003</v>
      </c>
      <c r="K12" s="95">
        <f t="shared" si="14"/>
        <v>32.08</v>
      </c>
      <c r="L12" s="63">
        <f t="shared" si="3"/>
        <v>32.08</v>
      </c>
      <c r="M12" s="63">
        <f t="shared" si="4"/>
        <v>16.04</v>
      </c>
      <c r="N12" s="63">
        <f t="shared" si="5"/>
        <v>8.02</v>
      </c>
      <c r="O12" s="63">
        <f t="shared" si="6"/>
        <v>4.8120000000000003</v>
      </c>
      <c r="P12" s="63">
        <f t="shared" si="7"/>
        <v>12.18</v>
      </c>
      <c r="Q12" s="63">
        <f t="shared" si="8"/>
        <v>5.8</v>
      </c>
      <c r="R12" s="63">
        <f t="shared" si="9"/>
        <v>20.48</v>
      </c>
      <c r="S12" s="63">
        <f t="shared" si="10"/>
        <v>20.48</v>
      </c>
      <c r="T12" s="63">
        <f t="shared" si="11"/>
        <v>11.6</v>
      </c>
      <c r="U12" s="63">
        <f t="shared" si="12"/>
        <v>11.6</v>
      </c>
      <c r="V12" s="67"/>
    </row>
    <row r="13" spans="2:22" x14ac:dyDescent="0.25">
      <c r="B13" s="151" t="s">
        <v>211</v>
      </c>
      <c r="C13" s="61">
        <v>1</v>
      </c>
      <c r="D13" s="61">
        <v>1</v>
      </c>
      <c r="E13" s="63">
        <f t="shared" si="13"/>
        <v>2</v>
      </c>
      <c r="F13" s="61">
        <v>2.9</v>
      </c>
      <c r="G13" s="61">
        <v>0.8</v>
      </c>
      <c r="H13" s="63">
        <f t="shared" si="0"/>
        <v>2.3199999999999998</v>
      </c>
      <c r="I13" s="63">
        <f t="shared" si="1"/>
        <v>2.3199999999999998</v>
      </c>
      <c r="J13" s="90">
        <f t="shared" si="2"/>
        <v>2.3199999999999998</v>
      </c>
      <c r="K13" s="95">
        <f t="shared" si="14"/>
        <v>14.8</v>
      </c>
      <c r="L13" s="63">
        <f t="shared" si="3"/>
        <v>14.8</v>
      </c>
      <c r="M13" s="63">
        <f t="shared" si="4"/>
        <v>7.4</v>
      </c>
      <c r="N13" s="63">
        <f t="shared" si="5"/>
        <v>3.7</v>
      </c>
      <c r="O13" s="63">
        <f t="shared" si="6"/>
        <v>2.2200000000000006</v>
      </c>
      <c r="P13" s="63">
        <f t="shared" si="7"/>
        <v>6.09</v>
      </c>
      <c r="Q13" s="63">
        <f t="shared" si="8"/>
        <v>2.9</v>
      </c>
      <c r="R13" s="63">
        <f t="shared" si="9"/>
        <v>9</v>
      </c>
      <c r="S13" s="63">
        <f t="shared" si="10"/>
        <v>9</v>
      </c>
      <c r="T13" s="63">
        <f t="shared" si="11"/>
        <v>5.8</v>
      </c>
      <c r="U13" s="63">
        <f t="shared" si="12"/>
        <v>5.8</v>
      </c>
      <c r="V13" s="67"/>
    </row>
    <row r="14" spans="2:22" x14ac:dyDescent="0.25">
      <c r="B14" s="151" t="s">
        <v>212</v>
      </c>
      <c r="C14" s="61">
        <v>5</v>
      </c>
      <c r="D14" s="61">
        <v>5</v>
      </c>
      <c r="E14" s="63">
        <f t="shared" si="13"/>
        <v>10</v>
      </c>
      <c r="F14" s="61">
        <v>1.2</v>
      </c>
      <c r="G14" s="61">
        <v>1.1000000000000001</v>
      </c>
      <c r="H14" s="63">
        <f t="shared" ref="H14:H17" si="15">F14*G14</f>
        <v>1.32</v>
      </c>
      <c r="I14" s="63">
        <f t="shared" si="1"/>
        <v>6.6000000000000005</v>
      </c>
      <c r="J14" s="90">
        <f t="shared" si="2"/>
        <v>6.6000000000000005</v>
      </c>
      <c r="K14" s="95">
        <f t="shared" ref="K14:K17" si="16">(F14*2+G14*2)*E14</f>
        <v>46</v>
      </c>
      <c r="L14" s="63">
        <f t="shared" ref="L14:L17" si="17">(F14*2+G14*2)*E14</f>
        <v>46</v>
      </c>
      <c r="M14" s="63">
        <f t="shared" si="4"/>
        <v>23</v>
      </c>
      <c r="N14" s="63">
        <f t="shared" ref="N14:N17" si="18">L14*$N$3</f>
        <v>11.5</v>
      </c>
      <c r="O14" s="63">
        <f t="shared" ref="O14:O17" si="19">M14*$O$3</f>
        <v>6.9000000000000012</v>
      </c>
      <c r="P14" s="63">
        <f t="shared" ref="P14:P17" si="20">E14*F14*1.05</f>
        <v>12.600000000000001</v>
      </c>
      <c r="Q14" s="63">
        <f t="shared" si="8"/>
        <v>6</v>
      </c>
      <c r="R14" s="63">
        <f t="shared" ref="R14:R17" si="21">E14*(F14+2*G14)</f>
        <v>34</v>
      </c>
      <c r="S14" s="63">
        <f t="shared" ref="S14:S17" si="22">R14</f>
        <v>34</v>
      </c>
      <c r="T14" s="63">
        <f t="shared" ref="T14:T17" si="23">E14*F14</f>
        <v>12</v>
      </c>
      <c r="U14" s="63">
        <f t="shared" ref="U14:U17" si="24">T14</f>
        <v>12</v>
      </c>
      <c r="V14" s="67"/>
    </row>
    <row r="15" spans="2:22" x14ac:dyDescent="0.25">
      <c r="B15" s="151" t="s">
        <v>213</v>
      </c>
      <c r="C15" s="61">
        <v>27</v>
      </c>
      <c r="D15" s="61">
        <v>11</v>
      </c>
      <c r="E15" s="63">
        <f t="shared" si="13"/>
        <v>38</v>
      </c>
      <c r="F15" s="61">
        <v>3</v>
      </c>
      <c r="G15" s="61">
        <v>1.5</v>
      </c>
      <c r="H15" s="63">
        <f t="shared" si="15"/>
        <v>4.5</v>
      </c>
      <c r="I15" s="63">
        <f t="shared" si="1"/>
        <v>49.5</v>
      </c>
      <c r="J15" s="90">
        <f t="shared" si="2"/>
        <v>121.5</v>
      </c>
      <c r="K15" s="95">
        <f t="shared" si="16"/>
        <v>342</v>
      </c>
      <c r="L15" s="63">
        <f t="shared" si="17"/>
        <v>342</v>
      </c>
      <c r="M15" s="63">
        <f t="shared" si="4"/>
        <v>243</v>
      </c>
      <c r="N15" s="63">
        <f t="shared" si="18"/>
        <v>85.5</v>
      </c>
      <c r="O15" s="63">
        <f t="shared" si="19"/>
        <v>72.900000000000006</v>
      </c>
      <c r="P15" s="63">
        <f t="shared" si="20"/>
        <v>119.7</v>
      </c>
      <c r="Q15" s="63">
        <f t="shared" si="8"/>
        <v>81</v>
      </c>
      <c r="R15" s="63">
        <f t="shared" si="21"/>
        <v>228</v>
      </c>
      <c r="S15" s="63">
        <f t="shared" si="22"/>
        <v>228</v>
      </c>
      <c r="T15" s="63">
        <f t="shared" si="23"/>
        <v>114</v>
      </c>
      <c r="U15" s="63">
        <f t="shared" si="24"/>
        <v>114</v>
      </c>
      <c r="V15" s="67"/>
    </row>
    <row r="16" spans="2:22" x14ac:dyDescent="0.25">
      <c r="B16" s="151" t="s">
        <v>214</v>
      </c>
      <c r="C16" s="61">
        <v>0</v>
      </c>
      <c r="D16" s="61">
        <v>18</v>
      </c>
      <c r="E16" s="63">
        <f t="shared" si="13"/>
        <v>18</v>
      </c>
      <c r="F16" s="61">
        <v>1.58</v>
      </c>
      <c r="G16" s="61">
        <v>0.67500000000000004</v>
      </c>
      <c r="H16" s="63">
        <f t="shared" si="15"/>
        <v>1.0665000000000002</v>
      </c>
      <c r="I16" s="63">
        <f t="shared" si="1"/>
        <v>19.197000000000003</v>
      </c>
      <c r="J16" s="90">
        <f t="shared" si="2"/>
        <v>0</v>
      </c>
      <c r="K16" s="95">
        <f t="shared" si="16"/>
        <v>81.179999999999993</v>
      </c>
      <c r="L16" s="63">
        <f t="shared" si="17"/>
        <v>81.179999999999993</v>
      </c>
      <c r="M16" s="63">
        <f t="shared" si="4"/>
        <v>0</v>
      </c>
      <c r="N16" s="63">
        <f t="shared" si="18"/>
        <v>20.294999999999998</v>
      </c>
      <c r="O16" s="63">
        <f t="shared" si="19"/>
        <v>0</v>
      </c>
      <c r="P16" s="63">
        <f t="shared" si="20"/>
        <v>29.862000000000002</v>
      </c>
      <c r="Q16" s="63">
        <f t="shared" si="8"/>
        <v>0</v>
      </c>
      <c r="R16" s="63">
        <f t="shared" si="21"/>
        <v>52.74</v>
      </c>
      <c r="S16" s="63">
        <f t="shared" si="22"/>
        <v>52.74</v>
      </c>
      <c r="T16" s="63">
        <f t="shared" si="23"/>
        <v>28.44</v>
      </c>
      <c r="U16" s="63">
        <f t="shared" si="24"/>
        <v>28.44</v>
      </c>
      <c r="V16" s="67"/>
    </row>
    <row r="17" spans="1:22" x14ac:dyDescent="0.25">
      <c r="B17" s="151" t="s">
        <v>215</v>
      </c>
      <c r="C17" s="61">
        <v>0</v>
      </c>
      <c r="D17" s="61">
        <v>1</v>
      </c>
      <c r="E17" s="63">
        <f t="shared" si="13"/>
        <v>1</v>
      </c>
      <c r="F17" s="61">
        <v>2.9</v>
      </c>
      <c r="G17" s="61">
        <v>0.8</v>
      </c>
      <c r="H17" s="63">
        <f t="shared" si="15"/>
        <v>2.3199999999999998</v>
      </c>
      <c r="I17" s="63">
        <f t="shared" si="1"/>
        <v>2.3199999999999998</v>
      </c>
      <c r="J17" s="90">
        <f t="shared" si="2"/>
        <v>0</v>
      </c>
      <c r="K17" s="95">
        <f t="shared" si="16"/>
        <v>7.4</v>
      </c>
      <c r="L17" s="63">
        <f t="shared" si="17"/>
        <v>7.4</v>
      </c>
      <c r="M17" s="63">
        <f t="shared" si="4"/>
        <v>0</v>
      </c>
      <c r="N17" s="63">
        <f t="shared" si="18"/>
        <v>1.85</v>
      </c>
      <c r="O17" s="63">
        <f t="shared" si="19"/>
        <v>0</v>
      </c>
      <c r="P17" s="63">
        <f t="shared" si="20"/>
        <v>3.0449999999999999</v>
      </c>
      <c r="Q17" s="63">
        <f t="shared" si="8"/>
        <v>0</v>
      </c>
      <c r="R17" s="63">
        <f t="shared" si="21"/>
        <v>4.5</v>
      </c>
      <c r="S17" s="63">
        <f t="shared" si="22"/>
        <v>4.5</v>
      </c>
      <c r="T17" s="63">
        <f t="shared" si="23"/>
        <v>2.9</v>
      </c>
      <c r="U17" s="63">
        <f t="shared" si="24"/>
        <v>2.9</v>
      </c>
      <c r="V17" s="67"/>
    </row>
    <row r="18" spans="1:22" x14ac:dyDescent="0.25">
      <c r="B18" s="83"/>
      <c r="C18" s="61"/>
      <c r="D18" s="63"/>
      <c r="E18" s="61"/>
      <c r="F18" s="61"/>
      <c r="G18" s="61"/>
      <c r="H18" s="63"/>
      <c r="I18" s="63"/>
      <c r="J18" s="90"/>
      <c r="K18" s="96">
        <f>SUM(K4:K17)</f>
        <v>1317.22</v>
      </c>
      <c r="L18" s="63"/>
      <c r="M18" s="63"/>
      <c r="N18" s="63"/>
      <c r="O18" s="63"/>
      <c r="P18" s="63"/>
      <c r="Q18" s="63"/>
      <c r="R18" s="63"/>
      <c r="S18" s="63"/>
      <c r="T18" s="63"/>
      <c r="U18" s="63"/>
      <c r="V18" s="67"/>
    </row>
    <row r="19" spans="1:22" ht="49.5" x14ac:dyDescent="0.25">
      <c r="B19" s="276" t="s">
        <v>217</v>
      </c>
      <c r="C19" s="80">
        <v>2</v>
      </c>
      <c r="D19" s="80">
        <v>2</v>
      </c>
      <c r="E19" s="63">
        <f>D19</f>
        <v>2</v>
      </c>
      <c r="F19" s="80">
        <v>1.3</v>
      </c>
      <c r="G19" s="80">
        <v>2</v>
      </c>
      <c r="H19" s="65">
        <f>F19*G19</f>
        <v>2.6</v>
      </c>
      <c r="I19" s="65">
        <f>H19*C19</f>
        <v>5.2</v>
      </c>
      <c r="J19" s="91">
        <f>H19*D19</f>
        <v>5.2</v>
      </c>
      <c r="K19" s="95">
        <f t="shared" si="14"/>
        <v>13.2</v>
      </c>
      <c r="L19" s="65">
        <f>(F19+G19*2)*E19</f>
        <v>10.6</v>
      </c>
      <c r="M19" s="65">
        <f>(F19+G19*2)*D19</f>
        <v>10.6</v>
      </c>
      <c r="N19" s="65"/>
      <c r="O19" s="65">
        <f>M19*$O$3</f>
        <v>3.18</v>
      </c>
      <c r="P19" s="65"/>
      <c r="Q19" s="65"/>
      <c r="R19" s="65">
        <f>E19*(F19+2*G19)</f>
        <v>10.6</v>
      </c>
      <c r="S19" s="65">
        <f>R19</f>
        <v>10.6</v>
      </c>
      <c r="T19" s="65">
        <f>E19*F19</f>
        <v>2.6</v>
      </c>
      <c r="U19" s="65"/>
      <c r="V19" s="62"/>
    </row>
    <row r="20" spans="1:22" ht="33" x14ac:dyDescent="0.25">
      <c r="B20" s="276" t="s">
        <v>218</v>
      </c>
      <c r="C20" s="80">
        <v>2</v>
      </c>
      <c r="D20" s="80">
        <v>2</v>
      </c>
      <c r="E20" s="63">
        <f t="shared" ref="E20:E24" si="25">D20</f>
        <v>2</v>
      </c>
      <c r="F20" s="80">
        <v>1.22</v>
      </c>
      <c r="G20" s="80">
        <v>2</v>
      </c>
      <c r="H20" s="65">
        <f>F20*G20</f>
        <v>2.44</v>
      </c>
      <c r="I20" s="65">
        <f>H20*C20</f>
        <v>4.88</v>
      </c>
      <c r="J20" s="91">
        <f>H20*D20</f>
        <v>4.88</v>
      </c>
      <c r="K20" s="95">
        <f t="shared" si="14"/>
        <v>12.879999999999999</v>
      </c>
      <c r="L20" s="65">
        <f>(F20+G20*2)*E20</f>
        <v>10.44</v>
      </c>
      <c r="M20" s="65">
        <f t="shared" ref="M20:M24" si="26">(F20+G20*2)*D20</f>
        <v>10.44</v>
      </c>
      <c r="N20" s="65"/>
      <c r="O20" s="65">
        <f>M20*$O$3</f>
        <v>3.1320000000000001</v>
      </c>
      <c r="P20" s="65"/>
      <c r="Q20" s="65"/>
      <c r="R20" s="65">
        <f>E20*(F20+2*G20)</f>
        <v>10.44</v>
      </c>
      <c r="S20" s="65">
        <f>R20</f>
        <v>10.44</v>
      </c>
      <c r="T20" s="65">
        <f>E20*F20</f>
        <v>2.44</v>
      </c>
      <c r="U20" s="65"/>
      <c r="V20" s="62"/>
    </row>
    <row r="21" spans="1:22" ht="33" x14ac:dyDescent="0.25">
      <c r="B21" s="276" t="s">
        <v>219</v>
      </c>
      <c r="C21" s="80">
        <v>2</v>
      </c>
      <c r="D21" s="80">
        <v>2</v>
      </c>
      <c r="E21" s="63">
        <f t="shared" si="25"/>
        <v>2</v>
      </c>
      <c r="F21" s="80">
        <v>0.9</v>
      </c>
      <c r="G21" s="80">
        <v>1.84</v>
      </c>
      <c r="H21" s="65">
        <f t="shared" ref="H21:H23" si="27">F21*G21</f>
        <v>1.6560000000000001</v>
      </c>
      <c r="I21" s="65">
        <f t="shared" ref="I21:I23" si="28">H21*C21</f>
        <v>3.3120000000000003</v>
      </c>
      <c r="J21" s="91">
        <f t="shared" ref="J21:J23" si="29">H21*D21</f>
        <v>3.3120000000000003</v>
      </c>
      <c r="K21" s="95">
        <f t="shared" ref="K21:K23" si="30">(F21*2+G21*2)*E21</f>
        <v>10.96</v>
      </c>
      <c r="L21" s="65">
        <f t="shared" ref="L21:L23" si="31">(F21+G21*2)*E21</f>
        <v>9.16</v>
      </c>
      <c r="M21" s="65">
        <f t="shared" ref="M21:M23" si="32">(F21+G21*2)*D21</f>
        <v>9.16</v>
      </c>
      <c r="N21" s="65"/>
      <c r="O21" s="65">
        <f t="shared" ref="O21:O23" si="33">M21*$O$3</f>
        <v>2.7480000000000007</v>
      </c>
      <c r="P21" s="65"/>
      <c r="Q21" s="65"/>
      <c r="R21" s="65">
        <f t="shared" ref="R21:R23" si="34">E21*(F21+2*G21)</f>
        <v>9.16</v>
      </c>
      <c r="S21" s="65">
        <f t="shared" ref="S21:S23" si="35">R21</f>
        <v>9.16</v>
      </c>
      <c r="T21" s="65">
        <f t="shared" ref="T21:T23" si="36">E21*F21</f>
        <v>1.8</v>
      </c>
      <c r="U21" s="65"/>
      <c r="V21" s="152"/>
    </row>
    <row r="22" spans="1:22" ht="57.75" x14ac:dyDescent="0.25">
      <c r="B22" s="276" t="s">
        <v>220</v>
      </c>
      <c r="C22" s="80">
        <v>2</v>
      </c>
      <c r="D22" s="80">
        <v>2</v>
      </c>
      <c r="E22" s="63">
        <f t="shared" si="25"/>
        <v>2</v>
      </c>
      <c r="F22" s="80">
        <v>1.4</v>
      </c>
      <c r="G22" s="80">
        <v>2.8</v>
      </c>
      <c r="H22" s="65">
        <f t="shared" si="27"/>
        <v>3.9199999999999995</v>
      </c>
      <c r="I22" s="65">
        <f t="shared" si="28"/>
        <v>7.839999999999999</v>
      </c>
      <c r="J22" s="91">
        <f t="shared" si="29"/>
        <v>7.839999999999999</v>
      </c>
      <c r="K22" s="95">
        <f t="shared" si="30"/>
        <v>16.799999999999997</v>
      </c>
      <c r="L22" s="65">
        <f t="shared" si="31"/>
        <v>14</v>
      </c>
      <c r="M22" s="65">
        <f t="shared" si="32"/>
        <v>14</v>
      </c>
      <c r="N22" s="65"/>
      <c r="O22" s="65">
        <f t="shared" si="33"/>
        <v>4.2000000000000011</v>
      </c>
      <c r="P22" s="65"/>
      <c r="Q22" s="65"/>
      <c r="R22" s="65">
        <f t="shared" si="34"/>
        <v>14</v>
      </c>
      <c r="S22" s="65">
        <f t="shared" si="35"/>
        <v>14</v>
      </c>
      <c r="T22" s="65">
        <f t="shared" si="36"/>
        <v>2.8</v>
      </c>
      <c r="U22" s="65"/>
      <c r="V22" s="152"/>
    </row>
    <row r="23" spans="1:22" x14ac:dyDescent="0.25">
      <c r="B23" s="276" t="s">
        <v>216</v>
      </c>
      <c r="C23" s="80">
        <v>0</v>
      </c>
      <c r="D23" s="80">
        <v>1</v>
      </c>
      <c r="E23" s="63">
        <f t="shared" si="25"/>
        <v>1</v>
      </c>
      <c r="F23" s="80">
        <v>1.4</v>
      </c>
      <c r="G23" s="80">
        <v>2.1</v>
      </c>
      <c r="H23" s="65">
        <f t="shared" si="27"/>
        <v>2.94</v>
      </c>
      <c r="I23" s="65">
        <f t="shared" si="28"/>
        <v>0</v>
      </c>
      <c r="J23" s="91">
        <f t="shared" si="29"/>
        <v>2.94</v>
      </c>
      <c r="K23" s="95">
        <f t="shared" si="30"/>
        <v>7</v>
      </c>
      <c r="L23" s="65">
        <f t="shared" si="31"/>
        <v>5.6</v>
      </c>
      <c r="M23" s="65">
        <f t="shared" si="32"/>
        <v>5.6</v>
      </c>
      <c r="N23" s="65"/>
      <c r="O23" s="65">
        <f t="shared" si="33"/>
        <v>1.6800000000000002</v>
      </c>
      <c r="P23" s="65"/>
      <c r="Q23" s="65"/>
      <c r="R23" s="65">
        <f t="shared" si="34"/>
        <v>5.6</v>
      </c>
      <c r="S23" s="65">
        <f t="shared" si="35"/>
        <v>5.6</v>
      </c>
      <c r="T23" s="65">
        <f t="shared" si="36"/>
        <v>1.4</v>
      </c>
      <c r="U23" s="65"/>
      <c r="V23" s="152"/>
    </row>
    <row r="24" spans="1:22" ht="66" x14ac:dyDescent="0.25">
      <c r="B24" s="276" t="s">
        <v>221</v>
      </c>
      <c r="C24" s="80">
        <v>2</v>
      </c>
      <c r="D24" s="80">
        <v>2</v>
      </c>
      <c r="E24" s="63">
        <f t="shared" si="25"/>
        <v>2</v>
      </c>
      <c r="F24" s="80">
        <v>0.9</v>
      </c>
      <c r="G24" s="80">
        <v>1.9</v>
      </c>
      <c r="H24" s="65">
        <f>F24*G24</f>
        <v>1.71</v>
      </c>
      <c r="I24" s="65">
        <f>H24*C24</f>
        <v>3.42</v>
      </c>
      <c r="J24" s="91">
        <f>H24*D24</f>
        <v>3.42</v>
      </c>
      <c r="K24" s="95">
        <f t="shared" si="14"/>
        <v>11.2</v>
      </c>
      <c r="L24" s="65">
        <f>(F24+G24*2)*E24</f>
        <v>9.4</v>
      </c>
      <c r="M24" s="65">
        <f t="shared" si="26"/>
        <v>9.4</v>
      </c>
      <c r="N24" s="65"/>
      <c r="O24" s="65">
        <f>M24*$O$3</f>
        <v>2.8200000000000007</v>
      </c>
      <c r="P24" s="65"/>
      <c r="Q24" s="65"/>
      <c r="R24" s="65">
        <f>E24*(F24+2*G24)</f>
        <v>9.4</v>
      </c>
      <c r="S24" s="65">
        <f>R24</f>
        <v>9.4</v>
      </c>
      <c r="T24" s="65">
        <f>E24*F24</f>
        <v>1.8</v>
      </c>
      <c r="U24" s="65"/>
      <c r="V24" s="62"/>
    </row>
    <row r="25" spans="1:22" x14ac:dyDescent="0.25">
      <c r="B25" s="84"/>
      <c r="C25" s="66"/>
      <c r="D25" s="80"/>
      <c r="E25" s="80"/>
      <c r="F25" s="80"/>
      <c r="G25" s="80"/>
      <c r="H25" s="65"/>
      <c r="I25" s="65"/>
      <c r="J25" s="91"/>
      <c r="K25" s="96">
        <f>SUM(K19:K24)</f>
        <v>72.039999999999992</v>
      </c>
      <c r="L25" s="65"/>
      <c r="M25" s="65"/>
      <c r="N25" s="65"/>
      <c r="O25" s="65"/>
      <c r="P25" s="65"/>
      <c r="Q25" s="65"/>
      <c r="R25" s="65"/>
      <c r="S25" s="65"/>
      <c r="T25" s="65"/>
      <c r="U25" s="65"/>
      <c r="V25" s="62"/>
    </row>
    <row r="26" spans="1:22" x14ac:dyDescent="0.25">
      <c r="B26" s="83" t="s">
        <v>134</v>
      </c>
      <c r="C26" s="63">
        <f>E26-D26</f>
        <v>0</v>
      </c>
      <c r="D26" s="61">
        <v>13</v>
      </c>
      <c r="E26" s="61">
        <v>13</v>
      </c>
      <c r="F26" s="61">
        <v>0.3</v>
      </c>
      <c r="G26" s="61">
        <v>0.3</v>
      </c>
      <c r="H26" s="63">
        <f>F26*G26</f>
        <v>0.09</v>
      </c>
      <c r="I26" s="63">
        <f>H26*C26</f>
        <v>0</v>
      </c>
      <c r="J26" s="90">
        <f>H26*D26</f>
        <v>1.17</v>
      </c>
      <c r="K26" s="95">
        <f t="shared" si="14"/>
        <v>15.6</v>
      </c>
      <c r="L26" s="63"/>
      <c r="M26" s="63"/>
      <c r="N26" s="63"/>
      <c r="O26" s="63">
        <f>M26*$O$3</f>
        <v>0</v>
      </c>
      <c r="P26" s="63"/>
      <c r="Q26" s="63"/>
      <c r="R26" s="63">
        <f>E26*(F26+2*G26)</f>
        <v>11.7</v>
      </c>
      <c r="S26" s="63">
        <f>R26</f>
        <v>11.7</v>
      </c>
      <c r="T26" s="63">
        <f>E26*F26</f>
        <v>3.9</v>
      </c>
      <c r="U26" s="63"/>
      <c r="V26" s="62"/>
    </row>
    <row r="27" spans="1:22" x14ac:dyDescent="0.25">
      <c r="B27" s="83" t="s">
        <v>135</v>
      </c>
      <c r="C27" s="63">
        <f>E27-D27</f>
        <v>0</v>
      </c>
      <c r="D27" s="61">
        <v>13</v>
      </c>
      <c r="E27" s="61">
        <v>13</v>
      </c>
      <c r="F27" s="61">
        <v>0.7</v>
      </c>
      <c r="G27" s="61">
        <v>0.35</v>
      </c>
      <c r="H27" s="63">
        <f>F27*G27</f>
        <v>0.24499999999999997</v>
      </c>
      <c r="I27" s="63">
        <f>H27*C27</f>
        <v>0</v>
      </c>
      <c r="J27" s="92">
        <f>H27*D27</f>
        <v>3.1849999999999996</v>
      </c>
      <c r="K27" s="95">
        <f t="shared" si="14"/>
        <v>27.299999999999997</v>
      </c>
      <c r="L27" s="63"/>
      <c r="M27" s="63"/>
      <c r="N27" s="63"/>
      <c r="O27" s="63">
        <f>M27*$O$3</f>
        <v>0</v>
      </c>
      <c r="P27" s="63"/>
      <c r="Q27" s="63"/>
      <c r="R27" s="63">
        <f>E27*(F27+2*G27)</f>
        <v>18.2</v>
      </c>
      <c r="S27" s="63">
        <f>R27</f>
        <v>18.2</v>
      </c>
      <c r="T27" s="63">
        <f>E27*F27</f>
        <v>9.1</v>
      </c>
      <c r="U27" s="63"/>
      <c r="V27" s="62"/>
    </row>
    <row r="28" spans="1:22" x14ac:dyDescent="0.25">
      <c r="A28" s="85" t="s">
        <v>59</v>
      </c>
      <c r="B28" s="86"/>
      <c r="E28" s="93">
        <f>SUM(E4:E25)</f>
        <v>219</v>
      </c>
      <c r="F28" s="94"/>
      <c r="G28" s="94"/>
      <c r="H28" s="94"/>
      <c r="I28" s="93"/>
      <c r="J28" s="93">
        <f>SUM(J4:J27)</f>
        <v>222.14199999999997</v>
      </c>
      <c r="K28" s="93">
        <f>SUM(K26:K27)</f>
        <v>42.9</v>
      </c>
      <c r="L28" s="93">
        <f t="shared" ref="L28:U28" si="37">SUM(L4:L27)</f>
        <v>1376.42</v>
      </c>
      <c r="M28" s="93">
        <f t="shared" si="37"/>
        <v>528.12</v>
      </c>
      <c r="N28" s="93">
        <f t="shared" si="37"/>
        <v>329.30500000000001</v>
      </c>
      <c r="O28" s="93">
        <f t="shared" si="37"/>
        <v>158.43600000000001</v>
      </c>
      <c r="P28" s="93">
        <f t="shared" si="37"/>
        <v>402.92700000000002</v>
      </c>
      <c r="Q28" s="93">
        <f t="shared" si="37"/>
        <v>148.6</v>
      </c>
      <c r="R28" s="93">
        <f t="shared" si="37"/>
        <v>1022.58</v>
      </c>
      <c r="S28" s="93">
        <f t="shared" si="37"/>
        <v>1022.58</v>
      </c>
      <c r="T28" s="93">
        <f t="shared" si="37"/>
        <v>409.58</v>
      </c>
      <c r="U28" s="93">
        <f t="shared" si="37"/>
        <v>383.73999999999995</v>
      </c>
      <c r="V28" s="60">
        <v>95</v>
      </c>
    </row>
    <row r="29" spans="1:22" x14ac:dyDescent="0.25">
      <c r="B29" s="148"/>
      <c r="C29" s="1003" t="s">
        <v>150</v>
      </c>
      <c r="D29" s="1004"/>
      <c r="E29" s="1004"/>
      <c r="F29" s="1004"/>
      <c r="G29" s="1003" t="s">
        <v>151</v>
      </c>
      <c r="H29" s="1004"/>
      <c r="I29" s="1004"/>
      <c r="J29" s="1004"/>
      <c r="K29" s="59"/>
      <c r="L29" s="59"/>
      <c r="M29" s="59"/>
      <c r="N29" s="59"/>
    </row>
    <row r="30" spans="1:22" x14ac:dyDescent="0.25">
      <c r="B30" s="149" t="s">
        <v>138</v>
      </c>
      <c r="C30" s="147" t="s">
        <v>140</v>
      </c>
      <c r="D30" s="147" t="s">
        <v>139</v>
      </c>
      <c r="E30" s="147" t="s">
        <v>77</v>
      </c>
      <c r="F30" s="146" t="s">
        <v>148</v>
      </c>
      <c r="G30" s="147" t="s">
        <v>140</v>
      </c>
      <c r="H30" s="147" t="s">
        <v>139</v>
      </c>
      <c r="I30" s="147" t="s">
        <v>77</v>
      </c>
      <c r="J30" s="146" t="s">
        <v>148</v>
      </c>
      <c r="K30" s="59"/>
      <c r="L30" s="59"/>
      <c r="M30" s="59"/>
      <c r="N30" s="59"/>
    </row>
    <row r="31" spans="1:22" x14ac:dyDescent="0.25">
      <c r="B31" s="149" t="s">
        <v>141</v>
      </c>
      <c r="C31" s="61">
        <f>0.05*0.12</f>
        <v>6.0000000000000001E-3</v>
      </c>
      <c r="D31" s="147">
        <v>15</v>
      </c>
      <c r="E31" s="147">
        <v>21</v>
      </c>
      <c r="F31" s="150">
        <f>E31*D31*C31</f>
        <v>1.8900000000000001</v>
      </c>
      <c r="G31" s="61">
        <f>0.05*0.03</f>
        <v>1.5E-3</v>
      </c>
      <c r="H31" s="147">
        <v>15</v>
      </c>
      <c r="I31" s="147">
        <v>21</v>
      </c>
      <c r="J31" s="150">
        <f>I31*H31*G31</f>
        <v>0.47250000000000003</v>
      </c>
      <c r="K31" s="59"/>
      <c r="L31" s="59"/>
      <c r="M31" s="59"/>
      <c r="N31" s="59"/>
    </row>
    <row r="32" spans="1:22" x14ac:dyDescent="0.25">
      <c r="B32" s="149" t="s">
        <v>142</v>
      </c>
      <c r="C32" s="147">
        <f>C31</f>
        <v>6.0000000000000001E-3</v>
      </c>
      <c r="D32" s="147">
        <v>10.9</v>
      </c>
      <c r="E32" s="147">
        <v>3</v>
      </c>
      <c r="F32" s="150">
        <f t="shared" ref="F32:F38" si="38">E32*D32*C32</f>
        <v>0.19620000000000001</v>
      </c>
      <c r="G32" s="147">
        <f>G31</f>
        <v>1.5E-3</v>
      </c>
      <c r="H32" s="147">
        <v>10.9</v>
      </c>
      <c r="I32" s="147">
        <v>3</v>
      </c>
      <c r="J32" s="150">
        <f t="shared" ref="J32:J38" si="39">I32*H32*G32</f>
        <v>4.9050000000000003E-2</v>
      </c>
      <c r="K32" s="59"/>
      <c r="L32" s="59"/>
      <c r="M32" s="59"/>
      <c r="N32" s="59"/>
    </row>
    <row r="33" spans="1:15" x14ac:dyDescent="0.25">
      <c r="B33" s="149" t="s">
        <v>143</v>
      </c>
      <c r="C33" s="147">
        <f t="shared" ref="C33:C37" si="40">C32</f>
        <v>6.0000000000000001E-3</v>
      </c>
      <c r="D33" s="147">
        <v>10.3</v>
      </c>
      <c r="E33" s="147">
        <v>3</v>
      </c>
      <c r="F33" s="150">
        <f t="shared" si="38"/>
        <v>0.18540000000000001</v>
      </c>
      <c r="G33" s="147">
        <f t="shared" ref="G33:G38" si="41">G32</f>
        <v>1.5E-3</v>
      </c>
      <c r="H33" s="147">
        <v>10.3</v>
      </c>
      <c r="I33" s="147">
        <v>3</v>
      </c>
      <c r="J33" s="150">
        <f t="shared" si="39"/>
        <v>4.6350000000000002E-2</v>
      </c>
      <c r="K33" s="59"/>
      <c r="L33" s="59"/>
      <c r="M33" s="59"/>
      <c r="N33" s="59"/>
    </row>
    <row r="34" spans="1:15" x14ac:dyDescent="0.25">
      <c r="B34" s="149" t="s">
        <v>144</v>
      </c>
      <c r="C34" s="147">
        <f t="shared" si="40"/>
        <v>6.0000000000000001E-3</v>
      </c>
      <c r="D34" s="147">
        <v>14.2</v>
      </c>
      <c r="E34" s="147">
        <v>3</v>
      </c>
      <c r="F34" s="150">
        <f t="shared" si="38"/>
        <v>0.25559999999999999</v>
      </c>
      <c r="G34" s="147">
        <f t="shared" si="41"/>
        <v>1.5E-3</v>
      </c>
      <c r="H34" s="147">
        <v>14.2</v>
      </c>
      <c r="I34" s="147">
        <v>3</v>
      </c>
      <c r="J34" s="150">
        <f t="shared" si="39"/>
        <v>6.3899999999999998E-2</v>
      </c>
      <c r="K34" s="59"/>
      <c r="L34" s="59"/>
      <c r="M34" s="59"/>
      <c r="N34" s="59"/>
      <c r="O34" s="59"/>
    </row>
    <row r="35" spans="1:15" x14ac:dyDescent="0.25">
      <c r="B35" s="149" t="s">
        <v>145</v>
      </c>
      <c r="C35" s="147">
        <f t="shared" si="40"/>
        <v>6.0000000000000001E-3</v>
      </c>
      <c r="D35" s="147">
        <v>5.0999999999999996</v>
      </c>
      <c r="E35" s="147">
        <v>12</v>
      </c>
      <c r="F35" s="150">
        <f t="shared" si="38"/>
        <v>0.36719999999999997</v>
      </c>
      <c r="G35" s="147">
        <f t="shared" si="41"/>
        <v>1.5E-3</v>
      </c>
      <c r="H35" s="147">
        <v>5.0999999999999996</v>
      </c>
      <c r="I35" s="147">
        <v>12</v>
      </c>
      <c r="J35" s="150">
        <f t="shared" si="39"/>
        <v>9.1799999999999993E-2</v>
      </c>
      <c r="K35" s="59"/>
      <c r="L35" s="59"/>
      <c r="M35" s="59"/>
      <c r="N35" s="59"/>
      <c r="O35" s="59"/>
    </row>
    <row r="36" spans="1:15" x14ac:dyDescent="0.25">
      <c r="B36" s="149" t="s">
        <v>146</v>
      </c>
      <c r="C36" s="147">
        <f t="shared" si="40"/>
        <v>6.0000000000000001E-3</v>
      </c>
      <c r="D36" s="147">
        <v>14.2</v>
      </c>
      <c r="E36" s="147">
        <v>6</v>
      </c>
      <c r="F36" s="150">
        <f t="shared" si="38"/>
        <v>0.51119999999999999</v>
      </c>
      <c r="G36" s="147">
        <f t="shared" si="41"/>
        <v>1.5E-3</v>
      </c>
      <c r="H36" s="147">
        <v>14.2</v>
      </c>
      <c r="I36" s="147">
        <v>6</v>
      </c>
      <c r="J36" s="150">
        <f t="shared" si="39"/>
        <v>0.1278</v>
      </c>
      <c r="O36" s="59"/>
    </row>
    <row r="37" spans="1:15" x14ac:dyDescent="0.25">
      <c r="B37" s="149" t="s">
        <v>147</v>
      </c>
      <c r="C37" s="147">
        <f t="shared" si="40"/>
        <v>6.0000000000000001E-3</v>
      </c>
      <c r="D37" s="147">
        <v>14.2</v>
      </c>
      <c r="E37" s="147">
        <v>6</v>
      </c>
      <c r="F37" s="150">
        <f t="shared" si="38"/>
        <v>0.51119999999999999</v>
      </c>
      <c r="G37" s="147">
        <f t="shared" si="41"/>
        <v>1.5E-3</v>
      </c>
      <c r="H37" s="147">
        <v>14.2</v>
      </c>
      <c r="I37" s="147">
        <v>6</v>
      </c>
      <c r="J37" s="150">
        <f t="shared" si="39"/>
        <v>0.1278</v>
      </c>
      <c r="O37" s="59"/>
    </row>
    <row r="38" spans="1:15" x14ac:dyDescent="0.25">
      <c r="B38" s="149" t="s">
        <v>149</v>
      </c>
      <c r="C38" s="147">
        <f t="shared" ref="C38" si="42">C37</f>
        <v>6.0000000000000001E-3</v>
      </c>
      <c r="D38" s="147">
        <v>15</v>
      </c>
      <c r="E38" s="147">
        <v>9</v>
      </c>
      <c r="F38" s="150">
        <f t="shared" si="38"/>
        <v>0.81</v>
      </c>
      <c r="G38" s="147">
        <f t="shared" si="41"/>
        <v>1.5E-3</v>
      </c>
      <c r="H38" s="147">
        <v>15</v>
      </c>
      <c r="I38" s="147">
        <v>9</v>
      </c>
      <c r="J38" s="150">
        <f t="shared" si="39"/>
        <v>0.20250000000000001</v>
      </c>
      <c r="O38" s="59"/>
    </row>
    <row r="39" spans="1:15" x14ac:dyDescent="0.25">
      <c r="B39" s="149"/>
      <c r="C39" s="146"/>
      <c r="D39" s="147"/>
      <c r="E39" s="147"/>
      <c r="F39" s="150">
        <f>SUM(F31:F38)</f>
        <v>4.7268000000000008</v>
      </c>
      <c r="G39" s="146"/>
      <c r="H39" s="147"/>
      <c r="I39" s="147"/>
      <c r="J39" s="150">
        <f>SUM(J31:J38)</f>
        <v>1.1817000000000002</v>
      </c>
      <c r="O39" s="59"/>
    </row>
    <row r="40" spans="1:15" ht="33" x14ac:dyDescent="0.25">
      <c r="B40" s="287" t="s">
        <v>224</v>
      </c>
      <c r="C40" s="288" t="s">
        <v>225</v>
      </c>
      <c r="D40" s="288" t="s">
        <v>226</v>
      </c>
      <c r="E40" s="287" t="s">
        <v>227</v>
      </c>
      <c r="F40" s="287" t="s">
        <v>228</v>
      </c>
      <c r="G40" s="287" t="s">
        <v>229</v>
      </c>
      <c r="H40" s="287" t="s">
        <v>230</v>
      </c>
      <c r="I40" s="287" t="s">
        <v>231</v>
      </c>
      <c r="J40" s="287" t="s">
        <v>232</v>
      </c>
      <c r="O40" s="59"/>
    </row>
    <row r="41" spans="1:15" x14ac:dyDescent="0.2">
      <c r="B41" s="1001" t="s">
        <v>233</v>
      </c>
      <c r="C41" s="1002"/>
      <c r="D41" s="289" t="s">
        <v>91</v>
      </c>
      <c r="E41" s="289">
        <v>12</v>
      </c>
      <c r="F41" s="289"/>
      <c r="G41" s="289"/>
      <c r="H41" s="290"/>
      <c r="I41" s="290"/>
      <c r="J41" s="303">
        <f>E41</f>
        <v>12</v>
      </c>
    </row>
    <row r="42" spans="1:15" s="280" customFormat="1" ht="24.75" x14ac:dyDescent="0.15">
      <c r="A42" s="300"/>
      <c r="B42" s="291">
        <v>1</v>
      </c>
      <c r="C42" s="301" t="s">
        <v>223</v>
      </c>
      <c r="D42" s="302" t="s">
        <v>89</v>
      </c>
      <c r="E42" s="302">
        <f>17*2</f>
        <v>34</v>
      </c>
      <c r="F42" s="292"/>
      <c r="G42" s="292"/>
      <c r="H42" s="292"/>
      <c r="I42" s="292"/>
      <c r="J42" s="302">
        <f>E42</f>
        <v>34</v>
      </c>
    </row>
    <row r="43" spans="1:15" x14ac:dyDescent="0.15">
      <c r="B43" s="292">
        <v>2</v>
      </c>
      <c r="C43" s="293" t="s">
        <v>196</v>
      </c>
      <c r="D43" s="294" t="s">
        <v>91</v>
      </c>
      <c r="E43" s="295">
        <f>E41*8</f>
        <v>96</v>
      </c>
      <c r="F43" s="295">
        <v>150</v>
      </c>
      <c r="G43" s="295">
        <f>F43*E43/1000</f>
        <v>14.4</v>
      </c>
      <c r="H43" s="296">
        <v>4.79</v>
      </c>
      <c r="I43" s="296">
        <f>F43*H43/1000</f>
        <v>0.71850000000000003</v>
      </c>
      <c r="J43" s="302">
        <f>H43*G43</f>
        <v>68.975999999999999</v>
      </c>
    </row>
    <row r="44" spans="1:15" x14ac:dyDescent="0.15">
      <c r="B44" s="292">
        <v>3</v>
      </c>
      <c r="C44" s="293" t="s">
        <v>197</v>
      </c>
      <c r="D44" s="294" t="s">
        <v>91</v>
      </c>
      <c r="E44" s="295">
        <f>8*E41</f>
        <v>96</v>
      </c>
      <c r="F44" s="295"/>
      <c r="G44" s="295"/>
      <c r="H44" s="296"/>
      <c r="I44" s="296"/>
      <c r="J44" s="304">
        <f>E44</f>
        <v>96</v>
      </c>
    </row>
    <row r="45" spans="1:15" x14ac:dyDescent="0.15">
      <c r="B45" s="291">
        <v>4</v>
      </c>
      <c r="C45" s="293" t="s">
        <v>198</v>
      </c>
      <c r="D45" s="294" t="s">
        <v>89</v>
      </c>
      <c r="E45" s="297">
        <f>E41*7.8208</f>
        <v>93.849600000000009</v>
      </c>
      <c r="F45" s="297"/>
      <c r="G45" s="297"/>
      <c r="H45" s="298">
        <v>0.39500000000000002</v>
      </c>
      <c r="I45" s="298"/>
      <c r="J45" s="305">
        <f>H45*E45</f>
        <v>37.070592000000005</v>
      </c>
    </row>
    <row r="46" spans="1:15" x14ac:dyDescent="0.15">
      <c r="B46" s="292">
        <v>5</v>
      </c>
      <c r="C46" s="299" t="s">
        <v>199</v>
      </c>
      <c r="D46" s="292" t="s">
        <v>89</v>
      </c>
      <c r="E46" s="296">
        <f>E41*4.032</f>
        <v>48.384</v>
      </c>
      <c r="F46" s="296"/>
      <c r="G46" s="296"/>
      <c r="H46" s="298">
        <v>0.222</v>
      </c>
      <c r="I46" s="298"/>
      <c r="J46" s="305">
        <f>E46*H46</f>
        <v>10.741248000000001</v>
      </c>
    </row>
    <row r="47" spans="1:15" x14ac:dyDescent="0.15">
      <c r="B47" s="292">
        <v>6</v>
      </c>
      <c r="C47" s="299" t="s">
        <v>200</v>
      </c>
      <c r="D47" s="292" t="s">
        <v>57</v>
      </c>
      <c r="E47" s="296">
        <f>(2*0.003*3.14*E46)+(3.14*0.003^2*2*10)+(2*0.004*3.14*E45)+(3.14*0.004^2*2*14)+(0.04025*8)</f>
        <v>3.5930284320000001</v>
      </c>
      <c r="F47" s="296"/>
      <c r="G47" s="296"/>
      <c r="H47" s="292"/>
      <c r="I47" s="292"/>
      <c r="J47" s="305">
        <f>E47</f>
        <v>3.5930284320000001</v>
      </c>
    </row>
    <row r="48" spans="1:15" x14ac:dyDescent="0.15">
      <c r="B48" s="291">
        <v>7</v>
      </c>
      <c r="C48" s="293" t="s">
        <v>201</v>
      </c>
      <c r="D48" s="294" t="s">
        <v>234</v>
      </c>
      <c r="E48" s="298">
        <f>0.15*(3.14*0.25^2)*E41</f>
        <v>0.35324999999999995</v>
      </c>
      <c r="F48" s="299"/>
      <c r="G48" s="299"/>
      <c r="H48" s="299"/>
      <c r="I48" s="299"/>
      <c r="J48" s="306">
        <f>E48</f>
        <v>0.35324999999999995</v>
      </c>
    </row>
  </sheetData>
  <mergeCells count="16">
    <mergeCell ref="B41:C41"/>
    <mergeCell ref="C29:F29"/>
    <mergeCell ref="G29:J29"/>
    <mergeCell ref="R2:R3"/>
    <mergeCell ref="B2:B3"/>
    <mergeCell ref="C2:E2"/>
    <mergeCell ref="F2:G2"/>
    <mergeCell ref="H2:J2"/>
    <mergeCell ref="S2:S3"/>
    <mergeCell ref="T2:T3"/>
    <mergeCell ref="L1:M1"/>
    <mergeCell ref="N1:O1"/>
    <mergeCell ref="R1:V1"/>
    <mergeCell ref="U2:U3"/>
    <mergeCell ref="V2:V3"/>
    <mergeCell ref="P1:Q1"/>
  </mergeCells>
  <phoneticPr fontId="28" type="noConversion"/>
  <pageMargins left="0.19685039370078741" right="0.19685039370078741" top="0.75196850393700787" bottom="0.39370078740157483" header="0.51181102362204722" footer="0.51181102362204722"/>
  <pageSetup paperSize="9" scale="62" orientation="landscape" r:id="rId1"/>
  <ignoredErrors>
    <ignoredError sqref="T26:T27 T24 T4:T13 T19:T20 K26:K28 K19:K20 K24 K18 K25 K21:K23 T14:T1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MK41"/>
  <sheetViews>
    <sheetView view="pageBreakPreview" topLeftCell="A11" zoomScale="130" zoomScaleNormal="100" zoomScaleSheetLayoutView="130" workbookViewId="0">
      <selection activeCell="A9" sqref="A9:F9"/>
    </sheetView>
  </sheetViews>
  <sheetFormatPr defaultRowHeight="15" x14ac:dyDescent="0.25"/>
  <cols>
    <col min="1" max="1" width="4.5703125" style="1" customWidth="1"/>
    <col min="2" max="2" width="6"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3" width="7.7109375" style="1" customWidth="1"/>
    <col min="14" max="14" width="8.7109375" style="1" customWidth="1"/>
    <col min="15" max="15" width="7.7109375" style="1" customWidth="1"/>
    <col min="16" max="16" width="9" style="1" customWidth="1"/>
    <col min="17" max="1025" width="9.140625" style="1" customWidth="1"/>
  </cols>
  <sheetData>
    <row r="1" spans="1:16" x14ac:dyDescent="0.25">
      <c r="A1" s="33"/>
      <c r="B1" s="33"/>
      <c r="C1" s="37" t="s">
        <v>39</v>
      </c>
      <c r="D1" s="38">
        <f>'Kops a'!A18</f>
        <v>4</v>
      </c>
      <c r="E1" s="33"/>
      <c r="F1" s="33"/>
      <c r="G1" s="33"/>
      <c r="H1" s="33"/>
      <c r="I1" s="33"/>
      <c r="J1" s="33"/>
      <c r="N1" s="39"/>
      <c r="O1" s="37"/>
      <c r="P1" s="40"/>
    </row>
    <row r="2" spans="1:16" x14ac:dyDescent="0.25">
      <c r="A2" s="41"/>
      <c r="B2" s="41"/>
      <c r="C2" s="972" t="s">
        <v>123</v>
      </c>
      <c r="D2" s="972"/>
      <c r="E2" s="972"/>
      <c r="F2" s="972"/>
      <c r="G2" s="972"/>
      <c r="H2" s="972"/>
      <c r="I2" s="972"/>
      <c r="J2" s="41"/>
    </row>
    <row r="3" spans="1:16" x14ac:dyDescent="0.25">
      <c r="A3" s="42"/>
      <c r="B3" s="42"/>
      <c r="C3" s="946" t="s">
        <v>18</v>
      </c>
      <c r="D3" s="946"/>
      <c r="E3" s="946"/>
      <c r="F3" s="946"/>
      <c r="G3" s="946"/>
      <c r="H3" s="946"/>
      <c r="I3" s="946"/>
      <c r="J3" s="42"/>
    </row>
    <row r="4" spans="1:16" x14ac:dyDescent="0.25">
      <c r="A4" s="42"/>
      <c r="B4" s="42"/>
      <c r="C4" s="973" t="s">
        <v>4</v>
      </c>
      <c r="D4" s="973"/>
      <c r="E4" s="973"/>
      <c r="F4" s="973"/>
      <c r="G4" s="973"/>
      <c r="H4" s="973"/>
      <c r="I4" s="973"/>
      <c r="J4" s="42"/>
    </row>
    <row r="5" spans="1:16" x14ac:dyDescent="0.25">
      <c r="A5" s="33"/>
      <c r="B5" s="33"/>
      <c r="C5" s="37" t="s">
        <v>5</v>
      </c>
      <c r="D5" s="968" t="str">
        <f>'Kops a'!D6</f>
        <v>Daudzīvokļu dzīvojamā māja</v>
      </c>
      <c r="E5" s="968"/>
      <c r="F5" s="968"/>
      <c r="G5" s="968"/>
      <c r="H5" s="968"/>
      <c r="I5" s="968"/>
      <c r="J5" s="968"/>
      <c r="K5" s="968"/>
      <c r="L5" s="968"/>
      <c r="M5" s="14"/>
      <c r="N5" s="14"/>
      <c r="O5" s="14"/>
      <c r="P5" s="14"/>
    </row>
    <row r="6" spans="1:16" x14ac:dyDescent="0.25">
      <c r="A6" s="33"/>
      <c r="B6" s="33"/>
      <c r="C6" s="37" t="s">
        <v>6</v>
      </c>
      <c r="D6" s="968" t="str">
        <f>'Kops a'!D7</f>
        <v>fasādes vienkāršotā atjaunošana</v>
      </c>
      <c r="E6" s="968"/>
      <c r="F6" s="968"/>
      <c r="G6" s="968"/>
      <c r="H6" s="968"/>
      <c r="I6" s="968"/>
      <c r="J6" s="968"/>
      <c r="K6" s="968"/>
      <c r="L6" s="968"/>
      <c r="M6" s="14"/>
      <c r="N6" s="14"/>
      <c r="O6" s="14"/>
      <c r="P6" s="14"/>
    </row>
    <row r="7" spans="1:16" x14ac:dyDescent="0.25">
      <c r="A7" s="33"/>
      <c r="B7" s="33"/>
      <c r="C7" s="37" t="s">
        <v>7</v>
      </c>
      <c r="D7" s="968" t="str">
        <f>'Kops a'!D8</f>
        <v>Reiņu meža iela 3, Liepāja</v>
      </c>
      <c r="E7" s="968"/>
      <c r="F7" s="968"/>
      <c r="G7" s="968"/>
      <c r="H7" s="968"/>
      <c r="I7" s="968"/>
      <c r="J7" s="968"/>
      <c r="K7" s="968"/>
      <c r="L7" s="968"/>
      <c r="M7" s="14"/>
      <c r="N7" s="14"/>
      <c r="O7" s="14"/>
      <c r="P7" s="14"/>
    </row>
    <row r="8" spans="1:16" x14ac:dyDescent="0.25">
      <c r="A8" s="33"/>
      <c r="B8" s="33"/>
      <c r="C8" s="4" t="s">
        <v>21</v>
      </c>
      <c r="D8" s="968" t="str">
        <f>'Kops a'!D9</f>
        <v>EA-45-17</v>
      </c>
      <c r="E8" s="968"/>
      <c r="F8" s="968"/>
      <c r="G8" s="968"/>
      <c r="H8" s="968"/>
      <c r="I8" s="968"/>
      <c r="J8" s="968"/>
      <c r="K8" s="968"/>
      <c r="L8" s="968"/>
      <c r="M8" s="14"/>
      <c r="N8" s="14"/>
      <c r="O8" s="14"/>
      <c r="P8" s="14"/>
    </row>
    <row r="9" spans="1:16" ht="15" customHeight="1" x14ac:dyDescent="0.25">
      <c r="A9" s="969" t="s">
        <v>627</v>
      </c>
      <c r="B9" s="969"/>
      <c r="C9" s="969"/>
      <c r="D9" s="969"/>
      <c r="E9" s="969"/>
      <c r="F9" s="969"/>
      <c r="G9" s="43"/>
      <c r="H9" s="43"/>
      <c r="I9" s="43"/>
      <c r="J9" s="970" t="s">
        <v>40</v>
      </c>
      <c r="K9" s="970"/>
      <c r="L9" s="970"/>
      <c r="M9" s="970"/>
      <c r="N9" s="971">
        <f>P26</f>
        <v>0</v>
      </c>
      <c r="O9" s="971"/>
      <c r="P9" s="43"/>
    </row>
    <row r="10" spans="1:16" x14ac:dyDescent="0.25">
      <c r="A10" s="44"/>
      <c r="B10" s="45"/>
      <c r="C10" s="4"/>
      <c r="D10" s="33"/>
      <c r="E10" s="33"/>
      <c r="F10" s="33"/>
      <c r="G10" s="33"/>
      <c r="H10" s="33"/>
      <c r="I10" s="33"/>
      <c r="J10" s="33"/>
      <c r="K10" s="33"/>
      <c r="L10" s="41"/>
      <c r="M10" s="41"/>
      <c r="O10" s="57"/>
      <c r="P10" s="47" t="str">
        <f>A32</f>
        <v>Tāme sastādīta 20__. gada __. _________</v>
      </c>
    </row>
    <row r="11" spans="1:16" ht="15.75" thickBot="1" x14ac:dyDescent="0.3">
      <c r="A11" s="44"/>
      <c r="B11" s="45"/>
      <c r="C11" s="4"/>
      <c r="D11" s="33"/>
      <c r="E11" s="33"/>
      <c r="F11" s="33"/>
      <c r="G11" s="33"/>
      <c r="H11" s="33"/>
      <c r="I11" s="33"/>
      <c r="J11" s="33"/>
      <c r="K11" s="33"/>
      <c r="L11" s="48"/>
      <c r="M11" s="48"/>
      <c r="N11" s="49"/>
      <c r="O11" s="39"/>
      <c r="P11" s="33"/>
    </row>
    <row r="12" spans="1:16" ht="15.75" thickBot="1" x14ac:dyDescent="0.3">
      <c r="A12" s="960" t="s">
        <v>24</v>
      </c>
      <c r="B12" s="961" t="s">
        <v>41</v>
      </c>
      <c r="C12" s="962" t="s">
        <v>42</v>
      </c>
      <c r="D12" s="963" t="s">
        <v>43</v>
      </c>
      <c r="E12" s="964" t="s">
        <v>44</v>
      </c>
      <c r="F12" s="959" t="s">
        <v>45</v>
      </c>
      <c r="G12" s="959"/>
      <c r="H12" s="959"/>
      <c r="I12" s="959"/>
      <c r="J12" s="959"/>
      <c r="K12" s="959"/>
      <c r="L12" s="959" t="s">
        <v>46</v>
      </c>
      <c r="M12" s="959"/>
      <c r="N12" s="959"/>
      <c r="O12" s="959"/>
      <c r="P12" s="959"/>
    </row>
    <row r="13" spans="1:16" ht="117" thickBot="1" x14ac:dyDescent="0.3">
      <c r="A13" s="960"/>
      <c r="B13" s="961"/>
      <c r="C13" s="962"/>
      <c r="D13" s="963"/>
      <c r="E13" s="964"/>
      <c r="F13" s="50" t="s">
        <v>47</v>
      </c>
      <c r="G13" s="51" t="s">
        <v>48</v>
      </c>
      <c r="H13" s="51" t="s">
        <v>49</v>
      </c>
      <c r="I13" s="51" t="s">
        <v>50</v>
      </c>
      <c r="J13" s="51" t="s">
        <v>51</v>
      </c>
      <c r="K13" s="52" t="s">
        <v>52</v>
      </c>
      <c r="L13" s="50" t="s">
        <v>47</v>
      </c>
      <c r="M13" s="51" t="s">
        <v>49</v>
      </c>
      <c r="N13" s="51" t="s">
        <v>50</v>
      </c>
      <c r="O13" s="51" t="s">
        <v>51</v>
      </c>
      <c r="P13" s="52" t="s">
        <v>52</v>
      </c>
    </row>
    <row r="14" spans="1:16" x14ac:dyDescent="0.25">
      <c r="A14" s="102">
        <f>IF(COUNTBLANK(B14)=1," ",COUNTA(B$14:B14))</f>
        <v>1</v>
      </c>
      <c r="B14" s="225" t="s">
        <v>87</v>
      </c>
      <c r="C14" s="604" t="s">
        <v>360</v>
      </c>
      <c r="D14" s="575" t="s">
        <v>85</v>
      </c>
      <c r="E14" s="575">
        <v>5</v>
      </c>
      <c r="F14" s="124"/>
      <c r="G14" s="124"/>
      <c r="H14" s="208">
        <f>F14*G14</f>
        <v>0</v>
      </c>
      <c r="I14" s="124"/>
      <c r="J14" s="124"/>
      <c r="K14" s="159">
        <f t="shared" ref="K14:K25" si="0">ROUND(I14+H14+J14,2)</f>
        <v>0</v>
      </c>
      <c r="L14" s="159">
        <f t="shared" ref="L14:L25" si="1">ROUND(E14*F14,2)</f>
        <v>0</v>
      </c>
      <c r="M14" s="159">
        <f t="shared" ref="M14:M25" si="2">ROUND(E14*H14,2)</f>
        <v>0</v>
      </c>
      <c r="N14" s="159">
        <f t="shared" ref="N14:N25" si="3">ROUND(E14*I14,2)</f>
        <v>0</v>
      </c>
      <c r="O14" s="159">
        <f t="shared" ref="O14:O25" si="4">ROUND(E14*J14,2)</f>
        <v>0</v>
      </c>
      <c r="P14" s="159">
        <f t="shared" ref="P14:P25" si="5">SUM(M14:O14)</f>
        <v>0</v>
      </c>
    </row>
    <row r="15" spans="1:16" ht="22.5" x14ac:dyDescent="0.25">
      <c r="A15" s="102">
        <f>IF(COUNTBLANK(B15)=1," ",COUNTA(B$14:B15))</f>
        <v>2</v>
      </c>
      <c r="B15" s="225" t="s">
        <v>87</v>
      </c>
      <c r="C15" s="226" t="s">
        <v>172</v>
      </c>
      <c r="D15" s="169" t="s">
        <v>57</v>
      </c>
      <c r="E15" s="227">
        <v>670</v>
      </c>
      <c r="F15" s="124"/>
      <c r="G15" s="124"/>
      <c r="H15" s="208">
        <f t="shared" ref="H15:H25" si="6">F15*G15</f>
        <v>0</v>
      </c>
      <c r="I15" s="124"/>
      <c r="J15" s="124"/>
      <c r="K15" s="307">
        <f t="shared" si="0"/>
        <v>0</v>
      </c>
      <c r="L15" s="307">
        <f t="shared" si="1"/>
        <v>0</v>
      </c>
      <c r="M15" s="307">
        <f t="shared" si="2"/>
        <v>0</v>
      </c>
      <c r="N15" s="307">
        <f t="shared" si="3"/>
        <v>0</v>
      </c>
      <c r="O15" s="307">
        <f t="shared" si="4"/>
        <v>0</v>
      </c>
      <c r="P15" s="307">
        <f t="shared" si="5"/>
        <v>0</v>
      </c>
    </row>
    <row r="16" spans="1:16" x14ac:dyDescent="0.25">
      <c r="A16" s="102">
        <f>IF(COUNTBLANK(B16)=1," ",COUNTA(B$14:B16))</f>
        <v>3</v>
      </c>
      <c r="B16" s="225" t="s">
        <v>87</v>
      </c>
      <c r="C16" s="171" t="s">
        <v>154</v>
      </c>
      <c r="D16" s="123" t="s">
        <v>90</v>
      </c>
      <c r="E16" s="124">
        <f>E15*0.15</f>
        <v>100.5</v>
      </c>
      <c r="F16" s="124"/>
      <c r="G16" s="124"/>
      <c r="H16" s="208">
        <f t="shared" si="6"/>
        <v>0</v>
      </c>
      <c r="I16" s="124"/>
      <c r="J16" s="124"/>
      <c r="K16" s="307">
        <f t="shared" si="0"/>
        <v>0</v>
      </c>
      <c r="L16" s="307">
        <f t="shared" si="1"/>
        <v>0</v>
      </c>
      <c r="M16" s="307">
        <f t="shared" si="2"/>
        <v>0</v>
      </c>
      <c r="N16" s="307">
        <f t="shared" si="3"/>
        <v>0</v>
      </c>
      <c r="O16" s="307">
        <f t="shared" si="4"/>
        <v>0</v>
      </c>
      <c r="P16" s="307">
        <f t="shared" si="5"/>
        <v>0</v>
      </c>
    </row>
    <row r="17" spans="1:16" ht="45" x14ac:dyDescent="0.25">
      <c r="A17" s="102">
        <f>IF(COUNTBLANK(B17)=1," ",COUNTA(B$14:B17))</f>
        <v>4</v>
      </c>
      <c r="B17" s="225" t="s">
        <v>87</v>
      </c>
      <c r="C17" s="226" t="s">
        <v>361</v>
      </c>
      <c r="D17" s="169" t="s">
        <v>57</v>
      </c>
      <c r="E17" s="227">
        <v>670</v>
      </c>
      <c r="F17" s="124"/>
      <c r="G17" s="124"/>
      <c r="H17" s="208">
        <f t="shared" si="6"/>
        <v>0</v>
      </c>
      <c r="I17" s="124"/>
      <c r="J17" s="124"/>
      <c r="K17" s="307">
        <f t="shared" si="0"/>
        <v>0</v>
      </c>
      <c r="L17" s="307">
        <f t="shared" si="1"/>
        <v>0</v>
      </c>
      <c r="M17" s="307">
        <f t="shared" si="2"/>
        <v>0</v>
      </c>
      <c r="N17" s="307">
        <f t="shared" si="3"/>
        <v>0</v>
      </c>
      <c r="O17" s="307">
        <f t="shared" si="4"/>
        <v>0</v>
      </c>
      <c r="P17" s="307">
        <f t="shared" si="5"/>
        <v>0</v>
      </c>
    </row>
    <row r="18" spans="1:16" x14ac:dyDescent="0.25">
      <c r="A18" s="102">
        <f>IF(COUNTBLANK(B18)=1," ",COUNTA(B$14:B18))</f>
        <v>5</v>
      </c>
      <c r="B18" s="225" t="s">
        <v>87</v>
      </c>
      <c r="C18" s="228" t="s">
        <v>125</v>
      </c>
      <c r="D18" s="169" t="s">
        <v>57</v>
      </c>
      <c r="E18" s="124">
        <f>E17*1.05</f>
        <v>703.5</v>
      </c>
      <c r="F18" s="124"/>
      <c r="G18" s="124"/>
      <c r="H18" s="208">
        <f t="shared" si="6"/>
        <v>0</v>
      </c>
      <c r="I18" s="124"/>
      <c r="J18" s="124"/>
      <c r="K18" s="307">
        <f t="shared" si="0"/>
        <v>0</v>
      </c>
      <c r="L18" s="307">
        <f t="shared" si="1"/>
        <v>0</v>
      </c>
      <c r="M18" s="307">
        <f t="shared" si="2"/>
        <v>0</v>
      </c>
      <c r="N18" s="307">
        <f t="shared" si="3"/>
        <v>0</v>
      </c>
      <c r="O18" s="307">
        <f t="shared" si="4"/>
        <v>0</v>
      </c>
      <c r="P18" s="307">
        <f t="shared" si="5"/>
        <v>0</v>
      </c>
    </row>
    <row r="19" spans="1:16" x14ac:dyDescent="0.25">
      <c r="A19" s="102">
        <f>IF(COUNTBLANK(B19)=1," ",COUNTA(B$14:B19))</f>
        <v>6</v>
      </c>
      <c r="B19" s="225" t="s">
        <v>87</v>
      </c>
      <c r="C19" s="171" t="s">
        <v>287</v>
      </c>
      <c r="D19" s="123" t="str">
        <f>D18</f>
        <v>m²</v>
      </c>
      <c r="E19" s="124">
        <f>E17*5</f>
        <v>3350</v>
      </c>
      <c r="F19" s="413"/>
      <c r="G19" s="413"/>
      <c r="H19" s="208">
        <f t="shared" si="6"/>
        <v>0</v>
      </c>
      <c r="I19" s="413"/>
      <c r="J19" s="413"/>
      <c r="K19" s="307">
        <f t="shared" si="0"/>
        <v>0</v>
      </c>
      <c r="L19" s="307">
        <f t="shared" si="1"/>
        <v>0</v>
      </c>
      <c r="M19" s="307">
        <f t="shared" si="2"/>
        <v>0</v>
      </c>
      <c r="N19" s="307">
        <f t="shared" si="3"/>
        <v>0</v>
      </c>
      <c r="O19" s="307">
        <f t="shared" si="4"/>
        <v>0</v>
      </c>
      <c r="P19" s="307">
        <f t="shared" si="5"/>
        <v>0</v>
      </c>
    </row>
    <row r="20" spans="1:16" ht="45" x14ac:dyDescent="0.25">
      <c r="A20" s="102">
        <f>IF(COUNTBLANK(B20)=1," ",COUNTA(B$14:B20))</f>
        <v>7</v>
      </c>
      <c r="B20" s="225" t="s">
        <v>87</v>
      </c>
      <c r="C20" s="531" t="s">
        <v>363</v>
      </c>
      <c r="D20" s="605" t="s">
        <v>157</v>
      </c>
      <c r="E20" s="605">
        <v>27.6</v>
      </c>
      <c r="F20" s="539"/>
      <c r="G20" s="539"/>
      <c r="H20" s="208">
        <f t="shared" si="6"/>
        <v>0</v>
      </c>
      <c r="I20" s="539"/>
      <c r="J20" s="539"/>
      <c r="K20" s="307">
        <f t="shared" si="0"/>
        <v>0</v>
      </c>
      <c r="L20" s="307">
        <f t="shared" si="1"/>
        <v>0</v>
      </c>
      <c r="M20" s="307">
        <f t="shared" si="2"/>
        <v>0</v>
      </c>
      <c r="N20" s="307">
        <f t="shared" si="3"/>
        <v>0</v>
      </c>
      <c r="O20" s="307">
        <f t="shared" si="4"/>
        <v>0</v>
      </c>
      <c r="P20" s="307">
        <f t="shared" si="5"/>
        <v>0</v>
      </c>
    </row>
    <row r="21" spans="1:16" x14ac:dyDescent="0.25">
      <c r="A21" s="102">
        <f>IF(COUNTBLANK(B21)=1," ",COUNTA(B$14:B21))</f>
        <v>8</v>
      </c>
      <c r="B21" s="225" t="s">
        <v>87</v>
      </c>
      <c r="C21" s="606" t="s">
        <v>244</v>
      </c>
      <c r="D21" s="607" t="s">
        <v>90</v>
      </c>
      <c r="E21" s="608">
        <f>ROUNDUP(E20*0.2,2)</f>
        <v>5.52</v>
      </c>
      <c r="F21" s="539"/>
      <c r="G21" s="539"/>
      <c r="H21" s="208">
        <f t="shared" si="6"/>
        <v>0</v>
      </c>
      <c r="I21" s="539"/>
      <c r="J21" s="539"/>
      <c r="K21" s="307">
        <f t="shared" si="0"/>
        <v>0</v>
      </c>
      <c r="L21" s="307">
        <f t="shared" si="1"/>
        <v>0</v>
      </c>
      <c r="M21" s="307">
        <f t="shared" si="2"/>
        <v>0</v>
      </c>
      <c r="N21" s="307">
        <f t="shared" si="3"/>
        <v>0</v>
      </c>
      <c r="O21" s="307">
        <f t="shared" si="4"/>
        <v>0</v>
      </c>
      <c r="P21" s="307">
        <f t="shared" si="5"/>
        <v>0</v>
      </c>
    </row>
    <row r="22" spans="1:16" x14ac:dyDescent="0.25">
      <c r="A22" s="102">
        <f>IF(COUNTBLANK(B22)=1," ",COUNTA(B$14:B22))</f>
        <v>9</v>
      </c>
      <c r="B22" s="225" t="s">
        <v>87</v>
      </c>
      <c r="C22" s="609" t="s">
        <v>156</v>
      </c>
      <c r="D22" s="607" t="s">
        <v>90</v>
      </c>
      <c r="E22" s="608">
        <f>ROUNDUP(E20*5,2)</f>
        <v>138</v>
      </c>
      <c r="F22" s="539"/>
      <c r="G22" s="539"/>
      <c r="H22" s="208">
        <f t="shared" si="6"/>
        <v>0</v>
      </c>
      <c r="I22" s="539"/>
      <c r="J22" s="539"/>
      <c r="K22" s="307">
        <f t="shared" si="0"/>
        <v>0</v>
      </c>
      <c r="L22" s="307">
        <f t="shared" si="1"/>
        <v>0</v>
      </c>
      <c r="M22" s="307">
        <f t="shared" si="2"/>
        <v>0</v>
      </c>
      <c r="N22" s="307">
        <f t="shared" si="3"/>
        <v>0</v>
      </c>
      <c r="O22" s="307">
        <f t="shared" si="4"/>
        <v>0</v>
      </c>
      <c r="P22" s="307">
        <f t="shared" si="5"/>
        <v>0</v>
      </c>
    </row>
    <row r="23" spans="1:16" x14ac:dyDescent="0.25">
      <c r="A23" s="102">
        <f>IF(COUNTBLANK(B23)=1," ",COUNTA(B$14:B23))</f>
        <v>10</v>
      </c>
      <c r="B23" s="225" t="s">
        <v>87</v>
      </c>
      <c r="C23" s="529" t="s">
        <v>362</v>
      </c>
      <c r="D23" s="515" t="s">
        <v>83</v>
      </c>
      <c r="E23" s="608">
        <f>E20*6</f>
        <v>165.60000000000002</v>
      </c>
      <c r="F23" s="539"/>
      <c r="G23" s="539"/>
      <c r="H23" s="208">
        <f t="shared" si="6"/>
        <v>0</v>
      </c>
      <c r="I23" s="539"/>
      <c r="J23" s="539"/>
      <c r="K23" s="307">
        <f t="shared" si="0"/>
        <v>0</v>
      </c>
      <c r="L23" s="307">
        <f t="shared" si="1"/>
        <v>0</v>
      </c>
      <c r="M23" s="307">
        <f t="shared" si="2"/>
        <v>0</v>
      </c>
      <c r="N23" s="307">
        <f t="shared" si="3"/>
        <v>0</v>
      </c>
      <c r="O23" s="307">
        <f t="shared" si="4"/>
        <v>0</v>
      </c>
      <c r="P23" s="307">
        <f t="shared" si="5"/>
        <v>0</v>
      </c>
    </row>
    <row r="24" spans="1:16" x14ac:dyDescent="0.25">
      <c r="A24" s="102">
        <f>IF(COUNTBLANK(B24)=1," ",COUNTA(B$14:B24))</f>
        <v>11</v>
      </c>
      <c r="B24" s="225" t="s">
        <v>87</v>
      </c>
      <c r="C24" s="228" t="s">
        <v>86</v>
      </c>
      <c r="D24" s="123" t="s">
        <v>85</v>
      </c>
      <c r="E24" s="124">
        <v>5</v>
      </c>
      <c r="F24" s="124"/>
      <c r="G24" s="124"/>
      <c r="H24" s="208">
        <f t="shared" si="6"/>
        <v>0</v>
      </c>
      <c r="I24" s="123"/>
      <c r="J24" s="124"/>
      <c r="K24" s="307">
        <f t="shared" si="0"/>
        <v>0</v>
      </c>
      <c r="L24" s="307">
        <f t="shared" si="1"/>
        <v>0</v>
      </c>
      <c r="M24" s="307">
        <f t="shared" si="2"/>
        <v>0</v>
      </c>
      <c r="N24" s="307">
        <f t="shared" si="3"/>
        <v>0</v>
      </c>
      <c r="O24" s="307">
        <f t="shared" si="4"/>
        <v>0</v>
      </c>
      <c r="P24" s="307">
        <f t="shared" si="5"/>
        <v>0</v>
      </c>
    </row>
    <row r="25" spans="1:16" ht="15.75" thickBot="1" x14ac:dyDescent="0.3">
      <c r="A25" s="102">
        <f>IF(COUNTBLANK(B25)=1," ",COUNTA(B$14:B25))</f>
        <v>12</v>
      </c>
      <c r="B25" s="225" t="s">
        <v>87</v>
      </c>
      <c r="C25" s="228" t="s">
        <v>173</v>
      </c>
      <c r="D25" s="123" t="s">
        <v>83</v>
      </c>
      <c r="E25" s="177">
        <f>ROUNDUP(E24*0.14,0)</f>
        <v>1</v>
      </c>
      <c r="F25" s="124"/>
      <c r="G25" s="124"/>
      <c r="H25" s="208">
        <f t="shared" si="6"/>
        <v>0</v>
      </c>
      <c r="I25" s="123"/>
      <c r="J25" s="124"/>
      <c r="K25" s="307">
        <f t="shared" si="0"/>
        <v>0</v>
      </c>
      <c r="L25" s="307">
        <f t="shared" si="1"/>
        <v>0</v>
      </c>
      <c r="M25" s="307">
        <f t="shared" si="2"/>
        <v>0</v>
      </c>
      <c r="N25" s="307">
        <f t="shared" si="3"/>
        <v>0</v>
      </c>
      <c r="O25" s="159">
        <f t="shared" si="4"/>
        <v>0</v>
      </c>
      <c r="P25" s="307">
        <f t="shared" si="5"/>
        <v>0</v>
      </c>
    </row>
    <row r="26" spans="1:16" ht="15.75" customHeight="1" thickBot="1" x14ac:dyDescent="0.3">
      <c r="A26" s="965" t="s">
        <v>626</v>
      </c>
      <c r="B26" s="966"/>
      <c r="C26" s="966"/>
      <c r="D26" s="966"/>
      <c r="E26" s="966"/>
      <c r="F26" s="966"/>
      <c r="G26" s="966"/>
      <c r="H26" s="966"/>
      <c r="I26" s="966"/>
      <c r="J26" s="966"/>
      <c r="K26" s="967"/>
      <c r="L26" s="53">
        <f>SUM(L14:L25)</f>
        <v>0</v>
      </c>
      <c r="M26" s="54">
        <f>SUM(M14:M25)</f>
        <v>0</v>
      </c>
      <c r="N26" s="54">
        <f>SUM(N14:N25)</f>
        <v>0</v>
      </c>
      <c r="O26" s="54">
        <f>SUM(O14:O25)</f>
        <v>0</v>
      </c>
      <c r="P26" s="55">
        <f>SUM(P14:P25)</f>
        <v>0</v>
      </c>
    </row>
    <row r="27" spans="1:16" x14ac:dyDescent="0.25">
      <c r="A27" s="14"/>
      <c r="B27" s="14"/>
      <c r="C27" s="14"/>
      <c r="D27" s="14"/>
      <c r="E27" s="14"/>
      <c r="F27" s="14"/>
      <c r="G27" s="14"/>
      <c r="H27" s="14"/>
      <c r="I27" s="14"/>
      <c r="J27" s="14"/>
      <c r="K27" s="14"/>
      <c r="L27" s="14"/>
      <c r="M27" s="14"/>
      <c r="N27" s="14"/>
      <c r="O27" s="14"/>
      <c r="P27" s="14"/>
    </row>
    <row r="28" spans="1:16" x14ac:dyDescent="0.25">
      <c r="A28" s="14"/>
      <c r="B28" s="14"/>
      <c r="C28" s="14"/>
      <c r="D28" s="14"/>
      <c r="E28" s="14"/>
      <c r="F28" s="14"/>
      <c r="G28" s="14"/>
      <c r="H28" s="14"/>
      <c r="I28" s="14"/>
      <c r="J28" s="14"/>
      <c r="K28" s="14"/>
      <c r="L28" s="14"/>
      <c r="M28" s="14"/>
      <c r="N28" s="14"/>
      <c r="O28" s="14"/>
      <c r="P28" s="14"/>
    </row>
    <row r="29" spans="1:16" x14ac:dyDescent="0.25">
      <c r="A29" s="1" t="s">
        <v>14</v>
      </c>
      <c r="B29" s="14"/>
      <c r="C29" s="958">
        <f>'Kops a'!C34:H34</f>
        <v>0</v>
      </c>
      <c r="D29" s="958"/>
      <c r="E29" s="958"/>
      <c r="F29" s="958"/>
      <c r="G29" s="958"/>
      <c r="H29" s="958"/>
      <c r="I29" s="14"/>
      <c r="J29" s="14"/>
      <c r="K29" s="14"/>
      <c r="L29" s="14"/>
      <c r="M29" s="14"/>
      <c r="N29" s="14"/>
      <c r="O29" s="14"/>
      <c r="P29" s="14"/>
    </row>
    <row r="30" spans="1:16" x14ac:dyDescent="0.25">
      <c r="A30" s="14"/>
      <c r="B30" s="14"/>
      <c r="C30" s="996" t="s">
        <v>15</v>
      </c>
      <c r="D30" s="996"/>
      <c r="E30" s="996"/>
      <c r="F30" s="996"/>
      <c r="G30" s="996"/>
      <c r="H30" s="996"/>
      <c r="I30" s="14"/>
      <c r="J30" s="14"/>
      <c r="K30" s="14"/>
      <c r="L30" s="14"/>
      <c r="M30" s="14"/>
      <c r="N30" s="14"/>
      <c r="O30" s="14"/>
      <c r="P30" s="14"/>
    </row>
    <row r="31" spans="1:16" x14ac:dyDescent="0.25">
      <c r="A31" s="14"/>
      <c r="B31" s="14"/>
      <c r="C31" s="77"/>
      <c r="D31" s="77"/>
      <c r="E31" s="77"/>
      <c r="F31" s="77"/>
      <c r="G31" s="77"/>
      <c r="H31" s="77"/>
      <c r="I31" s="14"/>
      <c r="J31" s="14"/>
      <c r="K31" s="14"/>
      <c r="L31" s="14"/>
      <c r="M31" s="14"/>
      <c r="N31" s="14"/>
      <c r="O31" s="14"/>
      <c r="P31" s="14"/>
    </row>
    <row r="32" spans="1:16" x14ac:dyDescent="0.25">
      <c r="A32" s="34" t="str">
        <f>'Kops a'!A37</f>
        <v>Tāme sastādīta 20__. gada __. _________</v>
      </c>
      <c r="B32" s="35"/>
      <c r="C32" s="78"/>
      <c r="D32" s="78"/>
      <c r="E32" s="77"/>
      <c r="F32" s="77"/>
      <c r="G32" s="77"/>
      <c r="H32" s="77"/>
      <c r="I32" s="14"/>
      <c r="J32" s="14"/>
      <c r="K32" s="14"/>
      <c r="L32" s="14"/>
      <c r="M32" s="14"/>
      <c r="N32" s="14"/>
      <c r="O32" s="14"/>
      <c r="P32" s="14"/>
    </row>
    <row r="33" spans="1:16" x14ac:dyDescent="0.25">
      <c r="A33" s="14"/>
      <c r="B33" s="14"/>
      <c r="C33" s="77"/>
      <c r="D33" s="77"/>
      <c r="E33" s="77"/>
      <c r="F33" s="77"/>
      <c r="G33" s="77"/>
      <c r="H33" s="77"/>
      <c r="I33" s="14"/>
      <c r="J33" s="14"/>
      <c r="K33" s="14"/>
      <c r="L33" s="14"/>
      <c r="M33" s="14"/>
      <c r="N33" s="14"/>
      <c r="O33" s="14"/>
      <c r="P33" s="14"/>
    </row>
    <row r="34" spans="1:16" x14ac:dyDescent="0.25">
      <c r="A34" s="1" t="s">
        <v>38</v>
      </c>
      <c r="B34" s="14"/>
      <c r="C34" s="958">
        <f>'Kops a'!C39:H39</f>
        <v>0</v>
      </c>
      <c r="D34" s="958"/>
      <c r="E34" s="958"/>
      <c r="F34" s="958"/>
      <c r="G34" s="958"/>
      <c r="H34" s="958"/>
      <c r="I34" s="14"/>
      <c r="J34" s="14"/>
      <c r="K34" s="14"/>
      <c r="L34" s="14"/>
      <c r="M34" s="14"/>
      <c r="N34" s="14"/>
      <c r="O34" s="14"/>
      <c r="P34" s="14"/>
    </row>
    <row r="35" spans="1:16" x14ac:dyDescent="0.25">
      <c r="A35" s="14"/>
      <c r="B35" s="14"/>
      <c r="C35" s="996" t="s">
        <v>15</v>
      </c>
      <c r="D35" s="996"/>
      <c r="E35" s="996"/>
      <c r="F35" s="996"/>
      <c r="G35" s="996"/>
      <c r="H35" s="996"/>
      <c r="I35" s="14"/>
      <c r="J35" s="14"/>
      <c r="K35" s="14"/>
      <c r="L35" s="14"/>
      <c r="M35" s="14"/>
      <c r="N35" s="14"/>
      <c r="O35" s="14"/>
      <c r="P35" s="14"/>
    </row>
    <row r="36" spans="1:16" x14ac:dyDescent="0.25">
      <c r="A36" s="14"/>
      <c r="B36" s="14"/>
      <c r="C36" s="75"/>
      <c r="D36" s="75"/>
      <c r="E36" s="75"/>
      <c r="F36" s="75"/>
      <c r="G36" s="75"/>
      <c r="H36" s="75"/>
      <c r="I36" s="14"/>
      <c r="J36" s="14"/>
      <c r="K36" s="14"/>
      <c r="L36" s="14"/>
      <c r="M36" s="14"/>
      <c r="N36" s="14"/>
      <c r="O36" s="14"/>
      <c r="P36" s="14"/>
    </row>
    <row r="37" spans="1:16" x14ac:dyDescent="0.25">
      <c r="A37" s="34" t="s">
        <v>54</v>
      </c>
      <c r="B37" s="35"/>
      <c r="C37" s="74">
        <f>'Kops a'!C42</f>
        <v>0</v>
      </c>
      <c r="D37" s="76"/>
      <c r="E37" s="75"/>
      <c r="F37" s="75"/>
      <c r="G37" s="75"/>
      <c r="H37" s="75"/>
      <c r="I37" s="14"/>
      <c r="J37" s="14"/>
      <c r="K37" s="14"/>
      <c r="L37" s="14"/>
      <c r="M37" s="14"/>
      <c r="N37" s="14"/>
      <c r="O37" s="14"/>
      <c r="P37" s="14"/>
    </row>
    <row r="39" spans="1:16" x14ac:dyDescent="0.25">
      <c r="C39" s="915" t="s">
        <v>623</v>
      </c>
    </row>
    <row r="40" spans="1:16" x14ac:dyDescent="0.25">
      <c r="C40" s="916" t="s">
        <v>624</v>
      </c>
    </row>
    <row r="41" spans="1:16" x14ac:dyDescent="0.25">
      <c r="C41" s="916" t="s">
        <v>625</v>
      </c>
    </row>
  </sheetData>
  <mergeCells count="22">
    <mergeCell ref="C2:I2"/>
    <mergeCell ref="C3:I3"/>
    <mergeCell ref="C4:I4"/>
    <mergeCell ref="D5:L5"/>
    <mergeCell ref="D6:L6"/>
    <mergeCell ref="D7:L7"/>
    <mergeCell ref="D8:L8"/>
    <mergeCell ref="A9:F9"/>
    <mergeCell ref="J9:M9"/>
    <mergeCell ref="N9:O9"/>
    <mergeCell ref="A12:A13"/>
    <mergeCell ref="B12:B13"/>
    <mergeCell ref="C12:C13"/>
    <mergeCell ref="D12:D13"/>
    <mergeCell ref="E12:E13"/>
    <mergeCell ref="C34:H34"/>
    <mergeCell ref="C35:H35"/>
    <mergeCell ref="F12:K12"/>
    <mergeCell ref="L12:P12"/>
    <mergeCell ref="C29:H29"/>
    <mergeCell ref="C30:H30"/>
    <mergeCell ref="A26:K26"/>
  </mergeCells>
  <phoneticPr fontId="28" type="noConversion"/>
  <conditionalFormatting sqref="C4:I4 D5:L8 C34:H34 C29:H29 I14:J14 B14:G14 I16:J24 B16:G25">
    <cfRule type="cellIs" dxfId="98" priority="13" operator="equal">
      <formula>0</formula>
    </cfRule>
  </conditionalFormatting>
  <conditionalFormatting sqref="N9:O9 C2:I2 C34:H34 C29:H29 K14:P14 K15:N25 O15:O24 P15:P25 A14:A25">
    <cfRule type="cellIs" dxfId="97" priority="14" operator="equal">
      <formula>0</formula>
    </cfRule>
  </conditionalFormatting>
  <conditionalFormatting sqref="A26:K26">
    <cfRule type="containsText" dxfId="96" priority="15" operator="containsText" text="Tāme sastādīta  20__. gada tirgus cenās, pamatojoties uz ___ daļas rasējumiem"/>
  </conditionalFormatting>
  <conditionalFormatting sqref="O10">
    <cfRule type="cellIs" dxfId="95" priority="17" operator="equal">
      <formula>"20__. gada __. _________"</formula>
    </cfRule>
  </conditionalFormatting>
  <conditionalFormatting sqref="L26:P26">
    <cfRule type="cellIs" dxfId="94" priority="19" operator="equal">
      <formula>0</formula>
    </cfRule>
  </conditionalFormatting>
  <conditionalFormatting sqref="P10">
    <cfRule type="cellIs" dxfId="93" priority="26" operator="equal">
      <formula>"20__. gada __. _________"</formula>
    </cfRule>
  </conditionalFormatting>
  <conditionalFormatting sqref="C37">
    <cfRule type="cellIs" dxfId="92" priority="29" operator="equal">
      <formula>0</formula>
    </cfRule>
  </conditionalFormatting>
  <conditionalFormatting sqref="D1">
    <cfRule type="cellIs" dxfId="91" priority="30" operator="equal">
      <formula>0</formula>
    </cfRule>
  </conditionalFormatting>
  <conditionalFormatting sqref="I25:J25">
    <cfRule type="cellIs" dxfId="90" priority="8" operator="equal">
      <formula>0</formula>
    </cfRule>
  </conditionalFormatting>
  <conditionalFormatting sqref="O25">
    <cfRule type="cellIs" dxfId="89" priority="9" operator="equal">
      <formula>0</formula>
    </cfRule>
  </conditionalFormatting>
  <conditionalFormatting sqref="H14:H25">
    <cfRule type="cellIs" dxfId="88" priority="5" operator="equal">
      <formula>0</formula>
    </cfRule>
  </conditionalFormatting>
  <conditionalFormatting sqref="I15:J15 B15:G15">
    <cfRule type="cellIs" dxfId="87" priority="3" operator="equal">
      <formula>0</formula>
    </cfRule>
  </conditionalFormatting>
  <conditionalFormatting sqref="A9:F9">
    <cfRule type="containsText" dxfId="86" priority="1" operator="containsText" text="Tāme sastādīta  20__. gada tirgus cenās, pamatojoties uz ___ daļas rasējumiem"/>
  </conditionalFormatting>
  <pageMargins left="0.19685039370078741" right="0.19685039370078741" top="0.75196850393700787" bottom="0.39370078740157483" header="0.51181102362204722" footer="0.51181102362204722"/>
  <pageSetup paperSize="9" scale="69" firstPageNumber="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MK66"/>
  <sheetViews>
    <sheetView view="pageBreakPreview" topLeftCell="A11" zoomScale="130" zoomScaleNormal="100" zoomScaleSheetLayoutView="130" workbookViewId="0">
      <selection activeCell="C49" sqref="C49"/>
    </sheetView>
  </sheetViews>
  <sheetFormatPr defaultColWidth="9.140625" defaultRowHeight="15" x14ac:dyDescent="0.25"/>
  <cols>
    <col min="1" max="1" width="4.5703125" style="107" customWidth="1"/>
    <col min="2" max="2" width="5.28515625" style="107" customWidth="1"/>
    <col min="3" max="3" width="46.28515625" style="107" customWidth="1"/>
    <col min="4" max="4" width="5.85546875" style="107" customWidth="1"/>
    <col min="5" max="5" width="8.7109375" style="107" customWidth="1"/>
    <col min="6" max="6" width="5.42578125" style="107" customWidth="1"/>
    <col min="7" max="7" width="7.7109375" style="107" customWidth="1"/>
    <col min="8" max="10" width="6.7109375" style="107" customWidth="1"/>
    <col min="11" max="11" width="7" style="107" customWidth="1"/>
    <col min="12" max="15" width="7.7109375" style="107" customWidth="1"/>
    <col min="16" max="16" width="9" style="107" customWidth="1"/>
    <col min="17" max="1025" width="9.140625" style="107" customWidth="1"/>
    <col min="1026" max="16384" width="9.140625" style="110"/>
  </cols>
  <sheetData>
    <row r="1" spans="1:16" x14ac:dyDescent="0.25">
      <c r="A1" s="104"/>
      <c r="B1" s="104"/>
      <c r="C1" s="105" t="s">
        <v>39</v>
      </c>
      <c r="D1" s="106">
        <f>'Kops a'!A19</f>
        <v>5</v>
      </c>
      <c r="E1" s="104"/>
      <c r="F1" s="104"/>
      <c r="G1" s="104"/>
      <c r="H1" s="104"/>
      <c r="I1" s="104"/>
      <c r="J1" s="104"/>
      <c r="N1" s="108"/>
      <c r="O1" s="105"/>
      <c r="P1" s="109"/>
    </row>
    <row r="2" spans="1:16" x14ac:dyDescent="0.25">
      <c r="A2" s="111"/>
      <c r="B2" s="111"/>
      <c r="C2" s="1020" t="s">
        <v>124</v>
      </c>
      <c r="D2" s="1020"/>
      <c r="E2" s="1020"/>
      <c r="F2" s="1020"/>
      <c r="G2" s="1020"/>
      <c r="H2" s="1020"/>
      <c r="I2" s="1020"/>
      <c r="J2" s="111"/>
    </row>
    <row r="3" spans="1:16" x14ac:dyDescent="0.25">
      <c r="A3" s="112"/>
      <c r="B3" s="112"/>
      <c r="C3" s="1021" t="s">
        <v>18</v>
      </c>
      <c r="D3" s="1021"/>
      <c r="E3" s="1021"/>
      <c r="F3" s="1021"/>
      <c r="G3" s="1021"/>
      <c r="H3" s="1021"/>
      <c r="I3" s="1021"/>
      <c r="J3" s="112"/>
    </row>
    <row r="4" spans="1:16" x14ac:dyDescent="0.25">
      <c r="A4" s="112"/>
      <c r="B4" s="112"/>
      <c r="C4" s="1022" t="s">
        <v>4</v>
      </c>
      <c r="D4" s="1022"/>
      <c r="E4" s="1022"/>
      <c r="F4" s="1022"/>
      <c r="G4" s="1022"/>
      <c r="H4" s="1022"/>
      <c r="I4" s="1022"/>
      <c r="J4" s="112"/>
    </row>
    <row r="5" spans="1:16" x14ac:dyDescent="0.25">
      <c r="A5" s="104"/>
      <c r="B5" s="104"/>
      <c r="C5" s="105" t="s">
        <v>5</v>
      </c>
      <c r="D5" s="1017" t="str">
        <f>'Kops a'!D6</f>
        <v>Daudzīvokļu dzīvojamā māja</v>
      </c>
      <c r="E5" s="1017"/>
      <c r="F5" s="1017"/>
      <c r="G5" s="1017"/>
      <c r="H5" s="1017"/>
      <c r="I5" s="1017"/>
      <c r="J5" s="1017"/>
      <c r="K5" s="1017"/>
      <c r="L5" s="1017"/>
      <c r="M5" s="113"/>
      <c r="N5" s="113"/>
      <c r="O5" s="113"/>
      <c r="P5" s="113"/>
    </row>
    <row r="6" spans="1:16" x14ac:dyDescent="0.25">
      <c r="A6" s="104"/>
      <c r="B6" s="104"/>
      <c r="C6" s="105" t="s">
        <v>6</v>
      </c>
      <c r="D6" s="1017" t="str">
        <f>'Kops a'!D7</f>
        <v>fasādes vienkāršotā atjaunošana</v>
      </c>
      <c r="E6" s="1017"/>
      <c r="F6" s="1017"/>
      <c r="G6" s="1017"/>
      <c r="H6" s="1017"/>
      <c r="I6" s="1017"/>
      <c r="J6" s="1017"/>
      <c r="K6" s="1017"/>
      <c r="L6" s="1017"/>
      <c r="M6" s="113"/>
      <c r="N6" s="113"/>
      <c r="O6" s="113"/>
      <c r="P6" s="113"/>
    </row>
    <row r="7" spans="1:16" x14ac:dyDescent="0.25">
      <c r="A7" s="104"/>
      <c r="B7" s="104"/>
      <c r="C7" s="105" t="s">
        <v>7</v>
      </c>
      <c r="D7" s="1017" t="str">
        <f>'Kops a'!D8</f>
        <v>Reiņu meža iela 3, Liepāja</v>
      </c>
      <c r="E7" s="1017"/>
      <c r="F7" s="1017"/>
      <c r="G7" s="1017"/>
      <c r="H7" s="1017"/>
      <c r="I7" s="1017"/>
      <c r="J7" s="1017"/>
      <c r="K7" s="1017"/>
      <c r="L7" s="1017"/>
      <c r="M7" s="113"/>
      <c r="N7" s="113"/>
      <c r="O7" s="113"/>
      <c r="P7" s="113"/>
    </row>
    <row r="8" spans="1:16" x14ac:dyDescent="0.25">
      <c r="A8" s="104"/>
      <c r="B8" s="104"/>
      <c r="C8" s="114" t="s">
        <v>21</v>
      </c>
      <c r="D8" s="1017" t="str">
        <f>'Kops a'!D9</f>
        <v>EA-45-17</v>
      </c>
      <c r="E8" s="1017"/>
      <c r="F8" s="1017"/>
      <c r="G8" s="1017"/>
      <c r="H8" s="1017"/>
      <c r="I8" s="1017"/>
      <c r="J8" s="1017"/>
      <c r="K8" s="1017"/>
      <c r="L8" s="1017"/>
      <c r="M8" s="113"/>
      <c r="N8" s="113"/>
      <c r="O8" s="113"/>
      <c r="P8" s="113"/>
    </row>
    <row r="9" spans="1:16" ht="15" customHeight="1" x14ac:dyDescent="0.25">
      <c r="A9" s="969" t="s">
        <v>627</v>
      </c>
      <c r="B9" s="969"/>
      <c r="C9" s="969"/>
      <c r="D9" s="969"/>
      <c r="E9" s="969"/>
      <c r="F9" s="969"/>
      <c r="G9" s="115"/>
      <c r="H9" s="115"/>
      <c r="I9" s="115"/>
      <c r="J9" s="1018" t="s">
        <v>40</v>
      </c>
      <c r="K9" s="1018"/>
      <c r="L9" s="1018"/>
      <c r="M9" s="1018"/>
      <c r="N9" s="1019">
        <f>P51</f>
        <v>0</v>
      </c>
      <c r="O9" s="1019"/>
      <c r="P9" s="115"/>
    </row>
    <row r="10" spans="1:16" x14ac:dyDescent="0.25">
      <c r="A10" s="116"/>
      <c r="B10" s="117"/>
      <c r="C10" s="114"/>
      <c r="D10" s="104"/>
      <c r="E10" s="104"/>
      <c r="F10" s="104"/>
      <c r="G10" s="104"/>
      <c r="H10" s="104"/>
      <c r="I10" s="104"/>
      <c r="J10" s="104"/>
      <c r="K10" s="104"/>
      <c r="L10" s="111"/>
      <c r="M10" s="111"/>
      <c r="O10" s="118"/>
      <c r="P10" s="119" t="str">
        <f>A57</f>
        <v>Tāme sastādīta 20__. gada __. _________</v>
      </c>
    </row>
    <row r="11" spans="1:16" ht="15.75" thickBot="1" x14ac:dyDescent="0.3">
      <c r="A11" s="116"/>
      <c r="B11" s="117"/>
      <c r="C11" s="114"/>
      <c r="D11" s="104"/>
      <c r="E11" s="104"/>
      <c r="F11" s="104"/>
      <c r="G11" s="104"/>
      <c r="H11" s="104"/>
      <c r="I11" s="104"/>
      <c r="J11" s="104"/>
      <c r="K11" s="104"/>
      <c r="L11" s="120"/>
      <c r="M11" s="120"/>
      <c r="N11" s="121"/>
      <c r="O11" s="108"/>
      <c r="P11" s="104"/>
    </row>
    <row r="12" spans="1:16" ht="15.75" thickBot="1" x14ac:dyDescent="0.3">
      <c r="A12" s="1007" t="s">
        <v>24</v>
      </c>
      <c r="B12" s="1009" t="s">
        <v>41</v>
      </c>
      <c r="C12" s="1011" t="s">
        <v>42</v>
      </c>
      <c r="D12" s="1013" t="s">
        <v>43</v>
      </c>
      <c r="E12" s="1015" t="s">
        <v>44</v>
      </c>
      <c r="F12" s="1006" t="s">
        <v>45</v>
      </c>
      <c r="G12" s="1006"/>
      <c r="H12" s="1006"/>
      <c r="I12" s="1006"/>
      <c r="J12" s="1006"/>
      <c r="K12" s="1006"/>
      <c r="L12" s="1006" t="s">
        <v>46</v>
      </c>
      <c r="M12" s="1006"/>
      <c r="N12" s="1006"/>
      <c r="O12" s="1006"/>
      <c r="P12" s="1006"/>
    </row>
    <row r="13" spans="1:16" ht="52.5" x14ac:dyDescent="0.25">
      <c r="A13" s="1008"/>
      <c r="B13" s="1010"/>
      <c r="C13" s="1012"/>
      <c r="D13" s="1014"/>
      <c r="E13" s="1016"/>
      <c r="F13" s="423" t="s">
        <v>47</v>
      </c>
      <c r="G13" s="422" t="s">
        <v>48</v>
      </c>
      <c r="H13" s="422" t="s">
        <v>49</v>
      </c>
      <c r="I13" s="422" t="s">
        <v>50</v>
      </c>
      <c r="J13" s="422" t="s">
        <v>51</v>
      </c>
      <c r="K13" s="424" t="s">
        <v>52</v>
      </c>
      <c r="L13" s="423" t="s">
        <v>47</v>
      </c>
      <c r="M13" s="422" t="s">
        <v>49</v>
      </c>
      <c r="N13" s="422" t="s">
        <v>50</v>
      </c>
      <c r="O13" s="422" t="s">
        <v>51</v>
      </c>
      <c r="P13" s="424" t="s">
        <v>52</v>
      </c>
    </row>
    <row r="14" spans="1:16" ht="15.75" thickBot="1" x14ac:dyDescent="0.3">
      <c r="A14" s="428"/>
      <c r="B14" s="428"/>
      <c r="C14" s="431" t="s">
        <v>124</v>
      </c>
      <c r="D14" s="429"/>
      <c r="E14" s="428"/>
      <c r="F14" s="428"/>
      <c r="G14" s="428"/>
      <c r="H14" s="428"/>
      <c r="I14" s="428"/>
      <c r="J14" s="428"/>
      <c r="K14" s="430"/>
      <c r="L14" s="428"/>
      <c r="M14" s="428"/>
      <c r="N14" s="428"/>
      <c r="O14" s="428"/>
      <c r="P14" s="430"/>
    </row>
    <row r="15" spans="1:16" x14ac:dyDescent="0.25">
      <c r="A15" s="358">
        <f>IF(COUNTBLANK(B15)=1," ",COUNTA(B$15:B15))</f>
        <v>1</v>
      </c>
      <c r="B15" s="363" t="s">
        <v>87</v>
      </c>
      <c r="C15" s="378" t="s">
        <v>126</v>
      </c>
      <c r="D15" s="358" t="s">
        <v>57</v>
      </c>
      <c r="E15" s="425">
        <v>686</v>
      </c>
      <c r="F15" s="386"/>
      <c r="G15" s="386"/>
      <c r="H15" s="208">
        <f>F15*G15</f>
        <v>0</v>
      </c>
      <c r="I15" s="386"/>
      <c r="J15" s="386"/>
      <c r="K15" s="426">
        <f>ROUND(I15+H15+J15,2)</f>
        <v>0</v>
      </c>
      <c r="L15" s="427">
        <f t="shared" ref="L15:L50" si="0">ROUND(E15*F15,2)</f>
        <v>0</v>
      </c>
      <c r="M15" s="427">
        <f t="shared" ref="M15:M50" si="1">ROUND(E15*H15,2)</f>
        <v>0</v>
      </c>
      <c r="N15" s="427">
        <f t="shared" ref="N15:N50" si="2">ROUND(E15*I15,2)</f>
        <v>0</v>
      </c>
      <c r="O15" s="427">
        <f t="shared" ref="O15:O50" si="3">ROUND(E15*J15,2)</f>
        <v>0</v>
      </c>
      <c r="P15" s="427">
        <f>SUM(M15:O15)</f>
        <v>0</v>
      </c>
    </row>
    <row r="16" spans="1:16" x14ac:dyDescent="0.25">
      <c r="A16" s="358">
        <f>IF(COUNTBLANK(B16)=1," ",COUNTA(B$15:B16))</f>
        <v>2</v>
      </c>
      <c r="B16" s="363" t="s">
        <v>87</v>
      </c>
      <c r="C16" s="196" t="s">
        <v>127</v>
      </c>
      <c r="D16" s="102" t="s">
        <v>57</v>
      </c>
      <c r="E16" s="163">
        <f>E15*1.1</f>
        <v>754.6</v>
      </c>
      <c r="F16" s="163"/>
      <c r="G16" s="163"/>
      <c r="H16" s="208">
        <f t="shared" ref="H16:H50" si="4">F16*G16</f>
        <v>0</v>
      </c>
      <c r="I16" s="163"/>
      <c r="J16" s="163"/>
      <c r="K16" s="426">
        <f t="shared" ref="K16:K50" si="5">ROUND(I16+H16+J16,2)</f>
        <v>0</v>
      </c>
      <c r="L16" s="427">
        <f t="shared" si="0"/>
        <v>0</v>
      </c>
      <c r="M16" s="427">
        <f t="shared" si="1"/>
        <v>0</v>
      </c>
      <c r="N16" s="427">
        <f t="shared" si="2"/>
        <v>0</v>
      </c>
      <c r="O16" s="427">
        <f t="shared" si="3"/>
        <v>0</v>
      </c>
      <c r="P16" s="427">
        <f t="shared" ref="P16:P50" si="6">SUM(M16:O16)</f>
        <v>0</v>
      </c>
    </row>
    <row r="17" spans="1:16" ht="22.5" x14ac:dyDescent="0.25">
      <c r="A17" s="358">
        <f>IF(COUNTBLANK(B17)=1," ",COUNTA(B$15:B17))</f>
        <v>3</v>
      </c>
      <c r="B17" s="160" t="s">
        <v>87</v>
      </c>
      <c r="C17" s="196" t="s">
        <v>294</v>
      </c>
      <c r="D17" s="229" t="s">
        <v>57</v>
      </c>
      <c r="E17" s="230">
        <f>E15</f>
        <v>686</v>
      </c>
      <c r="F17" s="163"/>
      <c r="G17" s="163"/>
      <c r="H17" s="208">
        <f t="shared" si="4"/>
        <v>0</v>
      </c>
      <c r="I17" s="231"/>
      <c r="J17" s="163"/>
      <c r="K17" s="426">
        <f t="shared" si="5"/>
        <v>0</v>
      </c>
      <c r="L17" s="427">
        <f t="shared" si="0"/>
        <v>0</v>
      </c>
      <c r="M17" s="427">
        <f t="shared" si="1"/>
        <v>0</v>
      </c>
      <c r="N17" s="427">
        <f t="shared" si="2"/>
        <v>0</v>
      </c>
      <c r="O17" s="427">
        <f t="shared" si="3"/>
        <v>0</v>
      </c>
      <c r="P17" s="427">
        <f t="shared" si="6"/>
        <v>0</v>
      </c>
    </row>
    <row r="18" spans="1:16" x14ac:dyDescent="0.25">
      <c r="A18" s="358">
        <f>IF(COUNTBLANK(B18)=1," ",COUNTA(B$15:B18))</f>
        <v>4</v>
      </c>
      <c r="B18" s="160" t="s">
        <v>87</v>
      </c>
      <c r="C18" s="182" t="s">
        <v>128</v>
      </c>
      <c r="D18" s="181" t="s">
        <v>85</v>
      </c>
      <c r="E18" s="163">
        <f>E17*0.4*1.1</f>
        <v>301.84000000000009</v>
      </c>
      <c r="F18" s="163"/>
      <c r="G18" s="163"/>
      <c r="H18" s="208">
        <f t="shared" si="4"/>
        <v>0</v>
      </c>
      <c r="I18" s="163"/>
      <c r="J18" s="163"/>
      <c r="K18" s="426">
        <f t="shared" si="5"/>
        <v>0</v>
      </c>
      <c r="L18" s="427">
        <f t="shared" si="0"/>
        <v>0</v>
      </c>
      <c r="M18" s="427">
        <f t="shared" si="1"/>
        <v>0</v>
      </c>
      <c r="N18" s="427">
        <f t="shared" si="2"/>
        <v>0</v>
      </c>
      <c r="O18" s="427">
        <f t="shared" si="3"/>
        <v>0</v>
      </c>
      <c r="P18" s="427">
        <f t="shared" si="6"/>
        <v>0</v>
      </c>
    </row>
    <row r="19" spans="1:16" ht="33.75" x14ac:dyDescent="0.25">
      <c r="A19" s="358">
        <f>IF(COUNTBLANK(B19)=1," ",COUNTA(B$15:B19))</f>
        <v>5</v>
      </c>
      <c r="B19" s="421" t="s">
        <v>87</v>
      </c>
      <c r="C19" s="529" t="s">
        <v>375</v>
      </c>
      <c r="D19" s="618" t="s">
        <v>57</v>
      </c>
      <c r="E19" s="622">
        <v>66.3</v>
      </c>
      <c r="F19" s="278"/>
      <c r="G19" s="278"/>
      <c r="H19" s="208">
        <f t="shared" si="4"/>
        <v>0</v>
      </c>
      <c r="I19" s="278"/>
      <c r="J19" s="278"/>
      <c r="K19" s="426">
        <f t="shared" si="5"/>
        <v>0</v>
      </c>
      <c r="L19" s="427">
        <f t="shared" si="0"/>
        <v>0</v>
      </c>
      <c r="M19" s="427">
        <f t="shared" si="1"/>
        <v>0</v>
      </c>
      <c r="N19" s="427">
        <f t="shared" si="2"/>
        <v>0</v>
      </c>
      <c r="O19" s="427">
        <f t="shared" si="3"/>
        <v>0</v>
      </c>
      <c r="P19" s="427">
        <f t="shared" si="6"/>
        <v>0</v>
      </c>
    </row>
    <row r="20" spans="1:16" x14ac:dyDescent="0.25">
      <c r="A20" s="358">
        <f>IF(COUNTBLANK(B20)=1," ",COUNTA(B$15:B20))</f>
        <v>6</v>
      </c>
      <c r="B20" s="421" t="s">
        <v>87</v>
      </c>
      <c r="C20" s="516" t="s">
        <v>366</v>
      </c>
      <c r="D20" s="618" t="s">
        <v>57</v>
      </c>
      <c r="E20" s="608">
        <f>E19*1.1</f>
        <v>72.930000000000007</v>
      </c>
      <c r="F20" s="278"/>
      <c r="G20" s="278"/>
      <c r="H20" s="208">
        <f t="shared" si="4"/>
        <v>0</v>
      </c>
      <c r="I20" s="278"/>
      <c r="J20" s="278"/>
      <c r="K20" s="426">
        <f t="shared" si="5"/>
        <v>0</v>
      </c>
      <c r="L20" s="427">
        <f t="shared" si="0"/>
        <v>0</v>
      </c>
      <c r="M20" s="427">
        <f t="shared" si="1"/>
        <v>0</v>
      </c>
      <c r="N20" s="427">
        <f t="shared" si="2"/>
        <v>0</v>
      </c>
      <c r="O20" s="427">
        <f t="shared" si="3"/>
        <v>0</v>
      </c>
      <c r="P20" s="427">
        <f t="shared" si="6"/>
        <v>0</v>
      </c>
    </row>
    <row r="21" spans="1:16" x14ac:dyDescent="0.25">
      <c r="A21" s="358">
        <f>IF(COUNTBLANK(B21)=1," ",COUNTA(B$15:B21))</f>
        <v>7</v>
      </c>
      <c r="B21" s="421" t="s">
        <v>87</v>
      </c>
      <c r="C21" s="529" t="s">
        <v>376</v>
      </c>
      <c r="D21" s="515" t="s">
        <v>83</v>
      </c>
      <c r="E21" s="608">
        <f>E19*6</f>
        <v>397.79999999999995</v>
      </c>
      <c r="F21" s="278"/>
      <c r="G21" s="278"/>
      <c r="H21" s="208">
        <f t="shared" si="4"/>
        <v>0</v>
      </c>
      <c r="I21" s="278"/>
      <c r="J21" s="278"/>
      <c r="K21" s="426">
        <f t="shared" si="5"/>
        <v>0</v>
      </c>
      <c r="L21" s="427">
        <f t="shared" si="0"/>
        <v>0</v>
      </c>
      <c r="M21" s="427">
        <f t="shared" si="1"/>
        <v>0</v>
      </c>
      <c r="N21" s="427">
        <f t="shared" si="2"/>
        <v>0</v>
      </c>
      <c r="O21" s="427">
        <f t="shared" si="3"/>
        <v>0</v>
      </c>
      <c r="P21" s="427">
        <f t="shared" si="6"/>
        <v>0</v>
      </c>
    </row>
    <row r="22" spans="1:16" x14ac:dyDescent="0.25">
      <c r="A22" s="358">
        <f>IF(COUNTBLANK(B22)=1," ",COUNTA(B$15:B22))</f>
        <v>8</v>
      </c>
      <c r="B22" s="421" t="s">
        <v>87</v>
      </c>
      <c r="C22" s="609" t="s">
        <v>156</v>
      </c>
      <c r="D22" s="607" t="s">
        <v>90</v>
      </c>
      <c r="E22" s="608">
        <f>E19*5</f>
        <v>331.5</v>
      </c>
      <c r="F22" s="435"/>
      <c r="G22" s="435"/>
      <c r="H22" s="208">
        <f t="shared" si="4"/>
        <v>0</v>
      </c>
      <c r="I22" s="435"/>
      <c r="J22" s="435"/>
      <c r="K22" s="426">
        <f t="shared" si="5"/>
        <v>0</v>
      </c>
      <c r="L22" s="427">
        <f t="shared" si="0"/>
        <v>0</v>
      </c>
      <c r="M22" s="427">
        <f t="shared" si="1"/>
        <v>0</v>
      </c>
      <c r="N22" s="427">
        <f t="shared" si="2"/>
        <v>0</v>
      </c>
      <c r="O22" s="427">
        <f t="shared" si="3"/>
        <v>0</v>
      </c>
      <c r="P22" s="427">
        <f t="shared" si="6"/>
        <v>0</v>
      </c>
    </row>
    <row r="23" spans="1:16" x14ac:dyDescent="0.25">
      <c r="A23" s="358" t="str">
        <f>IF(COUNTBLANK(B23)=1," ",COUNTA(B$15:B23))</f>
        <v xml:space="preserve"> </v>
      </c>
      <c r="B23" s="611"/>
      <c r="C23" s="612" t="s">
        <v>364</v>
      </c>
      <c r="D23" s="613"/>
      <c r="E23" s="614"/>
      <c r="F23" s="596"/>
      <c r="G23" s="596"/>
      <c r="H23" s="208">
        <f t="shared" si="4"/>
        <v>0</v>
      </c>
      <c r="I23" s="596"/>
      <c r="J23" s="596"/>
      <c r="K23" s="426">
        <f t="shared" si="5"/>
        <v>0</v>
      </c>
      <c r="L23" s="427">
        <f t="shared" si="0"/>
        <v>0</v>
      </c>
      <c r="M23" s="427">
        <f t="shared" si="1"/>
        <v>0</v>
      </c>
      <c r="N23" s="427">
        <f t="shared" si="2"/>
        <v>0</v>
      </c>
      <c r="O23" s="427">
        <f t="shared" si="3"/>
        <v>0</v>
      </c>
      <c r="P23" s="427">
        <f t="shared" si="6"/>
        <v>0</v>
      </c>
    </row>
    <row r="24" spans="1:16" ht="22.5" x14ac:dyDescent="0.25">
      <c r="A24" s="358">
        <f>IF(COUNTBLANK(B24)=1," ",COUNTA(B$15:B24))</f>
        <v>9</v>
      </c>
      <c r="B24" s="611" t="s">
        <v>87</v>
      </c>
      <c r="C24" s="615" t="s">
        <v>365</v>
      </c>
      <c r="D24" s="616" t="s">
        <v>57</v>
      </c>
      <c r="E24" s="617">
        <v>114.6</v>
      </c>
      <c r="F24" s="596"/>
      <c r="G24" s="596"/>
      <c r="H24" s="208">
        <f t="shared" si="4"/>
        <v>0</v>
      </c>
      <c r="I24" s="596"/>
      <c r="J24" s="596"/>
      <c r="K24" s="426">
        <f t="shared" si="5"/>
        <v>0</v>
      </c>
      <c r="L24" s="427">
        <f t="shared" si="0"/>
        <v>0</v>
      </c>
      <c r="M24" s="427">
        <f t="shared" si="1"/>
        <v>0</v>
      </c>
      <c r="N24" s="427">
        <f t="shared" si="2"/>
        <v>0</v>
      </c>
      <c r="O24" s="427">
        <f t="shared" si="3"/>
        <v>0</v>
      </c>
      <c r="P24" s="427">
        <f t="shared" si="6"/>
        <v>0</v>
      </c>
    </row>
    <row r="25" spans="1:16" x14ac:dyDescent="0.25">
      <c r="A25" s="358">
        <f>IF(COUNTBLANK(B25)=1," ",COUNTA(B$15:B25))</f>
        <v>10</v>
      </c>
      <c r="B25" s="611" t="s">
        <v>87</v>
      </c>
      <c r="C25" s="516" t="s">
        <v>366</v>
      </c>
      <c r="D25" s="618" t="s">
        <v>129</v>
      </c>
      <c r="E25" s="608">
        <f>E24*1.1</f>
        <v>126.06</v>
      </c>
      <c r="F25" s="596"/>
      <c r="G25" s="596"/>
      <c r="H25" s="208">
        <f t="shared" si="4"/>
        <v>0</v>
      </c>
      <c r="I25" s="596"/>
      <c r="J25" s="596"/>
      <c r="K25" s="426">
        <f t="shared" si="5"/>
        <v>0</v>
      </c>
      <c r="L25" s="427">
        <f t="shared" si="0"/>
        <v>0</v>
      </c>
      <c r="M25" s="427">
        <f t="shared" si="1"/>
        <v>0</v>
      </c>
      <c r="N25" s="427">
        <f t="shared" si="2"/>
        <v>0</v>
      </c>
      <c r="O25" s="427">
        <f t="shared" si="3"/>
        <v>0</v>
      </c>
      <c r="P25" s="427">
        <f t="shared" si="6"/>
        <v>0</v>
      </c>
    </row>
    <row r="26" spans="1:16" x14ac:dyDescent="0.25">
      <c r="A26" s="358">
        <f>IF(COUNTBLANK(B26)=1," ",COUNTA(B$15:B26))</f>
        <v>11</v>
      </c>
      <c r="B26" s="611" t="s">
        <v>87</v>
      </c>
      <c r="C26" s="609" t="s">
        <v>156</v>
      </c>
      <c r="D26" s="607" t="s">
        <v>90</v>
      </c>
      <c r="E26" s="608">
        <f>E24*5</f>
        <v>573</v>
      </c>
      <c r="F26" s="596"/>
      <c r="G26" s="596"/>
      <c r="H26" s="208">
        <f t="shared" si="4"/>
        <v>0</v>
      </c>
      <c r="I26" s="596"/>
      <c r="J26" s="596"/>
      <c r="K26" s="426">
        <f t="shared" si="5"/>
        <v>0</v>
      </c>
      <c r="L26" s="427">
        <f t="shared" si="0"/>
        <v>0</v>
      </c>
      <c r="M26" s="427">
        <f t="shared" si="1"/>
        <v>0</v>
      </c>
      <c r="N26" s="427">
        <f t="shared" si="2"/>
        <v>0</v>
      </c>
      <c r="O26" s="427">
        <f t="shared" si="3"/>
        <v>0</v>
      </c>
      <c r="P26" s="427">
        <f t="shared" si="6"/>
        <v>0</v>
      </c>
    </row>
    <row r="27" spans="1:16" ht="22.5" x14ac:dyDescent="0.25">
      <c r="A27" s="358">
        <f>IF(COUNTBLANK(B27)=1," ",COUNTA(B$15:B27))</f>
        <v>12</v>
      </c>
      <c r="B27" s="611" t="s">
        <v>87</v>
      </c>
      <c r="C27" s="609" t="s">
        <v>367</v>
      </c>
      <c r="D27" s="607" t="s">
        <v>157</v>
      </c>
      <c r="E27" s="608">
        <v>28.35</v>
      </c>
      <c r="F27" s="596"/>
      <c r="G27" s="596"/>
      <c r="H27" s="208">
        <f t="shared" si="4"/>
        <v>0</v>
      </c>
      <c r="I27" s="596"/>
      <c r="J27" s="596"/>
      <c r="K27" s="426">
        <f t="shared" si="5"/>
        <v>0</v>
      </c>
      <c r="L27" s="427">
        <f t="shared" si="0"/>
        <v>0</v>
      </c>
      <c r="M27" s="427">
        <f t="shared" si="1"/>
        <v>0</v>
      </c>
      <c r="N27" s="427">
        <f t="shared" si="2"/>
        <v>0</v>
      </c>
      <c r="O27" s="427">
        <f t="shared" si="3"/>
        <v>0</v>
      </c>
      <c r="P27" s="427">
        <f t="shared" si="6"/>
        <v>0</v>
      </c>
    </row>
    <row r="28" spans="1:16" x14ac:dyDescent="0.25">
      <c r="A28" s="358">
        <f>IF(COUNTBLANK(B28)=1," ",COUNTA(B$15:B28))</f>
        <v>13</v>
      </c>
      <c r="B28" s="611" t="s">
        <v>87</v>
      </c>
      <c r="C28" s="609" t="s">
        <v>128</v>
      </c>
      <c r="D28" s="607" t="s">
        <v>129</v>
      </c>
      <c r="E28" s="608">
        <f>E27*1.1</f>
        <v>31.185000000000006</v>
      </c>
      <c r="F28" s="596"/>
      <c r="G28" s="596"/>
      <c r="H28" s="208">
        <f t="shared" si="4"/>
        <v>0</v>
      </c>
      <c r="I28" s="596"/>
      <c r="J28" s="596"/>
      <c r="K28" s="426">
        <f t="shared" si="5"/>
        <v>0</v>
      </c>
      <c r="L28" s="427">
        <f t="shared" si="0"/>
        <v>0</v>
      </c>
      <c r="M28" s="427">
        <f t="shared" si="1"/>
        <v>0</v>
      </c>
      <c r="N28" s="427">
        <f t="shared" si="2"/>
        <v>0</v>
      </c>
      <c r="O28" s="427">
        <f t="shared" si="3"/>
        <v>0</v>
      </c>
      <c r="P28" s="427">
        <f t="shared" si="6"/>
        <v>0</v>
      </c>
    </row>
    <row r="29" spans="1:16" x14ac:dyDescent="0.25">
      <c r="A29" s="358">
        <f>IF(COUNTBLANK(B29)=1," ",COUNTA(B$15:B29))</f>
        <v>14</v>
      </c>
      <c r="B29" s="611" t="s">
        <v>87</v>
      </c>
      <c r="C29" s="619" t="s">
        <v>156</v>
      </c>
      <c r="D29" s="620" t="s">
        <v>90</v>
      </c>
      <c r="E29" s="621">
        <f>E27*5</f>
        <v>141.75</v>
      </c>
      <c r="F29" s="596"/>
      <c r="G29" s="596"/>
      <c r="H29" s="208">
        <f t="shared" si="4"/>
        <v>0</v>
      </c>
      <c r="I29" s="596"/>
      <c r="J29" s="596"/>
      <c r="K29" s="426">
        <f t="shared" si="5"/>
        <v>0</v>
      </c>
      <c r="L29" s="427">
        <f t="shared" si="0"/>
        <v>0</v>
      </c>
      <c r="M29" s="427">
        <f t="shared" si="1"/>
        <v>0</v>
      </c>
      <c r="N29" s="427">
        <f t="shared" si="2"/>
        <v>0</v>
      </c>
      <c r="O29" s="427">
        <f t="shared" si="3"/>
        <v>0</v>
      </c>
      <c r="P29" s="427">
        <f t="shared" si="6"/>
        <v>0</v>
      </c>
    </row>
    <row r="30" spans="1:16" ht="15.75" thickBot="1" x14ac:dyDescent="0.3">
      <c r="A30" s="358" t="str">
        <f>IF(COUNTBLANK(B30)=1," ",COUNTA(B$15:B30))</f>
        <v xml:space="preserve"> </v>
      </c>
      <c r="B30" s="441"/>
      <c r="C30" s="442" t="s">
        <v>368</v>
      </c>
      <c r="D30" s="441"/>
      <c r="E30" s="386"/>
      <c r="F30" s="386"/>
      <c r="G30" s="386"/>
      <c r="H30" s="208">
        <f t="shared" si="4"/>
        <v>0</v>
      </c>
      <c r="I30" s="386"/>
      <c r="J30" s="386"/>
      <c r="K30" s="426">
        <f t="shared" si="5"/>
        <v>0</v>
      </c>
      <c r="L30" s="427">
        <f t="shared" si="0"/>
        <v>0</v>
      </c>
      <c r="M30" s="427">
        <f t="shared" si="1"/>
        <v>0</v>
      </c>
      <c r="N30" s="427">
        <f t="shared" si="2"/>
        <v>0</v>
      </c>
      <c r="O30" s="427">
        <f t="shared" si="3"/>
        <v>0</v>
      </c>
      <c r="P30" s="427">
        <f t="shared" si="6"/>
        <v>0</v>
      </c>
    </row>
    <row r="31" spans="1:16" ht="46.5" x14ac:dyDescent="0.25">
      <c r="A31" s="358">
        <f>IF(COUNTBLANK(B31)=1," ",COUNTA(B$15:B31))</f>
        <v>15</v>
      </c>
      <c r="B31" s="610" t="s">
        <v>87</v>
      </c>
      <c r="C31" s="609" t="s">
        <v>369</v>
      </c>
      <c r="D31" s="607" t="s">
        <v>157</v>
      </c>
      <c r="E31" s="608">
        <v>13.2</v>
      </c>
      <c r="F31" s="568"/>
      <c r="G31" s="568"/>
      <c r="H31" s="208">
        <f t="shared" si="4"/>
        <v>0</v>
      </c>
      <c r="I31" s="568"/>
      <c r="J31" s="568"/>
      <c r="K31" s="426">
        <f t="shared" si="5"/>
        <v>0</v>
      </c>
      <c r="L31" s="427">
        <f t="shared" si="0"/>
        <v>0</v>
      </c>
      <c r="M31" s="427">
        <f t="shared" si="1"/>
        <v>0</v>
      </c>
      <c r="N31" s="427">
        <f t="shared" si="2"/>
        <v>0</v>
      </c>
      <c r="O31" s="427">
        <f t="shared" si="3"/>
        <v>0</v>
      </c>
      <c r="P31" s="427">
        <f t="shared" si="6"/>
        <v>0</v>
      </c>
    </row>
    <row r="32" spans="1:16" x14ac:dyDescent="0.25">
      <c r="A32" s="358">
        <f>IF(COUNTBLANK(B32)=1," ",COUNTA(B$15:B32))</f>
        <v>16</v>
      </c>
      <c r="B32" s="610" t="s">
        <v>87</v>
      </c>
      <c r="C32" s="609" t="s">
        <v>370</v>
      </c>
      <c r="D32" s="607" t="s">
        <v>129</v>
      </c>
      <c r="E32" s="608">
        <f>E31*1.1</f>
        <v>14.52</v>
      </c>
      <c r="F32" s="568"/>
      <c r="G32" s="568"/>
      <c r="H32" s="208">
        <f t="shared" si="4"/>
        <v>0</v>
      </c>
      <c r="I32" s="568"/>
      <c r="J32" s="568"/>
      <c r="K32" s="426">
        <f t="shared" si="5"/>
        <v>0</v>
      </c>
      <c r="L32" s="427">
        <f t="shared" si="0"/>
        <v>0</v>
      </c>
      <c r="M32" s="427">
        <f t="shared" si="1"/>
        <v>0</v>
      </c>
      <c r="N32" s="427">
        <f t="shared" si="2"/>
        <v>0</v>
      </c>
      <c r="O32" s="427">
        <f t="shared" si="3"/>
        <v>0</v>
      </c>
      <c r="P32" s="427">
        <f t="shared" si="6"/>
        <v>0</v>
      </c>
    </row>
    <row r="33" spans="1:16" x14ac:dyDescent="0.25">
      <c r="A33" s="358">
        <f>IF(COUNTBLANK(B33)=1," ",COUNTA(B$15:B33))</f>
        <v>17</v>
      </c>
      <c r="B33" s="610" t="s">
        <v>87</v>
      </c>
      <c r="C33" s="609" t="s">
        <v>371</v>
      </c>
      <c r="D33" s="607" t="s">
        <v>129</v>
      </c>
      <c r="E33" s="608">
        <f>E31*1.1</f>
        <v>14.52</v>
      </c>
      <c r="F33" s="568"/>
      <c r="G33" s="568"/>
      <c r="H33" s="208">
        <f t="shared" si="4"/>
        <v>0</v>
      </c>
      <c r="I33" s="568"/>
      <c r="J33" s="568"/>
      <c r="K33" s="426">
        <f t="shared" si="5"/>
        <v>0</v>
      </c>
      <c r="L33" s="427">
        <f t="shared" si="0"/>
        <v>0</v>
      </c>
      <c r="M33" s="427">
        <f t="shared" si="1"/>
        <v>0</v>
      </c>
      <c r="N33" s="427">
        <f t="shared" si="2"/>
        <v>0</v>
      </c>
      <c r="O33" s="427">
        <f t="shared" si="3"/>
        <v>0</v>
      </c>
      <c r="P33" s="427">
        <f t="shared" si="6"/>
        <v>0</v>
      </c>
    </row>
    <row r="34" spans="1:16" x14ac:dyDescent="0.25">
      <c r="A34" s="358">
        <f>IF(COUNTBLANK(B34)=1," ",COUNTA(B$15:B34))</f>
        <v>18</v>
      </c>
      <c r="B34" s="610" t="s">
        <v>87</v>
      </c>
      <c r="C34" s="609" t="s">
        <v>372</v>
      </c>
      <c r="D34" s="607" t="s">
        <v>129</v>
      </c>
      <c r="E34" s="608">
        <f>E31*1.1</f>
        <v>14.52</v>
      </c>
      <c r="F34" s="568"/>
      <c r="G34" s="568"/>
      <c r="H34" s="208">
        <f t="shared" si="4"/>
        <v>0</v>
      </c>
      <c r="I34" s="568"/>
      <c r="J34" s="568"/>
      <c r="K34" s="426">
        <f t="shared" si="5"/>
        <v>0</v>
      </c>
      <c r="L34" s="427">
        <f t="shared" si="0"/>
        <v>0</v>
      </c>
      <c r="M34" s="427">
        <f t="shared" si="1"/>
        <v>0</v>
      </c>
      <c r="N34" s="427">
        <f t="shared" si="2"/>
        <v>0</v>
      </c>
      <c r="O34" s="427">
        <f t="shared" si="3"/>
        <v>0</v>
      </c>
      <c r="P34" s="427">
        <f t="shared" si="6"/>
        <v>0</v>
      </c>
    </row>
    <row r="35" spans="1:16" x14ac:dyDescent="0.25">
      <c r="A35" s="358">
        <f>IF(COUNTBLANK(B35)=1," ",COUNTA(B$15:B35))</f>
        <v>19</v>
      </c>
      <c r="B35" s="610" t="s">
        <v>87</v>
      </c>
      <c r="C35" s="619" t="s">
        <v>127</v>
      </c>
      <c r="D35" s="515" t="s">
        <v>57</v>
      </c>
      <c r="E35" s="608">
        <f>E31*1.1</f>
        <v>14.52</v>
      </c>
      <c r="F35" s="568"/>
      <c r="G35" s="568"/>
      <c r="H35" s="208">
        <f t="shared" si="4"/>
        <v>0</v>
      </c>
      <c r="I35" s="568"/>
      <c r="J35" s="568"/>
      <c r="K35" s="426">
        <f t="shared" si="5"/>
        <v>0</v>
      </c>
      <c r="L35" s="427">
        <f t="shared" si="0"/>
        <v>0</v>
      </c>
      <c r="M35" s="427">
        <f t="shared" si="1"/>
        <v>0</v>
      </c>
      <c r="N35" s="427">
        <f t="shared" si="2"/>
        <v>0</v>
      </c>
      <c r="O35" s="427">
        <f t="shared" si="3"/>
        <v>0</v>
      </c>
      <c r="P35" s="427">
        <f t="shared" si="6"/>
        <v>0</v>
      </c>
    </row>
    <row r="36" spans="1:16" x14ac:dyDescent="0.25">
      <c r="A36" s="358">
        <f>IF(COUNTBLANK(B36)=1," ",COUNTA(B$15:B36))</f>
        <v>20</v>
      </c>
      <c r="B36" s="610" t="s">
        <v>87</v>
      </c>
      <c r="C36" s="609" t="s">
        <v>156</v>
      </c>
      <c r="D36" s="607" t="s">
        <v>90</v>
      </c>
      <c r="E36" s="608">
        <f>E31*5</f>
        <v>66</v>
      </c>
      <c r="F36" s="568"/>
      <c r="G36" s="568"/>
      <c r="H36" s="208">
        <f t="shared" si="4"/>
        <v>0</v>
      </c>
      <c r="I36" s="568"/>
      <c r="J36" s="568"/>
      <c r="K36" s="426">
        <f t="shared" si="5"/>
        <v>0</v>
      </c>
      <c r="L36" s="427">
        <f t="shared" si="0"/>
        <v>0</v>
      </c>
      <c r="M36" s="427">
        <f t="shared" si="1"/>
        <v>0</v>
      </c>
      <c r="N36" s="427">
        <f t="shared" si="2"/>
        <v>0</v>
      </c>
      <c r="O36" s="427">
        <f t="shared" si="3"/>
        <v>0</v>
      </c>
      <c r="P36" s="427">
        <f t="shared" si="6"/>
        <v>0</v>
      </c>
    </row>
    <row r="37" spans="1:16" ht="24" x14ac:dyDescent="0.25">
      <c r="A37" s="358">
        <f>IF(COUNTBLANK(B37)=1," ",COUNTA(B$15:B37))</f>
        <v>21</v>
      </c>
      <c r="B37" s="225" t="s">
        <v>87</v>
      </c>
      <c r="C37" s="516" t="s">
        <v>373</v>
      </c>
      <c r="D37" s="169" t="s">
        <v>57</v>
      </c>
      <c r="E37" s="622">
        <v>20.7</v>
      </c>
      <c r="F37" s="434"/>
      <c r="G37" s="434"/>
      <c r="H37" s="208">
        <f t="shared" si="4"/>
        <v>0</v>
      </c>
      <c r="I37" s="434"/>
      <c r="J37" s="435"/>
      <c r="K37" s="426">
        <f t="shared" si="5"/>
        <v>0</v>
      </c>
      <c r="L37" s="427">
        <f t="shared" si="0"/>
        <v>0</v>
      </c>
      <c r="M37" s="427">
        <f t="shared" si="1"/>
        <v>0</v>
      </c>
      <c r="N37" s="427">
        <f t="shared" si="2"/>
        <v>0</v>
      </c>
      <c r="O37" s="427">
        <f t="shared" si="3"/>
        <v>0</v>
      </c>
      <c r="P37" s="427">
        <f t="shared" si="6"/>
        <v>0</v>
      </c>
    </row>
    <row r="38" spans="1:16" x14ac:dyDescent="0.25">
      <c r="A38" s="358">
        <f>IF(COUNTBLANK(B38)=1," ",COUNTA(B$15:B38))</f>
        <v>22</v>
      </c>
      <c r="B38" s="225" t="s">
        <v>87</v>
      </c>
      <c r="C38" s="516" t="s">
        <v>366</v>
      </c>
      <c r="D38" s="432" t="s">
        <v>157</v>
      </c>
      <c r="E38" s="608">
        <f>E37*1.1</f>
        <v>22.77</v>
      </c>
      <c r="F38" s="439"/>
      <c r="G38" s="439"/>
      <c r="H38" s="208">
        <f t="shared" si="4"/>
        <v>0</v>
      </c>
      <c r="I38" s="439"/>
      <c r="J38" s="400"/>
      <c r="K38" s="426">
        <f t="shared" si="5"/>
        <v>0</v>
      </c>
      <c r="L38" s="427">
        <f t="shared" si="0"/>
        <v>0</v>
      </c>
      <c r="M38" s="427">
        <f t="shared" si="1"/>
        <v>0</v>
      </c>
      <c r="N38" s="427">
        <f t="shared" si="2"/>
        <v>0</v>
      </c>
      <c r="O38" s="427">
        <f t="shared" si="3"/>
        <v>0</v>
      </c>
      <c r="P38" s="427">
        <f t="shared" si="6"/>
        <v>0</v>
      </c>
    </row>
    <row r="39" spans="1:16" x14ac:dyDescent="0.25">
      <c r="A39" s="358">
        <f>IF(COUNTBLANK(B39)=1," ",COUNTA(B$15:B39))</f>
        <v>23</v>
      </c>
      <c r="B39" s="225" t="s">
        <v>87</v>
      </c>
      <c r="C39" s="529" t="s">
        <v>374</v>
      </c>
      <c r="D39" s="433" t="s">
        <v>58</v>
      </c>
      <c r="E39" s="608">
        <f>E37*6</f>
        <v>124.19999999999999</v>
      </c>
      <c r="F39" s="440"/>
      <c r="G39" s="440"/>
      <c r="H39" s="208">
        <f t="shared" si="4"/>
        <v>0</v>
      </c>
      <c r="I39" s="440"/>
      <c r="J39" s="394"/>
      <c r="K39" s="426">
        <f t="shared" si="5"/>
        <v>0</v>
      </c>
      <c r="L39" s="427">
        <f t="shared" si="0"/>
        <v>0</v>
      </c>
      <c r="M39" s="427">
        <f t="shared" si="1"/>
        <v>0</v>
      </c>
      <c r="N39" s="427">
        <f t="shared" si="2"/>
        <v>0</v>
      </c>
      <c r="O39" s="427">
        <f t="shared" si="3"/>
        <v>0</v>
      </c>
      <c r="P39" s="427">
        <f t="shared" si="6"/>
        <v>0</v>
      </c>
    </row>
    <row r="40" spans="1:16" x14ac:dyDescent="0.25">
      <c r="A40" s="358">
        <f>IF(COUNTBLANK(B40)=1," ",COUNTA(B$15:B40))</f>
        <v>24</v>
      </c>
      <c r="B40" s="225" t="s">
        <v>87</v>
      </c>
      <c r="C40" s="609" t="s">
        <v>156</v>
      </c>
      <c r="D40" s="178" t="s">
        <v>90</v>
      </c>
      <c r="E40" s="608">
        <f>E37*5</f>
        <v>103.5</v>
      </c>
      <c r="F40" s="436"/>
      <c r="G40" s="437"/>
      <c r="H40" s="208">
        <f t="shared" si="4"/>
        <v>0</v>
      </c>
      <c r="I40" s="436"/>
      <c r="J40" s="398"/>
      <c r="K40" s="426">
        <f t="shared" si="5"/>
        <v>0</v>
      </c>
      <c r="L40" s="427">
        <f t="shared" si="0"/>
        <v>0</v>
      </c>
      <c r="M40" s="427">
        <f t="shared" si="1"/>
        <v>0</v>
      </c>
      <c r="N40" s="427">
        <f t="shared" si="2"/>
        <v>0</v>
      </c>
      <c r="O40" s="427">
        <f t="shared" si="3"/>
        <v>0</v>
      </c>
      <c r="P40" s="427">
        <f t="shared" si="6"/>
        <v>0</v>
      </c>
    </row>
    <row r="41" spans="1:16" ht="15.75" thickBot="1" x14ac:dyDescent="0.3">
      <c r="A41" s="358" t="str">
        <f>IF(COUNTBLANK(B41)=1," ",COUNTA(B$15:B41))</f>
        <v xml:space="preserve"> </v>
      </c>
      <c r="B41" s="623"/>
      <c r="C41" s="625" t="s">
        <v>377</v>
      </c>
      <c r="D41" s="510"/>
      <c r="E41" s="608"/>
      <c r="F41" s="512"/>
      <c r="G41" s="512"/>
      <c r="H41" s="208">
        <f t="shared" si="4"/>
        <v>0</v>
      </c>
      <c r="I41" s="512"/>
      <c r="J41" s="624"/>
      <c r="K41" s="426">
        <f t="shared" si="5"/>
        <v>0</v>
      </c>
      <c r="L41" s="427">
        <f t="shared" si="0"/>
        <v>0</v>
      </c>
      <c r="M41" s="427">
        <f t="shared" si="1"/>
        <v>0</v>
      </c>
      <c r="N41" s="427">
        <f t="shared" si="2"/>
        <v>0</v>
      </c>
      <c r="O41" s="427">
        <f t="shared" si="3"/>
        <v>0</v>
      </c>
      <c r="P41" s="427">
        <f t="shared" si="6"/>
        <v>0</v>
      </c>
    </row>
    <row r="42" spans="1:16" x14ac:dyDescent="0.25">
      <c r="A42" s="358">
        <f>IF(COUNTBLANK(B42)=1," ",COUNTA(B$15:B42))</f>
        <v>25</v>
      </c>
      <c r="B42" s="623" t="s">
        <v>87</v>
      </c>
      <c r="C42" s="619" t="s">
        <v>378</v>
      </c>
      <c r="D42" s="626" t="s">
        <v>57</v>
      </c>
      <c r="E42" s="627">
        <v>1.36</v>
      </c>
      <c r="F42" s="512"/>
      <c r="G42" s="512"/>
      <c r="H42" s="208">
        <f t="shared" si="4"/>
        <v>0</v>
      </c>
      <c r="I42" s="512"/>
      <c r="J42" s="624"/>
      <c r="K42" s="426">
        <f t="shared" si="5"/>
        <v>0</v>
      </c>
      <c r="L42" s="427">
        <f t="shared" si="0"/>
        <v>0</v>
      </c>
      <c r="M42" s="427">
        <f t="shared" si="1"/>
        <v>0</v>
      </c>
      <c r="N42" s="427">
        <f t="shared" si="2"/>
        <v>0</v>
      </c>
      <c r="O42" s="427">
        <f t="shared" si="3"/>
        <v>0</v>
      </c>
      <c r="P42" s="427">
        <f t="shared" si="6"/>
        <v>0</v>
      </c>
    </row>
    <row r="43" spans="1:16" x14ac:dyDescent="0.25">
      <c r="A43" s="358" t="str">
        <f>IF(COUNTBLANK(B43)=1," ",COUNTA(B$15:B43))</f>
        <v xml:space="preserve"> </v>
      </c>
      <c r="B43" s="623"/>
      <c r="C43" s="628" t="s">
        <v>379</v>
      </c>
      <c r="D43" s="620"/>
      <c r="E43" s="621"/>
      <c r="F43" s="512"/>
      <c r="G43" s="512"/>
      <c r="H43" s="208">
        <f t="shared" si="4"/>
        <v>0</v>
      </c>
      <c r="I43" s="512"/>
      <c r="J43" s="624"/>
      <c r="K43" s="426">
        <f t="shared" si="5"/>
        <v>0</v>
      </c>
      <c r="L43" s="427">
        <f t="shared" si="0"/>
        <v>0</v>
      </c>
      <c r="M43" s="427">
        <f t="shared" si="1"/>
        <v>0</v>
      </c>
      <c r="N43" s="427">
        <f t="shared" si="2"/>
        <v>0</v>
      </c>
      <c r="O43" s="427">
        <f t="shared" si="3"/>
        <v>0</v>
      </c>
      <c r="P43" s="427">
        <f t="shared" si="6"/>
        <v>0</v>
      </c>
    </row>
    <row r="44" spans="1:16" ht="15.75" thickBot="1" x14ac:dyDescent="0.3">
      <c r="A44" s="358" t="str">
        <f>IF(COUNTBLANK(B44)=1," ",COUNTA(B$15:B44))</f>
        <v xml:space="preserve"> </v>
      </c>
      <c r="B44" s="160"/>
      <c r="C44" s="381" t="s">
        <v>295</v>
      </c>
      <c r="D44" s="176"/>
      <c r="E44" s="176"/>
      <c r="F44" s="163"/>
      <c r="G44" s="163"/>
      <c r="H44" s="208">
        <f t="shared" si="4"/>
        <v>0</v>
      </c>
      <c r="I44" s="163"/>
      <c r="J44" s="163"/>
      <c r="K44" s="426">
        <f t="shared" si="5"/>
        <v>0</v>
      </c>
      <c r="L44" s="427">
        <f t="shared" si="0"/>
        <v>0</v>
      </c>
      <c r="M44" s="427">
        <f t="shared" si="1"/>
        <v>0</v>
      </c>
      <c r="N44" s="427">
        <f t="shared" si="2"/>
        <v>0</v>
      </c>
      <c r="O44" s="427">
        <f t="shared" si="3"/>
        <v>0</v>
      </c>
      <c r="P44" s="427">
        <f t="shared" si="6"/>
        <v>0</v>
      </c>
    </row>
    <row r="45" spans="1:16" ht="22.5" x14ac:dyDescent="0.25">
      <c r="A45" s="358">
        <f>IF(COUNTBLANK(B45)=1," ",COUNTA(B$15:B45))</f>
        <v>26</v>
      </c>
      <c r="B45" s="160" t="s">
        <v>87</v>
      </c>
      <c r="C45" s="378" t="s">
        <v>174</v>
      </c>
      <c r="D45" s="176" t="s">
        <v>58</v>
      </c>
      <c r="E45" s="180">
        <v>87</v>
      </c>
      <c r="F45" s="163"/>
      <c r="G45" s="163"/>
      <c r="H45" s="208">
        <f t="shared" si="4"/>
        <v>0</v>
      </c>
      <c r="I45" s="103"/>
      <c r="J45" s="163"/>
      <c r="K45" s="426">
        <f t="shared" si="5"/>
        <v>0</v>
      </c>
      <c r="L45" s="427">
        <f t="shared" si="0"/>
        <v>0</v>
      </c>
      <c r="M45" s="427">
        <f t="shared" si="1"/>
        <v>0</v>
      </c>
      <c r="N45" s="427">
        <f t="shared" si="2"/>
        <v>0</v>
      </c>
      <c r="O45" s="427">
        <f t="shared" si="3"/>
        <v>0</v>
      </c>
      <c r="P45" s="427">
        <f t="shared" si="6"/>
        <v>0</v>
      </c>
    </row>
    <row r="46" spans="1:16" x14ac:dyDescent="0.25">
      <c r="A46" s="358">
        <f>IF(COUNTBLANK(B46)=1," ",COUNTA(B$15:B46))</f>
        <v>27</v>
      </c>
      <c r="B46" s="160" t="s">
        <v>87</v>
      </c>
      <c r="C46" s="443" t="s">
        <v>136</v>
      </c>
      <c r="D46" s="176" t="s">
        <v>85</v>
      </c>
      <c r="E46" s="232">
        <v>3.5</v>
      </c>
      <c r="F46" s="163"/>
      <c r="G46" s="163"/>
      <c r="H46" s="208">
        <f t="shared" si="4"/>
        <v>0</v>
      </c>
      <c r="I46" s="103"/>
      <c r="J46" s="163"/>
      <c r="K46" s="426">
        <f t="shared" si="5"/>
        <v>0</v>
      </c>
      <c r="L46" s="427">
        <f t="shared" si="0"/>
        <v>0</v>
      </c>
      <c r="M46" s="427">
        <f t="shared" si="1"/>
        <v>0</v>
      </c>
      <c r="N46" s="427">
        <f t="shared" si="2"/>
        <v>0</v>
      </c>
      <c r="O46" s="427">
        <f t="shared" si="3"/>
        <v>0</v>
      </c>
      <c r="P46" s="427">
        <f t="shared" si="6"/>
        <v>0</v>
      </c>
    </row>
    <row r="47" spans="1:16" x14ac:dyDescent="0.25">
      <c r="A47" s="358">
        <f>IF(COUNTBLANK(B47)=1," ",COUNTA(B$15:B47))</f>
        <v>28</v>
      </c>
      <c r="B47" s="160" t="s">
        <v>87</v>
      </c>
      <c r="C47" s="443" t="s">
        <v>137</v>
      </c>
      <c r="D47" s="176" t="str">
        <f>D46</f>
        <v>m³</v>
      </c>
      <c r="E47" s="180">
        <v>2.61</v>
      </c>
      <c r="F47" s="163"/>
      <c r="G47" s="163"/>
      <c r="H47" s="208">
        <f t="shared" si="4"/>
        <v>0</v>
      </c>
      <c r="I47" s="103"/>
      <c r="J47" s="163"/>
      <c r="K47" s="426">
        <f t="shared" si="5"/>
        <v>0</v>
      </c>
      <c r="L47" s="427">
        <f t="shared" si="0"/>
        <v>0</v>
      </c>
      <c r="M47" s="427">
        <f t="shared" si="1"/>
        <v>0</v>
      </c>
      <c r="N47" s="427">
        <f t="shared" si="2"/>
        <v>0</v>
      </c>
      <c r="O47" s="427">
        <f t="shared" si="3"/>
        <v>0</v>
      </c>
      <c r="P47" s="427">
        <f t="shared" si="6"/>
        <v>0</v>
      </c>
    </row>
    <row r="48" spans="1:16" ht="22.5" x14ac:dyDescent="0.25">
      <c r="A48" s="358">
        <f>IF(COUNTBLANK(B48)=1," ",COUNTA(B$15:B48))</f>
        <v>29</v>
      </c>
      <c r="B48" s="160" t="s">
        <v>87</v>
      </c>
      <c r="C48" s="443" t="s">
        <v>654</v>
      </c>
      <c r="D48" s="176" t="str">
        <f>D47</f>
        <v>m³</v>
      </c>
      <c r="E48" s="180">
        <v>6.96</v>
      </c>
      <c r="F48" s="163"/>
      <c r="G48" s="163"/>
      <c r="H48" s="208">
        <f t="shared" si="4"/>
        <v>0</v>
      </c>
      <c r="I48" s="103"/>
      <c r="J48" s="163"/>
      <c r="K48" s="426">
        <f t="shared" si="5"/>
        <v>0</v>
      </c>
      <c r="L48" s="427">
        <f t="shared" si="0"/>
        <v>0</v>
      </c>
      <c r="M48" s="427">
        <f t="shared" si="1"/>
        <v>0</v>
      </c>
      <c r="N48" s="427">
        <f t="shared" si="2"/>
        <v>0</v>
      </c>
      <c r="O48" s="427">
        <f t="shared" si="3"/>
        <v>0</v>
      </c>
      <c r="P48" s="427">
        <f t="shared" si="6"/>
        <v>0</v>
      </c>
    </row>
    <row r="49" spans="1:16" x14ac:dyDescent="0.25">
      <c r="A49" s="358">
        <f>IF(COUNTBLANK(B49)=1," ",COUNTA(B$15:B49))</f>
        <v>30</v>
      </c>
      <c r="B49" s="160" t="s">
        <v>87</v>
      </c>
      <c r="C49" s="630" t="s">
        <v>380</v>
      </c>
      <c r="D49" s="631" t="s">
        <v>90</v>
      </c>
      <c r="E49" s="631">
        <v>60</v>
      </c>
      <c r="F49" s="629"/>
      <c r="G49" s="629"/>
      <c r="H49" s="208">
        <f t="shared" si="4"/>
        <v>0</v>
      </c>
      <c r="I49" s="512"/>
      <c r="J49" s="629"/>
      <c r="K49" s="426">
        <f t="shared" si="5"/>
        <v>0</v>
      </c>
      <c r="L49" s="427">
        <f t="shared" si="0"/>
        <v>0</v>
      </c>
      <c r="M49" s="427">
        <f t="shared" si="1"/>
        <v>0</v>
      </c>
      <c r="N49" s="427">
        <f t="shared" si="2"/>
        <v>0</v>
      </c>
      <c r="O49" s="427">
        <f t="shared" si="3"/>
        <v>0</v>
      </c>
      <c r="P49" s="427">
        <f t="shared" si="6"/>
        <v>0</v>
      </c>
    </row>
    <row r="50" spans="1:16" ht="15.75" thickBot="1" x14ac:dyDescent="0.3">
      <c r="A50" s="358">
        <f>IF(COUNTBLANK(B50)=1," ",COUNTA(B$15:B50))</f>
        <v>31</v>
      </c>
      <c r="B50" s="160" t="s">
        <v>87</v>
      </c>
      <c r="C50" s="444" t="s">
        <v>296</v>
      </c>
      <c r="D50" s="176" t="s">
        <v>57</v>
      </c>
      <c r="E50" s="180">
        <f>0.24*E45</f>
        <v>20.88</v>
      </c>
      <c r="F50" s="163"/>
      <c r="G50" s="163"/>
      <c r="H50" s="208">
        <f t="shared" si="4"/>
        <v>0</v>
      </c>
      <c r="I50" s="103"/>
      <c r="J50" s="163"/>
      <c r="K50" s="426">
        <f t="shared" si="5"/>
        <v>0</v>
      </c>
      <c r="L50" s="427">
        <f t="shared" si="0"/>
        <v>0</v>
      </c>
      <c r="M50" s="122">
        <f t="shared" si="1"/>
        <v>0</v>
      </c>
      <c r="N50" s="427">
        <f t="shared" si="2"/>
        <v>0</v>
      </c>
      <c r="O50" s="427">
        <f t="shared" si="3"/>
        <v>0</v>
      </c>
      <c r="P50" s="427">
        <f t="shared" si="6"/>
        <v>0</v>
      </c>
    </row>
    <row r="51" spans="1:16" ht="15.75" customHeight="1" thickBot="1" x14ac:dyDescent="0.3">
      <c r="A51" s="965" t="s">
        <v>626</v>
      </c>
      <c r="B51" s="966"/>
      <c r="C51" s="966"/>
      <c r="D51" s="966"/>
      <c r="E51" s="966"/>
      <c r="F51" s="966"/>
      <c r="G51" s="966"/>
      <c r="H51" s="966"/>
      <c r="I51" s="966"/>
      <c r="J51" s="966"/>
      <c r="K51" s="967"/>
      <c r="L51" s="125">
        <f>SUM(L15:L50)</f>
        <v>0</v>
      </c>
      <c r="M51" s="126">
        <f>SUM(M15:M50)</f>
        <v>0</v>
      </c>
      <c r="N51" s="126">
        <f>SUM(N15:N50)</f>
        <v>0</v>
      </c>
      <c r="O51" s="126">
        <f>SUM(O15:O50)</f>
        <v>0</v>
      </c>
      <c r="P51" s="127">
        <f>SUM(P15:P50)</f>
        <v>0</v>
      </c>
    </row>
    <row r="52" spans="1:16" x14ac:dyDescent="0.25">
      <c r="A52" s="113"/>
      <c r="B52" s="113"/>
      <c r="C52" s="113"/>
      <c r="D52" s="113"/>
      <c r="E52" s="113"/>
      <c r="F52" s="113"/>
      <c r="G52" s="113"/>
      <c r="H52" s="113"/>
      <c r="I52" s="113"/>
      <c r="J52" s="113"/>
      <c r="K52" s="113"/>
      <c r="L52" s="113"/>
      <c r="M52" s="113"/>
      <c r="N52" s="113"/>
      <c r="O52" s="113"/>
      <c r="P52" s="113"/>
    </row>
    <row r="53" spans="1:16" x14ac:dyDescent="0.25">
      <c r="A53" s="113"/>
      <c r="B53" s="113"/>
      <c r="C53" s="113"/>
      <c r="D53" s="113"/>
      <c r="E53" s="113"/>
      <c r="F53" s="113"/>
      <c r="G53" s="113"/>
      <c r="H53" s="113"/>
      <c r="I53" s="113"/>
      <c r="J53" s="113"/>
      <c r="K53" s="113"/>
      <c r="L53" s="113"/>
      <c r="M53" s="113"/>
      <c r="N53" s="113"/>
      <c r="O53" s="113"/>
      <c r="P53" s="113"/>
    </row>
    <row r="54" spans="1:16" x14ac:dyDescent="0.25">
      <c r="A54" s="1" t="s">
        <v>14</v>
      </c>
      <c r="B54" s="14"/>
      <c r="C54" s="958">
        <f>'Kops a'!C34:H34</f>
        <v>0</v>
      </c>
      <c r="D54" s="958"/>
      <c r="E54" s="958"/>
      <c r="F54" s="958"/>
      <c r="G54" s="958"/>
      <c r="H54" s="958"/>
      <c r="I54" s="14"/>
      <c r="J54" s="14"/>
      <c r="K54" s="113"/>
      <c r="L54" s="113"/>
      <c r="M54" s="113"/>
      <c r="N54" s="113"/>
      <c r="O54" s="113"/>
      <c r="P54" s="113"/>
    </row>
    <row r="55" spans="1:16" x14ac:dyDescent="0.25">
      <c r="A55" s="14"/>
      <c r="B55" s="14"/>
      <c r="C55" s="996" t="s">
        <v>15</v>
      </c>
      <c r="D55" s="996"/>
      <c r="E55" s="996"/>
      <c r="F55" s="996"/>
      <c r="G55" s="996"/>
      <c r="H55" s="996"/>
      <c r="I55" s="14"/>
      <c r="J55" s="14"/>
      <c r="K55" s="113"/>
      <c r="L55" s="113"/>
      <c r="M55" s="113"/>
      <c r="N55" s="113"/>
      <c r="O55" s="113"/>
      <c r="P55" s="113"/>
    </row>
    <row r="56" spans="1:16" x14ac:dyDescent="0.25">
      <c r="A56" s="14"/>
      <c r="B56" s="14"/>
      <c r="C56" s="77"/>
      <c r="D56" s="77"/>
      <c r="E56" s="77"/>
      <c r="F56" s="77"/>
      <c r="G56" s="77"/>
      <c r="H56" s="77"/>
      <c r="I56" s="14"/>
      <c r="J56" s="14"/>
      <c r="K56" s="113"/>
      <c r="L56" s="113"/>
      <c r="M56" s="113"/>
      <c r="N56" s="113"/>
      <c r="O56" s="113"/>
      <c r="P56" s="113"/>
    </row>
    <row r="57" spans="1:16" x14ac:dyDescent="0.25">
      <c r="A57" s="34" t="str">
        <f>'Kops a'!A37</f>
        <v>Tāme sastādīta 20__. gada __. _________</v>
      </c>
      <c r="B57" s="35"/>
      <c r="C57" s="78"/>
      <c r="D57" s="78"/>
      <c r="E57" s="77"/>
      <c r="F57" s="77"/>
      <c r="G57" s="77"/>
      <c r="H57" s="77"/>
      <c r="I57" s="14"/>
      <c r="J57" s="14"/>
      <c r="K57" s="113"/>
      <c r="L57" s="113"/>
      <c r="M57" s="113"/>
      <c r="N57" s="113"/>
      <c r="O57" s="113"/>
      <c r="P57" s="113"/>
    </row>
    <row r="58" spans="1:16" x14ac:dyDescent="0.25">
      <c r="A58" s="14"/>
      <c r="B58" s="14"/>
      <c r="C58" s="77"/>
      <c r="D58" s="77"/>
      <c r="E58" s="77"/>
      <c r="F58" s="77"/>
      <c r="G58" s="77"/>
      <c r="H58" s="77"/>
      <c r="I58" s="14"/>
      <c r="J58" s="14"/>
      <c r="K58" s="113"/>
      <c r="L58" s="113"/>
      <c r="M58" s="113"/>
      <c r="N58" s="113"/>
      <c r="O58" s="113"/>
      <c r="P58" s="113"/>
    </row>
    <row r="59" spans="1:16" x14ac:dyDescent="0.25">
      <c r="A59" s="1" t="s">
        <v>38</v>
      </c>
      <c r="B59" s="14"/>
      <c r="C59" s="958">
        <f>'Kops a'!C39:H39</f>
        <v>0</v>
      </c>
      <c r="D59" s="958"/>
      <c r="E59" s="958"/>
      <c r="F59" s="958"/>
      <c r="G59" s="958"/>
      <c r="H59" s="958"/>
      <c r="I59" s="14"/>
      <c r="J59" s="14"/>
      <c r="K59" s="113"/>
      <c r="L59" s="113"/>
      <c r="M59" s="113"/>
      <c r="N59" s="113"/>
      <c r="O59" s="113"/>
      <c r="P59" s="113"/>
    </row>
    <row r="60" spans="1:16" x14ac:dyDescent="0.25">
      <c r="A60" s="14"/>
      <c r="B60" s="14"/>
      <c r="C60" s="996" t="s">
        <v>15</v>
      </c>
      <c r="D60" s="996"/>
      <c r="E60" s="996"/>
      <c r="F60" s="996"/>
      <c r="G60" s="996"/>
      <c r="H60" s="996"/>
      <c r="I60" s="14"/>
      <c r="J60" s="14"/>
      <c r="K60" s="113"/>
      <c r="L60" s="113"/>
      <c r="M60" s="113"/>
      <c r="N60" s="113"/>
      <c r="O60" s="113"/>
      <c r="P60" s="113"/>
    </row>
    <row r="61" spans="1:16" x14ac:dyDescent="0.25">
      <c r="A61" s="14"/>
      <c r="B61" s="14"/>
      <c r="C61" s="75"/>
      <c r="D61" s="75"/>
      <c r="E61" s="75"/>
      <c r="F61" s="75"/>
      <c r="G61" s="75"/>
      <c r="H61" s="75"/>
      <c r="I61" s="14"/>
      <c r="J61" s="14"/>
      <c r="K61" s="113"/>
      <c r="L61" s="113"/>
      <c r="M61" s="113"/>
      <c r="N61" s="113"/>
      <c r="O61" s="113"/>
      <c r="P61" s="113"/>
    </row>
    <row r="62" spans="1:16" x14ac:dyDescent="0.25">
      <c r="A62" s="34" t="s">
        <v>54</v>
      </c>
      <c r="B62" s="35"/>
      <c r="C62" s="74">
        <f>'Kops a'!C42</f>
        <v>0</v>
      </c>
      <c r="D62" s="76"/>
      <c r="E62" s="75"/>
      <c r="F62" s="75"/>
      <c r="G62" s="75"/>
      <c r="H62" s="75"/>
      <c r="I62" s="14"/>
      <c r="J62" s="14"/>
      <c r="K62" s="113"/>
      <c r="L62" s="113"/>
      <c r="M62" s="113"/>
      <c r="N62" s="113"/>
      <c r="O62" s="113"/>
      <c r="P62" s="113"/>
    </row>
    <row r="64" spans="1:16" x14ac:dyDescent="0.25">
      <c r="C64" s="917" t="s">
        <v>623</v>
      </c>
    </row>
    <row r="65" spans="3:3" x14ac:dyDescent="0.25">
      <c r="C65" s="918" t="s">
        <v>624</v>
      </c>
    </row>
    <row r="66" spans="3:3" x14ac:dyDescent="0.25">
      <c r="C66" s="918" t="s">
        <v>625</v>
      </c>
    </row>
  </sheetData>
  <mergeCells count="22">
    <mergeCell ref="C2:I2"/>
    <mergeCell ref="C3:I3"/>
    <mergeCell ref="C4:I4"/>
    <mergeCell ref="D5:L5"/>
    <mergeCell ref="D6:L6"/>
    <mergeCell ref="D7:L7"/>
    <mergeCell ref="D8:L8"/>
    <mergeCell ref="A9:F9"/>
    <mergeCell ref="J9:M9"/>
    <mergeCell ref="N9:O9"/>
    <mergeCell ref="A12:A13"/>
    <mergeCell ref="B12:B13"/>
    <mergeCell ref="C12:C13"/>
    <mergeCell ref="D12:D13"/>
    <mergeCell ref="E12:E13"/>
    <mergeCell ref="C59:H59"/>
    <mergeCell ref="C60:H60"/>
    <mergeCell ref="F12:K12"/>
    <mergeCell ref="L12:P12"/>
    <mergeCell ref="C54:H54"/>
    <mergeCell ref="C55:H55"/>
    <mergeCell ref="A51:K51"/>
  </mergeCells>
  <conditionalFormatting sqref="C4:I4 D5:L8 D1 C21:G21 C20:D20 F20:G20 C38:G38 B15:G19 C22:D22 F22:G22 B20:B22 B23:G37 F39:G40 C39:D40 B38:B40 I15:J50 B41:G50">
    <cfRule type="cellIs" dxfId="85" priority="20" operator="equal">
      <formula>0</formula>
    </cfRule>
  </conditionalFormatting>
  <conditionalFormatting sqref="N9:O9 C2:I2 A15:A50 H15:H50 K15:P50">
    <cfRule type="cellIs" dxfId="84" priority="21" operator="equal">
      <formula>0</formula>
    </cfRule>
  </conditionalFormatting>
  <conditionalFormatting sqref="A51:K51">
    <cfRule type="containsText" dxfId="83" priority="22" operator="containsText" text="Tāme sastādīta  20__. gada tirgus cenās, pamatojoties uz ___ daļas rasējumiem"/>
  </conditionalFormatting>
  <conditionalFormatting sqref="O10">
    <cfRule type="cellIs" dxfId="82" priority="24" operator="equal">
      <formula>"20__. gada __. _________"</formula>
    </cfRule>
  </conditionalFormatting>
  <conditionalFormatting sqref="L51:P51">
    <cfRule type="cellIs" dxfId="81" priority="26" operator="equal">
      <formula>0</formula>
    </cfRule>
  </conditionalFormatting>
  <conditionalFormatting sqref="P10">
    <cfRule type="cellIs" dxfId="80" priority="33" operator="equal">
      <formula>"20__. gada __. _________"</formula>
    </cfRule>
  </conditionalFormatting>
  <conditionalFormatting sqref="C59:H59 C54:H54">
    <cfRule type="cellIs" dxfId="79" priority="12" operator="equal">
      <formula>0</formula>
    </cfRule>
  </conditionalFormatting>
  <conditionalFormatting sqref="C59:H59 C54:H54">
    <cfRule type="cellIs" dxfId="78" priority="13" operator="equal">
      <formula>0</formula>
    </cfRule>
  </conditionalFormatting>
  <conditionalFormatting sqref="C62">
    <cfRule type="cellIs" dxfId="77" priority="14" operator="equal">
      <formula>0</formula>
    </cfRule>
  </conditionalFormatting>
  <conditionalFormatting sqref="E20">
    <cfRule type="cellIs" dxfId="76" priority="10" operator="equal">
      <formula>0</formula>
    </cfRule>
  </conditionalFormatting>
  <conditionalFormatting sqref="E39">
    <cfRule type="cellIs" dxfId="75" priority="8" operator="equal">
      <formula>0</formula>
    </cfRule>
  </conditionalFormatting>
  <conditionalFormatting sqref="E22">
    <cfRule type="cellIs" dxfId="74" priority="7" operator="equal">
      <formula>0</formula>
    </cfRule>
  </conditionalFormatting>
  <conditionalFormatting sqref="E40">
    <cfRule type="cellIs" dxfId="73" priority="5" operator="equal">
      <formula>0</formula>
    </cfRule>
  </conditionalFormatting>
  <conditionalFormatting sqref="A9:F9">
    <cfRule type="containsText" dxfId="72" priority="1" operator="containsText" text="Tāme sastādīta  20__. gada tirgus cenās, pamatojoties uz ___ daļas rasējumiem"/>
  </conditionalFormatting>
  <pageMargins left="0.19685039370078741" right="0.19685039370078741" top="0.75196850393700787" bottom="0.39370078740157483" header="0.51181102362204722" footer="0.51181102362204722"/>
  <pageSetup paperSize="9" scale="90" firstPageNumber="0" orientation="landscape" r:id="rId1"/>
  <rowBreaks count="2" manualBreakCount="2">
    <brk id="29" max="15" man="1"/>
    <brk id="5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MK131"/>
  <sheetViews>
    <sheetView view="pageBreakPreview" topLeftCell="A7" zoomScale="130" zoomScaleNormal="100" zoomScaleSheetLayoutView="130" workbookViewId="0">
      <selection activeCell="A9" sqref="A9:F9"/>
    </sheetView>
  </sheetViews>
  <sheetFormatPr defaultRowHeight="15" x14ac:dyDescent="0.25"/>
  <cols>
    <col min="1" max="1" width="5.8554687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7.7109375" style="1" customWidth="1"/>
    <col min="8" max="10" width="6.7109375" style="1" customWidth="1"/>
    <col min="11" max="11" width="7" style="1" customWidth="1"/>
    <col min="12" max="15" width="7.7109375" style="1" customWidth="1"/>
    <col min="16" max="16" width="9" style="1" customWidth="1"/>
    <col min="17" max="1025" width="9.140625" style="1" customWidth="1"/>
  </cols>
  <sheetData>
    <row r="1" spans="1:16" x14ac:dyDescent="0.25">
      <c r="A1" s="33"/>
      <c r="B1" s="33"/>
      <c r="C1" s="37" t="s">
        <v>39</v>
      </c>
      <c r="D1" s="38">
        <f>'Kops a'!A20</f>
        <v>6</v>
      </c>
      <c r="E1" s="33"/>
      <c r="F1" s="33"/>
      <c r="G1" s="33"/>
      <c r="H1" s="33"/>
      <c r="I1" s="33"/>
      <c r="J1" s="33"/>
      <c r="N1" s="39"/>
      <c r="O1" s="37"/>
      <c r="P1" s="40"/>
    </row>
    <row r="2" spans="1:16" x14ac:dyDescent="0.25">
      <c r="A2" s="41"/>
      <c r="B2" s="41"/>
      <c r="C2" s="972" t="s">
        <v>297</v>
      </c>
      <c r="D2" s="972"/>
      <c r="E2" s="972"/>
      <c r="F2" s="972"/>
      <c r="G2" s="972"/>
      <c r="H2" s="972"/>
      <c r="I2" s="972"/>
      <c r="J2" s="41"/>
    </row>
    <row r="3" spans="1:16" x14ac:dyDescent="0.25">
      <c r="A3" s="42"/>
      <c r="B3" s="42"/>
      <c r="C3" s="946" t="s">
        <v>18</v>
      </c>
      <c r="D3" s="946"/>
      <c r="E3" s="946"/>
      <c r="F3" s="946"/>
      <c r="G3" s="946"/>
      <c r="H3" s="946"/>
      <c r="I3" s="946"/>
      <c r="J3" s="42"/>
    </row>
    <row r="4" spans="1:16" x14ac:dyDescent="0.25">
      <c r="A4" s="42"/>
      <c r="B4" s="42"/>
      <c r="C4" s="973" t="s">
        <v>4</v>
      </c>
      <c r="D4" s="973"/>
      <c r="E4" s="973"/>
      <c r="F4" s="973"/>
      <c r="G4" s="973"/>
      <c r="H4" s="973"/>
      <c r="I4" s="973"/>
      <c r="J4" s="42"/>
    </row>
    <row r="5" spans="1:16" x14ac:dyDescent="0.25">
      <c r="A5" s="33"/>
      <c r="B5" s="33"/>
      <c r="C5" s="37" t="s">
        <v>5</v>
      </c>
      <c r="D5" s="968" t="str">
        <f>'Kops a'!D6</f>
        <v>Daudzīvokļu dzīvojamā māja</v>
      </c>
      <c r="E5" s="968"/>
      <c r="F5" s="968"/>
      <c r="G5" s="968"/>
      <c r="H5" s="968"/>
      <c r="I5" s="968"/>
      <c r="J5" s="968"/>
      <c r="K5" s="968"/>
      <c r="L5" s="968"/>
      <c r="M5" s="14"/>
      <c r="N5" s="14"/>
      <c r="O5" s="14"/>
      <c r="P5" s="14"/>
    </row>
    <row r="6" spans="1:16" x14ac:dyDescent="0.25">
      <c r="A6" s="33"/>
      <c r="B6" s="33"/>
      <c r="C6" s="37" t="s">
        <v>6</v>
      </c>
      <c r="D6" s="968" t="str">
        <f>'Kops a'!D7</f>
        <v>fasādes vienkāršotā atjaunošana</v>
      </c>
      <c r="E6" s="968"/>
      <c r="F6" s="968"/>
      <c r="G6" s="968"/>
      <c r="H6" s="968"/>
      <c r="I6" s="968"/>
      <c r="J6" s="968"/>
      <c r="K6" s="968"/>
      <c r="L6" s="968"/>
      <c r="M6" s="14"/>
      <c r="N6" s="14"/>
      <c r="O6" s="14"/>
      <c r="P6" s="14"/>
    </row>
    <row r="7" spans="1:16" x14ac:dyDescent="0.25">
      <c r="A7" s="33"/>
      <c r="B7" s="33"/>
      <c r="C7" s="37" t="s">
        <v>7</v>
      </c>
      <c r="D7" s="968" t="str">
        <f>'Kops a'!D8</f>
        <v>Reiņu meža iela 3, Liepāja</v>
      </c>
      <c r="E7" s="968"/>
      <c r="F7" s="968"/>
      <c r="G7" s="968"/>
      <c r="H7" s="968"/>
      <c r="I7" s="968"/>
      <c r="J7" s="968"/>
      <c r="K7" s="968"/>
      <c r="L7" s="968"/>
      <c r="M7" s="14"/>
      <c r="N7" s="14"/>
      <c r="O7" s="14"/>
      <c r="P7" s="14"/>
    </row>
    <row r="8" spans="1:16" x14ac:dyDescent="0.25">
      <c r="A8" s="33"/>
      <c r="B8" s="33"/>
      <c r="C8" s="4" t="s">
        <v>21</v>
      </c>
      <c r="D8" s="968" t="str">
        <f>'Kops a'!D9</f>
        <v>EA-45-17</v>
      </c>
      <c r="E8" s="968"/>
      <c r="F8" s="968"/>
      <c r="G8" s="968"/>
      <c r="H8" s="968"/>
      <c r="I8" s="968"/>
      <c r="J8" s="968"/>
      <c r="K8" s="968"/>
      <c r="L8" s="968"/>
      <c r="M8" s="14"/>
      <c r="N8" s="14"/>
      <c r="O8" s="14"/>
      <c r="P8" s="14"/>
    </row>
    <row r="9" spans="1:16" ht="15" customHeight="1" x14ac:dyDescent="0.25">
      <c r="A9" s="969" t="s">
        <v>627</v>
      </c>
      <c r="B9" s="969"/>
      <c r="C9" s="969"/>
      <c r="D9" s="969"/>
      <c r="E9" s="969"/>
      <c r="F9" s="969"/>
      <c r="G9" s="43"/>
      <c r="H9" s="43"/>
      <c r="I9" s="43"/>
      <c r="J9" s="970" t="s">
        <v>40</v>
      </c>
      <c r="K9" s="970"/>
      <c r="L9" s="970"/>
      <c r="M9" s="970"/>
      <c r="N9" s="971">
        <f>P116</f>
        <v>0</v>
      </c>
      <c r="O9" s="971"/>
      <c r="P9" s="43"/>
    </row>
    <row r="10" spans="1:16" x14ac:dyDescent="0.25">
      <c r="A10" s="44"/>
      <c r="B10" s="45"/>
      <c r="C10" s="4"/>
      <c r="D10" s="33"/>
      <c r="E10" s="33"/>
      <c r="F10" s="33"/>
      <c r="G10" s="33"/>
      <c r="H10" s="33"/>
      <c r="I10" s="33"/>
      <c r="J10" s="33"/>
      <c r="K10" s="33"/>
      <c r="L10" s="41"/>
      <c r="M10" s="41"/>
      <c r="O10" s="57"/>
      <c r="P10" s="47" t="str">
        <f>A122</f>
        <v>Tāme sastādīta 20__. gada __. _________</v>
      </c>
    </row>
    <row r="11" spans="1:16" ht="15.75" thickBot="1" x14ac:dyDescent="0.3">
      <c r="A11" s="44"/>
      <c r="B11" s="45"/>
      <c r="C11" s="4"/>
      <c r="D11" s="33"/>
      <c r="E11" s="33"/>
      <c r="F11" s="33"/>
      <c r="G11" s="33"/>
      <c r="H11" s="33"/>
      <c r="I11" s="33"/>
      <c r="J11" s="33"/>
      <c r="K11" s="33"/>
      <c r="L11" s="48"/>
      <c r="M11" s="48"/>
      <c r="N11" s="49"/>
      <c r="O11" s="39"/>
      <c r="P11" s="33"/>
    </row>
    <row r="12" spans="1:16" ht="15.75" customHeight="1" thickBot="1" x14ac:dyDescent="0.3">
      <c r="A12" s="951" t="s">
        <v>24</v>
      </c>
      <c r="B12" s="961" t="s">
        <v>41</v>
      </c>
      <c r="C12" s="962" t="s">
        <v>42</v>
      </c>
      <c r="D12" s="963" t="s">
        <v>43</v>
      </c>
      <c r="E12" s="964" t="s">
        <v>44</v>
      </c>
      <c r="F12" s="959" t="s">
        <v>45</v>
      </c>
      <c r="G12" s="959"/>
      <c r="H12" s="959"/>
      <c r="I12" s="959"/>
      <c r="J12" s="959"/>
      <c r="K12" s="959"/>
      <c r="L12" s="959" t="s">
        <v>46</v>
      </c>
      <c r="M12" s="959"/>
      <c r="N12" s="959"/>
      <c r="O12" s="959"/>
      <c r="P12" s="959"/>
    </row>
    <row r="13" spans="1:16" ht="53.25" thickBot="1" x14ac:dyDescent="0.3">
      <c r="A13" s="1023"/>
      <c r="B13" s="961"/>
      <c r="C13" s="1024"/>
      <c r="D13" s="963"/>
      <c r="E13" s="964"/>
      <c r="F13" s="50" t="s">
        <v>47</v>
      </c>
      <c r="G13" s="51" t="s">
        <v>48</v>
      </c>
      <c r="H13" s="51" t="s">
        <v>49</v>
      </c>
      <c r="I13" s="51" t="s">
        <v>50</v>
      </c>
      <c r="J13" s="51" t="s">
        <v>51</v>
      </c>
      <c r="K13" s="52" t="s">
        <v>52</v>
      </c>
      <c r="L13" s="50" t="s">
        <v>47</v>
      </c>
      <c r="M13" s="51" t="s">
        <v>49</v>
      </c>
      <c r="N13" s="51" t="s">
        <v>50</v>
      </c>
      <c r="O13" s="51" t="s">
        <v>51</v>
      </c>
      <c r="P13" s="52" t="s">
        <v>52</v>
      </c>
    </row>
    <row r="14" spans="1:16" ht="21.75" thickBot="1" x14ac:dyDescent="0.3">
      <c r="A14" s="358" t="str">
        <f>IF(COUNTBLANK(B14)=1," ",COUNTA(B$14:B14))</f>
        <v xml:space="preserve"> </v>
      </c>
      <c r="B14" s="632"/>
      <c r="C14" s="644" t="s">
        <v>381</v>
      </c>
      <c r="D14" s="638"/>
      <c r="E14" s="639"/>
      <c r="F14" s="635"/>
      <c r="G14" s="636"/>
      <c r="H14" s="208">
        <f t="shared" ref="H14:H77" si="0">F14*G14</f>
        <v>0</v>
      </c>
      <c r="I14" s="637"/>
      <c r="J14" s="637"/>
      <c r="K14" s="204">
        <f t="shared" ref="K14:K77" si="1">ROUND(I14+H14+J14,2)</f>
        <v>0</v>
      </c>
      <c r="L14" s="204">
        <f t="shared" ref="L14:L77" si="2">ROUND(E14*F14,2)</f>
        <v>0</v>
      </c>
      <c r="M14" s="204">
        <f t="shared" ref="M14:M77" si="3">ROUND(E14*H14,2)</f>
        <v>0</v>
      </c>
      <c r="N14" s="204">
        <f t="shared" ref="N14:N77" si="4">ROUND(E14*I14,2)</f>
        <v>0</v>
      </c>
      <c r="O14" s="204">
        <f t="shared" ref="O14:O77" si="5">ROUND(E14*J14,2)</f>
        <v>0</v>
      </c>
      <c r="P14" s="204">
        <f t="shared" ref="P14:P77" si="6">SUM(M14:O14)</f>
        <v>0</v>
      </c>
    </row>
    <row r="15" spans="1:16" x14ac:dyDescent="0.25">
      <c r="A15" s="358">
        <f>IF(COUNTBLANK(B15)=1," ",COUNTA(B$15:B15))</f>
        <v>1</v>
      </c>
      <c r="B15" s="632" t="s">
        <v>87</v>
      </c>
      <c r="C15" s="643" t="s">
        <v>382</v>
      </c>
      <c r="D15" s="638" t="s">
        <v>83</v>
      </c>
      <c r="E15" s="639">
        <v>2</v>
      </c>
      <c r="F15" s="635"/>
      <c r="G15" s="636"/>
      <c r="H15" s="208">
        <f t="shared" si="0"/>
        <v>0</v>
      </c>
      <c r="I15" s="637"/>
      <c r="J15" s="637"/>
      <c r="K15" s="204">
        <f t="shared" si="1"/>
        <v>0</v>
      </c>
      <c r="L15" s="204">
        <f t="shared" si="2"/>
        <v>0</v>
      </c>
      <c r="M15" s="204">
        <f t="shared" si="3"/>
        <v>0</v>
      </c>
      <c r="N15" s="204">
        <f t="shared" si="4"/>
        <v>0</v>
      </c>
      <c r="O15" s="204">
        <f t="shared" si="5"/>
        <v>0</v>
      </c>
      <c r="P15" s="204">
        <f t="shared" si="6"/>
        <v>0</v>
      </c>
    </row>
    <row r="16" spans="1:16" x14ac:dyDescent="0.25">
      <c r="A16" s="358">
        <f>IF(COUNTBLANK(B16)=1," ",COUNTA(B$15:B16))</f>
        <v>2</v>
      </c>
      <c r="B16" s="632" t="s">
        <v>87</v>
      </c>
      <c r="C16" s="640" t="s">
        <v>383</v>
      </c>
      <c r="D16" s="638" t="s">
        <v>253</v>
      </c>
      <c r="E16" s="641">
        <f>E15</f>
        <v>2</v>
      </c>
      <c r="F16" s="635"/>
      <c r="G16" s="636"/>
      <c r="H16" s="208">
        <f t="shared" si="0"/>
        <v>0</v>
      </c>
      <c r="I16" s="637"/>
      <c r="J16" s="637"/>
      <c r="K16" s="204">
        <f t="shared" si="1"/>
        <v>0</v>
      </c>
      <c r="L16" s="204">
        <f t="shared" si="2"/>
        <v>0</v>
      </c>
      <c r="M16" s="204">
        <f t="shared" si="3"/>
        <v>0</v>
      </c>
      <c r="N16" s="204">
        <f t="shared" si="4"/>
        <v>0</v>
      </c>
      <c r="O16" s="204">
        <f t="shared" si="5"/>
        <v>0</v>
      </c>
      <c r="P16" s="204">
        <f t="shared" si="6"/>
        <v>0</v>
      </c>
    </row>
    <row r="17" spans="1:16" x14ac:dyDescent="0.25">
      <c r="A17" s="358">
        <f>IF(COUNTBLANK(B17)=1," ",COUNTA(B$15:B17))</f>
        <v>3</v>
      </c>
      <c r="B17" s="632" t="s">
        <v>87</v>
      </c>
      <c r="C17" s="640" t="s">
        <v>384</v>
      </c>
      <c r="D17" s="638" t="s">
        <v>253</v>
      </c>
      <c r="E17" s="639">
        <f>E16</f>
        <v>2</v>
      </c>
      <c r="F17" s="635"/>
      <c r="G17" s="636"/>
      <c r="H17" s="208">
        <f t="shared" si="0"/>
        <v>0</v>
      </c>
      <c r="I17" s="637"/>
      <c r="J17" s="637"/>
      <c r="K17" s="204">
        <f t="shared" si="1"/>
        <v>0</v>
      </c>
      <c r="L17" s="204">
        <f t="shared" si="2"/>
        <v>0</v>
      </c>
      <c r="M17" s="204">
        <f t="shared" si="3"/>
        <v>0</v>
      </c>
      <c r="N17" s="204">
        <f t="shared" si="4"/>
        <v>0</v>
      </c>
      <c r="O17" s="204">
        <f t="shared" si="5"/>
        <v>0</v>
      </c>
      <c r="P17" s="204">
        <f t="shared" si="6"/>
        <v>0</v>
      </c>
    </row>
    <row r="18" spans="1:16" x14ac:dyDescent="0.25">
      <c r="A18" s="358">
        <f>IF(COUNTBLANK(B18)=1," ",COUNTA(B$15:B18))</f>
        <v>4</v>
      </c>
      <c r="B18" s="632" t="s">
        <v>87</v>
      </c>
      <c r="C18" s="640" t="s">
        <v>385</v>
      </c>
      <c r="D18" s="638" t="s">
        <v>253</v>
      </c>
      <c r="E18" s="639">
        <f>E17</f>
        <v>2</v>
      </c>
      <c r="F18" s="635"/>
      <c r="G18" s="636"/>
      <c r="H18" s="208">
        <f t="shared" si="0"/>
        <v>0</v>
      </c>
      <c r="I18" s="637"/>
      <c r="J18" s="637"/>
      <c r="K18" s="204">
        <f t="shared" si="1"/>
        <v>0</v>
      </c>
      <c r="L18" s="204">
        <f t="shared" si="2"/>
        <v>0</v>
      </c>
      <c r="M18" s="204">
        <f t="shared" si="3"/>
        <v>0</v>
      </c>
      <c r="N18" s="204">
        <f t="shared" si="4"/>
        <v>0</v>
      </c>
      <c r="O18" s="204">
        <f t="shared" si="5"/>
        <v>0</v>
      </c>
      <c r="P18" s="204">
        <f t="shared" si="6"/>
        <v>0</v>
      </c>
    </row>
    <row r="19" spans="1:16" x14ac:dyDescent="0.25">
      <c r="A19" s="358">
        <f>IF(COUNTBLANK(B19)=1," ",COUNTA(B$15:B19))</f>
        <v>5</v>
      </c>
      <c r="B19" s="632" t="s">
        <v>87</v>
      </c>
      <c r="C19" s="642" t="s">
        <v>386</v>
      </c>
      <c r="D19" s="638" t="s">
        <v>83</v>
      </c>
      <c r="E19" s="639">
        <f>E18</f>
        <v>2</v>
      </c>
      <c r="F19" s="635"/>
      <c r="G19" s="636"/>
      <c r="H19" s="208">
        <f t="shared" si="0"/>
        <v>0</v>
      </c>
      <c r="I19" s="637"/>
      <c r="J19" s="637"/>
      <c r="K19" s="204">
        <f t="shared" si="1"/>
        <v>0</v>
      </c>
      <c r="L19" s="204">
        <f t="shared" si="2"/>
        <v>0</v>
      </c>
      <c r="M19" s="204">
        <f t="shared" si="3"/>
        <v>0</v>
      </c>
      <c r="N19" s="204">
        <f t="shared" si="4"/>
        <v>0</v>
      </c>
      <c r="O19" s="204">
        <f t="shared" si="5"/>
        <v>0</v>
      </c>
      <c r="P19" s="204">
        <f t="shared" si="6"/>
        <v>0</v>
      </c>
    </row>
    <row r="20" spans="1:16" ht="15.75" thickBot="1" x14ac:dyDescent="0.3">
      <c r="A20" s="358" t="str">
        <f>IF(COUNTBLANK(B20)=1," ",COUNTA(B$15:B20))</f>
        <v xml:space="preserve"> </v>
      </c>
      <c r="B20" s="632"/>
      <c r="C20" s="662" t="s">
        <v>387</v>
      </c>
      <c r="D20" s="633"/>
      <c r="E20" s="634"/>
      <c r="F20" s="635"/>
      <c r="G20" s="636"/>
      <c r="H20" s="208">
        <f t="shared" si="0"/>
        <v>0</v>
      </c>
      <c r="I20" s="637"/>
      <c r="J20" s="637"/>
      <c r="K20" s="204">
        <f t="shared" si="1"/>
        <v>0</v>
      </c>
      <c r="L20" s="204">
        <f t="shared" si="2"/>
        <v>0</v>
      </c>
      <c r="M20" s="204">
        <f t="shared" si="3"/>
        <v>0</v>
      </c>
      <c r="N20" s="204">
        <f t="shared" si="4"/>
        <v>0</v>
      </c>
      <c r="O20" s="204">
        <f t="shared" si="5"/>
        <v>0</v>
      </c>
      <c r="P20" s="204">
        <f t="shared" si="6"/>
        <v>0</v>
      </c>
    </row>
    <row r="21" spans="1:16" ht="22.5" x14ac:dyDescent="0.25">
      <c r="A21" s="358">
        <f>IF(COUNTBLANK(B21)=1," ",COUNTA(B$15:B21))</f>
        <v>6</v>
      </c>
      <c r="B21" s="632" t="s">
        <v>87</v>
      </c>
      <c r="C21" s="640" t="s">
        <v>388</v>
      </c>
      <c r="D21" s="638" t="s">
        <v>157</v>
      </c>
      <c r="E21" s="639">
        <v>2.7</v>
      </c>
      <c r="F21" s="635"/>
      <c r="G21" s="636"/>
      <c r="H21" s="208">
        <f t="shared" si="0"/>
        <v>0</v>
      </c>
      <c r="I21" s="637"/>
      <c r="J21" s="637"/>
      <c r="K21" s="204">
        <f t="shared" si="1"/>
        <v>0</v>
      </c>
      <c r="L21" s="204">
        <f t="shared" si="2"/>
        <v>0</v>
      </c>
      <c r="M21" s="204">
        <f t="shared" si="3"/>
        <v>0</v>
      </c>
      <c r="N21" s="204">
        <f t="shared" si="4"/>
        <v>0</v>
      </c>
      <c r="O21" s="204">
        <f t="shared" si="5"/>
        <v>0</v>
      </c>
      <c r="P21" s="204">
        <f t="shared" si="6"/>
        <v>0</v>
      </c>
    </row>
    <row r="22" spans="1:16" ht="33.75" x14ac:dyDescent="0.25">
      <c r="A22" s="358">
        <f>IF(COUNTBLANK(B22)=1," ",COUNTA(B$15:B22))</f>
        <v>7</v>
      </c>
      <c r="B22" s="632" t="s">
        <v>87</v>
      </c>
      <c r="C22" s="640" t="s">
        <v>389</v>
      </c>
      <c r="D22" s="638" t="s">
        <v>85</v>
      </c>
      <c r="E22" s="645">
        <f>E21*0.03</f>
        <v>8.1000000000000003E-2</v>
      </c>
      <c r="F22" s="635"/>
      <c r="G22" s="636"/>
      <c r="H22" s="208">
        <f t="shared" si="0"/>
        <v>0</v>
      </c>
      <c r="I22" s="637"/>
      <c r="J22" s="637"/>
      <c r="K22" s="204">
        <f t="shared" si="1"/>
        <v>0</v>
      </c>
      <c r="L22" s="204">
        <f t="shared" si="2"/>
        <v>0</v>
      </c>
      <c r="M22" s="204">
        <f t="shared" si="3"/>
        <v>0</v>
      </c>
      <c r="N22" s="204">
        <f t="shared" si="4"/>
        <v>0</v>
      </c>
      <c r="O22" s="204">
        <f t="shared" si="5"/>
        <v>0</v>
      </c>
      <c r="P22" s="204">
        <f t="shared" si="6"/>
        <v>0</v>
      </c>
    </row>
    <row r="23" spans="1:16" x14ac:dyDescent="0.25">
      <c r="A23" s="358">
        <f>IF(COUNTBLANK(B23)=1," ",COUNTA(B$15:B23))</f>
        <v>8</v>
      </c>
      <c r="B23" s="632" t="s">
        <v>87</v>
      </c>
      <c r="C23" s="646" t="s">
        <v>175</v>
      </c>
      <c r="D23" s="647" t="s">
        <v>85</v>
      </c>
      <c r="E23" s="648">
        <f>E22*1.05</f>
        <v>8.5050000000000001E-2</v>
      </c>
      <c r="F23" s="635"/>
      <c r="G23" s="636"/>
      <c r="H23" s="208">
        <f t="shared" si="0"/>
        <v>0</v>
      </c>
      <c r="I23" s="637"/>
      <c r="J23" s="637"/>
      <c r="K23" s="204">
        <f t="shared" si="1"/>
        <v>0</v>
      </c>
      <c r="L23" s="204">
        <f t="shared" si="2"/>
        <v>0</v>
      </c>
      <c r="M23" s="204">
        <f t="shared" si="3"/>
        <v>0</v>
      </c>
      <c r="N23" s="204">
        <f t="shared" si="4"/>
        <v>0</v>
      </c>
      <c r="O23" s="204">
        <f t="shared" si="5"/>
        <v>0</v>
      </c>
      <c r="P23" s="204">
        <f t="shared" si="6"/>
        <v>0</v>
      </c>
    </row>
    <row r="24" spans="1:16" x14ac:dyDescent="0.25">
      <c r="A24" s="358">
        <f>IF(COUNTBLANK(B24)=1," ",COUNTA(B$15:B24))</f>
        <v>9</v>
      </c>
      <c r="B24" s="632" t="s">
        <v>87</v>
      </c>
      <c r="C24" s="649" t="s">
        <v>390</v>
      </c>
      <c r="D24" s="647" t="s">
        <v>90</v>
      </c>
      <c r="E24" s="650">
        <v>5.68</v>
      </c>
      <c r="F24" s="635"/>
      <c r="G24" s="636"/>
      <c r="H24" s="208">
        <f t="shared" si="0"/>
        <v>0</v>
      </c>
      <c r="I24" s="637"/>
      <c r="J24" s="637"/>
      <c r="K24" s="204">
        <f t="shared" si="1"/>
        <v>0</v>
      </c>
      <c r="L24" s="204">
        <f t="shared" si="2"/>
        <v>0</v>
      </c>
      <c r="M24" s="204">
        <f t="shared" si="3"/>
        <v>0</v>
      </c>
      <c r="N24" s="204">
        <f t="shared" si="4"/>
        <v>0</v>
      </c>
      <c r="O24" s="204">
        <f t="shared" si="5"/>
        <v>0</v>
      </c>
      <c r="P24" s="204">
        <f t="shared" si="6"/>
        <v>0</v>
      </c>
    </row>
    <row r="25" spans="1:16" x14ac:dyDescent="0.25">
      <c r="A25" s="358">
        <f>IF(COUNTBLANK(B25)=1," ",COUNTA(B$15:B25))</f>
        <v>10</v>
      </c>
      <c r="B25" s="632" t="s">
        <v>87</v>
      </c>
      <c r="C25" s="651" t="s">
        <v>391</v>
      </c>
      <c r="D25" s="652" t="s">
        <v>157</v>
      </c>
      <c r="E25" s="653">
        <v>1.9</v>
      </c>
      <c r="F25" s="635"/>
      <c r="G25" s="636"/>
      <c r="H25" s="208">
        <f t="shared" si="0"/>
        <v>0</v>
      </c>
      <c r="I25" s="637"/>
      <c r="J25" s="637"/>
      <c r="K25" s="204">
        <f t="shared" si="1"/>
        <v>0</v>
      </c>
      <c r="L25" s="204">
        <f t="shared" si="2"/>
        <v>0</v>
      </c>
      <c r="M25" s="204">
        <f t="shared" si="3"/>
        <v>0</v>
      </c>
      <c r="N25" s="204">
        <f t="shared" si="4"/>
        <v>0</v>
      </c>
      <c r="O25" s="204">
        <f t="shared" si="5"/>
        <v>0</v>
      </c>
      <c r="P25" s="204">
        <f t="shared" si="6"/>
        <v>0</v>
      </c>
    </row>
    <row r="26" spans="1:16" ht="22.5" x14ac:dyDescent="0.25">
      <c r="A26" s="358">
        <f>IF(COUNTBLANK(B26)=1," ",COUNTA(B$15:B26))</f>
        <v>11</v>
      </c>
      <c r="B26" s="632" t="s">
        <v>87</v>
      </c>
      <c r="C26" s="651" t="s">
        <v>392</v>
      </c>
      <c r="D26" s="652" t="s">
        <v>242</v>
      </c>
      <c r="E26" s="653">
        <f>1.8*0.4*0.05</f>
        <v>3.6000000000000004E-2</v>
      </c>
      <c r="F26" s="635"/>
      <c r="G26" s="636"/>
      <c r="H26" s="208">
        <f t="shared" si="0"/>
        <v>0</v>
      </c>
      <c r="I26" s="637"/>
      <c r="J26" s="637"/>
      <c r="K26" s="204">
        <f t="shared" si="1"/>
        <v>0</v>
      </c>
      <c r="L26" s="204">
        <f t="shared" si="2"/>
        <v>0</v>
      </c>
      <c r="M26" s="204">
        <f t="shared" si="3"/>
        <v>0</v>
      </c>
      <c r="N26" s="204">
        <f t="shared" si="4"/>
        <v>0</v>
      </c>
      <c r="O26" s="204">
        <f t="shared" si="5"/>
        <v>0</v>
      </c>
      <c r="P26" s="204">
        <f t="shared" si="6"/>
        <v>0</v>
      </c>
    </row>
    <row r="27" spans="1:16" x14ac:dyDescent="0.25">
      <c r="A27" s="358">
        <f>IF(COUNTBLANK(B27)=1," ",COUNTA(B$15:B27))</f>
        <v>12</v>
      </c>
      <c r="B27" s="632" t="s">
        <v>87</v>
      </c>
      <c r="C27" s="654" t="s">
        <v>393</v>
      </c>
      <c r="D27" s="656" t="s">
        <v>85</v>
      </c>
      <c r="E27" s="655">
        <f>ROUNDUP(E26*1.1,2)</f>
        <v>0.04</v>
      </c>
      <c r="F27" s="635"/>
      <c r="G27" s="636"/>
      <c r="H27" s="208">
        <f t="shared" si="0"/>
        <v>0</v>
      </c>
      <c r="I27" s="637"/>
      <c r="J27" s="637"/>
      <c r="K27" s="204">
        <f t="shared" si="1"/>
        <v>0</v>
      </c>
      <c r="L27" s="204">
        <f t="shared" si="2"/>
        <v>0</v>
      </c>
      <c r="M27" s="204">
        <f t="shared" si="3"/>
        <v>0</v>
      </c>
      <c r="N27" s="204">
        <f t="shared" si="4"/>
        <v>0</v>
      </c>
      <c r="O27" s="204">
        <f t="shared" si="5"/>
        <v>0</v>
      </c>
      <c r="P27" s="204">
        <f t="shared" si="6"/>
        <v>0</v>
      </c>
    </row>
    <row r="28" spans="1:16" x14ac:dyDescent="0.25">
      <c r="A28" s="358">
        <f>IF(COUNTBLANK(B28)=1," ",COUNTA(B$15:B28))</f>
        <v>13</v>
      </c>
      <c r="B28" s="632" t="s">
        <v>87</v>
      </c>
      <c r="C28" s="654" t="s">
        <v>394</v>
      </c>
      <c r="D28" s="654" t="s">
        <v>90</v>
      </c>
      <c r="E28" s="655">
        <f>ROUNDUP(E26*35,2)</f>
        <v>1.26</v>
      </c>
      <c r="F28" s="635"/>
      <c r="G28" s="636"/>
      <c r="H28" s="208">
        <f t="shared" si="0"/>
        <v>0</v>
      </c>
      <c r="I28" s="637"/>
      <c r="J28" s="637"/>
      <c r="K28" s="204">
        <f t="shared" si="1"/>
        <v>0</v>
      </c>
      <c r="L28" s="204">
        <f t="shared" si="2"/>
        <v>0</v>
      </c>
      <c r="M28" s="204">
        <f t="shared" si="3"/>
        <v>0</v>
      </c>
      <c r="N28" s="204">
        <f t="shared" si="4"/>
        <v>0</v>
      </c>
      <c r="O28" s="204">
        <f t="shared" si="5"/>
        <v>0</v>
      </c>
      <c r="P28" s="204">
        <f t="shared" si="6"/>
        <v>0</v>
      </c>
    </row>
    <row r="29" spans="1:16" ht="15.75" thickBot="1" x14ac:dyDescent="0.3">
      <c r="A29" s="358" t="str">
        <f>IF(COUNTBLANK(B29)=1," ",COUNTA(B$15:B29))</f>
        <v xml:space="preserve"> </v>
      </c>
      <c r="B29" s="632"/>
      <c r="C29" s="662" t="s">
        <v>395</v>
      </c>
      <c r="D29" s="660"/>
      <c r="E29" s="659"/>
      <c r="F29" s="635"/>
      <c r="G29" s="636"/>
      <c r="H29" s="208">
        <f t="shared" si="0"/>
        <v>0</v>
      </c>
      <c r="I29" s="637"/>
      <c r="J29" s="637"/>
      <c r="K29" s="204">
        <f t="shared" si="1"/>
        <v>0</v>
      </c>
      <c r="L29" s="204">
        <f t="shared" si="2"/>
        <v>0</v>
      </c>
      <c r="M29" s="204">
        <f t="shared" si="3"/>
        <v>0</v>
      </c>
      <c r="N29" s="204">
        <f t="shared" si="4"/>
        <v>0</v>
      </c>
      <c r="O29" s="204">
        <f t="shared" si="5"/>
        <v>0</v>
      </c>
      <c r="P29" s="204">
        <f t="shared" si="6"/>
        <v>0</v>
      </c>
    </row>
    <row r="30" spans="1:16" x14ac:dyDescent="0.25">
      <c r="A30" s="358">
        <f>IF(COUNTBLANK(B30)=1," ",COUNTA(B$15:B30))</f>
        <v>14</v>
      </c>
      <c r="B30" s="632" t="s">
        <v>87</v>
      </c>
      <c r="C30" s="649" t="s">
        <v>396</v>
      </c>
      <c r="D30" s="663" t="s">
        <v>242</v>
      </c>
      <c r="E30" s="664">
        <v>5</v>
      </c>
      <c r="F30" s="635"/>
      <c r="G30" s="636"/>
      <c r="H30" s="208">
        <f t="shared" si="0"/>
        <v>0</v>
      </c>
      <c r="I30" s="637"/>
      <c r="J30" s="637"/>
      <c r="K30" s="204">
        <f t="shared" si="1"/>
        <v>0</v>
      </c>
      <c r="L30" s="204">
        <f t="shared" si="2"/>
        <v>0</v>
      </c>
      <c r="M30" s="204">
        <f t="shared" si="3"/>
        <v>0</v>
      </c>
      <c r="N30" s="204">
        <f t="shared" si="4"/>
        <v>0</v>
      </c>
      <c r="O30" s="204">
        <f t="shared" si="5"/>
        <v>0</v>
      </c>
      <c r="P30" s="204">
        <f t="shared" si="6"/>
        <v>0</v>
      </c>
    </row>
    <row r="31" spans="1:16" ht="22.5" x14ac:dyDescent="0.25">
      <c r="A31" s="358">
        <f>IF(COUNTBLANK(B31)=1," ",COUNTA(B$15:B31))</f>
        <v>15</v>
      </c>
      <c r="B31" s="632" t="s">
        <v>87</v>
      </c>
      <c r="C31" s="669" t="s">
        <v>397</v>
      </c>
      <c r="D31" s="666" t="s">
        <v>157</v>
      </c>
      <c r="E31" s="667">
        <v>9</v>
      </c>
      <c r="F31" s="635"/>
      <c r="G31" s="661"/>
      <c r="H31" s="208">
        <f t="shared" si="0"/>
        <v>0</v>
      </c>
      <c r="I31" s="637"/>
      <c r="J31" s="637"/>
      <c r="K31" s="204">
        <f t="shared" si="1"/>
        <v>0</v>
      </c>
      <c r="L31" s="204">
        <f t="shared" si="2"/>
        <v>0</v>
      </c>
      <c r="M31" s="204">
        <f t="shared" si="3"/>
        <v>0</v>
      </c>
      <c r="N31" s="204">
        <f t="shared" si="4"/>
        <v>0</v>
      </c>
      <c r="O31" s="204">
        <f t="shared" si="5"/>
        <v>0</v>
      </c>
      <c r="P31" s="204">
        <f t="shared" si="6"/>
        <v>0</v>
      </c>
    </row>
    <row r="32" spans="1:16" ht="15.75" thickBot="1" x14ac:dyDescent="0.3">
      <c r="A32" s="358" t="str">
        <f>IF(COUNTBLANK(B32)=1," ",COUNTA(B$15:B32))</f>
        <v xml:space="preserve"> </v>
      </c>
      <c r="B32" s="632"/>
      <c r="C32" s="662" t="s">
        <v>398</v>
      </c>
      <c r="D32" s="658"/>
      <c r="E32" s="659"/>
      <c r="F32" s="635"/>
      <c r="G32" s="636"/>
      <c r="H32" s="208">
        <f t="shared" si="0"/>
        <v>0</v>
      </c>
      <c r="I32" s="637"/>
      <c r="J32" s="637"/>
      <c r="K32" s="204">
        <f t="shared" si="1"/>
        <v>0</v>
      </c>
      <c r="L32" s="204">
        <f t="shared" si="2"/>
        <v>0</v>
      </c>
      <c r="M32" s="204">
        <f t="shared" si="3"/>
        <v>0</v>
      </c>
      <c r="N32" s="204">
        <f t="shared" si="4"/>
        <v>0</v>
      </c>
      <c r="O32" s="204">
        <f t="shared" si="5"/>
        <v>0</v>
      </c>
      <c r="P32" s="204">
        <f t="shared" si="6"/>
        <v>0</v>
      </c>
    </row>
    <row r="33" spans="1:16" x14ac:dyDescent="0.25">
      <c r="A33" s="358">
        <f>IF(COUNTBLANK(B33)=1," ",COUNTA(B$15:B33))</f>
        <v>16</v>
      </c>
      <c r="B33" s="172" t="s">
        <v>87</v>
      </c>
      <c r="C33" s="640" t="s">
        <v>399</v>
      </c>
      <c r="D33" s="638" t="s">
        <v>85</v>
      </c>
      <c r="E33" s="639">
        <v>0.92</v>
      </c>
      <c r="F33" s="233"/>
      <c r="G33" s="175"/>
      <c r="H33" s="208">
        <f t="shared" si="0"/>
        <v>0</v>
      </c>
      <c r="I33" s="234"/>
      <c r="J33" s="234"/>
      <c r="K33" s="204">
        <f t="shared" si="1"/>
        <v>0</v>
      </c>
      <c r="L33" s="204">
        <f t="shared" si="2"/>
        <v>0</v>
      </c>
      <c r="M33" s="204">
        <f t="shared" si="3"/>
        <v>0</v>
      </c>
      <c r="N33" s="204">
        <f t="shared" si="4"/>
        <v>0</v>
      </c>
      <c r="O33" s="204">
        <f t="shared" si="5"/>
        <v>0</v>
      </c>
      <c r="P33" s="204">
        <f t="shared" si="6"/>
        <v>0</v>
      </c>
    </row>
    <row r="34" spans="1:16" ht="22.5" x14ac:dyDescent="0.25">
      <c r="A34" s="358">
        <f>IF(COUNTBLANK(B34)=1," ",COUNTA(B$15:B34))</f>
        <v>17</v>
      </c>
      <c r="B34" s="172" t="s">
        <v>87</v>
      </c>
      <c r="C34" s="640" t="s">
        <v>400</v>
      </c>
      <c r="D34" s="638" t="s">
        <v>157</v>
      </c>
      <c r="E34" s="639">
        <v>7.1</v>
      </c>
      <c r="F34" s="233"/>
      <c r="G34" s="175"/>
      <c r="H34" s="208">
        <f t="shared" si="0"/>
        <v>0</v>
      </c>
      <c r="I34" s="234"/>
      <c r="J34" s="234"/>
      <c r="K34" s="204">
        <f t="shared" si="1"/>
        <v>0</v>
      </c>
      <c r="L34" s="204">
        <f t="shared" si="2"/>
        <v>0</v>
      </c>
      <c r="M34" s="204">
        <f t="shared" si="3"/>
        <v>0</v>
      </c>
      <c r="N34" s="204">
        <f t="shared" si="4"/>
        <v>0</v>
      </c>
      <c r="O34" s="204">
        <f t="shared" si="5"/>
        <v>0</v>
      </c>
      <c r="P34" s="204">
        <f t="shared" si="6"/>
        <v>0</v>
      </c>
    </row>
    <row r="35" spans="1:16" ht="22.5" x14ac:dyDescent="0.25">
      <c r="A35" s="358">
        <f>IF(COUNTBLANK(B35)=1," ",COUNTA(B$15:B35))</f>
        <v>18</v>
      </c>
      <c r="B35" s="172" t="s">
        <v>87</v>
      </c>
      <c r="C35" s="640" t="s">
        <v>401</v>
      </c>
      <c r="D35" s="638" t="s">
        <v>157</v>
      </c>
      <c r="E35" s="639">
        <v>7.1</v>
      </c>
      <c r="F35" s="446"/>
      <c r="G35" s="447"/>
      <c r="H35" s="208">
        <f t="shared" si="0"/>
        <v>0</v>
      </c>
      <c r="I35" s="448"/>
      <c r="J35" s="448"/>
      <c r="K35" s="204">
        <f t="shared" si="1"/>
        <v>0</v>
      </c>
      <c r="L35" s="204">
        <f t="shared" si="2"/>
        <v>0</v>
      </c>
      <c r="M35" s="204">
        <f t="shared" si="3"/>
        <v>0</v>
      </c>
      <c r="N35" s="204">
        <f t="shared" si="4"/>
        <v>0</v>
      </c>
      <c r="O35" s="204">
        <f t="shared" si="5"/>
        <v>0</v>
      </c>
      <c r="P35" s="204">
        <f t="shared" si="6"/>
        <v>0</v>
      </c>
    </row>
    <row r="36" spans="1:16" x14ac:dyDescent="0.25">
      <c r="A36" s="358">
        <f>IF(COUNTBLANK(B36)=1," ",COUNTA(B$15:B36))</f>
        <v>19</v>
      </c>
      <c r="B36" s="172" t="s">
        <v>87</v>
      </c>
      <c r="C36" s="646" t="s">
        <v>175</v>
      </c>
      <c r="D36" s="647" t="s">
        <v>85</v>
      </c>
      <c r="E36" s="648">
        <f>E35*0.03</f>
        <v>0.21299999999999999</v>
      </c>
      <c r="F36" s="446"/>
      <c r="G36" s="447"/>
      <c r="H36" s="208">
        <f t="shared" si="0"/>
        <v>0</v>
      </c>
      <c r="I36" s="448"/>
      <c r="J36" s="448"/>
      <c r="K36" s="204">
        <f t="shared" si="1"/>
        <v>0</v>
      </c>
      <c r="L36" s="204">
        <f t="shared" si="2"/>
        <v>0</v>
      </c>
      <c r="M36" s="204">
        <f t="shared" si="3"/>
        <v>0</v>
      </c>
      <c r="N36" s="204">
        <f t="shared" si="4"/>
        <v>0</v>
      </c>
      <c r="O36" s="204">
        <f t="shared" si="5"/>
        <v>0</v>
      </c>
      <c r="P36" s="204">
        <f t="shared" si="6"/>
        <v>0</v>
      </c>
    </row>
    <row r="37" spans="1:16" x14ac:dyDescent="0.25">
      <c r="A37" s="358">
        <f>IF(COUNTBLANK(B37)=1," ",COUNTA(B$15:B37))</f>
        <v>20</v>
      </c>
      <c r="B37" s="172" t="s">
        <v>87</v>
      </c>
      <c r="C37" s="649" t="s">
        <v>390</v>
      </c>
      <c r="D37" s="647" t="s">
        <v>90</v>
      </c>
      <c r="E37" s="650">
        <v>14.7</v>
      </c>
      <c r="F37" s="446"/>
      <c r="G37" s="447"/>
      <c r="H37" s="208">
        <f t="shared" si="0"/>
        <v>0</v>
      </c>
      <c r="I37" s="448"/>
      <c r="J37" s="448"/>
      <c r="K37" s="204">
        <f t="shared" si="1"/>
        <v>0</v>
      </c>
      <c r="L37" s="204">
        <f t="shared" si="2"/>
        <v>0</v>
      </c>
      <c r="M37" s="204">
        <f t="shared" si="3"/>
        <v>0</v>
      </c>
      <c r="N37" s="204">
        <f t="shared" si="4"/>
        <v>0</v>
      </c>
      <c r="O37" s="204">
        <f t="shared" si="5"/>
        <v>0</v>
      </c>
      <c r="P37" s="204">
        <f t="shared" si="6"/>
        <v>0</v>
      </c>
    </row>
    <row r="38" spans="1:16" x14ac:dyDescent="0.25">
      <c r="A38" s="358">
        <f>IF(COUNTBLANK(B38)=1," ",COUNTA(B$15:B38))</f>
        <v>21</v>
      </c>
      <c r="B38" s="172" t="s">
        <v>87</v>
      </c>
      <c r="C38" s="640" t="s">
        <v>402</v>
      </c>
      <c r="D38" s="638" t="s">
        <v>85</v>
      </c>
      <c r="E38" s="639">
        <v>4.5999999999999996</v>
      </c>
      <c r="F38" s="635"/>
      <c r="G38" s="636"/>
      <c r="H38" s="208">
        <f t="shared" si="0"/>
        <v>0</v>
      </c>
      <c r="I38" s="637"/>
      <c r="J38" s="637"/>
      <c r="K38" s="204">
        <f t="shared" si="1"/>
        <v>0</v>
      </c>
      <c r="L38" s="204">
        <f t="shared" si="2"/>
        <v>0</v>
      </c>
      <c r="M38" s="204">
        <f t="shared" si="3"/>
        <v>0</v>
      </c>
      <c r="N38" s="204">
        <f t="shared" si="4"/>
        <v>0</v>
      </c>
      <c r="O38" s="204">
        <f t="shared" si="5"/>
        <v>0</v>
      </c>
      <c r="P38" s="204">
        <f t="shared" si="6"/>
        <v>0</v>
      </c>
    </row>
    <row r="39" spans="1:16" x14ac:dyDescent="0.25">
      <c r="A39" s="358">
        <f>IF(COUNTBLANK(B39)=1," ",COUNTA(B$15:B39))</f>
        <v>22</v>
      </c>
      <c r="B39" s="172" t="s">
        <v>87</v>
      </c>
      <c r="C39" s="640" t="s">
        <v>403</v>
      </c>
      <c r="D39" s="638" t="s">
        <v>57</v>
      </c>
      <c r="E39" s="639">
        <v>4.5999999999999996</v>
      </c>
      <c r="F39" s="635"/>
      <c r="G39" s="636"/>
      <c r="H39" s="208">
        <f t="shared" si="0"/>
        <v>0</v>
      </c>
      <c r="I39" s="637"/>
      <c r="J39" s="637"/>
      <c r="K39" s="204">
        <f t="shared" si="1"/>
        <v>0</v>
      </c>
      <c r="L39" s="204">
        <f t="shared" si="2"/>
        <v>0</v>
      </c>
      <c r="M39" s="204">
        <f t="shared" si="3"/>
        <v>0</v>
      </c>
      <c r="N39" s="204">
        <f t="shared" si="4"/>
        <v>0</v>
      </c>
      <c r="O39" s="204">
        <f t="shared" si="5"/>
        <v>0</v>
      </c>
      <c r="P39" s="204">
        <f t="shared" si="6"/>
        <v>0</v>
      </c>
    </row>
    <row r="40" spans="1:16" ht="22.5" x14ac:dyDescent="0.25">
      <c r="A40" s="358">
        <f>IF(COUNTBLANK(B40)=1," ",COUNTA(B$15:B40))</f>
        <v>23</v>
      </c>
      <c r="B40" s="172" t="s">
        <v>87</v>
      </c>
      <c r="C40" s="640" t="s">
        <v>404</v>
      </c>
      <c r="D40" s="638" t="s">
        <v>85</v>
      </c>
      <c r="E40" s="639">
        <v>4.25</v>
      </c>
      <c r="F40" s="635"/>
      <c r="G40" s="636"/>
      <c r="H40" s="208">
        <f t="shared" si="0"/>
        <v>0</v>
      </c>
      <c r="I40" s="637"/>
      <c r="J40" s="637"/>
      <c r="K40" s="204">
        <f t="shared" si="1"/>
        <v>0</v>
      </c>
      <c r="L40" s="204">
        <f t="shared" si="2"/>
        <v>0</v>
      </c>
      <c r="M40" s="204">
        <f t="shared" si="3"/>
        <v>0</v>
      </c>
      <c r="N40" s="204">
        <f t="shared" si="4"/>
        <v>0</v>
      </c>
      <c r="O40" s="204">
        <f t="shared" si="5"/>
        <v>0</v>
      </c>
      <c r="P40" s="204">
        <f t="shared" si="6"/>
        <v>0</v>
      </c>
    </row>
    <row r="41" spans="1:16" x14ac:dyDescent="0.25">
      <c r="A41" s="358">
        <f>IF(COUNTBLANK(B41)=1," ",COUNTA(B$15:B41))</f>
        <v>24</v>
      </c>
      <c r="B41" s="445" t="s">
        <v>87</v>
      </c>
      <c r="C41" s="649" t="s">
        <v>405</v>
      </c>
      <c r="D41" s="670" t="s">
        <v>85</v>
      </c>
      <c r="E41" s="648">
        <f>ROUNDUP(E40*1.1,2)</f>
        <v>4.68</v>
      </c>
      <c r="F41" s="446"/>
      <c r="G41" s="447"/>
      <c r="H41" s="208">
        <f t="shared" si="0"/>
        <v>0</v>
      </c>
      <c r="I41" s="448"/>
      <c r="J41" s="448"/>
      <c r="K41" s="204">
        <f t="shared" si="1"/>
        <v>0</v>
      </c>
      <c r="L41" s="204">
        <f t="shared" si="2"/>
        <v>0</v>
      </c>
      <c r="M41" s="204">
        <f t="shared" si="3"/>
        <v>0</v>
      </c>
      <c r="N41" s="204">
        <f t="shared" si="4"/>
        <v>0</v>
      </c>
      <c r="O41" s="204">
        <f t="shared" si="5"/>
        <v>0</v>
      </c>
      <c r="P41" s="204">
        <f t="shared" si="6"/>
        <v>0</v>
      </c>
    </row>
    <row r="42" spans="1:16" ht="22.5" x14ac:dyDescent="0.25">
      <c r="A42" s="358">
        <f>IF(COUNTBLANK(B42)=1," ",COUNTA(B$15:B42))</f>
        <v>25</v>
      </c>
      <c r="B42" s="445" t="s">
        <v>87</v>
      </c>
      <c r="C42" s="640" t="s">
        <v>406</v>
      </c>
      <c r="D42" s="638" t="s">
        <v>85</v>
      </c>
      <c r="E42" s="639">
        <v>2</v>
      </c>
      <c r="F42" s="446"/>
      <c r="G42" s="447"/>
      <c r="H42" s="208">
        <f t="shared" si="0"/>
        <v>0</v>
      </c>
      <c r="I42" s="448"/>
      <c r="J42" s="448"/>
      <c r="K42" s="204">
        <f t="shared" si="1"/>
        <v>0</v>
      </c>
      <c r="L42" s="204">
        <f t="shared" si="2"/>
        <v>0</v>
      </c>
      <c r="M42" s="204">
        <f t="shared" si="3"/>
        <v>0</v>
      </c>
      <c r="N42" s="204">
        <f t="shared" si="4"/>
        <v>0</v>
      </c>
      <c r="O42" s="204">
        <f t="shared" si="5"/>
        <v>0</v>
      </c>
      <c r="P42" s="204">
        <f t="shared" si="6"/>
        <v>0</v>
      </c>
    </row>
    <row r="43" spans="1:16" x14ac:dyDescent="0.25">
      <c r="A43" s="358">
        <f>IF(COUNTBLANK(B43)=1," ",COUNTA(B$15:B43))</f>
        <v>26</v>
      </c>
      <c r="B43" s="445" t="s">
        <v>87</v>
      </c>
      <c r="C43" s="646" t="s">
        <v>175</v>
      </c>
      <c r="D43" s="647" t="s">
        <v>85</v>
      </c>
      <c r="E43" s="648">
        <f>ROUNDUP(E42*1.05,2)</f>
        <v>2.1</v>
      </c>
      <c r="F43" s="446"/>
      <c r="G43" s="447"/>
      <c r="H43" s="208">
        <f t="shared" si="0"/>
        <v>0</v>
      </c>
      <c r="I43" s="448"/>
      <c r="J43" s="448"/>
      <c r="K43" s="204">
        <f t="shared" si="1"/>
        <v>0</v>
      </c>
      <c r="L43" s="204">
        <f t="shared" si="2"/>
        <v>0</v>
      </c>
      <c r="M43" s="204">
        <f t="shared" si="3"/>
        <v>0</v>
      </c>
      <c r="N43" s="204">
        <f t="shared" si="4"/>
        <v>0</v>
      </c>
      <c r="O43" s="204">
        <f t="shared" si="5"/>
        <v>0</v>
      </c>
      <c r="P43" s="204">
        <f t="shared" si="6"/>
        <v>0</v>
      </c>
    </row>
    <row r="44" spans="1:16" x14ac:dyDescent="0.25">
      <c r="A44" s="358">
        <f>IF(COUNTBLANK(B44)=1," ",COUNTA(B$15:B44))</f>
        <v>27</v>
      </c>
      <c r="B44" s="172" t="s">
        <v>87</v>
      </c>
      <c r="C44" s="649" t="s">
        <v>407</v>
      </c>
      <c r="D44" s="647" t="s">
        <v>90</v>
      </c>
      <c r="E44" s="650">
        <v>44.25</v>
      </c>
      <c r="F44" s="203"/>
      <c r="G44" s="175"/>
      <c r="H44" s="208">
        <f t="shared" si="0"/>
        <v>0</v>
      </c>
      <c r="I44" s="203"/>
      <c r="J44" s="203"/>
      <c r="K44" s="204">
        <f t="shared" si="1"/>
        <v>0</v>
      </c>
      <c r="L44" s="204">
        <f t="shared" si="2"/>
        <v>0</v>
      </c>
      <c r="M44" s="204">
        <f t="shared" si="3"/>
        <v>0</v>
      </c>
      <c r="N44" s="204">
        <f t="shared" si="4"/>
        <v>0</v>
      </c>
      <c r="O44" s="204">
        <f t="shared" si="5"/>
        <v>0</v>
      </c>
      <c r="P44" s="204">
        <f t="shared" si="6"/>
        <v>0</v>
      </c>
    </row>
    <row r="45" spans="1:16" ht="22.5" x14ac:dyDescent="0.25">
      <c r="A45" s="358">
        <f>IF(COUNTBLANK(B45)=1," ",COUNTA(B$15:B45))</f>
        <v>28</v>
      </c>
      <c r="B45" s="172" t="s">
        <v>87</v>
      </c>
      <c r="C45" s="649" t="s">
        <v>408</v>
      </c>
      <c r="D45" s="647" t="s">
        <v>253</v>
      </c>
      <c r="E45" s="650">
        <v>4</v>
      </c>
      <c r="F45" s="671"/>
      <c r="G45" s="636"/>
      <c r="H45" s="208">
        <f t="shared" si="0"/>
        <v>0</v>
      </c>
      <c r="I45" s="671"/>
      <c r="J45" s="671"/>
      <c r="K45" s="204">
        <f t="shared" si="1"/>
        <v>0</v>
      </c>
      <c r="L45" s="204">
        <f t="shared" si="2"/>
        <v>0</v>
      </c>
      <c r="M45" s="204">
        <f t="shared" si="3"/>
        <v>0</v>
      </c>
      <c r="N45" s="204">
        <f t="shared" si="4"/>
        <v>0</v>
      </c>
      <c r="O45" s="204">
        <f t="shared" si="5"/>
        <v>0</v>
      </c>
      <c r="P45" s="204">
        <f t="shared" si="6"/>
        <v>0</v>
      </c>
    </row>
    <row r="46" spans="1:16" ht="33.75" x14ac:dyDescent="0.25">
      <c r="A46" s="358">
        <f>IF(COUNTBLANK(B46)=1," ",COUNTA(B$15:B46))</f>
        <v>29</v>
      </c>
      <c r="B46" s="445" t="s">
        <v>87</v>
      </c>
      <c r="C46" s="649" t="s">
        <v>409</v>
      </c>
      <c r="D46" s="647" t="s">
        <v>89</v>
      </c>
      <c r="E46" s="672">
        <v>4.5</v>
      </c>
      <c r="F46" s="449"/>
      <c r="G46" s="447"/>
      <c r="H46" s="208">
        <f t="shared" si="0"/>
        <v>0</v>
      </c>
      <c r="I46" s="449"/>
      <c r="J46" s="449"/>
      <c r="K46" s="204">
        <f t="shared" si="1"/>
        <v>0</v>
      </c>
      <c r="L46" s="204">
        <f t="shared" si="2"/>
        <v>0</v>
      </c>
      <c r="M46" s="204">
        <f t="shared" si="3"/>
        <v>0</v>
      </c>
      <c r="N46" s="204">
        <f t="shared" si="4"/>
        <v>0</v>
      </c>
      <c r="O46" s="204">
        <f t="shared" si="5"/>
        <v>0</v>
      </c>
      <c r="P46" s="204">
        <f t="shared" si="6"/>
        <v>0</v>
      </c>
    </row>
    <row r="47" spans="1:16" ht="33.75" x14ac:dyDescent="0.25">
      <c r="A47" s="358">
        <f>IF(COUNTBLANK(B47)=1," ",COUNTA(B$15:B47))</f>
        <v>30</v>
      </c>
      <c r="B47" s="445" t="s">
        <v>87</v>
      </c>
      <c r="C47" s="675" t="s">
        <v>409</v>
      </c>
      <c r="D47" s="676" t="s">
        <v>89</v>
      </c>
      <c r="E47" s="677">
        <v>1.2</v>
      </c>
      <c r="F47" s="449"/>
      <c r="G47" s="447"/>
      <c r="H47" s="208">
        <f t="shared" si="0"/>
        <v>0</v>
      </c>
      <c r="I47" s="449"/>
      <c r="J47" s="449"/>
      <c r="K47" s="204">
        <f t="shared" si="1"/>
        <v>0</v>
      </c>
      <c r="L47" s="204">
        <f t="shared" si="2"/>
        <v>0</v>
      </c>
      <c r="M47" s="204">
        <f t="shared" si="3"/>
        <v>0</v>
      </c>
      <c r="N47" s="204">
        <f t="shared" si="4"/>
        <v>0</v>
      </c>
      <c r="O47" s="204">
        <f t="shared" si="5"/>
        <v>0</v>
      </c>
      <c r="P47" s="204">
        <f t="shared" si="6"/>
        <v>0</v>
      </c>
    </row>
    <row r="48" spans="1:16" ht="22.5" x14ac:dyDescent="0.25">
      <c r="A48" s="358">
        <f>IF(COUNTBLANK(B48)=1," ",COUNTA(B$15:B48))</f>
        <v>31</v>
      </c>
      <c r="B48" s="445" t="s">
        <v>87</v>
      </c>
      <c r="C48" s="665" t="s">
        <v>410</v>
      </c>
      <c r="D48" s="684" t="s">
        <v>157</v>
      </c>
      <c r="E48" s="685">
        <v>3.3</v>
      </c>
      <c r="F48" s="674"/>
      <c r="G48" s="636"/>
      <c r="H48" s="208">
        <f t="shared" si="0"/>
        <v>0</v>
      </c>
      <c r="I48" s="673"/>
      <c r="J48" s="673"/>
      <c r="K48" s="204">
        <f t="shared" si="1"/>
        <v>0</v>
      </c>
      <c r="L48" s="204">
        <f t="shared" si="2"/>
        <v>0</v>
      </c>
      <c r="M48" s="204">
        <f t="shared" si="3"/>
        <v>0</v>
      </c>
      <c r="N48" s="204">
        <f t="shared" si="4"/>
        <v>0</v>
      </c>
      <c r="O48" s="204">
        <f t="shared" si="5"/>
        <v>0</v>
      </c>
      <c r="P48" s="204">
        <f t="shared" si="6"/>
        <v>0</v>
      </c>
    </row>
    <row r="49" spans="1:16" x14ac:dyDescent="0.25">
      <c r="A49" s="358">
        <f>IF(COUNTBLANK(B49)=1," ",COUNTA(B$15:B49))</f>
        <v>32</v>
      </c>
      <c r="B49" s="445" t="s">
        <v>87</v>
      </c>
      <c r="C49" s="681" t="s">
        <v>411</v>
      </c>
      <c r="D49" s="682" t="s">
        <v>90</v>
      </c>
      <c r="E49" s="683">
        <f>ROUNDUP(E48*0.2,2)</f>
        <v>0.66</v>
      </c>
      <c r="F49" s="674"/>
      <c r="G49" s="636"/>
      <c r="H49" s="208">
        <f t="shared" si="0"/>
        <v>0</v>
      </c>
      <c r="I49" s="673"/>
      <c r="J49" s="673"/>
      <c r="K49" s="204">
        <f t="shared" si="1"/>
        <v>0</v>
      </c>
      <c r="L49" s="204">
        <f t="shared" si="2"/>
        <v>0</v>
      </c>
      <c r="M49" s="204">
        <f t="shared" si="3"/>
        <v>0</v>
      </c>
      <c r="N49" s="204">
        <f t="shared" si="4"/>
        <v>0</v>
      </c>
      <c r="O49" s="204">
        <f t="shared" si="5"/>
        <v>0</v>
      </c>
      <c r="P49" s="204">
        <f t="shared" si="6"/>
        <v>0</v>
      </c>
    </row>
    <row r="50" spans="1:16" x14ac:dyDescent="0.25">
      <c r="A50" s="358">
        <f>IF(COUNTBLANK(B50)=1," ",COUNTA(B$15:B50))</f>
        <v>33</v>
      </c>
      <c r="B50" s="445" t="s">
        <v>87</v>
      </c>
      <c r="C50" s="681" t="s">
        <v>293</v>
      </c>
      <c r="D50" s="682" t="s">
        <v>90</v>
      </c>
      <c r="E50" s="683">
        <f>ROUNDUP(E48*0.6,2)</f>
        <v>1.98</v>
      </c>
      <c r="F50" s="674"/>
      <c r="G50" s="636"/>
      <c r="H50" s="208">
        <f t="shared" si="0"/>
        <v>0</v>
      </c>
      <c r="I50" s="673"/>
      <c r="J50" s="673"/>
      <c r="K50" s="204">
        <f t="shared" si="1"/>
        <v>0</v>
      </c>
      <c r="L50" s="204">
        <f t="shared" si="2"/>
        <v>0</v>
      </c>
      <c r="M50" s="204">
        <f t="shared" si="3"/>
        <v>0</v>
      </c>
      <c r="N50" s="204">
        <f t="shared" si="4"/>
        <v>0</v>
      </c>
      <c r="O50" s="204">
        <f t="shared" si="5"/>
        <v>0</v>
      </c>
      <c r="P50" s="204">
        <f t="shared" si="6"/>
        <v>0</v>
      </c>
    </row>
    <row r="51" spans="1:16" x14ac:dyDescent="0.25">
      <c r="A51" s="358">
        <f>IF(COUNTBLANK(B51)=1," ",COUNTA(B$15:B51))</f>
        <v>34</v>
      </c>
      <c r="B51" s="445" t="s">
        <v>87</v>
      </c>
      <c r="C51" s="681" t="s">
        <v>412</v>
      </c>
      <c r="D51" s="682" t="s">
        <v>90</v>
      </c>
      <c r="E51" s="683">
        <f>ROUNDUP(E48*0.3,2)</f>
        <v>0.99</v>
      </c>
      <c r="F51" s="674"/>
      <c r="G51" s="636"/>
      <c r="H51" s="208">
        <f t="shared" si="0"/>
        <v>0</v>
      </c>
      <c r="I51" s="673"/>
      <c r="J51" s="673"/>
      <c r="K51" s="204">
        <f t="shared" si="1"/>
        <v>0</v>
      </c>
      <c r="L51" s="204">
        <f t="shared" si="2"/>
        <v>0</v>
      </c>
      <c r="M51" s="204">
        <f t="shared" si="3"/>
        <v>0</v>
      </c>
      <c r="N51" s="204">
        <f t="shared" si="4"/>
        <v>0</v>
      </c>
      <c r="O51" s="204">
        <f t="shared" si="5"/>
        <v>0</v>
      </c>
      <c r="P51" s="204">
        <f t="shared" si="6"/>
        <v>0</v>
      </c>
    </row>
    <row r="52" spans="1:16" x14ac:dyDescent="0.25">
      <c r="A52" s="358" t="str">
        <f>IF(COUNTBLANK(B52)=1," ",COUNTA(B$15:B52))</f>
        <v xml:space="preserve"> </v>
      </c>
      <c r="B52" s="632"/>
      <c r="C52" s="686" t="s">
        <v>413</v>
      </c>
      <c r="D52" s="676"/>
      <c r="E52" s="687"/>
      <c r="F52" s="674"/>
      <c r="G52" s="636"/>
      <c r="H52" s="208">
        <f t="shared" si="0"/>
        <v>0</v>
      </c>
      <c r="I52" s="673"/>
      <c r="J52" s="673"/>
      <c r="K52" s="204">
        <f t="shared" si="1"/>
        <v>0</v>
      </c>
      <c r="L52" s="204">
        <f t="shared" si="2"/>
        <v>0</v>
      </c>
      <c r="M52" s="204">
        <f t="shared" si="3"/>
        <v>0</v>
      </c>
      <c r="N52" s="204">
        <f t="shared" si="4"/>
        <v>0</v>
      </c>
      <c r="O52" s="204">
        <f t="shared" si="5"/>
        <v>0</v>
      </c>
      <c r="P52" s="204">
        <f t="shared" si="6"/>
        <v>0</v>
      </c>
    </row>
    <row r="53" spans="1:16" ht="15.75" thickBot="1" x14ac:dyDescent="0.3">
      <c r="A53" s="358" t="str">
        <f>IF(COUNTBLANK(B53)=1," ",COUNTA(B$15:B53))</f>
        <v xml:space="preserve"> </v>
      </c>
      <c r="B53" s="172"/>
      <c r="C53" s="688" t="s">
        <v>414</v>
      </c>
      <c r="D53" s="689"/>
      <c r="E53" s="689"/>
      <c r="F53" s="674"/>
      <c r="G53" s="175"/>
      <c r="H53" s="208">
        <f t="shared" si="0"/>
        <v>0</v>
      </c>
      <c r="I53" s="203"/>
      <c r="J53" s="203"/>
      <c r="K53" s="204">
        <f t="shared" si="1"/>
        <v>0</v>
      </c>
      <c r="L53" s="204">
        <f t="shared" si="2"/>
        <v>0</v>
      </c>
      <c r="M53" s="204">
        <f t="shared" si="3"/>
        <v>0</v>
      </c>
      <c r="N53" s="204">
        <f t="shared" si="4"/>
        <v>0</v>
      </c>
      <c r="O53" s="204">
        <f t="shared" si="5"/>
        <v>0</v>
      </c>
      <c r="P53" s="204">
        <f t="shared" si="6"/>
        <v>0</v>
      </c>
    </row>
    <row r="54" spans="1:16" x14ac:dyDescent="0.25">
      <c r="A54" s="358">
        <f>IF(COUNTBLANK(B54)=1," ",COUNTA(B$15:B54))</f>
        <v>35</v>
      </c>
      <c r="B54" s="160" t="s">
        <v>87</v>
      </c>
      <c r="C54" s="693" t="s">
        <v>276</v>
      </c>
      <c r="D54" s="694" t="s">
        <v>57</v>
      </c>
      <c r="E54" s="695">
        <v>8</v>
      </c>
      <c r="F54" s="163"/>
      <c r="G54" s="103"/>
      <c r="H54" s="208">
        <f t="shared" si="0"/>
        <v>0</v>
      </c>
      <c r="I54" s="163"/>
      <c r="J54" s="158"/>
      <c r="K54" s="204">
        <f t="shared" si="1"/>
        <v>0</v>
      </c>
      <c r="L54" s="204">
        <f t="shared" si="2"/>
        <v>0</v>
      </c>
      <c r="M54" s="204">
        <f t="shared" si="3"/>
        <v>0</v>
      </c>
      <c r="N54" s="204">
        <f t="shared" si="4"/>
        <v>0</v>
      </c>
      <c r="O54" s="204">
        <f t="shared" si="5"/>
        <v>0</v>
      </c>
      <c r="P54" s="204">
        <f t="shared" si="6"/>
        <v>0</v>
      </c>
    </row>
    <row r="55" spans="1:16" x14ac:dyDescent="0.25">
      <c r="A55" s="358">
        <f>IF(COUNTBLANK(B55)=1," ",COUNTA(B$15:B55))</f>
        <v>36</v>
      </c>
      <c r="B55" s="160" t="s">
        <v>87</v>
      </c>
      <c r="C55" s="693" t="s">
        <v>415</v>
      </c>
      <c r="D55" s="694" t="s">
        <v>85</v>
      </c>
      <c r="E55" s="695">
        <f>E54*0.1</f>
        <v>0.8</v>
      </c>
      <c r="F55" s="163"/>
      <c r="G55" s="103"/>
      <c r="H55" s="208">
        <f t="shared" si="0"/>
        <v>0</v>
      </c>
      <c r="I55" s="163"/>
      <c r="J55" s="158"/>
      <c r="K55" s="204">
        <f t="shared" si="1"/>
        <v>0</v>
      </c>
      <c r="L55" s="204">
        <f t="shared" si="2"/>
        <v>0</v>
      </c>
      <c r="M55" s="204">
        <f t="shared" si="3"/>
        <v>0</v>
      </c>
      <c r="N55" s="204">
        <f t="shared" si="4"/>
        <v>0</v>
      </c>
      <c r="O55" s="204">
        <f t="shared" si="5"/>
        <v>0</v>
      </c>
      <c r="P55" s="204">
        <f t="shared" si="6"/>
        <v>0</v>
      </c>
    </row>
    <row r="56" spans="1:16" x14ac:dyDescent="0.25">
      <c r="A56" s="358">
        <f>IF(COUNTBLANK(B56)=1," ",COUNTA(B$15:B56))</f>
        <v>37</v>
      </c>
      <c r="B56" s="160" t="s">
        <v>87</v>
      </c>
      <c r="C56" s="693" t="s">
        <v>114</v>
      </c>
      <c r="D56" s="694" t="s">
        <v>190</v>
      </c>
      <c r="E56" s="696">
        <f>E55*1.1</f>
        <v>0.88000000000000012</v>
      </c>
      <c r="F56" s="163"/>
      <c r="G56" s="163"/>
      <c r="H56" s="208">
        <f t="shared" si="0"/>
        <v>0</v>
      </c>
      <c r="I56" s="163"/>
      <c r="J56" s="158"/>
      <c r="K56" s="204">
        <f t="shared" si="1"/>
        <v>0</v>
      </c>
      <c r="L56" s="204">
        <f t="shared" si="2"/>
        <v>0</v>
      </c>
      <c r="M56" s="204">
        <f t="shared" si="3"/>
        <v>0</v>
      </c>
      <c r="N56" s="204">
        <f t="shared" si="4"/>
        <v>0</v>
      </c>
      <c r="O56" s="204">
        <f t="shared" si="5"/>
        <v>0</v>
      </c>
      <c r="P56" s="204">
        <f t="shared" si="6"/>
        <v>0</v>
      </c>
    </row>
    <row r="57" spans="1:16" x14ac:dyDescent="0.25">
      <c r="A57" s="358">
        <f>IF(COUNTBLANK(B57)=1," ",COUNTA(B$15:B57))</f>
        <v>38</v>
      </c>
      <c r="B57" s="160" t="s">
        <v>87</v>
      </c>
      <c r="C57" s="693" t="s">
        <v>416</v>
      </c>
      <c r="D57" s="694" t="s">
        <v>85</v>
      </c>
      <c r="E57" s="695">
        <f>E54*0.05</f>
        <v>0.4</v>
      </c>
      <c r="F57" s="163"/>
      <c r="G57" s="103"/>
      <c r="H57" s="208">
        <f t="shared" si="0"/>
        <v>0</v>
      </c>
      <c r="I57" s="163"/>
      <c r="J57" s="158"/>
      <c r="K57" s="204">
        <f t="shared" si="1"/>
        <v>0</v>
      </c>
      <c r="L57" s="204">
        <f t="shared" si="2"/>
        <v>0</v>
      </c>
      <c r="M57" s="204">
        <f t="shared" si="3"/>
        <v>0</v>
      </c>
      <c r="N57" s="204">
        <f t="shared" si="4"/>
        <v>0</v>
      </c>
      <c r="O57" s="204">
        <f t="shared" si="5"/>
        <v>0</v>
      </c>
      <c r="P57" s="204">
        <f t="shared" si="6"/>
        <v>0</v>
      </c>
    </row>
    <row r="58" spans="1:16" x14ac:dyDescent="0.25">
      <c r="A58" s="358">
        <f>IF(COUNTBLANK(B58)=1," ",COUNTA(B$15:B58))</f>
        <v>39</v>
      </c>
      <c r="B58" s="160" t="s">
        <v>87</v>
      </c>
      <c r="C58" s="693" t="s">
        <v>114</v>
      </c>
      <c r="D58" s="694" t="s">
        <v>190</v>
      </c>
      <c r="E58" s="696">
        <f>E57*1.1</f>
        <v>0.44000000000000006</v>
      </c>
      <c r="F58" s="163"/>
      <c r="G58" s="163"/>
      <c r="H58" s="208">
        <f t="shared" si="0"/>
        <v>0</v>
      </c>
      <c r="I58" s="163"/>
      <c r="J58" s="158"/>
      <c r="K58" s="204">
        <f t="shared" si="1"/>
        <v>0</v>
      </c>
      <c r="L58" s="204">
        <f t="shared" si="2"/>
        <v>0</v>
      </c>
      <c r="M58" s="204">
        <f t="shared" si="3"/>
        <v>0</v>
      </c>
      <c r="N58" s="204">
        <f t="shared" si="4"/>
        <v>0</v>
      </c>
      <c r="O58" s="204">
        <f t="shared" si="5"/>
        <v>0</v>
      </c>
      <c r="P58" s="204">
        <f t="shared" si="6"/>
        <v>0</v>
      </c>
    </row>
    <row r="59" spans="1:16" x14ac:dyDescent="0.25">
      <c r="A59" s="358">
        <f>IF(COUNTBLANK(B59)=1," ",COUNTA(B$15:B59))</f>
        <v>40</v>
      </c>
      <c r="B59" s="160" t="s">
        <v>87</v>
      </c>
      <c r="C59" s="693" t="s">
        <v>417</v>
      </c>
      <c r="D59" s="694" t="s">
        <v>85</v>
      </c>
      <c r="E59" s="695">
        <f>E57</f>
        <v>0.4</v>
      </c>
      <c r="F59" s="163"/>
      <c r="G59" s="103"/>
      <c r="H59" s="208">
        <f t="shared" si="0"/>
        <v>0</v>
      </c>
      <c r="I59" s="163"/>
      <c r="J59" s="158"/>
      <c r="K59" s="204">
        <f t="shared" si="1"/>
        <v>0</v>
      </c>
      <c r="L59" s="204">
        <f t="shared" si="2"/>
        <v>0</v>
      </c>
      <c r="M59" s="204">
        <f t="shared" si="3"/>
        <v>0</v>
      </c>
      <c r="N59" s="204">
        <f t="shared" si="4"/>
        <v>0</v>
      </c>
      <c r="O59" s="204">
        <f t="shared" si="5"/>
        <v>0</v>
      </c>
      <c r="P59" s="204">
        <f t="shared" si="6"/>
        <v>0</v>
      </c>
    </row>
    <row r="60" spans="1:16" x14ac:dyDescent="0.25">
      <c r="A60" s="358">
        <f>IF(COUNTBLANK(B60)=1," ",COUNTA(B$15:B60))</f>
        <v>41</v>
      </c>
      <c r="B60" s="160" t="s">
        <v>87</v>
      </c>
      <c r="C60" s="693" t="s">
        <v>161</v>
      </c>
      <c r="D60" s="694" t="s">
        <v>85</v>
      </c>
      <c r="E60" s="696">
        <f>E59*1.1</f>
        <v>0.44000000000000006</v>
      </c>
      <c r="F60" s="163"/>
      <c r="G60" s="163"/>
      <c r="H60" s="208">
        <f t="shared" si="0"/>
        <v>0</v>
      </c>
      <c r="I60" s="163"/>
      <c r="J60" s="158"/>
      <c r="K60" s="204">
        <f t="shared" si="1"/>
        <v>0</v>
      </c>
      <c r="L60" s="204">
        <f t="shared" si="2"/>
        <v>0</v>
      </c>
      <c r="M60" s="204">
        <f t="shared" si="3"/>
        <v>0</v>
      </c>
      <c r="N60" s="204">
        <f t="shared" si="4"/>
        <v>0</v>
      </c>
      <c r="O60" s="204">
        <f t="shared" si="5"/>
        <v>0</v>
      </c>
      <c r="P60" s="204">
        <f t="shared" si="6"/>
        <v>0</v>
      </c>
    </row>
    <row r="61" spans="1:16" x14ac:dyDescent="0.25">
      <c r="A61" s="358">
        <f>IF(COUNTBLANK(B61)=1," ",COUNTA(B$15:B61))</f>
        <v>42</v>
      </c>
      <c r="B61" s="160" t="s">
        <v>87</v>
      </c>
      <c r="C61" s="693" t="s">
        <v>418</v>
      </c>
      <c r="D61" s="694" t="s">
        <v>57</v>
      </c>
      <c r="E61" s="695">
        <f>E54</f>
        <v>8</v>
      </c>
      <c r="F61" s="163"/>
      <c r="G61" s="103"/>
      <c r="H61" s="208">
        <f t="shared" si="0"/>
        <v>0</v>
      </c>
      <c r="I61" s="163"/>
      <c r="J61" s="158"/>
      <c r="K61" s="204">
        <f t="shared" si="1"/>
        <v>0</v>
      </c>
      <c r="L61" s="204">
        <f t="shared" si="2"/>
        <v>0</v>
      </c>
      <c r="M61" s="204">
        <f t="shared" si="3"/>
        <v>0</v>
      </c>
      <c r="N61" s="204">
        <f t="shared" si="4"/>
        <v>0</v>
      </c>
      <c r="O61" s="204">
        <f t="shared" si="5"/>
        <v>0</v>
      </c>
      <c r="P61" s="204">
        <f t="shared" si="6"/>
        <v>0</v>
      </c>
    </row>
    <row r="62" spans="1:16" x14ac:dyDescent="0.25">
      <c r="A62" s="358">
        <f>IF(COUNTBLANK(B62)=1," ",COUNTA(B$15:B62))</f>
        <v>43</v>
      </c>
      <c r="B62" s="160" t="s">
        <v>87</v>
      </c>
      <c r="C62" s="693" t="s">
        <v>419</v>
      </c>
      <c r="D62" s="696" t="s">
        <v>57</v>
      </c>
      <c r="E62" s="696">
        <f>E61*1.05</f>
        <v>8.4</v>
      </c>
      <c r="F62" s="163"/>
      <c r="G62" s="163"/>
      <c r="H62" s="208">
        <f t="shared" si="0"/>
        <v>0</v>
      </c>
      <c r="I62" s="163"/>
      <c r="J62" s="158"/>
      <c r="K62" s="204">
        <f t="shared" si="1"/>
        <v>0</v>
      </c>
      <c r="L62" s="204">
        <f t="shared" si="2"/>
        <v>0</v>
      </c>
      <c r="M62" s="204">
        <f t="shared" si="3"/>
        <v>0</v>
      </c>
      <c r="N62" s="204">
        <f t="shared" si="4"/>
        <v>0</v>
      </c>
      <c r="O62" s="204">
        <f t="shared" si="5"/>
        <v>0</v>
      </c>
      <c r="P62" s="204">
        <f t="shared" si="6"/>
        <v>0</v>
      </c>
    </row>
    <row r="63" spans="1:16" x14ac:dyDescent="0.25">
      <c r="A63" s="358">
        <f>IF(COUNTBLANK(B63)=1," ",COUNTA(B$15:B63))</f>
        <v>44</v>
      </c>
      <c r="B63" s="160" t="s">
        <v>87</v>
      </c>
      <c r="C63" s="693" t="s">
        <v>164</v>
      </c>
      <c r="D63" s="696" t="s">
        <v>85</v>
      </c>
      <c r="E63" s="696">
        <f>E61*0.07</f>
        <v>0.56000000000000005</v>
      </c>
      <c r="F63" s="163"/>
      <c r="G63" s="163"/>
      <c r="H63" s="208">
        <f t="shared" si="0"/>
        <v>0</v>
      </c>
      <c r="I63" s="163"/>
      <c r="J63" s="158"/>
      <c r="K63" s="204">
        <f t="shared" si="1"/>
        <v>0</v>
      </c>
      <c r="L63" s="204">
        <f t="shared" si="2"/>
        <v>0</v>
      </c>
      <c r="M63" s="204">
        <f t="shared" si="3"/>
        <v>0</v>
      </c>
      <c r="N63" s="204">
        <f t="shared" si="4"/>
        <v>0</v>
      </c>
      <c r="O63" s="204">
        <f t="shared" si="5"/>
        <v>0</v>
      </c>
      <c r="P63" s="204">
        <f t="shared" si="6"/>
        <v>0</v>
      </c>
    </row>
    <row r="64" spans="1:16" x14ac:dyDescent="0.25">
      <c r="A64" s="358">
        <f>IF(COUNTBLANK(B64)=1," ",COUNTA(B$15:B64))</f>
        <v>45</v>
      </c>
      <c r="B64" s="160" t="s">
        <v>87</v>
      </c>
      <c r="C64" s="693" t="s">
        <v>420</v>
      </c>
      <c r="D64" s="694" t="s">
        <v>89</v>
      </c>
      <c r="E64" s="695">
        <v>8.3000000000000007</v>
      </c>
      <c r="F64" s="163"/>
      <c r="G64" s="103"/>
      <c r="H64" s="208">
        <f t="shared" si="0"/>
        <v>0</v>
      </c>
      <c r="I64" s="163"/>
      <c r="J64" s="158"/>
      <c r="K64" s="204">
        <f t="shared" si="1"/>
        <v>0</v>
      </c>
      <c r="L64" s="204">
        <f t="shared" si="2"/>
        <v>0</v>
      </c>
      <c r="M64" s="204">
        <f t="shared" si="3"/>
        <v>0</v>
      </c>
      <c r="N64" s="204">
        <f t="shared" si="4"/>
        <v>0</v>
      </c>
      <c r="O64" s="204">
        <f t="shared" si="5"/>
        <v>0</v>
      </c>
      <c r="P64" s="204">
        <f t="shared" si="6"/>
        <v>0</v>
      </c>
    </row>
    <row r="65" spans="1:16" x14ac:dyDescent="0.25">
      <c r="A65" s="358">
        <f>IF(COUNTBLANK(B65)=1," ",COUNTA(B$15:B65))</f>
        <v>46</v>
      </c>
      <c r="B65" s="701" t="s">
        <v>87</v>
      </c>
      <c r="C65" s="693" t="s">
        <v>421</v>
      </c>
      <c r="D65" s="694" t="s">
        <v>85</v>
      </c>
      <c r="E65" s="695">
        <f>E64*0.1*0.3</f>
        <v>0.249</v>
      </c>
      <c r="F65" s="691"/>
      <c r="G65" s="691"/>
      <c r="H65" s="208">
        <f t="shared" si="0"/>
        <v>0</v>
      </c>
      <c r="I65" s="691"/>
      <c r="J65" s="158"/>
      <c r="K65" s="204">
        <f t="shared" si="1"/>
        <v>0</v>
      </c>
      <c r="L65" s="204">
        <f t="shared" si="2"/>
        <v>0</v>
      </c>
      <c r="M65" s="204">
        <f t="shared" si="3"/>
        <v>0</v>
      </c>
      <c r="N65" s="204">
        <f t="shared" si="4"/>
        <v>0</v>
      </c>
      <c r="O65" s="204">
        <f t="shared" si="5"/>
        <v>0</v>
      </c>
      <c r="P65" s="204">
        <f t="shared" si="6"/>
        <v>0</v>
      </c>
    </row>
    <row r="66" spans="1:16" x14ac:dyDescent="0.25">
      <c r="A66" s="358">
        <f>IF(COUNTBLANK(B66)=1," ",COUNTA(B$15:B66))</f>
        <v>47</v>
      </c>
      <c r="B66" s="701" t="s">
        <v>87</v>
      </c>
      <c r="C66" s="693" t="s">
        <v>422</v>
      </c>
      <c r="D66" s="694" t="s">
        <v>242</v>
      </c>
      <c r="E66" s="695">
        <v>2</v>
      </c>
      <c r="F66" s="596"/>
      <c r="G66" s="596"/>
      <c r="H66" s="208">
        <f t="shared" si="0"/>
        <v>0</v>
      </c>
      <c r="I66" s="596"/>
      <c r="J66" s="690"/>
      <c r="K66" s="204">
        <f t="shared" si="1"/>
        <v>0</v>
      </c>
      <c r="L66" s="204">
        <f t="shared" si="2"/>
        <v>0</v>
      </c>
      <c r="M66" s="204">
        <f t="shared" si="3"/>
        <v>0</v>
      </c>
      <c r="N66" s="204">
        <f t="shared" si="4"/>
        <v>0</v>
      </c>
      <c r="O66" s="204">
        <f t="shared" si="5"/>
        <v>0</v>
      </c>
      <c r="P66" s="204">
        <f t="shared" si="6"/>
        <v>0</v>
      </c>
    </row>
    <row r="67" spans="1:16" x14ac:dyDescent="0.25">
      <c r="A67" s="358">
        <f>IF(COUNTBLANK(B67)=1," ",COUNTA(B$15:B67))</f>
        <v>48</v>
      </c>
      <c r="B67" s="701" t="s">
        <v>87</v>
      </c>
      <c r="C67" s="697" t="s">
        <v>423</v>
      </c>
      <c r="D67" s="638" t="s">
        <v>157</v>
      </c>
      <c r="E67" s="698">
        <v>4</v>
      </c>
      <c r="F67" s="596"/>
      <c r="G67" s="596"/>
      <c r="H67" s="208">
        <f t="shared" si="0"/>
        <v>0</v>
      </c>
      <c r="I67" s="596"/>
      <c r="J67" s="690"/>
      <c r="K67" s="204">
        <f t="shared" si="1"/>
        <v>0</v>
      </c>
      <c r="L67" s="204">
        <f t="shared" si="2"/>
        <v>0</v>
      </c>
      <c r="M67" s="204">
        <f t="shared" si="3"/>
        <v>0</v>
      </c>
      <c r="N67" s="204">
        <f t="shared" si="4"/>
        <v>0</v>
      </c>
      <c r="O67" s="204">
        <f t="shared" si="5"/>
        <v>0</v>
      </c>
      <c r="P67" s="204">
        <f t="shared" si="6"/>
        <v>0</v>
      </c>
    </row>
    <row r="68" spans="1:16" x14ac:dyDescent="0.25">
      <c r="A68" s="358">
        <f>IF(COUNTBLANK(B68)=1," ",COUNTA(B$15:B68))</f>
        <v>49</v>
      </c>
      <c r="B68" s="701" t="s">
        <v>87</v>
      </c>
      <c r="C68" s="682" t="s">
        <v>166</v>
      </c>
      <c r="D68" s="657" t="s">
        <v>85</v>
      </c>
      <c r="E68" s="657">
        <f>ROUND(E67*0.33,2)</f>
        <v>1.32</v>
      </c>
      <c r="F68" s="699"/>
      <c r="G68" s="699"/>
      <c r="H68" s="208">
        <f t="shared" si="0"/>
        <v>0</v>
      </c>
      <c r="I68" s="699"/>
      <c r="J68" s="690"/>
      <c r="K68" s="204">
        <f t="shared" si="1"/>
        <v>0</v>
      </c>
      <c r="L68" s="204">
        <f t="shared" si="2"/>
        <v>0</v>
      </c>
      <c r="M68" s="204">
        <f t="shared" si="3"/>
        <v>0</v>
      </c>
      <c r="N68" s="204">
        <f t="shared" si="4"/>
        <v>0</v>
      </c>
      <c r="O68" s="204">
        <f t="shared" si="5"/>
        <v>0</v>
      </c>
      <c r="P68" s="204">
        <f t="shared" si="6"/>
        <v>0</v>
      </c>
    </row>
    <row r="69" spans="1:16" x14ac:dyDescent="0.25">
      <c r="A69" s="358">
        <f>IF(COUNTBLANK(B69)=1," ",COUNTA(B$15:B69))</f>
        <v>50</v>
      </c>
      <c r="B69" s="701" t="s">
        <v>87</v>
      </c>
      <c r="C69" s="700" t="s">
        <v>167</v>
      </c>
      <c r="D69" s="700" t="s">
        <v>90</v>
      </c>
      <c r="E69" s="683">
        <f>ROUNDUP(E67*0.02,0)</f>
        <v>1</v>
      </c>
      <c r="F69" s="699"/>
      <c r="G69" s="699"/>
      <c r="H69" s="208">
        <f t="shared" si="0"/>
        <v>0</v>
      </c>
      <c r="I69" s="699"/>
      <c r="J69" s="690"/>
      <c r="K69" s="204">
        <f t="shared" si="1"/>
        <v>0</v>
      </c>
      <c r="L69" s="204">
        <f t="shared" si="2"/>
        <v>0</v>
      </c>
      <c r="M69" s="204">
        <f t="shared" si="3"/>
        <v>0</v>
      </c>
      <c r="N69" s="204">
        <f t="shared" si="4"/>
        <v>0</v>
      </c>
      <c r="O69" s="204">
        <f t="shared" si="5"/>
        <v>0</v>
      </c>
      <c r="P69" s="204">
        <f t="shared" si="6"/>
        <v>0</v>
      </c>
    </row>
    <row r="70" spans="1:16" x14ac:dyDescent="0.25">
      <c r="A70" s="358" t="str">
        <f>IF(COUNTBLANK(B70)=1," ",COUNTA(B$15:B70))</f>
        <v xml:space="preserve"> </v>
      </c>
      <c r="B70" s="703"/>
      <c r="C70" s="702" t="s">
        <v>298</v>
      </c>
      <c r="D70" s="704"/>
      <c r="E70" s="705"/>
      <c r="F70" s="706"/>
      <c r="G70" s="707"/>
      <c r="H70" s="208">
        <f t="shared" si="0"/>
        <v>0</v>
      </c>
      <c r="I70" s="708"/>
      <c r="J70" s="709"/>
      <c r="K70" s="204">
        <f t="shared" si="1"/>
        <v>0</v>
      </c>
      <c r="L70" s="204">
        <f t="shared" si="2"/>
        <v>0</v>
      </c>
      <c r="M70" s="204">
        <f t="shared" si="3"/>
        <v>0</v>
      </c>
      <c r="N70" s="204">
        <f t="shared" si="4"/>
        <v>0</v>
      </c>
      <c r="O70" s="204">
        <f t="shared" si="5"/>
        <v>0</v>
      </c>
      <c r="P70" s="204">
        <f t="shared" si="6"/>
        <v>0</v>
      </c>
    </row>
    <row r="71" spans="1:16" ht="22.5" x14ac:dyDescent="0.25">
      <c r="A71" s="358">
        <f>IF(COUNTBLANK(B71)=1," ",COUNTA(B$15:B71))</f>
        <v>51</v>
      </c>
      <c r="B71" s="701" t="s">
        <v>87</v>
      </c>
      <c r="C71" s="710" t="s">
        <v>424</v>
      </c>
      <c r="D71" s="711" t="s">
        <v>89</v>
      </c>
      <c r="E71" s="712">
        <v>8.5</v>
      </c>
      <c r="F71" s="713"/>
      <c r="G71" s="636"/>
      <c r="H71" s="208">
        <f t="shared" si="0"/>
        <v>0</v>
      </c>
      <c r="I71" s="714"/>
      <c r="J71" s="714"/>
      <c r="K71" s="204">
        <f t="shared" si="1"/>
        <v>0</v>
      </c>
      <c r="L71" s="204">
        <f t="shared" si="2"/>
        <v>0</v>
      </c>
      <c r="M71" s="204">
        <f t="shared" si="3"/>
        <v>0</v>
      </c>
      <c r="N71" s="204">
        <f t="shared" si="4"/>
        <v>0</v>
      </c>
      <c r="O71" s="204">
        <f t="shared" si="5"/>
        <v>0</v>
      </c>
      <c r="P71" s="204">
        <f t="shared" si="6"/>
        <v>0</v>
      </c>
    </row>
    <row r="72" spans="1:16" x14ac:dyDescent="0.25">
      <c r="A72" s="358">
        <f>IF(COUNTBLANK(B72)=1," ",COUNTA(B$15:B72))</f>
        <v>52</v>
      </c>
      <c r="B72" s="701" t="s">
        <v>87</v>
      </c>
      <c r="C72" s="710" t="s">
        <v>425</v>
      </c>
      <c r="D72" s="683" t="s">
        <v>89</v>
      </c>
      <c r="E72" s="683">
        <v>7.1</v>
      </c>
      <c r="F72" s="713"/>
      <c r="G72" s="636"/>
      <c r="H72" s="208">
        <f t="shared" si="0"/>
        <v>0</v>
      </c>
      <c r="I72" s="714"/>
      <c r="J72" s="714"/>
      <c r="K72" s="204">
        <f t="shared" si="1"/>
        <v>0</v>
      </c>
      <c r="L72" s="204">
        <f t="shared" si="2"/>
        <v>0</v>
      </c>
      <c r="M72" s="204">
        <f t="shared" si="3"/>
        <v>0</v>
      </c>
      <c r="N72" s="204">
        <f t="shared" si="4"/>
        <v>0</v>
      </c>
      <c r="O72" s="204">
        <f t="shared" si="5"/>
        <v>0</v>
      </c>
      <c r="P72" s="204">
        <f t="shared" si="6"/>
        <v>0</v>
      </c>
    </row>
    <row r="73" spans="1:16" x14ac:dyDescent="0.25">
      <c r="A73" s="358">
        <f>IF(COUNTBLANK(B73)=1," ",COUNTA(B$15:B73))</f>
        <v>53</v>
      </c>
      <c r="B73" s="701" t="s">
        <v>87</v>
      </c>
      <c r="C73" s="710" t="s">
        <v>426</v>
      </c>
      <c r="D73" s="683" t="s">
        <v>57</v>
      </c>
      <c r="E73" s="683">
        <v>9.4499999999999993</v>
      </c>
      <c r="F73" s="713"/>
      <c r="G73" s="636"/>
      <c r="H73" s="208">
        <f t="shared" si="0"/>
        <v>0</v>
      </c>
      <c r="I73" s="714"/>
      <c r="J73" s="714"/>
      <c r="K73" s="204">
        <f t="shared" si="1"/>
        <v>0</v>
      </c>
      <c r="L73" s="204">
        <f t="shared" si="2"/>
        <v>0</v>
      </c>
      <c r="M73" s="204">
        <f t="shared" si="3"/>
        <v>0</v>
      </c>
      <c r="N73" s="204">
        <f t="shared" si="4"/>
        <v>0</v>
      </c>
      <c r="O73" s="204">
        <f t="shared" si="5"/>
        <v>0</v>
      </c>
      <c r="P73" s="204">
        <f t="shared" si="6"/>
        <v>0</v>
      </c>
    </row>
    <row r="74" spans="1:16" ht="22.5" x14ac:dyDescent="0.25">
      <c r="A74" s="358">
        <f>IF(COUNTBLANK(B74)=1," ",COUNTA(B$15:B74))</f>
        <v>54</v>
      </c>
      <c r="B74" s="701" t="s">
        <v>87</v>
      </c>
      <c r="C74" s="710" t="s">
        <v>427</v>
      </c>
      <c r="D74" s="683" t="s">
        <v>157</v>
      </c>
      <c r="E74" s="683">
        <f>E71*0.1</f>
        <v>0.85000000000000009</v>
      </c>
      <c r="F74" s="713"/>
      <c r="G74" s="636"/>
      <c r="H74" s="208">
        <f t="shared" si="0"/>
        <v>0</v>
      </c>
      <c r="I74" s="714"/>
      <c r="J74" s="714"/>
      <c r="K74" s="204">
        <f t="shared" si="1"/>
        <v>0</v>
      </c>
      <c r="L74" s="204">
        <f t="shared" si="2"/>
        <v>0</v>
      </c>
      <c r="M74" s="204">
        <f t="shared" si="3"/>
        <v>0</v>
      </c>
      <c r="N74" s="204">
        <f t="shared" si="4"/>
        <v>0</v>
      </c>
      <c r="O74" s="204">
        <f t="shared" si="5"/>
        <v>0</v>
      </c>
      <c r="P74" s="204">
        <f t="shared" si="6"/>
        <v>0</v>
      </c>
    </row>
    <row r="75" spans="1:16" x14ac:dyDescent="0.25">
      <c r="A75" s="358">
        <f>IF(COUNTBLANK(B75)=1," ",COUNTA(B$15:B75))</f>
        <v>55</v>
      </c>
      <c r="B75" s="701" t="s">
        <v>87</v>
      </c>
      <c r="C75" s="710" t="s">
        <v>428</v>
      </c>
      <c r="D75" s="683" t="s">
        <v>157</v>
      </c>
      <c r="E75" s="683">
        <v>0.9</v>
      </c>
      <c r="F75" s="713"/>
      <c r="G75" s="636"/>
      <c r="H75" s="208">
        <f t="shared" si="0"/>
        <v>0</v>
      </c>
      <c r="I75" s="714"/>
      <c r="J75" s="714"/>
      <c r="K75" s="204">
        <f t="shared" si="1"/>
        <v>0</v>
      </c>
      <c r="L75" s="204">
        <f t="shared" si="2"/>
        <v>0</v>
      </c>
      <c r="M75" s="204">
        <f t="shared" si="3"/>
        <v>0</v>
      </c>
      <c r="N75" s="204">
        <f t="shared" si="4"/>
        <v>0</v>
      </c>
      <c r="O75" s="204">
        <f t="shared" si="5"/>
        <v>0</v>
      </c>
      <c r="P75" s="204">
        <f t="shared" si="6"/>
        <v>0</v>
      </c>
    </row>
    <row r="76" spans="1:16" x14ac:dyDescent="0.25">
      <c r="A76" s="358">
        <f>IF(COUNTBLANK(B76)=1," ",COUNTA(B$15:B76))</f>
        <v>56</v>
      </c>
      <c r="B76" s="701" t="s">
        <v>87</v>
      </c>
      <c r="C76" s="710" t="s">
        <v>429</v>
      </c>
      <c r="D76" s="683" t="s">
        <v>89</v>
      </c>
      <c r="E76" s="683">
        <f>E71</f>
        <v>8.5</v>
      </c>
      <c r="F76" s="713"/>
      <c r="G76" s="636"/>
      <c r="H76" s="208">
        <f t="shared" si="0"/>
        <v>0</v>
      </c>
      <c r="I76" s="714"/>
      <c r="J76" s="714"/>
      <c r="K76" s="204">
        <f t="shared" si="1"/>
        <v>0</v>
      </c>
      <c r="L76" s="204">
        <f t="shared" si="2"/>
        <v>0</v>
      </c>
      <c r="M76" s="204">
        <f t="shared" si="3"/>
        <v>0</v>
      </c>
      <c r="N76" s="204">
        <f t="shared" si="4"/>
        <v>0</v>
      </c>
      <c r="O76" s="204">
        <f t="shared" si="5"/>
        <v>0</v>
      </c>
      <c r="P76" s="204">
        <f t="shared" si="6"/>
        <v>0</v>
      </c>
    </row>
    <row r="77" spans="1:16" x14ac:dyDescent="0.25">
      <c r="A77" s="358">
        <f>IF(COUNTBLANK(B77)=1," ",COUNTA(B$15:B77))</f>
        <v>57</v>
      </c>
      <c r="B77" s="701" t="s">
        <v>87</v>
      </c>
      <c r="C77" s="710" t="s">
        <v>430</v>
      </c>
      <c r="D77" s="683" t="s">
        <v>89</v>
      </c>
      <c r="E77" s="683">
        <f>E71</f>
        <v>8.5</v>
      </c>
      <c r="F77" s="713"/>
      <c r="G77" s="636"/>
      <c r="H77" s="208">
        <f t="shared" si="0"/>
        <v>0</v>
      </c>
      <c r="I77" s="714"/>
      <c r="J77" s="714"/>
      <c r="K77" s="204">
        <f t="shared" si="1"/>
        <v>0</v>
      </c>
      <c r="L77" s="204">
        <f t="shared" si="2"/>
        <v>0</v>
      </c>
      <c r="M77" s="204">
        <f t="shared" si="3"/>
        <v>0</v>
      </c>
      <c r="N77" s="204">
        <f t="shared" si="4"/>
        <v>0</v>
      </c>
      <c r="O77" s="204">
        <f t="shared" si="5"/>
        <v>0</v>
      </c>
      <c r="P77" s="204">
        <f t="shared" si="6"/>
        <v>0</v>
      </c>
    </row>
    <row r="78" spans="1:16" x14ac:dyDescent="0.25">
      <c r="A78" s="358">
        <f>IF(COUNTBLANK(B78)=1," ",COUNTA(B$15:B78))</f>
        <v>58</v>
      </c>
      <c r="B78" s="701" t="s">
        <v>87</v>
      </c>
      <c r="C78" s="710" t="s">
        <v>431</v>
      </c>
      <c r="D78" s="683" t="s">
        <v>89</v>
      </c>
      <c r="E78" s="683">
        <v>8.5</v>
      </c>
      <c r="F78" s="713"/>
      <c r="G78" s="636"/>
      <c r="H78" s="208">
        <f t="shared" ref="H78:H115" si="7">F78*G78</f>
        <v>0</v>
      </c>
      <c r="I78" s="714"/>
      <c r="J78" s="714"/>
      <c r="K78" s="204">
        <f t="shared" ref="K78:K115" si="8">ROUND(I78+H78+J78,2)</f>
        <v>0</v>
      </c>
      <c r="L78" s="204">
        <f t="shared" ref="L78:L115" si="9">ROUND(E78*F78,2)</f>
        <v>0</v>
      </c>
      <c r="M78" s="204">
        <f t="shared" ref="M78:M115" si="10">ROUND(E78*H78,2)</f>
        <v>0</v>
      </c>
      <c r="N78" s="204">
        <f t="shared" ref="N78:N115" si="11">ROUND(E78*I78,2)</f>
        <v>0</v>
      </c>
      <c r="O78" s="204">
        <f t="shared" ref="O78:O115" si="12">ROUND(E78*J78,2)</f>
        <v>0</v>
      </c>
      <c r="P78" s="204">
        <f t="shared" ref="P78:P115" si="13">SUM(M78:O78)</f>
        <v>0</v>
      </c>
    </row>
    <row r="79" spans="1:16" x14ac:dyDescent="0.25">
      <c r="A79" s="358">
        <f>IF(COUNTBLANK(B79)=1," ",COUNTA(B$15:B79))</f>
        <v>59</v>
      </c>
      <c r="B79" s="701" t="s">
        <v>87</v>
      </c>
      <c r="C79" s="678" t="s">
        <v>432</v>
      </c>
      <c r="D79" s="679" t="s">
        <v>89</v>
      </c>
      <c r="E79" s="680">
        <v>8.5</v>
      </c>
      <c r="F79" s="713"/>
      <c r="G79" s="636"/>
      <c r="H79" s="208">
        <f t="shared" si="7"/>
        <v>0</v>
      </c>
      <c r="I79" s="714"/>
      <c r="J79" s="714"/>
      <c r="K79" s="204">
        <f t="shared" si="8"/>
        <v>0</v>
      </c>
      <c r="L79" s="204">
        <f t="shared" si="9"/>
        <v>0</v>
      </c>
      <c r="M79" s="204">
        <f t="shared" si="10"/>
        <v>0</v>
      </c>
      <c r="N79" s="204">
        <f t="shared" si="11"/>
        <v>0</v>
      </c>
      <c r="O79" s="204">
        <f t="shared" si="12"/>
        <v>0</v>
      </c>
      <c r="P79" s="204">
        <f t="shared" si="13"/>
        <v>0</v>
      </c>
    </row>
    <row r="80" spans="1:16" x14ac:dyDescent="0.25">
      <c r="A80" s="358" t="str">
        <f>IF(COUNTBLANK(B80)=1," ",COUNTA(B$15:B80))</f>
        <v xml:space="preserve"> </v>
      </c>
      <c r="B80" s="701"/>
      <c r="C80" s="668" t="s">
        <v>433</v>
      </c>
      <c r="D80" s="679"/>
      <c r="E80" s="680"/>
      <c r="F80" s="713"/>
      <c r="G80" s="636"/>
      <c r="H80" s="208">
        <f t="shared" si="7"/>
        <v>0</v>
      </c>
      <c r="I80" s="714"/>
      <c r="J80" s="714"/>
      <c r="K80" s="204">
        <f t="shared" si="8"/>
        <v>0</v>
      </c>
      <c r="L80" s="204">
        <f t="shared" si="9"/>
        <v>0</v>
      </c>
      <c r="M80" s="204">
        <f t="shared" si="10"/>
        <v>0</v>
      </c>
      <c r="N80" s="204">
        <f t="shared" si="11"/>
        <v>0</v>
      </c>
      <c r="O80" s="204">
        <f t="shared" si="12"/>
        <v>0</v>
      </c>
      <c r="P80" s="204">
        <f t="shared" si="13"/>
        <v>0</v>
      </c>
    </row>
    <row r="81" spans="1:16" ht="22.5" x14ac:dyDescent="0.25">
      <c r="A81" s="358">
        <f>IF(COUNTBLANK(B81)=1," ",COUNTA(B$15:B81))</f>
        <v>60</v>
      </c>
      <c r="B81" s="701" t="s">
        <v>87</v>
      </c>
      <c r="C81" s="640" t="s">
        <v>434</v>
      </c>
      <c r="D81" s="638" t="s">
        <v>57</v>
      </c>
      <c r="E81" s="639">
        <v>8.8000000000000007</v>
      </c>
      <c r="F81" s="713"/>
      <c r="G81" s="636"/>
      <c r="H81" s="208">
        <f t="shared" si="7"/>
        <v>0</v>
      </c>
      <c r="I81" s="714"/>
      <c r="J81" s="714"/>
      <c r="K81" s="204">
        <f t="shared" si="8"/>
        <v>0</v>
      </c>
      <c r="L81" s="204">
        <f t="shared" si="9"/>
        <v>0</v>
      </c>
      <c r="M81" s="204">
        <f t="shared" si="10"/>
        <v>0</v>
      </c>
      <c r="N81" s="204">
        <f t="shared" si="11"/>
        <v>0</v>
      </c>
      <c r="O81" s="204">
        <f t="shared" si="12"/>
        <v>0</v>
      </c>
      <c r="P81" s="204">
        <f t="shared" si="13"/>
        <v>0</v>
      </c>
    </row>
    <row r="82" spans="1:16" x14ac:dyDescent="0.25">
      <c r="A82" s="358">
        <f>IF(COUNTBLANK(B82)=1," ",COUNTA(B$15:B82))</f>
        <v>61</v>
      </c>
      <c r="B82" s="701" t="s">
        <v>87</v>
      </c>
      <c r="C82" s="646" t="s">
        <v>292</v>
      </c>
      <c r="D82" s="647" t="s">
        <v>85</v>
      </c>
      <c r="E82" s="648">
        <f>ROUNDUP(E81*0.03,3)</f>
        <v>0.26400000000000001</v>
      </c>
      <c r="F82" s="713"/>
      <c r="G82" s="636"/>
      <c r="H82" s="208">
        <f t="shared" si="7"/>
        <v>0</v>
      </c>
      <c r="I82" s="714"/>
      <c r="J82" s="714"/>
      <c r="K82" s="204">
        <f t="shared" si="8"/>
        <v>0</v>
      </c>
      <c r="L82" s="204">
        <f t="shared" si="9"/>
        <v>0</v>
      </c>
      <c r="M82" s="204">
        <f t="shared" si="10"/>
        <v>0</v>
      </c>
      <c r="N82" s="204">
        <f t="shared" si="11"/>
        <v>0</v>
      </c>
      <c r="O82" s="204">
        <f t="shared" si="12"/>
        <v>0</v>
      </c>
      <c r="P82" s="204">
        <f t="shared" si="13"/>
        <v>0</v>
      </c>
    </row>
    <row r="83" spans="1:16" x14ac:dyDescent="0.25">
      <c r="A83" s="358">
        <f>IF(COUNTBLANK(B83)=1," ",COUNTA(B$15:B83))</f>
        <v>62</v>
      </c>
      <c r="B83" s="632" t="s">
        <v>87</v>
      </c>
      <c r="C83" s="640" t="s">
        <v>435</v>
      </c>
      <c r="D83" s="638" t="s">
        <v>57</v>
      </c>
      <c r="E83" s="648">
        <f>E81</f>
        <v>8.8000000000000007</v>
      </c>
      <c r="F83" s="715"/>
      <c r="G83" s="636"/>
      <c r="H83" s="208">
        <f t="shared" si="7"/>
        <v>0</v>
      </c>
      <c r="I83" s="716"/>
      <c r="J83" s="716"/>
      <c r="K83" s="204">
        <f t="shared" si="8"/>
        <v>0</v>
      </c>
      <c r="L83" s="204">
        <f t="shared" si="9"/>
        <v>0</v>
      </c>
      <c r="M83" s="204">
        <f t="shared" si="10"/>
        <v>0</v>
      </c>
      <c r="N83" s="204">
        <f t="shared" si="11"/>
        <v>0</v>
      </c>
      <c r="O83" s="204">
        <f t="shared" si="12"/>
        <v>0</v>
      </c>
      <c r="P83" s="204">
        <f t="shared" si="13"/>
        <v>0</v>
      </c>
    </row>
    <row r="84" spans="1:16" x14ac:dyDescent="0.25">
      <c r="A84" s="358">
        <f>IF(COUNTBLANK(B84)=1," ",COUNTA(B$15:B84))</f>
        <v>63</v>
      </c>
      <c r="B84" s="498" t="s">
        <v>87</v>
      </c>
      <c r="C84" s="640" t="s">
        <v>436</v>
      </c>
      <c r="D84" s="638" t="s">
        <v>57</v>
      </c>
      <c r="E84" s="639">
        <v>8.8000000000000007</v>
      </c>
      <c r="F84" s="451"/>
      <c r="G84" s="692"/>
      <c r="H84" s="208">
        <f t="shared" si="7"/>
        <v>0</v>
      </c>
      <c r="I84" s="453"/>
      <c r="J84" s="453"/>
      <c r="K84" s="204">
        <f t="shared" si="8"/>
        <v>0</v>
      </c>
      <c r="L84" s="204">
        <f t="shared" si="9"/>
        <v>0</v>
      </c>
      <c r="M84" s="204">
        <f t="shared" si="10"/>
        <v>0</v>
      </c>
      <c r="N84" s="204">
        <f t="shared" si="11"/>
        <v>0</v>
      </c>
      <c r="O84" s="204">
        <f t="shared" si="12"/>
        <v>0</v>
      </c>
      <c r="P84" s="204">
        <f t="shared" si="13"/>
        <v>0</v>
      </c>
    </row>
    <row r="85" spans="1:16" x14ac:dyDescent="0.25">
      <c r="A85" s="358">
        <f>IF(COUNTBLANK(B85)=1," ",COUNTA(B$15:B85))</f>
        <v>64</v>
      </c>
      <c r="B85" s="172" t="s">
        <v>87</v>
      </c>
      <c r="C85" s="640" t="s">
        <v>437</v>
      </c>
      <c r="D85" s="717" t="s">
        <v>57</v>
      </c>
      <c r="E85" s="650">
        <f>E84*1.15</f>
        <v>10.119999999999999</v>
      </c>
      <c r="F85" s="452"/>
      <c r="G85" s="175"/>
      <c r="H85" s="208">
        <f t="shared" si="7"/>
        <v>0</v>
      </c>
      <c r="I85" s="454"/>
      <c r="J85" s="454"/>
      <c r="K85" s="204">
        <f t="shared" si="8"/>
        <v>0</v>
      </c>
      <c r="L85" s="204">
        <f t="shared" si="9"/>
        <v>0</v>
      </c>
      <c r="M85" s="204">
        <f t="shared" si="10"/>
        <v>0</v>
      </c>
      <c r="N85" s="204">
        <f t="shared" si="11"/>
        <v>0</v>
      </c>
      <c r="O85" s="204">
        <f t="shared" si="12"/>
        <v>0</v>
      </c>
      <c r="P85" s="204">
        <f t="shared" si="13"/>
        <v>0</v>
      </c>
    </row>
    <row r="86" spans="1:16" x14ac:dyDescent="0.25">
      <c r="A86" s="358">
        <f>IF(COUNTBLANK(B86)=1," ",COUNTA(B$15:B86))</f>
        <v>65</v>
      </c>
      <c r="B86" s="172" t="s">
        <v>87</v>
      </c>
      <c r="C86" s="640" t="s">
        <v>438</v>
      </c>
      <c r="D86" s="717" t="s">
        <v>157</v>
      </c>
      <c r="E86" s="650">
        <f>E84*1.15</f>
        <v>10.119999999999999</v>
      </c>
      <c r="F86" s="452"/>
      <c r="G86" s="447"/>
      <c r="H86" s="208">
        <f t="shared" si="7"/>
        <v>0</v>
      </c>
      <c r="I86" s="454"/>
      <c r="J86" s="454"/>
      <c r="K86" s="204">
        <f t="shared" si="8"/>
        <v>0</v>
      </c>
      <c r="L86" s="204">
        <f t="shared" si="9"/>
        <v>0</v>
      </c>
      <c r="M86" s="204">
        <f t="shared" si="10"/>
        <v>0</v>
      </c>
      <c r="N86" s="204">
        <f t="shared" si="11"/>
        <v>0</v>
      </c>
      <c r="O86" s="204">
        <f t="shared" si="12"/>
        <v>0</v>
      </c>
      <c r="P86" s="204">
        <f t="shared" si="13"/>
        <v>0</v>
      </c>
    </row>
    <row r="87" spans="1:16" x14ac:dyDescent="0.25">
      <c r="A87" s="358">
        <f>IF(COUNTBLANK(B87)=1," ",COUNTA(B$15:B87))</f>
        <v>66</v>
      </c>
      <c r="B87" s="172" t="s">
        <v>87</v>
      </c>
      <c r="C87" s="693" t="s">
        <v>439</v>
      </c>
      <c r="D87" s="694" t="s">
        <v>176</v>
      </c>
      <c r="E87" s="696">
        <f>E84*0.03</f>
        <v>0.26400000000000001</v>
      </c>
      <c r="F87" s="452"/>
      <c r="G87" s="447"/>
      <c r="H87" s="208">
        <f t="shared" si="7"/>
        <v>0</v>
      </c>
      <c r="I87" s="454"/>
      <c r="J87" s="454"/>
      <c r="K87" s="204">
        <f t="shared" si="8"/>
        <v>0</v>
      </c>
      <c r="L87" s="204">
        <f t="shared" si="9"/>
        <v>0</v>
      </c>
      <c r="M87" s="204">
        <f t="shared" si="10"/>
        <v>0</v>
      </c>
      <c r="N87" s="204">
        <f t="shared" si="11"/>
        <v>0</v>
      </c>
      <c r="O87" s="204">
        <f t="shared" si="12"/>
        <v>0</v>
      </c>
      <c r="P87" s="204">
        <f t="shared" si="13"/>
        <v>0</v>
      </c>
    </row>
    <row r="88" spans="1:16" x14ac:dyDescent="0.25">
      <c r="A88" s="358">
        <f>IF(COUNTBLANK(B88)=1," ",COUNTA(B$15:B88))</f>
        <v>67</v>
      </c>
      <c r="B88" s="445" t="s">
        <v>299</v>
      </c>
      <c r="C88" s="640" t="s">
        <v>440</v>
      </c>
      <c r="D88" s="638" t="s">
        <v>157</v>
      </c>
      <c r="E88" s="641">
        <f>6.3*0.4</f>
        <v>2.52</v>
      </c>
      <c r="F88" s="452"/>
      <c r="G88" s="447"/>
      <c r="H88" s="208">
        <f t="shared" si="7"/>
        <v>0</v>
      </c>
      <c r="I88" s="454"/>
      <c r="J88" s="454"/>
      <c r="K88" s="204">
        <f t="shared" si="8"/>
        <v>0</v>
      </c>
      <c r="L88" s="204">
        <f t="shared" si="9"/>
        <v>0</v>
      </c>
      <c r="M88" s="204">
        <f t="shared" si="10"/>
        <v>0</v>
      </c>
      <c r="N88" s="204">
        <f t="shared" si="11"/>
        <v>0</v>
      </c>
      <c r="O88" s="204">
        <f t="shared" si="12"/>
        <v>0</v>
      </c>
      <c r="P88" s="204">
        <f t="shared" si="13"/>
        <v>0</v>
      </c>
    </row>
    <row r="89" spans="1:16" x14ac:dyDescent="0.25">
      <c r="A89" s="358">
        <f>IF(COUNTBLANK(B89)=1," ",COUNTA(B$15:B89))</f>
        <v>68</v>
      </c>
      <c r="B89" s="445" t="s">
        <v>87</v>
      </c>
      <c r="C89" s="640" t="s">
        <v>441</v>
      </c>
      <c r="D89" s="670" t="s">
        <v>129</v>
      </c>
      <c r="E89" s="641">
        <f>E88*1.1</f>
        <v>2.7720000000000002</v>
      </c>
      <c r="F89" s="452"/>
      <c r="G89" s="447"/>
      <c r="H89" s="208">
        <f t="shared" si="7"/>
        <v>0</v>
      </c>
      <c r="I89" s="454"/>
      <c r="J89" s="454"/>
      <c r="K89" s="204">
        <f t="shared" si="8"/>
        <v>0</v>
      </c>
      <c r="L89" s="204">
        <f t="shared" si="9"/>
        <v>0</v>
      </c>
      <c r="M89" s="204">
        <f t="shared" si="10"/>
        <v>0</v>
      </c>
      <c r="N89" s="204">
        <f t="shared" si="11"/>
        <v>0</v>
      </c>
      <c r="O89" s="204">
        <f t="shared" si="12"/>
        <v>0</v>
      </c>
      <c r="P89" s="204">
        <f t="shared" si="13"/>
        <v>0</v>
      </c>
    </row>
    <row r="90" spans="1:16" x14ac:dyDescent="0.25">
      <c r="A90" s="358">
        <f>IF(COUNTBLANK(B90)=1," ",COUNTA(B$15:B90))</f>
        <v>69</v>
      </c>
      <c r="B90" s="445" t="s">
        <v>87</v>
      </c>
      <c r="C90" s="640" t="s">
        <v>442</v>
      </c>
      <c r="D90" s="717" t="s">
        <v>89</v>
      </c>
      <c r="E90" s="650">
        <v>7</v>
      </c>
      <c r="F90" s="452"/>
      <c r="G90" s="447"/>
      <c r="H90" s="208">
        <f t="shared" si="7"/>
        <v>0</v>
      </c>
      <c r="I90" s="454"/>
      <c r="J90" s="454"/>
      <c r="K90" s="204">
        <f t="shared" si="8"/>
        <v>0</v>
      </c>
      <c r="L90" s="204">
        <f t="shared" si="9"/>
        <v>0</v>
      </c>
      <c r="M90" s="204">
        <f t="shared" si="10"/>
        <v>0</v>
      </c>
      <c r="N90" s="204">
        <f t="shared" si="11"/>
        <v>0</v>
      </c>
      <c r="O90" s="204">
        <f t="shared" si="12"/>
        <v>0</v>
      </c>
      <c r="P90" s="204">
        <f t="shared" si="13"/>
        <v>0</v>
      </c>
    </row>
    <row r="91" spans="1:16" ht="33.75" x14ac:dyDescent="0.25">
      <c r="A91" s="358">
        <f>IF(COUNTBLANK(B91)=1," ",COUNTA(B$15:B91))</f>
        <v>70</v>
      </c>
      <c r="B91" s="445" t="s">
        <v>299</v>
      </c>
      <c r="C91" s="640" t="s">
        <v>443</v>
      </c>
      <c r="D91" s="638" t="s">
        <v>89</v>
      </c>
      <c r="E91" s="698">
        <v>7</v>
      </c>
      <c r="F91" s="452"/>
      <c r="G91" s="447"/>
      <c r="H91" s="208">
        <f t="shared" si="7"/>
        <v>0</v>
      </c>
      <c r="I91" s="454"/>
      <c r="J91" s="454"/>
      <c r="K91" s="204">
        <f t="shared" si="8"/>
        <v>0</v>
      </c>
      <c r="L91" s="204">
        <f t="shared" si="9"/>
        <v>0</v>
      </c>
      <c r="M91" s="204">
        <f t="shared" si="10"/>
        <v>0</v>
      </c>
      <c r="N91" s="204">
        <f t="shared" si="11"/>
        <v>0</v>
      </c>
      <c r="O91" s="204">
        <f t="shared" si="12"/>
        <v>0</v>
      </c>
      <c r="P91" s="204">
        <f t="shared" si="13"/>
        <v>0</v>
      </c>
    </row>
    <row r="92" spans="1:16" x14ac:dyDescent="0.25">
      <c r="A92" s="358">
        <f>IF(COUNTBLANK(B92)=1," ",COUNTA(B$15:B92))</f>
        <v>71</v>
      </c>
      <c r="B92" s="445" t="s">
        <v>299</v>
      </c>
      <c r="C92" s="681" t="s">
        <v>177</v>
      </c>
      <c r="D92" s="718" t="s">
        <v>89</v>
      </c>
      <c r="E92" s="648">
        <f>ROUNDUP(E91*1.1,0)</f>
        <v>8</v>
      </c>
      <c r="F92" s="452"/>
      <c r="G92" s="447"/>
      <c r="H92" s="208">
        <f t="shared" si="7"/>
        <v>0</v>
      </c>
      <c r="I92" s="454"/>
      <c r="J92" s="454"/>
      <c r="K92" s="204">
        <f t="shared" si="8"/>
        <v>0</v>
      </c>
      <c r="L92" s="204">
        <f t="shared" si="9"/>
        <v>0</v>
      </c>
      <c r="M92" s="204">
        <f t="shared" si="10"/>
        <v>0</v>
      </c>
      <c r="N92" s="204">
        <f t="shared" si="11"/>
        <v>0</v>
      </c>
      <c r="O92" s="204">
        <f t="shared" si="12"/>
        <v>0</v>
      </c>
      <c r="P92" s="204">
        <f t="shared" si="13"/>
        <v>0</v>
      </c>
    </row>
    <row r="93" spans="1:16" x14ac:dyDescent="0.25">
      <c r="A93" s="358">
        <f>IF(COUNTBLANK(B93)=1," ",COUNTA(B$15:B93))</f>
        <v>72</v>
      </c>
      <c r="B93" s="445" t="s">
        <v>87</v>
      </c>
      <c r="C93" s="681" t="s">
        <v>444</v>
      </c>
      <c r="D93" s="718" t="s">
        <v>83</v>
      </c>
      <c r="E93" s="648">
        <f>ROUNDUP(E91*1,0)</f>
        <v>7</v>
      </c>
      <c r="F93" s="452"/>
      <c r="G93" s="447"/>
      <c r="H93" s="208">
        <f t="shared" si="7"/>
        <v>0</v>
      </c>
      <c r="I93" s="454"/>
      <c r="J93" s="454"/>
      <c r="K93" s="204">
        <f t="shared" si="8"/>
        <v>0</v>
      </c>
      <c r="L93" s="204">
        <f t="shared" si="9"/>
        <v>0</v>
      </c>
      <c r="M93" s="204">
        <f t="shared" si="10"/>
        <v>0</v>
      </c>
      <c r="N93" s="204">
        <f t="shared" si="11"/>
        <v>0</v>
      </c>
      <c r="O93" s="204">
        <f t="shared" si="12"/>
        <v>0</v>
      </c>
      <c r="P93" s="204">
        <f t="shared" si="13"/>
        <v>0</v>
      </c>
    </row>
    <row r="94" spans="1:16" x14ac:dyDescent="0.25">
      <c r="A94" s="358">
        <f>IF(COUNTBLANK(B94)=1," ",COUNTA(B$15:B94))</f>
        <v>73</v>
      </c>
      <c r="B94" s="445" t="s">
        <v>87</v>
      </c>
      <c r="C94" s="681" t="s">
        <v>178</v>
      </c>
      <c r="D94" s="718" t="s">
        <v>83</v>
      </c>
      <c r="E94" s="648">
        <f>ROUNDUP(E91*0.06,0)</f>
        <v>1</v>
      </c>
      <c r="F94" s="452"/>
      <c r="G94" s="447"/>
      <c r="H94" s="208">
        <f t="shared" si="7"/>
        <v>0</v>
      </c>
      <c r="I94" s="454"/>
      <c r="J94" s="454"/>
      <c r="K94" s="204">
        <f t="shared" si="8"/>
        <v>0</v>
      </c>
      <c r="L94" s="204">
        <f t="shared" si="9"/>
        <v>0</v>
      </c>
      <c r="M94" s="204">
        <f t="shared" si="10"/>
        <v>0</v>
      </c>
      <c r="N94" s="204">
        <f t="shared" si="11"/>
        <v>0</v>
      </c>
      <c r="O94" s="204">
        <f t="shared" si="12"/>
        <v>0</v>
      </c>
      <c r="P94" s="204">
        <f t="shared" si="13"/>
        <v>0</v>
      </c>
    </row>
    <row r="95" spans="1:16" x14ac:dyDescent="0.25">
      <c r="A95" s="358">
        <f>IF(COUNTBLANK(B95)=1," ",COUNTA(B$15:B95))</f>
        <v>74</v>
      </c>
      <c r="B95" s="445" t="s">
        <v>87</v>
      </c>
      <c r="C95" s="719" t="s">
        <v>179</v>
      </c>
      <c r="D95" s="718" t="s">
        <v>83</v>
      </c>
      <c r="E95" s="648">
        <f>ROUNDUP(E91*2,0)</f>
        <v>14</v>
      </c>
      <c r="F95" s="452"/>
      <c r="G95" s="447"/>
      <c r="H95" s="208">
        <f t="shared" si="7"/>
        <v>0</v>
      </c>
      <c r="I95" s="454"/>
      <c r="J95" s="454"/>
      <c r="K95" s="204">
        <f t="shared" si="8"/>
        <v>0</v>
      </c>
      <c r="L95" s="204">
        <f t="shared" si="9"/>
        <v>0</v>
      </c>
      <c r="M95" s="204">
        <f t="shared" si="10"/>
        <v>0</v>
      </c>
      <c r="N95" s="204">
        <f t="shared" si="11"/>
        <v>0</v>
      </c>
      <c r="O95" s="204">
        <f t="shared" si="12"/>
        <v>0</v>
      </c>
      <c r="P95" s="204">
        <f t="shared" si="13"/>
        <v>0</v>
      </c>
    </row>
    <row r="96" spans="1:16" x14ac:dyDescent="0.25">
      <c r="A96" s="358">
        <f>IF(COUNTBLANK(B96)=1," ",COUNTA(B$15:B96))</f>
        <v>75</v>
      </c>
      <c r="B96" s="445" t="s">
        <v>87</v>
      </c>
      <c r="C96" s="720" t="s">
        <v>445</v>
      </c>
      <c r="D96" s="718" t="s">
        <v>83</v>
      </c>
      <c r="E96" s="648">
        <f>ROUNDUP(E91*0.06,0)</f>
        <v>1</v>
      </c>
      <c r="F96" s="452"/>
      <c r="G96" s="447"/>
      <c r="H96" s="208">
        <f t="shared" si="7"/>
        <v>0</v>
      </c>
      <c r="I96" s="454"/>
      <c r="J96" s="454"/>
      <c r="K96" s="204">
        <f t="shared" si="8"/>
        <v>0</v>
      </c>
      <c r="L96" s="204">
        <f t="shared" si="9"/>
        <v>0</v>
      </c>
      <c r="M96" s="204">
        <f t="shared" si="10"/>
        <v>0</v>
      </c>
      <c r="N96" s="204">
        <f t="shared" si="11"/>
        <v>0</v>
      </c>
      <c r="O96" s="204">
        <f t="shared" si="12"/>
        <v>0</v>
      </c>
      <c r="P96" s="204">
        <f t="shared" si="13"/>
        <v>0</v>
      </c>
    </row>
    <row r="97" spans="1:16" x14ac:dyDescent="0.25">
      <c r="A97" s="358">
        <f>IF(COUNTBLANK(B97)=1," ",COUNTA(B$15:B97))</f>
        <v>76</v>
      </c>
      <c r="B97" s="445" t="s">
        <v>87</v>
      </c>
      <c r="C97" s="719" t="s">
        <v>180</v>
      </c>
      <c r="D97" s="718" t="s">
        <v>83</v>
      </c>
      <c r="E97" s="648">
        <f>ROUNDUP(E92*3,0)</f>
        <v>24</v>
      </c>
      <c r="F97" s="452"/>
      <c r="G97" s="447"/>
      <c r="H97" s="208">
        <f t="shared" si="7"/>
        <v>0</v>
      </c>
      <c r="I97" s="454"/>
      <c r="J97" s="454"/>
      <c r="K97" s="204">
        <f t="shared" si="8"/>
        <v>0</v>
      </c>
      <c r="L97" s="204">
        <f t="shared" si="9"/>
        <v>0</v>
      </c>
      <c r="M97" s="204">
        <f t="shared" si="10"/>
        <v>0</v>
      </c>
      <c r="N97" s="204">
        <f t="shared" si="11"/>
        <v>0</v>
      </c>
      <c r="O97" s="204">
        <f t="shared" si="12"/>
        <v>0</v>
      </c>
      <c r="P97" s="204">
        <f t="shared" si="13"/>
        <v>0</v>
      </c>
    </row>
    <row r="98" spans="1:16" ht="33.75" x14ac:dyDescent="0.25">
      <c r="A98" s="358">
        <f>IF(COUNTBLANK(B98)=1," ",COUNTA(B$15:B98))</f>
        <v>77</v>
      </c>
      <c r="B98" s="445" t="s">
        <v>87</v>
      </c>
      <c r="C98" s="640" t="s">
        <v>446</v>
      </c>
      <c r="D98" s="638" t="s">
        <v>89</v>
      </c>
      <c r="E98" s="698">
        <v>2.8</v>
      </c>
      <c r="F98" s="452"/>
      <c r="G98" s="447"/>
      <c r="H98" s="208">
        <f t="shared" si="7"/>
        <v>0</v>
      </c>
      <c r="I98" s="454"/>
      <c r="J98" s="454"/>
      <c r="K98" s="204">
        <f t="shared" si="8"/>
        <v>0</v>
      </c>
      <c r="L98" s="204">
        <f t="shared" si="9"/>
        <v>0</v>
      </c>
      <c r="M98" s="204">
        <f t="shared" si="10"/>
        <v>0</v>
      </c>
      <c r="N98" s="204">
        <f t="shared" si="11"/>
        <v>0</v>
      </c>
      <c r="O98" s="204">
        <f t="shared" si="12"/>
        <v>0</v>
      </c>
      <c r="P98" s="204">
        <f t="shared" si="13"/>
        <v>0</v>
      </c>
    </row>
    <row r="99" spans="1:16" x14ac:dyDescent="0.25">
      <c r="A99" s="358">
        <f>IF(COUNTBLANK(B99)=1," ",COUNTA(B$15:B99))</f>
        <v>78</v>
      </c>
      <c r="B99" s="445" t="s">
        <v>87</v>
      </c>
      <c r="C99" s="681" t="s">
        <v>181</v>
      </c>
      <c r="D99" s="718" t="s">
        <v>89</v>
      </c>
      <c r="E99" s="659">
        <f>ROUNDUP(E98*1.05,2)</f>
        <v>2.94</v>
      </c>
      <c r="F99" s="452"/>
      <c r="G99" s="447"/>
      <c r="H99" s="208">
        <f t="shared" si="7"/>
        <v>0</v>
      </c>
      <c r="I99" s="454"/>
      <c r="J99" s="454"/>
      <c r="K99" s="204">
        <f t="shared" si="8"/>
        <v>0</v>
      </c>
      <c r="L99" s="204">
        <f t="shared" si="9"/>
        <v>0</v>
      </c>
      <c r="M99" s="204">
        <f t="shared" si="10"/>
        <v>0</v>
      </c>
      <c r="N99" s="204">
        <f t="shared" si="11"/>
        <v>0</v>
      </c>
      <c r="O99" s="204">
        <f t="shared" si="12"/>
        <v>0</v>
      </c>
      <c r="P99" s="204">
        <f t="shared" si="13"/>
        <v>0</v>
      </c>
    </row>
    <row r="100" spans="1:16" x14ac:dyDescent="0.25">
      <c r="A100" s="358">
        <f>IF(COUNTBLANK(B100)=1," ",COUNTA(B$15:B100))</f>
        <v>79</v>
      </c>
      <c r="B100" s="445" t="s">
        <v>87</v>
      </c>
      <c r="C100" s="681" t="s">
        <v>182</v>
      </c>
      <c r="D100" s="718" t="s">
        <v>83</v>
      </c>
      <c r="E100" s="659">
        <f>ROUNDUP(E98*0.61,0)</f>
        <v>2</v>
      </c>
      <c r="F100" s="452"/>
      <c r="G100" s="447"/>
      <c r="H100" s="208">
        <f t="shared" si="7"/>
        <v>0</v>
      </c>
      <c r="I100" s="454"/>
      <c r="J100" s="454"/>
      <c r="K100" s="204">
        <f t="shared" si="8"/>
        <v>0</v>
      </c>
      <c r="L100" s="204">
        <f t="shared" si="9"/>
        <v>0</v>
      </c>
      <c r="M100" s="204">
        <f t="shared" si="10"/>
        <v>0</v>
      </c>
      <c r="N100" s="204">
        <f t="shared" si="11"/>
        <v>0</v>
      </c>
      <c r="O100" s="204">
        <f t="shared" si="12"/>
        <v>0</v>
      </c>
      <c r="P100" s="204">
        <f t="shared" si="13"/>
        <v>0</v>
      </c>
    </row>
    <row r="101" spans="1:16" x14ac:dyDescent="0.25">
      <c r="A101" s="358">
        <f>IF(COUNTBLANK(B101)=1," ",COUNTA(B$15:B101))</f>
        <v>80</v>
      </c>
      <c r="B101" s="445" t="s">
        <v>87</v>
      </c>
      <c r="C101" s="681" t="s">
        <v>183</v>
      </c>
      <c r="D101" s="718" t="s">
        <v>83</v>
      </c>
      <c r="E101" s="659">
        <f>ROUNDUP(E98*0.34,0)</f>
        <v>1</v>
      </c>
      <c r="F101" s="452"/>
      <c r="G101" s="447"/>
      <c r="H101" s="208">
        <f t="shared" si="7"/>
        <v>0</v>
      </c>
      <c r="I101" s="454"/>
      <c r="J101" s="454"/>
      <c r="K101" s="204">
        <f t="shared" si="8"/>
        <v>0</v>
      </c>
      <c r="L101" s="204">
        <f t="shared" si="9"/>
        <v>0</v>
      </c>
      <c r="M101" s="204">
        <f t="shared" si="10"/>
        <v>0</v>
      </c>
      <c r="N101" s="204">
        <f t="shared" si="11"/>
        <v>0</v>
      </c>
      <c r="O101" s="204">
        <f t="shared" si="12"/>
        <v>0</v>
      </c>
      <c r="P101" s="204">
        <f t="shared" si="13"/>
        <v>0</v>
      </c>
    </row>
    <row r="102" spans="1:16" x14ac:dyDescent="0.25">
      <c r="A102" s="358">
        <f>IF(COUNTBLANK(B102)=1," ",COUNTA(B$15:B102))</f>
        <v>81</v>
      </c>
      <c r="B102" s="445" t="s">
        <v>87</v>
      </c>
      <c r="C102" s="681" t="s">
        <v>184</v>
      </c>
      <c r="D102" s="718" t="s">
        <v>83</v>
      </c>
      <c r="E102" s="659">
        <f>ROUNDUP(E98*1.17,0)</f>
        <v>4</v>
      </c>
      <c r="F102" s="452"/>
      <c r="G102" s="447"/>
      <c r="H102" s="208">
        <f t="shared" si="7"/>
        <v>0</v>
      </c>
      <c r="I102" s="454"/>
      <c r="J102" s="454"/>
      <c r="K102" s="204">
        <f t="shared" si="8"/>
        <v>0</v>
      </c>
      <c r="L102" s="204">
        <f t="shared" si="9"/>
        <v>0</v>
      </c>
      <c r="M102" s="204">
        <f t="shared" si="10"/>
        <v>0</v>
      </c>
      <c r="N102" s="204">
        <f t="shared" si="11"/>
        <v>0</v>
      </c>
      <c r="O102" s="204">
        <f t="shared" si="12"/>
        <v>0</v>
      </c>
      <c r="P102" s="204">
        <f t="shared" si="13"/>
        <v>0</v>
      </c>
    </row>
    <row r="103" spans="1:16" x14ac:dyDescent="0.25">
      <c r="A103" s="358" t="str">
        <f>IF(COUNTBLANK(B103)=1," ",COUNTA(B$15:B103))</f>
        <v xml:space="preserve"> </v>
      </c>
      <c r="B103" s="445"/>
      <c r="C103" s="726" t="s">
        <v>300</v>
      </c>
      <c r="D103" s="326"/>
      <c r="E103" s="455"/>
      <c r="F103" s="452"/>
      <c r="G103" s="447"/>
      <c r="H103" s="208">
        <f t="shared" si="7"/>
        <v>0</v>
      </c>
      <c r="I103" s="454"/>
      <c r="J103" s="454"/>
      <c r="K103" s="204">
        <f t="shared" si="8"/>
        <v>0</v>
      </c>
      <c r="L103" s="204">
        <f t="shared" si="9"/>
        <v>0</v>
      </c>
      <c r="M103" s="204">
        <f t="shared" si="10"/>
        <v>0</v>
      </c>
      <c r="N103" s="204">
        <f t="shared" si="11"/>
        <v>0</v>
      </c>
      <c r="O103" s="204">
        <f t="shared" si="12"/>
        <v>0</v>
      </c>
      <c r="P103" s="204">
        <f t="shared" si="13"/>
        <v>0</v>
      </c>
    </row>
    <row r="104" spans="1:16" ht="22.5" x14ac:dyDescent="0.25">
      <c r="A104" s="358">
        <f>IF(COUNTBLANK(B104)=1," ",COUNTA(B$15:B104))</f>
        <v>82</v>
      </c>
      <c r="B104" s="445" t="s">
        <v>87</v>
      </c>
      <c r="C104" s="640" t="s">
        <v>447</v>
      </c>
      <c r="D104" s="721" t="s">
        <v>57</v>
      </c>
      <c r="E104" s="530">
        <v>10.5</v>
      </c>
      <c r="F104" s="174"/>
      <c r="G104" s="175"/>
      <c r="H104" s="208">
        <f t="shared" si="7"/>
        <v>0</v>
      </c>
      <c r="I104" s="173"/>
      <c r="J104" s="173"/>
      <c r="K104" s="204">
        <f t="shared" si="8"/>
        <v>0</v>
      </c>
      <c r="L104" s="204">
        <f t="shared" si="9"/>
        <v>0</v>
      </c>
      <c r="M104" s="204">
        <f t="shared" si="10"/>
        <v>0</v>
      </c>
      <c r="N104" s="204">
        <f t="shared" si="11"/>
        <v>0</v>
      </c>
      <c r="O104" s="204">
        <f t="shared" si="12"/>
        <v>0</v>
      </c>
      <c r="P104" s="204">
        <f t="shared" si="13"/>
        <v>0</v>
      </c>
    </row>
    <row r="105" spans="1:16" x14ac:dyDescent="0.25">
      <c r="A105" s="358">
        <f>IF(COUNTBLANK(B105)=1," ",COUNTA(B$15:B105))</f>
        <v>83</v>
      </c>
      <c r="B105" s="445" t="s">
        <v>87</v>
      </c>
      <c r="C105" s="640" t="s">
        <v>448</v>
      </c>
      <c r="D105" s="721" t="s">
        <v>57</v>
      </c>
      <c r="E105" s="530">
        <v>3</v>
      </c>
      <c r="F105" s="174"/>
      <c r="G105" s="175"/>
      <c r="H105" s="208">
        <f t="shared" si="7"/>
        <v>0</v>
      </c>
      <c r="I105" s="174"/>
      <c r="J105" s="174"/>
      <c r="K105" s="204">
        <f t="shared" si="8"/>
        <v>0</v>
      </c>
      <c r="L105" s="204">
        <f t="shared" si="9"/>
        <v>0</v>
      </c>
      <c r="M105" s="204">
        <f t="shared" si="10"/>
        <v>0</v>
      </c>
      <c r="N105" s="204">
        <f t="shared" si="11"/>
        <v>0</v>
      </c>
      <c r="O105" s="204">
        <f t="shared" si="12"/>
        <v>0</v>
      </c>
      <c r="P105" s="204">
        <f t="shared" si="13"/>
        <v>0</v>
      </c>
    </row>
    <row r="106" spans="1:16" x14ac:dyDescent="0.25">
      <c r="A106" s="358">
        <f>IF(COUNTBLANK(B106)=1," ",COUNTA(B$15:B106))</f>
        <v>84</v>
      </c>
      <c r="B106" s="445" t="s">
        <v>87</v>
      </c>
      <c r="C106" s="722" t="s">
        <v>449</v>
      </c>
      <c r="D106" s="721" t="s">
        <v>90</v>
      </c>
      <c r="E106" s="530">
        <f>E105*1.7</f>
        <v>5.0999999999999996</v>
      </c>
      <c r="F106" s="235"/>
      <c r="G106" s="175"/>
      <c r="H106" s="208">
        <f t="shared" si="7"/>
        <v>0</v>
      </c>
      <c r="I106" s="235"/>
      <c r="J106" s="236"/>
      <c r="K106" s="204">
        <f t="shared" si="8"/>
        <v>0</v>
      </c>
      <c r="L106" s="204">
        <f t="shared" si="9"/>
        <v>0</v>
      </c>
      <c r="M106" s="204">
        <f t="shared" si="10"/>
        <v>0</v>
      </c>
      <c r="N106" s="204">
        <f t="shared" si="11"/>
        <v>0</v>
      </c>
      <c r="O106" s="204">
        <f t="shared" si="12"/>
        <v>0</v>
      </c>
      <c r="P106" s="204">
        <f t="shared" si="13"/>
        <v>0</v>
      </c>
    </row>
    <row r="107" spans="1:16" x14ac:dyDescent="0.25">
      <c r="A107" s="358">
        <f>IF(COUNTBLANK(B107)=1," ",COUNTA(B$15:B107))</f>
        <v>85</v>
      </c>
      <c r="B107" s="445" t="s">
        <v>87</v>
      </c>
      <c r="C107" s="640" t="s">
        <v>450</v>
      </c>
      <c r="D107" s="721" t="s">
        <v>57</v>
      </c>
      <c r="E107" s="530">
        <f>E104</f>
        <v>10.5</v>
      </c>
      <c r="F107" s="174"/>
      <c r="G107" s="175"/>
      <c r="H107" s="208">
        <f t="shared" si="7"/>
        <v>0</v>
      </c>
      <c r="I107" s="174"/>
      <c r="J107" s="174"/>
      <c r="K107" s="204">
        <f t="shared" si="8"/>
        <v>0</v>
      </c>
      <c r="L107" s="204">
        <f t="shared" si="9"/>
        <v>0</v>
      </c>
      <c r="M107" s="204">
        <f t="shared" si="10"/>
        <v>0</v>
      </c>
      <c r="N107" s="204">
        <f t="shared" si="11"/>
        <v>0</v>
      </c>
      <c r="O107" s="204">
        <f t="shared" si="12"/>
        <v>0</v>
      </c>
      <c r="P107" s="204">
        <f t="shared" si="13"/>
        <v>0</v>
      </c>
    </row>
    <row r="108" spans="1:16" x14ac:dyDescent="0.25">
      <c r="A108" s="358">
        <f>IF(COUNTBLANK(B108)=1," ",COUNTA(B$15:B108))</f>
        <v>86</v>
      </c>
      <c r="B108" s="445" t="s">
        <v>87</v>
      </c>
      <c r="C108" s="722" t="s">
        <v>451</v>
      </c>
      <c r="D108" s="721" t="s">
        <v>90</v>
      </c>
      <c r="E108" s="530">
        <f>E107*2</f>
        <v>21</v>
      </c>
      <c r="F108" s="174"/>
      <c r="G108" s="175"/>
      <c r="H108" s="208">
        <f t="shared" si="7"/>
        <v>0</v>
      </c>
      <c r="I108" s="174"/>
      <c r="J108" s="174"/>
      <c r="K108" s="204">
        <f t="shared" si="8"/>
        <v>0</v>
      </c>
      <c r="L108" s="204">
        <f t="shared" si="9"/>
        <v>0</v>
      </c>
      <c r="M108" s="204">
        <f t="shared" si="10"/>
        <v>0</v>
      </c>
      <c r="N108" s="204">
        <f t="shared" si="11"/>
        <v>0</v>
      </c>
      <c r="O108" s="204">
        <f t="shared" si="12"/>
        <v>0</v>
      </c>
      <c r="P108" s="204">
        <f t="shared" si="13"/>
        <v>0</v>
      </c>
    </row>
    <row r="109" spans="1:16" ht="22.5" x14ac:dyDescent="0.25">
      <c r="A109" s="358">
        <f>IF(COUNTBLANK(B109)=1," ",COUNTA(B$15:B109))</f>
        <v>87</v>
      </c>
      <c r="B109" s="445" t="s">
        <v>87</v>
      </c>
      <c r="C109" s="640" t="s">
        <v>452</v>
      </c>
      <c r="D109" s="721" t="s">
        <v>57</v>
      </c>
      <c r="E109" s="530">
        <f>E107</f>
        <v>10.5</v>
      </c>
      <c r="F109" s="235"/>
      <c r="G109" s="175"/>
      <c r="H109" s="208">
        <f t="shared" si="7"/>
        <v>0</v>
      </c>
      <c r="I109" s="235"/>
      <c r="J109" s="236"/>
      <c r="K109" s="204">
        <f t="shared" si="8"/>
        <v>0</v>
      </c>
      <c r="L109" s="204">
        <f t="shared" si="9"/>
        <v>0</v>
      </c>
      <c r="M109" s="204">
        <f t="shared" si="10"/>
        <v>0</v>
      </c>
      <c r="N109" s="204">
        <f t="shared" si="11"/>
        <v>0</v>
      </c>
      <c r="O109" s="204">
        <f t="shared" si="12"/>
        <v>0</v>
      </c>
      <c r="P109" s="204">
        <f t="shared" si="13"/>
        <v>0</v>
      </c>
    </row>
    <row r="110" spans="1:16" ht="22.5" x14ac:dyDescent="0.25">
      <c r="A110" s="358">
        <f>IF(COUNTBLANK(B110)=1," ",COUNTA(B$15:B110))</f>
        <v>88</v>
      </c>
      <c r="B110" s="172" t="s">
        <v>87</v>
      </c>
      <c r="C110" s="640" t="s">
        <v>453</v>
      </c>
      <c r="D110" s="721" t="s">
        <v>57</v>
      </c>
      <c r="E110" s="530">
        <v>10.5</v>
      </c>
      <c r="F110" s="174"/>
      <c r="G110" s="175"/>
      <c r="H110" s="208">
        <f t="shared" si="7"/>
        <v>0</v>
      </c>
      <c r="I110" s="174"/>
      <c r="J110" s="174"/>
      <c r="K110" s="204">
        <f t="shared" si="8"/>
        <v>0</v>
      </c>
      <c r="L110" s="204">
        <f t="shared" si="9"/>
        <v>0</v>
      </c>
      <c r="M110" s="204">
        <f t="shared" si="10"/>
        <v>0</v>
      </c>
      <c r="N110" s="204">
        <f t="shared" si="11"/>
        <v>0</v>
      </c>
      <c r="O110" s="204">
        <f t="shared" si="12"/>
        <v>0</v>
      </c>
      <c r="P110" s="204">
        <f t="shared" si="13"/>
        <v>0</v>
      </c>
    </row>
    <row r="111" spans="1:16" x14ac:dyDescent="0.25">
      <c r="A111" s="358">
        <f>IF(COUNTBLANK(B111)=1," ",COUNTA(B$15:B111))</f>
        <v>89</v>
      </c>
      <c r="B111" s="172" t="s">
        <v>87</v>
      </c>
      <c r="C111" s="681" t="s">
        <v>411</v>
      </c>
      <c r="D111" s="682" t="s">
        <v>90</v>
      </c>
      <c r="E111" s="683">
        <f>ROUNDUP(E110*0.2,2)</f>
        <v>2.1</v>
      </c>
      <c r="F111" s="174"/>
      <c r="G111" s="175"/>
      <c r="H111" s="208">
        <f t="shared" si="7"/>
        <v>0</v>
      </c>
      <c r="I111" s="174"/>
      <c r="J111" s="174"/>
      <c r="K111" s="204">
        <f t="shared" si="8"/>
        <v>0</v>
      </c>
      <c r="L111" s="204">
        <f t="shared" si="9"/>
        <v>0</v>
      </c>
      <c r="M111" s="204">
        <f t="shared" si="10"/>
        <v>0</v>
      </c>
      <c r="N111" s="204">
        <f t="shared" si="11"/>
        <v>0</v>
      </c>
      <c r="O111" s="204">
        <f t="shared" si="12"/>
        <v>0</v>
      </c>
      <c r="P111" s="204">
        <f t="shared" si="13"/>
        <v>0</v>
      </c>
    </row>
    <row r="112" spans="1:16" x14ac:dyDescent="0.25">
      <c r="A112" s="358">
        <f>IF(COUNTBLANK(B112)=1," ",COUNTA(B$15:B112))</f>
        <v>90</v>
      </c>
      <c r="B112" s="172" t="s">
        <v>87</v>
      </c>
      <c r="C112" s="681" t="s">
        <v>293</v>
      </c>
      <c r="D112" s="682" t="s">
        <v>90</v>
      </c>
      <c r="E112" s="683">
        <f>ROUNDUP(E110*0.6,2)</f>
        <v>6.3</v>
      </c>
      <c r="F112" s="450"/>
      <c r="G112" s="447"/>
      <c r="H112" s="208">
        <f t="shared" si="7"/>
        <v>0</v>
      </c>
      <c r="I112" s="450"/>
      <c r="J112" s="450"/>
      <c r="K112" s="204">
        <f t="shared" si="8"/>
        <v>0</v>
      </c>
      <c r="L112" s="204">
        <f t="shared" si="9"/>
        <v>0</v>
      </c>
      <c r="M112" s="204">
        <f t="shared" si="10"/>
        <v>0</v>
      </c>
      <c r="N112" s="204">
        <f t="shared" si="11"/>
        <v>0</v>
      </c>
      <c r="O112" s="204">
        <f t="shared" si="12"/>
        <v>0</v>
      </c>
      <c r="P112" s="204">
        <f t="shared" si="13"/>
        <v>0</v>
      </c>
    </row>
    <row r="113" spans="1:16" x14ac:dyDescent="0.25">
      <c r="A113" s="358">
        <f>IF(COUNTBLANK(B113)=1," ",COUNTA(B$15:B113))</f>
        <v>91</v>
      </c>
      <c r="B113" s="172" t="s">
        <v>87</v>
      </c>
      <c r="C113" s="681" t="s">
        <v>412</v>
      </c>
      <c r="D113" s="682" t="s">
        <v>90</v>
      </c>
      <c r="E113" s="683">
        <f>ROUNDUP(E110*0.3,2)</f>
        <v>3.15</v>
      </c>
      <c r="F113" s="174"/>
      <c r="G113" s="175"/>
      <c r="H113" s="208">
        <f t="shared" si="7"/>
        <v>0</v>
      </c>
      <c r="I113" s="174"/>
      <c r="J113" s="174"/>
      <c r="K113" s="204">
        <f t="shared" si="8"/>
        <v>0</v>
      </c>
      <c r="L113" s="204">
        <f t="shared" si="9"/>
        <v>0</v>
      </c>
      <c r="M113" s="204">
        <f t="shared" si="10"/>
        <v>0</v>
      </c>
      <c r="N113" s="204">
        <f t="shared" si="11"/>
        <v>0</v>
      </c>
      <c r="O113" s="204">
        <f t="shared" si="12"/>
        <v>0</v>
      </c>
      <c r="P113" s="204">
        <f t="shared" si="13"/>
        <v>0</v>
      </c>
    </row>
    <row r="114" spans="1:16" x14ac:dyDescent="0.25">
      <c r="A114" s="358">
        <f>IF(COUNTBLANK(B114)=1," ",COUNTA(B$15:B114))</f>
        <v>92</v>
      </c>
      <c r="B114" s="172" t="s">
        <v>87</v>
      </c>
      <c r="C114" s="723" t="s">
        <v>86</v>
      </c>
      <c r="D114" s="721" t="s">
        <v>85</v>
      </c>
      <c r="E114" s="724">
        <v>7</v>
      </c>
      <c r="F114" s="174"/>
      <c r="G114" s="175"/>
      <c r="H114" s="208">
        <f t="shared" si="7"/>
        <v>0</v>
      </c>
      <c r="I114" s="174"/>
      <c r="J114" s="174"/>
      <c r="K114" s="204">
        <f t="shared" si="8"/>
        <v>0</v>
      </c>
      <c r="L114" s="204">
        <f t="shared" si="9"/>
        <v>0</v>
      </c>
      <c r="M114" s="204">
        <f t="shared" si="10"/>
        <v>0</v>
      </c>
      <c r="N114" s="204">
        <f t="shared" si="11"/>
        <v>0</v>
      </c>
      <c r="O114" s="204">
        <f t="shared" si="12"/>
        <v>0</v>
      </c>
      <c r="P114" s="204">
        <f t="shared" si="13"/>
        <v>0</v>
      </c>
    </row>
    <row r="115" spans="1:16" ht="15.75" thickBot="1" x14ac:dyDescent="0.3">
      <c r="A115" s="358">
        <f>IF(COUNTBLANK(B115)=1," ",COUNTA(B$15:B115))</f>
        <v>93</v>
      </c>
      <c r="B115" s="172" t="s">
        <v>87</v>
      </c>
      <c r="C115" s="723" t="s">
        <v>84</v>
      </c>
      <c r="D115" s="725" t="s">
        <v>83</v>
      </c>
      <c r="E115" s="621">
        <f>ROUNDUP(E114*0.14,0)</f>
        <v>1</v>
      </c>
      <c r="F115" s="233"/>
      <c r="G115" s="175"/>
      <c r="H115" s="208">
        <f t="shared" si="7"/>
        <v>0</v>
      </c>
      <c r="I115" s="234"/>
      <c r="J115" s="234"/>
      <c r="K115" s="204">
        <f t="shared" si="8"/>
        <v>0</v>
      </c>
      <c r="L115" s="204">
        <f t="shared" si="9"/>
        <v>0</v>
      </c>
      <c r="M115" s="204">
        <f t="shared" si="10"/>
        <v>0</v>
      </c>
      <c r="N115" s="204">
        <f t="shared" si="11"/>
        <v>0</v>
      </c>
      <c r="O115" s="204">
        <f t="shared" si="12"/>
        <v>0</v>
      </c>
      <c r="P115" s="204">
        <f t="shared" si="13"/>
        <v>0</v>
      </c>
    </row>
    <row r="116" spans="1:16" s="1" customFormat="1" ht="12" customHeight="1" thickBot="1" x14ac:dyDescent="0.25">
      <c r="A116" s="965" t="s">
        <v>626</v>
      </c>
      <c r="B116" s="966"/>
      <c r="C116" s="966"/>
      <c r="D116" s="966"/>
      <c r="E116" s="966"/>
      <c r="F116" s="966"/>
      <c r="G116" s="966"/>
      <c r="H116" s="966"/>
      <c r="I116" s="966"/>
      <c r="J116" s="966"/>
      <c r="K116" s="967"/>
      <c r="L116" s="53">
        <f>SUM(L14:L115)</f>
        <v>0</v>
      </c>
      <c r="M116" s="54">
        <f>SUM(M14:M115)</f>
        <v>0</v>
      </c>
      <c r="N116" s="54">
        <f>SUM(N14:N115)</f>
        <v>0</v>
      </c>
      <c r="O116" s="54">
        <f>SUM(O14:O115)</f>
        <v>0</v>
      </c>
      <c r="P116" s="55">
        <f>SUM(P14:P115)</f>
        <v>0</v>
      </c>
    </row>
    <row r="117" spans="1:16" s="1" customFormat="1" ht="11.25" x14ac:dyDescent="0.2">
      <c r="A117" s="14"/>
      <c r="B117" s="14"/>
      <c r="C117" s="14"/>
      <c r="D117" s="14"/>
      <c r="E117" s="14"/>
      <c r="F117" s="14"/>
      <c r="G117" s="14"/>
      <c r="H117" s="14"/>
      <c r="I117" s="14"/>
      <c r="J117" s="14"/>
      <c r="K117" s="14"/>
      <c r="L117" s="14"/>
      <c r="M117" s="14"/>
      <c r="N117" s="14"/>
      <c r="O117" s="14"/>
      <c r="P117" s="14"/>
    </row>
    <row r="118" spans="1:16" s="1" customFormat="1" ht="11.25" x14ac:dyDescent="0.2">
      <c r="A118" s="14"/>
      <c r="B118" s="14"/>
      <c r="C118" s="14"/>
      <c r="D118" s="14"/>
      <c r="E118" s="14"/>
      <c r="F118" s="14"/>
      <c r="G118" s="14"/>
      <c r="H118" s="14"/>
      <c r="I118" s="14"/>
      <c r="J118" s="14"/>
      <c r="K118" s="14"/>
      <c r="L118" s="14"/>
      <c r="M118" s="14"/>
      <c r="N118" s="14"/>
      <c r="O118" s="14"/>
      <c r="P118" s="14"/>
    </row>
    <row r="119" spans="1:16" s="1" customFormat="1" ht="11.25" x14ac:dyDescent="0.2">
      <c r="A119" s="1" t="s">
        <v>14</v>
      </c>
      <c r="B119" s="14"/>
      <c r="C119" s="958">
        <f>sas</f>
        <v>0</v>
      </c>
      <c r="D119" s="958"/>
      <c r="E119" s="958"/>
      <c r="F119" s="958"/>
      <c r="G119" s="958"/>
      <c r="H119" s="958"/>
      <c r="I119" s="14"/>
      <c r="J119" s="14"/>
      <c r="K119" s="14"/>
      <c r="L119" s="14"/>
      <c r="M119" s="14"/>
      <c r="N119" s="14"/>
      <c r="O119" s="14"/>
      <c r="P119" s="14"/>
    </row>
    <row r="120" spans="1:16" s="1" customFormat="1" ht="11.25" x14ac:dyDescent="0.2">
      <c r="A120" s="14"/>
      <c r="B120" s="14"/>
      <c r="C120" s="931" t="s">
        <v>15</v>
      </c>
      <c r="D120" s="931"/>
      <c r="E120" s="931"/>
      <c r="F120" s="931"/>
      <c r="G120" s="931"/>
      <c r="H120" s="931"/>
      <c r="I120" s="14"/>
      <c r="J120" s="14"/>
      <c r="K120" s="14"/>
      <c r="L120" s="14"/>
      <c r="M120" s="14"/>
      <c r="N120" s="14"/>
      <c r="O120" s="14"/>
      <c r="P120" s="14"/>
    </row>
    <row r="121" spans="1:16" s="1" customFormat="1" ht="11.25" x14ac:dyDescent="0.2">
      <c r="A121" s="14"/>
      <c r="B121" s="14"/>
      <c r="C121" s="14"/>
      <c r="D121" s="14"/>
      <c r="E121" s="14"/>
      <c r="F121" s="14"/>
      <c r="G121" s="14"/>
      <c r="H121" s="14"/>
      <c r="I121" s="14"/>
      <c r="J121" s="14"/>
      <c r="K121" s="14"/>
      <c r="L121" s="14"/>
      <c r="M121" s="14"/>
      <c r="N121" s="14"/>
      <c r="O121" s="14"/>
      <c r="P121" s="14"/>
    </row>
    <row r="122" spans="1:16" s="1" customFormat="1" ht="11.25" x14ac:dyDescent="0.2">
      <c r="A122" s="34" t="str">
        <f>dat</f>
        <v>Tāme sastādīta 20__. gada __. _________</v>
      </c>
      <c r="B122" s="35"/>
      <c r="C122" s="35"/>
      <c r="D122" s="35"/>
      <c r="E122" s="14"/>
      <c r="F122" s="14"/>
      <c r="G122" s="14"/>
      <c r="H122" s="14"/>
      <c r="I122" s="14"/>
      <c r="J122" s="14"/>
      <c r="K122" s="14"/>
      <c r="L122" s="14"/>
      <c r="M122" s="14"/>
      <c r="N122" s="14"/>
      <c r="O122" s="14"/>
      <c r="P122" s="14"/>
    </row>
    <row r="123" spans="1:16" s="1" customFormat="1" ht="11.25" x14ac:dyDescent="0.2">
      <c r="A123" s="14"/>
      <c r="B123" s="14"/>
      <c r="C123" s="14"/>
      <c r="D123" s="14"/>
      <c r="E123" s="14"/>
      <c r="F123" s="14"/>
      <c r="G123" s="14"/>
      <c r="H123" s="14"/>
      <c r="I123" s="14"/>
      <c r="J123" s="14"/>
      <c r="K123" s="14"/>
      <c r="L123" s="14"/>
      <c r="M123" s="14"/>
      <c r="N123" s="14"/>
      <c r="O123" s="14"/>
      <c r="P123" s="14"/>
    </row>
    <row r="124" spans="1:16" s="1" customFormat="1" ht="11.25" x14ac:dyDescent="0.2">
      <c r="A124" s="1" t="s">
        <v>38</v>
      </c>
      <c r="B124" s="14"/>
      <c r="C124" s="958">
        <f>C119</f>
        <v>0</v>
      </c>
      <c r="D124" s="958"/>
      <c r="E124" s="958"/>
      <c r="F124" s="958"/>
      <c r="G124" s="958"/>
      <c r="H124" s="958"/>
      <c r="I124" s="14"/>
      <c r="J124" s="14"/>
      <c r="K124" s="14"/>
      <c r="L124" s="14"/>
      <c r="M124" s="14"/>
      <c r="N124" s="14"/>
      <c r="O124" s="14"/>
      <c r="P124" s="14"/>
    </row>
    <row r="125" spans="1:16" s="1" customFormat="1" ht="11.25" x14ac:dyDescent="0.2">
      <c r="A125" s="14"/>
      <c r="B125" s="14"/>
      <c r="C125" s="931" t="s">
        <v>15</v>
      </c>
      <c r="D125" s="931"/>
      <c r="E125" s="931"/>
      <c r="F125" s="931"/>
      <c r="G125" s="931"/>
      <c r="H125" s="931"/>
      <c r="I125" s="14"/>
      <c r="J125" s="14"/>
      <c r="K125" s="14"/>
      <c r="L125" s="14"/>
      <c r="M125" s="14"/>
      <c r="N125" s="14"/>
      <c r="O125" s="14"/>
      <c r="P125" s="14"/>
    </row>
    <row r="126" spans="1:16" s="1" customFormat="1" ht="11.25" x14ac:dyDescent="0.2">
      <c r="A126" s="14"/>
      <c r="B126" s="14"/>
      <c r="C126" s="14"/>
      <c r="D126" s="14"/>
      <c r="E126" s="14"/>
      <c r="F126" s="14"/>
      <c r="G126" s="14"/>
      <c r="H126" s="14"/>
      <c r="I126" s="14"/>
      <c r="J126" s="14"/>
      <c r="K126" s="14"/>
      <c r="L126" s="14"/>
      <c r="M126" s="14"/>
      <c r="N126" s="14"/>
      <c r="O126" s="14"/>
      <c r="P126" s="14"/>
    </row>
    <row r="127" spans="1:16" s="1" customFormat="1" ht="11.25" x14ac:dyDescent="0.2">
      <c r="A127" s="34" t="s">
        <v>54</v>
      </c>
      <c r="B127" s="35"/>
      <c r="C127" s="74">
        <f>sert.nr</f>
        <v>0</v>
      </c>
      <c r="D127" s="56"/>
      <c r="E127" s="14"/>
      <c r="F127" s="14"/>
      <c r="G127" s="14"/>
      <c r="H127" s="14"/>
      <c r="I127" s="14"/>
      <c r="J127" s="14"/>
      <c r="K127" s="14"/>
      <c r="L127" s="14"/>
      <c r="M127" s="14"/>
      <c r="N127" s="14"/>
      <c r="O127" s="14"/>
      <c r="P127" s="14"/>
    </row>
    <row r="129" spans="3:3" x14ac:dyDescent="0.25">
      <c r="C129" s="919" t="s">
        <v>623</v>
      </c>
    </row>
    <row r="130" spans="3:3" x14ac:dyDescent="0.25">
      <c r="C130" s="920" t="s">
        <v>624</v>
      </c>
    </row>
    <row r="131" spans="3:3" x14ac:dyDescent="0.25">
      <c r="C131" s="920" t="s">
        <v>625</v>
      </c>
    </row>
  </sheetData>
  <mergeCells count="22">
    <mergeCell ref="D7:L7"/>
    <mergeCell ref="C2:I2"/>
    <mergeCell ref="C3:I3"/>
    <mergeCell ref="C4:I4"/>
    <mergeCell ref="D5:L5"/>
    <mergeCell ref="D6:L6"/>
    <mergeCell ref="N9:O9"/>
    <mergeCell ref="A12:A13"/>
    <mergeCell ref="B12:B13"/>
    <mergeCell ref="C12:C13"/>
    <mergeCell ref="D12:D13"/>
    <mergeCell ref="E12:E13"/>
    <mergeCell ref="F12:K12"/>
    <mergeCell ref="L12:P12"/>
    <mergeCell ref="A116:K116"/>
    <mergeCell ref="C125:H125"/>
    <mergeCell ref="D8:L8"/>
    <mergeCell ref="A9:F9"/>
    <mergeCell ref="J9:M9"/>
    <mergeCell ref="C119:H119"/>
    <mergeCell ref="C120:H120"/>
    <mergeCell ref="C124:H124"/>
  </mergeCells>
  <conditionalFormatting sqref="C4:I4 D5:L8 F98:G103 D104:G115 C96:G97 C104:C109 B96:B109 B110:C115 I14:J115 B14:G95">
    <cfRule type="cellIs" dxfId="71" priority="27" operator="equal">
      <formula>0</formula>
    </cfRule>
  </conditionalFormatting>
  <conditionalFormatting sqref="N9:O9 C2:I2 A14 H14:H115 K14:P115">
    <cfRule type="cellIs" dxfId="70" priority="28" operator="equal">
      <formula>0</formula>
    </cfRule>
  </conditionalFormatting>
  <conditionalFormatting sqref="O10">
    <cfRule type="cellIs" dxfId="69" priority="31" operator="equal">
      <formula>"20__. gada __. _________"</formula>
    </cfRule>
  </conditionalFormatting>
  <conditionalFormatting sqref="L116:P116">
    <cfRule type="cellIs" dxfId="68" priority="33" operator="equal">
      <formula>0</formula>
    </cfRule>
  </conditionalFormatting>
  <conditionalFormatting sqref="P10">
    <cfRule type="cellIs" dxfId="67" priority="40" operator="equal">
      <formula>"20__. gada __. _________"</formula>
    </cfRule>
  </conditionalFormatting>
  <conditionalFormatting sqref="D1">
    <cfRule type="cellIs" dxfId="66" priority="44" operator="equal">
      <formula>0</formula>
    </cfRule>
  </conditionalFormatting>
  <conditionalFormatting sqref="C98:E98">
    <cfRule type="cellIs" dxfId="65" priority="15" operator="equal">
      <formula>0</formula>
    </cfRule>
  </conditionalFormatting>
  <conditionalFormatting sqref="C99:E100 C103:E103 D101:E102">
    <cfRule type="cellIs" dxfId="64" priority="14" operator="equal">
      <formula>0</formula>
    </cfRule>
  </conditionalFormatting>
  <conditionalFormatting sqref="C101">
    <cfRule type="cellIs" dxfId="63" priority="13" operator="equal">
      <formula>0</formula>
    </cfRule>
  </conditionalFormatting>
  <conditionalFormatting sqref="C102">
    <cfRule type="cellIs" dxfId="62" priority="12" operator="equal">
      <formula>0</formula>
    </cfRule>
  </conditionalFormatting>
  <conditionalFormatting sqref="A116:K116">
    <cfRule type="containsText" dxfId="61" priority="9" operator="containsText" text="Tāme sastādīta  20__. gada tirgus cenās, pamatojoties uz ___ daļas rasējumiem"/>
  </conditionalFormatting>
  <conditionalFormatting sqref="A15:A115">
    <cfRule type="cellIs" dxfId="60" priority="8" operator="equal">
      <formula>0</formula>
    </cfRule>
  </conditionalFormatting>
  <conditionalFormatting sqref="C119:H119">
    <cfRule type="cellIs" dxfId="59" priority="2" operator="equal">
      <formula>0</formula>
    </cfRule>
  </conditionalFormatting>
  <conditionalFormatting sqref="C124:H124 C119:H119">
    <cfRule type="cellIs" dxfId="58" priority="3" operator="equal">
      <formula>0</formula>
    </cfRule>
  </conditionalFormatting>
  <conditionalFormatting sqref="C127">
    <cfRule type="cellIs" dxfId="57" priority="4" operator="equal">
      <formula>0</formula>
    </cfRule>
  </conditionalFormatting>
  <conditionalFormatting sqref="A9:F9">
    <cfRule type="containsText" dxfId="56" priority="1" operator="containsText" text="Tāme sastādīta  20__. gada tirgus cenās, pamatojoties uz ___ daļas rasējumiem"/>
  </conditionalFormatting>
  <pageMargins left="0.19685039370078741" right="0.19685039370078741" top="0.75196850393700787" bottom="0.39370078740157483" header="0.51181102362204722" footer="0.51181102362204722"/>
  <pageSetup paperSize="9" scale="94" firstPageNumber="0" orientation="landscape" r:id="rId1"/>
  <rowBreaks count="1" manualBreakCount="1">
    <brk id="109" max="15"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Darblapas</vt:lpstr>
      </vt:variant>
      <vt:variant>
        <vt:i4>13</vt:i4>
      </vt:variant>
      <vt:variant>
        <vt:lpstr>Diapazoni ar nosaukumiem</vt:lpstr>
      </vt:variant>
      <vt:variant>
        <vt:i4>7</vt:i4>
      </vt:variant>
    </vt:vector>
  </HeadingPairs>
  <TitlesOfParts>
    <vt:vector size="20" baseType="lpstr">
      <vt:lpstr>Kopt a</vt:lpstr>
      <vt:lpstr>Kops a</vt:lpstr>
      <vt:lpstr>1a</vt:lpstr>
      <vt:lpstr>2a</vt:lpstr>
      <vt:lpstr>3a</vt:lpstr>
      <vt:lpstr>apjomi</vt:lpstr>
      <vt:lpstr>4a</vt:lpstr>
      <vt:lpstr>5a</vt:lpstr>
      <vt:lpstr>6a</vt:lpstr>
      <vt:lpstr>7a</vt:lpstr>
      <vt:lpstr>8a</vt:lpstr>
      <vt:lpstr>9a</vt:lpstr>
      <vt:lpstr>10a</vt:lpstr>
      <vt:lpstr>dat</vt:lpstr>
      <vt:lpstr>'10a'!Drukas_apgabals</vt:lpstr>
      <vt:lpstr>'2a'!Drukas_apgabals</vt:lpstr>
      <vt:lpstr>'5a'!Drukas_apgabals</vt:lpstr>
      <vt:lpstr>apjomi!Drukas_apgabals</vt:lpstr>
      <vt:lpstr>sas</vt:lpstr>
      <vt:lpstr>sert.nr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Armands Ūbelis</dc:creator>
  <dc:description/>
  <cp:lastModifiedBy>Prezenta</cp:lastModifiedBy>
  <cp:revision>1</cp:revision>
  <cp:lastPrinted>2019-10-09T12:36:28Z</cp:lastPrinted>
  <dcterms:created xsi:type="dcterms:W3CDTF">2019-03-11T11:42:22Z</dcterms:created>
  <dcterms:modified xsi:type="dcterms:W3CDTF">2020-03-17T12:26:20Z</dcterms:modified>
  <dc:language>de-CH</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