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51_M_Kempes_22_2\"/>
    </mc:Choice>
  </mc:AlternateContent>
  <xr:revisionPtr revIDLastSave="0" documentId="13_ncr:1_{C100C9CB-5A60-451E-A6F7-0AED8EE624BE}" xr6:coauthVersionLast="43" xr6:coauthVersionMax="43" xr10:uidLastSave="{00000000-0000-0000-0000-000000000000}"/>
  <bookViews>
    <workbookView xWindow="-120" yWindow="-120" windowWidth="29040" windowHeight="15840" tabRatio="767" firstSheet="1" activeTab="13" xr2:uid="{00000000-000D-0000-FFFF-FFFF00000000}"/>
  </bookViews>
  <sheets>
    <sheet name="KOP" sheetId="1" r:id="rId1"/>
    <sheet name="KPDV" sheetId="2" r:id="rId2"/>
    <sheet name="AR" sheetId="3" r:id="rId3"/>
    <sheet name="Logi" sheetId="4" r:id="rId4"/>
    <sheet name="apjoms" sheetId="5" state="hidden" r:id="rId5"/>
    <sheet name="cokols" sheetId="6" r:id="rId6"/>
    <sheet name="pagrabs" sheetId="7" r:id="rId7"/>
    <sheet name="bēniņi" sheetId="8" r:id="rId8"/>
    <sheet name="jumts" sheetId="9" r:id="rId9"/>
    <sheet name="Ieeja" sheetId="10" r:id="rId10"/>
    <sheet name="lodzijas" sheetId="11" r:id="rId11"/>
    <sheet name="AVK" sheetId="12" r:id="rId12"/>
    <sheet name="U1" sheetId="13" r:id="rId13"/>
    <sheet name="GA" sheetId="14" r:id="rId14"/>
  </sheets>
  <externalReferences>
    <externalReference r:id="rId15"/>
    <externalReference r:id="rId16"/>
  </externalReferences>
  <definedNames>
    <definedName name="_xlnm._FilterDatabase" localSheetId="2" hidden="1">AR!$11:$69</definedName>
    <definedName name="_xlnm._FilterDatabase" localSheetId="7" hidden="1">bēniņi!$11:$67</definedName>
    <definedName name="_xlnm._FilterDatabase" localSheetId="5" hidden="1">cokols!$A$11:$Q$45</definedName>
    <definedName name="_xlnm._FilterDatabase" localSheetId="8" hidden="1">jumts!$11:$271</definedName>
    <definedName name="_xlnm._FilterDatabase" localSheetId="10" hidden="1">lodzijas!$A$12:$Q$69</definedName>
    <definedName name="_xlnm._FilterDatabase" localSheetId="3" hidden="1">Logi!$11:$48</definedName>
    <definedName name="adres">KPDV!$A$6</definedName>
    <definedName name="adrese">KPDV!$A$6</definedName>
    <definedName name="_xlnm.Print_Area" localSheetId="4">apjoms!$A$1:$V$51</definedName>
    <definedName name="_xlnm.Print_Area" localSheetId="2">AR!$A$1:$Q$82</definedName>
    <definedName name="_xlnm.Print_Area" localSheetId="11">AVK!$A$1:$P$80</definedName>
    <definedName name="_xlnm.Print_Area" localSheetId="7">bēniņi!$A$1:$Q$81</definedName>
    <definedName name="_xlnm.Print_Area" localSheetId="5">cokols!$A$1:$Q$60</definedName>
    <definedName name="_xlnm.Print_Area" localSheetId="9">Ieeja!$A$1:$Q$38</definedName>
    <definedName name="_xlnm.Print_Area" localSheetId="8">jumts!$A$1:$Q$285</definedName>
    <definedName name="_xlnm.Print_Area" localSheetId="0">KOP!$A$1:$D$23</definedName>
    <definedName name="_xlnm.Print_Area" localSheetId="1">KPDV!$A$1:$H$37</definedName>
    <definedName name="_xlnm.Print_Area" localSheetId="10">lodzijas!$A$1:$Q$84</definedName>
    <definedName name="_xlnm.Print_Area" localSheetId="3">Logi!$A$1:$T$66</definedName>
    <definedName name="_xlnm.Print_Area" localSheetId="6">pagrabs!$A$1:$Q$37</definedName>
    <definedName name="_xlnm.Print_Area" localSheetId="12">'U1'!$A$1:$Q$102</definedName>
    <definedName name="_xlnm.Print_Titles" localSheetId="2">AR!$11:$11</definedName>
    <definedName name="_xlnm.Print_Titles" localSheetId="11">AVK!$11:$11</definedName>
    <definedName name="_xlnm.Print_Titles" localSheetId="7">bēniņi!$11:$11</definedName>
    <definedName name="_xlnm.Print_Titles" localSheetId="5">cokols!$11:$11</definedName>
    <definedName name="_xlnm.Print_Titles" localSheetId="13">GA!$14:$14</definedName>
    <definedName name="_xlnm.Print_Titles" localSheetId="9">Ieeja!$11:$11</definedName>
    <definedName name="_xlnm.Print_Titles" localSheetId="8">jumts!$11:$11</definedName>
    <definedName name="_xlnm.Print_Titles" localSheetId="10">lodzijas!$11:$11</definedName>
    <definedName name="_xlnm.Print_Titles" localSheetId="3">Logi!$11:$11</definedName>
    <definedName name="_xlnm.Print_Titles" localSheetId="6">pagrabs!$11:$11</definedName>
    <definedName name="_xlnm.Print_Titles" localSheetId="12">'U1'!$11:$11</definedName>
    <definedName name="nos">KPDV!$A$5</definedName>
    <definedName name="nr">KPDV!$A$7</definedName>
    <definedName name="Nr.">[1]KPDV!$A$7</definedName>
    <definedName name="obj">KPDV!$A$4</definedName>
    <definedName name="obnos">KPDV!$A$4</definedName>
    <definedName name="pas">KPDV!$C$2</definedName>
    <definedName name="pasut">KPDV!$A$7</definedName>
    <definedName name="V.M">[2]KPDV!$D$29</definedName>
    <definedName name="V_M">KPDV!$D$29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3" i="4" l="1"/>
  <c r="R53" i="4"/>
  <c r="S53" i="4"/>
  <c r="T53" i="4"/>
  <c r="T7" i="4"/>
  <c r="P53" i="4"/>
  <c r="H52" i="4"/>
  <c r="A52" i="4"/>
  <c r="A51" i="4"/>
  <c r="A50" i="4"/>
  <c r="A49" i="4"/>
  <c r="P10" i="14"/>
  <c r="P8" i="13"/>
  <c r="O8" i="12"/>
  <c r="P8" i="11"/>
  <c r="P8" i="10"/>
  <c r="P8" i="9"/>
  <c r="P8" i="8"/>
  <c r="P8" i="7"/>
  <c r="P8" i="6"/>
  <c r="S8" i="4"/>
  <c r="P8" i="3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M26" i="7"/>
  <c r="M70" i="3"/>
  <c r="N70" i="3"/>
  <c r="O70" i="3"/>
  <c r="P70" i="3"/>
  <c r="Q70" i="3"/>
  <c r="A6" i="14"/>
  <c r="A7" i="14"/>
  <c r="A4" i="14"/>
  <c r="A5" i="14"/>
  <c r="A4" i="3"/>
  <c r="E23" i="6"/>
  <c r="E24" i="6" s="1"/>
  <c r="E15" i="6"/>
  <c r="E17" i="6" s="1"/>
  <c r="E18" i="6" s="1"/>
  <c r="Q24" i="5"/>
  <c r="Q23" i="5"/>
  <c r="Q22" i="5"/>
  <c r="Q21" i="5"/>
  <c r="Q20" i="5"/>
  <c r="Q19" i="5"/>
  <c r="Q18" i="5"/>
  <c r="Q17" i="5"/>
  <c r="Q16" i="5"/>
  <c r="Q15" i="5"/>
  <c r="Q14" i="5"/>
  <c r="Q12" i="5"/>
  <c r="Q10" i="5"/>
  <c r="Q9" i="5"/>
  <c r="Q8" i="5"/>
  <c r="Q6" i="5"/>
  <c r="Q4" i="5"/>
  <c r="R24" i="5"/>
  <c r="R23" i="5"/>
  <c r="R22" i="5"/>
  <c r="R21" i="5"/>
  <c r="R20" i="5"/>
  <c r="R19" i="5"/>
  <c r="R18" i="5"/>
  <c r="R17" i="5"/>
  <c r="R16" i="5"/>
  <c r="R15" i="5"/>
  <c r="R14" i="5"/>
  <c r="R12" i="5"/>
  <c r="R10" i="5"/>
  <c r="R9" i="5"/>
  <c r="R8" i="5"/>
  <c r="R6" i="5"/>
  <c r="R4" i="5"/>
  <c r="S23" i="5"/>
  <c r="V15" i="5"/>
  <c r="V12" i="5"/>
  <c r="V14" i="5"/>
  <c r="V19" i="5"/>
  <c r="V16" i="5"/>
  <c r="V17" i="5"/>
  <c r="V18" i="5"/>
  <c r="V10" i="5"/>
  <c r="V9" i="5"/>
  <c r="V8" i="5"/>
  <c r="V6" i="5"/>
  <c r="V4" i="5"/>
  <c r="V28" i="5"/>
  <c r="E56" i="3" s="1"/>
  <c r="E58" i="3"/>
  <c r="P16" i="5"/>
  <c r="H18" i="4"/>
  <c r="H17" i="4"/>
  <c r="H16" i="4"/>
  <c r="H15" i="4"/>
  <c r="H21" i="4"/>
  <c r="H20" i="4"/>
  <c r="F86" i="13"/>
  <c r="F89" i="13" s="1"/>
  <c r="F80" i="13"/>
  <c r="F79" i="13"/>
  <c r="F75" i="13"/>
  <c r="F74" i="13"/>
  <c r="F67" i="13"/>
  <c r="A22" i="13"/>
  <c r="A12" i="13"/>
  <c r="B11" i="13"/>
  <c r="C11" i="13"/>
  <c r="E11" i="13" s="1"/>
  <c r="F11" i="13"/>
  <c r="G11" i="13" s="1"/>
  <c r="H11" i="13" s="1"/>
  <c r="I11" i="13" s="1"/>
  <c r="J11" i="13" s="1"/>
  <c r="K11" i="13" s="1"/>
  <c r="L11" i="13" s="1"/>
  <c r="M11" i="13" s="1"/>
  <c r="N11" i="13" s="1"/>
  <c r="O11" i="13" s="1"/>
  <c r="P11" i="13" s="1"/>
  <c r="Q11" i="13" s="1"/>
  <c r="A6" i="13"/>
  <c r="A5" i="13"/>
  <c r="A3" i="13"/>
  <c r="A4" i="13"/>
  <c r="H1" i="13"/>
  <c r="P68" i="12"/>
  <c r="P7" i="12"/>
  <c r="A22" i="4"/>
  <c r="H42" i="4"/>
  <c r="H41" i="4"/>
  <c r="E12" i="6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E37" i="3"/>
  <c r="E42" i="3" s="1"/>
  <c r="E27" i="3"/>
  <c r="D46" i="5"/>
  <c r="C30" i="3"/>
  <c r="A30" i="3"/>
  <c r="E22" i="7"/>
  <c r="F49" i="14"/>
  <c r="F48" i="14"/>
  <c r="F47" i="14"/>
  <c r="F45" i="14"/>
  <c r="F41" i="14"/>
  <c r="F37" i="14"/>
  <c r="F38" i="14" s="1"/>
  <c r="F39" i="14" s="1"/>
  <c r="F40" i="14" s="1"/>
  <c r="F35" i="14"/>
  <c r="F34" i="14"/>
  <c r="F32" i="14"/>
  <c r="F31" i="14"/>
  <c r="F30" i="14"/>
  <c r="F28" i="14"/>
  <c r="F27" i="14"/>
  <c r="F26" i="14"/>
  <c r="F25" i="14"/>
  <c r="F33" i="14" s="1"/>
  <c r="F36" i="14" s="1"/>
  <c r="F24" i="14"/>
  <c r="F23" i="14"/>
  <c r="F22" i="14"/>
  <c r="F20" i="14"/>
  <c r="F42" i="14" s="1"/>
  <c r="F43" i="14" s="1"/>
  <c r="F44" i="14" s="1"/>
  <c r="D20" i="14"/>
  <c r="D21" i="14" s="1"/>
  <c r="E13" i="7"/>
  <c r="A14" i="7"/>
  <c r="E14" i="7"/>
  <c r="E12" i="7"/>
  <c r="E41" i="6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4" i="9"/>
  <c r="E52" i="9"/>
  <c r="E50" i="9"/>
  <c r="E49" i="9"/>
  <c r="E146" i="9"/>
  <c r="E145" i="9"/>
  <c r="E143" i="9"/>
  <c r="E142" i="9"/>
  <c r="E141" i="9"/>
  <c r="E140" i="9"/>
  <c r="E139" i="9"/>
  <c r="E138" i="9"/>
  <c r="E136" i="9"/>
  <c r="E132" i="9"/>
  <c r="E135" i="9"/>
  <c r="E137" i="9"/>
  <c r="E133" i="9"/>
  <c r="E92" i="9"/>
  <c r="E91" i="9"/>
  <c r="E93" i="9"/>
  <c r="A25" i="3"/>
  <c r="A26" i="3"/>
  <c r="A27" i="3"/>
  <c r="A28" i="3"/>
  <c r="A29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24" i="3"/>
  <c r="C4" i="5"/>
  <c r="H4" i="5"/>
  <c r="K4" i="5"/>
  <c r="M4" i="5"/>
  <c r="L4" i="5"/>
  <c r="N4" i="5"/>
  <c r="O4" i="5"/>
  <c r="P4" i="5"/>
  <c r="S4" i="5"/>
  <c r="T4" i="5"/>
  <c r="D5" i="5"/>
  <c r="E5" i="5"/>
  <c r="R5" i="5" s="1"/>
  <c r="H5" i="5"/>
  <c r="C6" i="5"/>
  <c r="H6" i="5"/>
  <c r="I6" i="5" s="1"/>
  <c r="K6" i="5"/>
  <c r="M6" i="5"/>
  <c r="L6" i="5"/>
  <c r="N6" i="5"/>
  <c r="O6" i="5"/>
  <c r="P6" i="5"/>
  <c r="S6" i="5"/>
  <c r="T6" i="5"/>
  <c r="T28" i="5" s="1"/>
  <c r="E63" i="3" s="1"/>
  <c r="D7" i="5"/>
  <c r="L7" i="5"/>
  <c r="N7" i="5" s="1"/>
  <c r="E7" i="5"/>
  <c r="Q7" i="5" s="1"/>
  <c r="H7" i="5"/>
  <c r="J7" i="5" s="1"/>
  <c r="C8" i="5"/>
  <c r="H8" i="5"/>
  <c r="I8" i="5" s="1"/>
  <c r="K8" i="5"/>
  <c r="M8" i="5"/>
  <c r="L8" i="5"/>
  <c r="N8" i="5"/>
  <c r="O8" i="5"/>
  <c r="P8" i="5"/>
  <c r="S8" i="5"/>
  <c r="T8" i="5"/>
  <c r="C9" i="5"/>
  <c r="H9" i="5"/>
  <c r="J9" i="5" s="1"/>
  <c r="K9" i="5"/>
  <c r="M9" i="5" s="1"/>
  <c r="L9" i="5"/>
  <c r="N9" i="5" s="1"/>
  <c r="O9" i="5"/>
  <c r="P9" i="5"/>
  <c r="S9" i="5"/>
  <c r="T9" i="5" s="1"/>
  <c r="C10" i="5"/>
  <c r="H10" i="5"/>
  <c r="K10" i="5"/>
  <c r="M10" i="5" s="1"/>
  <c r="L10" i="5"/>
  <c r="N10" i="5" s="1"/>
  <c r="O10" i="5"/>
  <c r="O28" i="5" s="1"/>
  <c r="P10" i="5"/>
  <c r="S10" i="5"/>
  <c r="T10" i="5" s="1"/>
  <c r="D11" i="5"/>
  <c r="L11" i="5" s="1"/>
  <c r="N11" i="5"/>
  <c r="E11" i="5"/>
  <c r="Q11" i="5"/>
  <c r="H11" i="5"/>
  <c r="C12" i="5"/>
  <c r="H12" i="5"/>
  <c r="J12" i="5"/>
  <c r="K12" i="5"/>
  <c r="M12" i="5"/>
  <c r="L12" i="5"/>
  <c r="N12" i="5"/>
  <c r="O12" i="5"/>
  <c r="P12" i="5"/>
  <c r="S12" i="5"/>
  <c r="T12" i="5"/>
  <c r="D13" i="5"/>
  <c r="E13" i="5"/>
  <c r="R13" i="5" s="1"/>
  <c r="H13" i="5"/>
  <c r="C14" i="5"/>
  <c r="H14" i="5"/>
  <c r="K14" i="5"/>
  <c r="M14" i="5"/>
  <c r="L14" i="5"/>
  <c r="N14" i="5"/>
  <c r="O14" i="5"/>
  <c r="P14" i="5"/>
  <c r="S14" i="5"/>
  <c r="T14" i="5"/>
  <c r="C15" i="5"/>
  <c r="H15" i="5"/>
  <c r="K15" i="5"/>
  <c r="M15" i="5"/>
  <c r="L15" i="5"/>
  <c r="N15" i="5"/>
  <c r="O15" i="5"/>
  <c r="P15" i="5"/>
  <c r="S15" i="5"/>
  <c r="T15" i="5"/>
  <c r="C16" i="5"/>
  <c r="H16" i="5"/>
  <c r="K16" i="5"/>
  <c r="M16" i="5"/>
  <c r="L16" i="5"/>
  <c r="N16" i="5"/>
  <c r="O16" i="5"/>
  <c r="S16" i="5"/>
  <c r="T16" i="5" s="1"/>
  <c r="C17" i="5"/>
  <c r="H17" i="5"/>
  <c r="K17" i="5"/>
  <c r="M17" i="5" s="1"/>
  <c r="L17" i="5"/>
  <c r="N17" i="5" s="1"/>
  <c r="O17" i="5"/>
  <c r="P17" i="5"/>
  <c r="S17" i="5"/>
  <c r="T17" i="5" s="1"/>
  <c r="C18" i="5"/>
  <c r="H18" i="5"/>
  <c r="K18" i="5"/>
  <c r="M18" i="5" s="1"/>
  <c r="L18" i="5"/>
  <c r="N18" i="5" s="1"/>
  <c r="O18" i="5"/>
  <c r="P18" i="5"/>
  <c r="S18" i="5"/>
  <c r="T18" i="5" s="1"/>
  <c r="C19" i="5"/>
  <c r="I19" i="5" s="1"/>
  <c r="H19" i="5"/>
  <c r="J19" i="5"/>
  <c r="K19" i="5"/>
  <c r="M19" i="5" s="1"/>
  <c r="L19" i="5"/>
  <c r="N19" i="5"/>
  <c r="O19" i="5"/>
  <c r="P19" i="5"/>
  <c r="S19" i="5"/>
  <c r="T19" i="5" s="1"/>
  <c r="C20" i="5"/>
  <c r="H20" i="5"/>
  <c r="K20" i="5"/>
  <c r="M20" i="5" s="1"/>
  <c r="L20" i="5"/>
  <c r="N20" i="5" s="1"/>
  <c r="C21" i="5"/>
  <c r="H21" i="5"/>
  <c r="J21" i="5"/>
  <c r="K21" i="5"/>
  <c r="M21" i="5"/>
  <c r="L21" i="5"/>
  <c r="N21" i="5"/>
  <c r="C22" i="5"/>
  <c r="H22" i="5"/>
  <c r="K22" i="5"/>
  <c r="M22" i="5"/>
  <c r="L22" i="5"/>
  <c r="N22" i="5"/>
  <c r="C23" i="5"/>
  <c r="H23" i="5"/>
  <c r="K23" i="5"/>
  <c r="M23" i="5"/>
  <c r="L23" i="5"/>
  <c r="N23" i="5"/>
  <c r="C24" i="5"/>
  <c r="H24" i="5"/>
  <c r="J24" i="5" s="1"/>
  <c r="H27" i="4"/>
  <c r="K24" i="5"/>
  <c r="M24" i="5"/>
  <c r="L24" i="5"/>
  <c r="N24" i="5"/>
  <c r="C25" i="5"/>
  <c r="I25" i="5"/>
  <c r="H25" i="5"/>
  <c r="J25" i="5"/>
  <c r="H28" i="4" s="1"/>
  <c r="C26" i="5"/>
  <c r="H26" i="5"/>
  <c r="C27" i="5"/>
  <c r="H27" i="5"/>
  <c r="H29" i="5"/>
  <c r="J29" i="5" s="1"/>
  <c r="E67" i="3"/>
  <c r="H30" i="5"/>
  <c r="J30" i="5"/>
  <c r="E68" i="3" s="1"/>
  <c r="H31" i="5"/>
  <c r="J31" i="5" s="1"/>
  <c r="E69" i="3"/>
  <c r="C32" i="5"/>
  <c r="H32" i="5"/>
  <c r="J32" i="5" s="1"/>
  <c r="C33" i="5"/>
  <c r="H33" i="5"/>
  <c r="J36" i="5" s="1"/>
  <c r="G41" i="5"/>
  <c r="D47" i="5"/>
  <c r="D51" i="5"/>
  <c r="E51" i="5"/>
  <c r="H1" i="3"/>
  <c r="A3" i="3"/>
  <c r="A5" i="3"/>
  <c r="A6" i="3"/>
  <c r="B11" i="3"/>
  <c r="C11" i="3" s="1"/>
  <c r="D11" i="3"/>
  <c r="E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A12" i="3"/>
  <c r="A13" i="3"/>
  <c r="E13" i="3"/>
  <c r="A14" i="3"/>
  <c r="F14" i="3"/>
  <c r="E14" i="3"/>
  <c r="A15" i="3"/>
  <c r="E15" i="3"/>
  <c r="A16" i="3"/>
  <c r="E16" i="3"/>
  <c r="E18" i="3" s="1"/>
  <c r="A17" i="3"/>
  <c r="A18" i="3"/>
  <c r="A19" i="3"/>
  <c r="A20" i="3"/>
  <c r="A21" i="3"/>
  <c r="A22" i="3"/>
  <c r="A23" i="3"/>
  <c r="C27" i="3"/>
  <c r="C28" i="3"/>
  <c r="D28" i="3"/>
  <c r="D29" i="3"/>
  <c r="D30" i="3" s="1"/>
  <c r="F28" i="3"/>
  <c r="E28" i="3" s="1"/>
  <c r="C29" i="3"/>
  <c r="C31" i="3"/>
  <c r="C32" i="3"/>
  <c r="C33" i="3"/>
  <c r="E36" i="3"/>
  <c r="C60" i="3"/>
  <c r="C61" i="3"/>
  <c r="C62" i="3"/>
  <c r="C63" i="3"/>
  <c r="C64" i="3"/>
  <c r="E64" i="3"/>
  <c r="C67" i="3"/>
  <c r="C68" i="3"/>
  <c r="C69" i="3"/>
  <c r="A4" i="12"/>
  <c r="A3" i="12"/>
  <c r="A5" i="12"/>
  <c r="A6" i="12"/>
  <c r="B11" i="12"/>
  <c r="C11" i="12" s="1"/>
  <c r="D11" i="12"/>
  <c r="E11" i="12" s="1"/>
  <c r="F11" i="12" s="1"/>
  <c r="G11" i="12" s="1"/>
  <c r="H11" i="12" s="1"/>
  <c r="I11" i="12" s="1"/>
  <c r="J11" i="12" s="1"/>
  <c r="K11" i="12" s="1"/>
  <c r="L11" i="12" s="1"/>
  <c r="M11" i="12" s="1"/>
  <c r="N11" i="12" s="1"/>
  <c r="O11" i="12" s="1"/>
  <c r="P11" i="12" s="1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L68" i="12"/>
  <c r="M68" i="12"/>
  <c r="N68" i="12"/>
  <c r="O68" i="12"/>
  <c r="B68" i="12"/>
  <c r="A4" i="8"/>
  <c r="A3" i="8"/>
  <c r="A5" i="8"/>
  <c r="A6" i="8"/>
  <c r="B11" i="8"/>
  <c r="C11" i="8"/>
  <c r="D11" i="8" s="1"/>
  <c r="E11" i="8" s="1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A13" i="8"/>
  <c r="A14" i="8"/>
  <c r="E14" i="8"/>
  <c r="E15" i="8" s="1"/>
  <c r="A15" i="8"/>
  <c r="A16" i="8"/>
  <c r="A17" i="8"/>
  <c r="A18" i="8"/>
  <c r="E18" i="8"/>
  <c r="A19" i="8"/>
  <c r="A20" i="8"/>
  <c r="A21" i="8"/>
  <c r="A22" i="8"/>
  <c r="E22" i="8"/>
  <c r="A23" i="8"/>
  <c r="E23" i="8"/>
  <c r="A24" i="8"/>
  <c r="E24" i="8"/>
  <c r="E25" i="8"/>
  <c r="A25" i="8"/>
  <c r="A26" i="8"/>
  <c r="A27" i="8"/>
  <c r="A28" i="8"/>
  <c r="A29" i="8"/>
  <c r="A30" i="8"/>
  <c r="A31" i="8"/>
  <c r="A32" i="8"/>
  <c r="E32" i="8"/>
  <c r="A33" i="8"/>
  <c r="E33" i="8"/>
  <c r="A34" i="8"/>
  <c r="A35" i="8"/>
  <c r="E35" i="8"/>
  <c r="A36" i="8"/>
  <c r="E36" i="8"/>
  <c r="A37" i="8"/>
  <c r="E37" i="8"/>
  <c r="A38" i="8"/>
  <c r="E38" i="8"/>
  <c r="A39" i="8"/>
  <c r="E39" i="8"/>
  <c r="A40" i="8"/>
  <c r="E40" i="8"/>
  <c r="A41" i="8"/>
  <c r="E41" i="8"/>
  <c r="A42" i="8"/>
  <c r="A43" i="8"/>
  <c r="E43" i="8"/>
  <c r="A44" i="8"/>
  <c r="A45" i="8"/>
  <c r="E45" i="8"/>
  <c r="A46" i="8"/>
  <c r="A47" i="8"/>
  <c r="A48" i="8"/>
  <c r="A49" i="8"/>
  <c r="A50" i="8"/>
  <c r="A51" i="8"/>
  <c r="A52" i="8"/>
  <c r="E52" i="8"/>
  <c r="A53" i="8"/>
  <c r="A54" i="8"/>
  <c r="A55" i="8"/>
  <c r="E55" i="8"/>
  <c r="A56" i="8"/>
  <c r="A57" i="8"/>
  <c r="A58" i="8"/>
  <c r="A59" i="8"/>
  <c r="A60" i="8"/>
  <c r="A61" i="8"/>
  <c r="A62" i="8"/>
  <c r="E62" i="8"/>
  <c r="A63" i="8"/>
  <c r="E63" i="8"/>
  <c r="E64" i="8" s="1"/>
  <c r="A64" i="8"/>
  <c r="A65" i="8"/>
  <c r="A66" i="8"/>
  <c r="A67" i="8"/>
  <c r="M68" i="8"/>
  <c r="N68" i="8"/>
  <c r="O68" i="8"/>
  <c r="P68" i="8"/>
  <c r="Q68" i="8"/>
  <c r="A68" i="8"/>
  <c r="A4" i="6"/>
  <c r="A3" i="6"/>
  <c r="A5" i="6"/>
  <c r="A6" i="6"/>
  <c r="B11" i="6"/>
  <c r="D11" i="6"/>
  <c r="E11" i="6"/>
  <c r="G11" i="6" s="1"/>
  <c r="H11" i="6"/>
  <c r="I11" i="6" s="1"/>
  <c r="J11" i="6" s="1"/>
  <c r="K11" i="6" s="1"/>
  <c r="L11" i="6" s="1"/>
  <c r="M11" i="6" s="1"/>
  <c r="N11" i="6" s="1"/>
  <c r="O11" i="6" s="1"/>
  <c r="P11" i="6" s="1"/>
  <c r="Q11" i="6" s="1"/>
  <c r="A12" i="6"/>
  <c r="A13" i="6"/>
  <c r="A14" i="6"/>
  <c r="E14" i="6"/>
  <c r="E19" i="6"/>
  <c r="A15" i="6"/>
  <c r="A16" i="6"/>
  <c r="A17" i="6"/>
  <c r="A18" i="6"/>
  <c r="A19" i="6"/>
  <c r="A21" i="6"/>
  <c r="C21" i="6"/>
  <c r="A25" i="6"/>
  <c r="A26" i="6"/>
  <c r="E26" i="6"/>
  <c r="A27" i="6"/>
  <c r="E27" i="6"/>
  <c r="A28" i="6"/>
  <c r="E28" i="6"/>
  <c r="A29" i="6"/>
  <c r="E29" i="6"/>
  <c r="A30" i="6"/>
  <c r="E31" i="6"/>
  <c r="E32" i="6"/>
  <c r="E33" i="6"/>
  <c r="A34" i="6"/>
  <c r="E35" i="6"/>
  <c r="E36" i="6"/>
  <c r="A37" i="6"/>
  <c r="A38" i="6"/>
  <c r="A39" i="6"/>
  <c r="E39" i="6"/>
  <c r="E40" i="6"/>
  <c r="A40" i="6"/>
  <c r="A41" i="6"/>
  <c r="A42" i="6"/>
  <c r="A43" i="6"/>
  <c r="E43" i="6"/>
  <c r="A44" i="6"/>
  <c r="E44" i="6"/>
  <c r="E45" i="6"/>
  <c r="A45" i="6"/>
  <c r="M46" i="6"/>
  <c r="N46" i="6"/>
  <c r="O46" i="6"/>
  <c r="P46" i="6"/>
  <c r="Q46" i="6"/>
  <c r="Q7" i="6" s="1"/>
  <c r="A46" i="6"/>
  <c r="B14" i="14"/>
  <c r="C14" i="14" s="1"/>
  <c r="E14" i="14" s="1"/>
  <c r="F14" i="14" s="1"/>
  <c r="G14" i="14" s="1"/>
  <c r="H14" i="14" s="1"/>
  <c r="I14" i="14" s="1"/>
  <c r="J14" i="14" s="1"/>
  <c r="K14" i="14" s="1"/>
  <c r="L14" i="14" s="1"/>
  <c r="M14" i="14" s="1"/>
  <c r="N14" i="14" s="1"/>
  <c r="O14" i="14" s="1"/>
  <c r="P14" i="14" s="1"/>
  <c r="Q14" i="14" s="1"/>
  <c r="M50" i="14"/>
  <c r="N50" i="14"/>
  <c r="O50" i="14"/>
  <c r="P50" i="14"/>
  <c r="Q50" i="14"/>
  <c r="P9" i="14" s="1"/>
  <c r="A4" i="10"/>
  <c r="A3" i="10"/>
  <c r="A5" i="10"/>
  <c r="A6" i="10"/>
  <c r="B11" i="10"/>
  <c r="C11" i="10" s="1"/>
  <c r="D11" i="10"/>
  <c r="E11" i="10" s="1"/>
  <c r="G11" i="10" s="1"/>
  <c r="H11" i="10" s="1"/>
  <c r="I11" i="10" s="1"/>
  <c r="J11" i="10" s="1"/>
  <c r="K11" i="10" s="1"/>
  <c r="L11" i="10" s="1"/>
  <c r="M11" i="10" s="1"/>
  <c r="N11" i="10" s="1"/>
  <c r="O11" i="10" s="1"/>
  <c r="P11" i="10" s="1"/>
  <c r="Q11" i="10" s="1"/>
  <c r="A13" i="10"/>
  <c r="A14" i="10"/>
  <c r="A15" i="10"/>
  <c r="E15" i="10"/>
  <c r="A16" i="10"/>
  <c r="A17" i="10"/>
  <c r="E17" i="10"/>
  <c r="A18" i="10"/>
  <c r="A19" i="10"/>
  <c r="A20" i="10"/>
  <c r="E20" i="10"/>
  <c r="A21" i="10"/>
  <c r="A22" i="10"/>
  <c r="A23" i="10"/>
  <c r="A24" i="10"/>
  <c r="A25" i="10"/>
  <c r="E25" i="10"/>
  <c r="M26" i="10"/>
  <c r="N26" i="10"/>
  <c r="O26" i="10"/>
  <c r="P26" i="10"/>
  <c r="Q26" i="10"/>
  <c r="A26" i="10"/>
  <c r="A4" i="9"/>
  <c r="A3" i="9"/>
  <c r="A5" i="9"/>
  <c r="A6" i="9"/>
  <c r="B11" i="9"/>
  <c r="C11" i="9"/>
  <c r="D11" i="9" s="1"/>
  <c r="E11" i="9" s="1"/>
  <c r="G11" i="9" s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A13" i="9"/>
  <c r="E13" i="9"/>
  <c r="A14" i="9"/>
  <c r="E14" i="9"/>
  <c r="E19" i="9"/>
  <c r="E20" i="9"/>
  <c r="E21" i="9"/>
  <c r="E23" i="9"/>
  <c r="E24" i="9"/>
  <c r="E25" i="9"/>
  <c r="E26" i="9"/>
  <c r="E27" i="9"/>
  <c r="E28" i="9"/>
  <c r="E30" i="9"/>
  <c r="E31" i="9"/>
  <c r="E32" i="9"/>
  <c r="E35" i="9"/>
  <c r="E37" i="9"/>
  <c r="E38" i="9"/>
  <c r="E40" i="9"/>
  <c r="E43" i="9"/>
  <c r="E44" i="9" s="1"/>
  <c r="E81" i="9"/>
  <c r="E84" i="9"/>
  <c r="E85" i="9"/>
  <c r="E86" i="9"/>
  <c r="E88" i="9"/>
  <c r="E95" i="9"/>
  <c r="E98" i="9"/>
  <c r="E99" i="9"/>
  <c r="E100" i="9"/>
  <c r="E102" i="9"/>
  <c r="E104" i="9"/>
  <c r="E107" i="9"/>
  <c r="E108" i="9"/>
  <c r="E109" i="9"/>
  <c r="E111" i="9"/>
  <c r="E113" i="9"/>
  <c r="E115" i="9"/>
  <c r="E122" i="9"/>
  <c r="E123" i="9"/>
  <c r="E125" i="9" s="1"/>
  <c r="E130" i="9"/>
  <c r="E147" i="9"/>
  <c r="E148" i="9"/>
  <c r="E150" i="9"/>
  <c r="E152" i="9"/>
  <c r="E153" i="9"/>
  <c r="E154" i="9"/>
  <c r="E162" i="9"/>
  <c r="E169" i="9"/>
  <c r="E170" i="9"/>
  <c r="E172" i="9"/>
  <c r="E176" i="9"/>
  <c r="E177" i="9"/>
  <c r="E180" i="9"/>
  <c r="E181" i="9"/>
  <c r="E183" i="9"/>
  <c r="E184" i="9"/>
  <c r="E185" i="9"/>
  <c r="E191" i="9"/>
  <c r="E193" i="9"/>
  <c r="E200" i="9"/>
  <c r="E201" i="9"/>
  <c r="E203" i="9"/>
  <c r="E207" i="9"/>
  <c r="E208" i="9"/>
  <c r="E209" i="9"/>
  <c r="E210" i="9"/>
  <c r="E211" i="9"/>
  <c r="E217" i="9"/>
  <c r="E218" i="9" s="1"/>
  <c r="E220" i="9"/>
  <c r="E221" i="9" s="1"/>
  <c r="E224" i="9"/>
  <c r="E225" i="9"/>
  <c r="E226" i="9"/>
  <c r="E236" i="9"/>
  <c r="E242" i="9"/>
  <c r="E248" i="9"/>
  <c r="E252" i="9"/>
  <c r="E253" i="9"/>
  <c r="E254" i="9"/>
  <c r="E255" i="9"/>
  <c r="E256" i="9"/>
  <c r="E259" i="9"/>
  <c r="E266" i="9"/>
  <c r="M272" i="9"/>
  <c r="N272" i="9"/>
  <c r="O272" i="9"/>
  <c r="P272" i="9"/>
  <c r="Q272" i="9"/>
  <c r="A272" i="9"/>
  <c r="A4" i="1"/>
  <c r="A5" i="1"/>
  <c r="A6" i="1"/>
  <c r="D15" i="1"/>
  <c r="B13" i="2"/>
  <c r="C13" i="2"/>
  <c r="A14" i="2"/>
  <c r="C14" i="2"/>
  <c r="C15" i="2"/>
  <c r="C16" i="2"/>
  <c r="C17" i="2"/>
  <c r="C18" i="2"/>
  <c r="C19" i="2"/>
  <c r="C20" i="2"/>
  <c r="C21" i="2"/>
  <c r="C22" i="2"/>
  <c r="C23" i="2"/>
  <c r="A4" i="11"/>
  <c r="A3" i="11"/>
  <c r="A5" i="11"/>
  <c r="A6" i="11"/>
  <c r="B11" i="11"/>
  <c r="C11" i="11" s="1"/>
  <c r="D11" i="11" s="1"/>
  <c r="E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A13" i="11"/>
  <c r="A14" i="11"/>
  <c r="A15" i="11"/>
  <c r="A16" i="11"/>
  <c r="A17" i="11"/>
  <c r="E17" i="11"/>
  <c r="A18" i="11"/>
  <c r="A19" i="11"/>
  <c r="A20" i="11"/>
  <c r="A21" i="11"/>
  <c r="A22" i="11"/>
  <c r="E22" i="11"/>
  <c r="E23" i="11" s="1"/>
  <c r="A23" i="11"/>
  <c r="A24" i="11"/>
  <c r="E24" i="11"/>
  <c r="A25" i="11"/>
  <c r="A26" i="11"/>
  <c r="E26" i="11"/>
  <c r="E28" i="11"/>
  <c r="E27" i="11"/>
  <c r="A27" i="11"/>
  <c r="A28" i="11"/>
  <c r="A29" i="11"/>
  <c r="A30" i="11"/>
  <c r="E30" i="11"/>
  <c r="A31" i="11"/>
  <c r="A32" i="11"/>
  <c r="E32" i="11"/>
  <c r="A33" i="11"/>
  <c r="E33" i="11"/>
  <c r="A34" i="11"/>
  <c r="A35" i="11"/>
  <c r="A36" i="11"/>
  <c r="A37" i="11"/>
  <c r="A38" i="11"/>
  <c r="E38" i="11"/>
  <c r="A39" i="11"/>
  <c r="A40" i="11"/>
  <c r="A41" i="11"/>
  <c r="A42" i="11"/>
  <c r="A43" i="11"/>
  <c r="A44" i="11"/>
  <c r="A45" i="11"/>
  <c r="A46" i="11"/>
  <c r="A47" i="11"/>
  <c r="E47" i="11"/>
  <c r="A48" i="11"/>
  <c r="A49" i="11"/>
  <c r="A50" i="11"/>
  <c r="E50" i="11"/>
  <c r="A51" i="11"/>
  <c r="A52" i="11"/>
  <c r="A53" i="11"/>
  <c r="E53" i="11"/>
  <c r="A54" i="11"/>
  <c r="E54" i="11"/>
  <c r="A55" i="11"/>
  <c r="A56" i="11"/>
  <c r="E56" i="11"/>
  <c r="A57" i="11"/>
  <c r="A58" i="11"/>
  <c r="E58" i="11"/>
  <c r="A59" i="11"/>
  <c r="A60" i="11"/>
  <c r="E60" i="11"/>
  <c r="A61" i="11"/>
  <c r="A62" i="11"/>
  <c r="A63" i="11"/>
  <c r="A64" i="11"/>
  <c r="E64" i="11"/>
  <c r="A65" i="11"/>
  <c r="A66" i="11"/>
  <c r="E66" i="11"/>
  <c r="A67" i="11"/>
  <c r="E67" i="11"/>
  <c r="A68" i="11"/>
  <c r="A69" i="11"/>
  <c r="M70" i="11"/>
  <c r="N70" i="11"/>
  <c r="O70" i="11"/>
  <c r="P70" i="11"/>
  <c r="Q70" i="11"/>
  <c r="Q7" i="11"/>
  <c r="A70" i="11"/>
  <c r="A4" i="4"/>
  <c r="A3" i="4"/>
  <c r="A5" i="4"/>
  <c r="A6" i="4"/>
  <c r="B11" i="4"/>
  <c r="C11" i="4" s="1"/>
  <c r="G11" i="4" s="1"/>
  <c r="H11" i="4" s="1"/>
  <c r="J11" i="4" s="1"/>
  <c r="K11" i="4" s="1"/>
  <c r="L11" i="4" s="1"/>
  <c r="M11" i="4" s="1"/>
  <c r="N11" i="4" s="1"/>
  <c r="O11" i="4" s="1"/>
  <c r="P11" i="4" s="1"/>
  <c r="Q11" i="4" s="1"/>
  <c r="R11" i="4" s="1"/>
  <c r="S11" i="4" s="1"/>
  <c r="T11" i="4" s="1"/>
  <c r="A13" i="4"/>
  <c r="A14" i="4"/>
  <c r="A19" i="4"/>
  <c r="A23" i="4"/>
  <c r="C23" i="4"/>
  <c r="D23" i="4"/>
  <c r="E23" i="4"/>
  <c r="F23" i="4"/>
  <c r="A24" i="4"/>
  <c r="C24" i="4"/>
  <c r="D24" i="4"/>
  <c r="E24" i="4"/>
  <c r="F24" i="4"/>
  <c r="H24" i="4"/>
  <c r="A25" i="4"/>
  <c r="D25" i="4"/>
  <c r="E25" i="4"/>
  <c r="F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" i="7"/>
  <c r="A3" i="7"/>
  <c r="A5" i="7"/>
  <c r="A6" i="7"/>
  <c r="B11" i="7"/>
  <c r="C11" i="7" s="1"/>
  <c r="D11" i="7" s="1"/>
  <c r="E11" i="7" s="1"/>
  <c r="G11" i="7" s="1"/>
  <c r="H11" i="7" s="1"/>
  <c r="I11" i="7" s="1"/>
  <c r="J11" i="7" s="1"/>
  <c r="K11" i="7" s="1"/>
  <c r="L11" i="7" s="1"/>
  <c r="M11" i="7" s="1"/>
  <c r="N11" i="7" s="1"/>
  <c r="O11" i="7" s="1"/>
  <c r="P11" i="7" s="1"/>
  <c r="Q11" i="7" s="1"/>
  <c r="A12" i="7"/>
  <c r="A13" i="7"/>
  <c r="A15" i="7"/>
  <c r="A16" i="7"/>
  <c r="A17" i="7"/>
  <c r="A18" i="7"/>
  <c r="A19" i="7"/>
  <c r="A20" i="7"/>
  <c r="A21" i="7"/>
  <c r="A23" i="7"/>
  <c r="A24" i="7"/>
  <c r="A25" i="7"/>
  <c r="N26" i="7"/>
  <c r="E24" i="2"/>
  <c r="O26" i="7"/>
  <c r="P26" i="7"/>
  <c r="Q26" i="7"/>
  <c r="Q7" i="7"/>
  <c r="A26" i="7"/>
  <c r="J11" i="5"/>
  <c r="L5" i="5"/>
  <c r="N5" i="5"/>
  <c r="C5" i="5"/>
  <c r="I5" i="5"/>
  <c r="J5" i="5"/>
  <c r="I20" i="5"/>
  <c r="J20" i="5"/>
  <c r="I16" i="5"/>
  <c r="J16" i="5"/>
  <c r="I24" i="5"/>
  <c r="I18" i="5"/>
  <c r="J18" i="5"/>
  <c r="I14" i="5"/>
  <c r="J14" i="5"/>
  <c r="K13" i="5"/>
  <c r="M13" i="5" s="1"/>
  <c r="I12" i="5"/>
  <c r="I26" i="5"/>
  <c r="J26" i="5"/>
  <c r="K7" i="5"/>
  <c r="M7" i="5"/>
  <c r="K5" i="5"/>
  <c r="M5" i="5"/>
  <c r="S5" i="5"/>
  <c r="E219" i="9"/>
  <c r="B14" i="2"/>
  <c r="S7" i="5"/>
  <c r="C7" i="5"/>
  <c r="P28" i="5"/>
  <c r="H51" i="4" s="1"/>
  <c r="A13" i="13"/>
  <c r="F87" i="13"/>
  <c r="A14" i="13"/>
  <c r="O91" i="13"/>
  <c r="A15" i="2"/>
  <c r="A16" i="2"/>
  <c r="K1" i="4"/>
  <c r="D16" i="1"/>
  <c r="E15" i="7"/>
  <c r="E16" i="7" s="1"/>
  <c r="E17" i="7"/>
  <c r="E19" i="7" s="1"/>
  <c r="S11" i="5"/>
  <c r="A17" i="13"/>
  <c r="I33" i="5"/>
  <c r="I23" i="5"/>
  <c r="J23" i="5"/>
  <c r="H26" i="4" s="1"/>
  <c r="K11" i="5"/>
  <c r="M11" i="5" s="1"/>
  <c r="C11" i="5"/>
  <c r="I11" i="5" s="1"/>
  <c r="E28" i="5"/>
  <c r="A50" i="13"/>
  <c r="I9" i="5"/>
  <c r="I21" i="5"/>
  <c r="M91" i="13"/>
  <c r="A34" i="13"/>
  <c r="N91" i="13"/>
  <c r="A35" i="13"/>
  <c r="A27" i="13"/>
  <c r="A24" i="13"/>
  <c r="A55" i="13"/>
  <c r="A26" i="13"/>
  <c r="E57" i="3"/>
  <c r="A48" i="13"/>
  <c r="A28" i="13"/>
  <c r="A60" i="13"/>
  <c r="A39" i="13"/>
  <c r="A44" i="13"/>
  <c r="A43" i="13"/>
  <c r="A52" i="13"/>
  <c r="A15" i="13"/>
  <c r="A38" i="13"/>
  <c r="A30" i="13"/>
  <c r="A31" i="13"/>
  <c r="A16" i="13"/>
  <c r="A42" i="13"/>
  <c r="A20" i="13"/>
  <c r="A40" i="13"/>
  <c r="A45" i="13"/>
  <c r="A53" i="13"/>
  <c r="A29" i="13"/>
  <c r="A36" i="13"/>
  <c r="A33" i="13"/>
  <c r="A25" i="13"/>
  <c r="A58" i="13"/>
  <c r="A59" i="13"/>
  <c r="A47" i="13"/>
  <c r="A49" i="13"/>
  <c r="A23" i="13"/>
  <c r="A21" i="13"/>
  <c r="A51" i="13"/>
  <c r="A41" i="13"/>
  <c r="A57" i="13"/>
  <c r="A18" i="13"/>
  <c r="A19" i="13"/>
  <c r="A32" i="13"/>
  <c r="A46" i="13"/>
  <c r="A56" i="13"/>
  <c r="A37" i="13"/>
  <c r="H1" i="6"/>
  <c r="A54" i="13"/>
  <c r="P91" i="13"/>
  <c r="Q91" i="13"/>
  <c r="Q7" i="13" s="1"/>
  <c r="E126" i="9"/>
  <c r="E116" i="9"/>
  <c r="E114" i="9"/>
  <c r="E16" i="6"/>
  <c r="F88" i="13"/>
  <c r="E17" i="8"/>
  <c r="I27" i="5"/>
  <c r="J6" i="5"/>
  <c r="E24" i="7"/>
  <c r="E25" i="7" s="1"/>
  <c r="I4" i="5"/>
  <c r="J4" i="5"/>
  <c r="R7" i="5"/>
  <c r="R11" i="5"/>
  <c r="R28" i="5" s="1"/>
  <c r="E61" i="3"/>
  <c r="D31" i="3"/>
  <c r="D32" i="3" s="1"/>
  <c r="D33" i="3" s="1"/>
  <c r="E65" i="8"/>
  <c r="Q7" i="3"/>
  <c r="E40" i="3"/>
  <c r="E39" i="3"/>
  <c r="E41" i="3"/>
  <c r="E257" i="9"/>
  <c r="E16" i="8"/>
  <c r="G24" i="2"/>
  <c r="F24" i="2"/>
  <c r="D24" i="2"/>
  <c r="B15" i="2"/>
  <c r="Q7" i="9"/>
  <c r="Q7" i="8"/>
  <c r="Q7" i="10"/>
  <c r="L13" i="5"/>
  <c r="N13" i="5" s="1"/>
  <c r="N28" i="5"/>
  <c r="J13" i="5"/>
  <c r="I22" i="5"/>
  <c r="J22" i="5"/>
  <c r="H25" i="4"/>
  <c r="I15" i="5"/>
  <c r="J15" i="5"/>
  <c r="L28" i="5"/>
  <c r="H24" i="2"/>
  <c r="B16" i="2" l="1"/>
  <c r="A17" i="2"/>
  <c r="M28" i="5"/>
  <c r="E49" i="3" s="1"/>
  <c r="D17" i="1"/>
  <c r="H13" i="4"/>
  <c r="H1" i="7"/>
  <c r="E18" i="7"/>
  <c r="K28" i="5"/>
  <c r="H49" i="4"/>
  <c r="E38" i="3"/>
  <c r="F29" i="3"/>
  <c r="E222" i="9"/>
  <c r="J8" i="5"/>
  <c r="J28" i="5" s="1"/>
  <c r="J35" i="5"/>
  <c r="H14" i="4" s="1"/>
  <c r="H36" i="4" s="1"/>
  <c r="H37" i="4" s="1"/>
  <c r="J33" i="5"/>
  <c r="J39" i="5" s="1"/>
  <c r="I32" i="5"/>
  <c r="E17" i="3"/>
  <c r="E124" i="9"/>
  <c r="I7" i="5"/>
  <c r="S13" i="5"/>
  <c r="S28" i="5" s="1"/>
  <c r="E62" i="3" s="1"/>
  <c r="C13" i="5"/>
  <c r="I13" i="5" s="1"/>
  <c r="H23" i="4"/>
  <c r="I17" i="5"/>
  <c r="J17" i="5"/>
  <c r="I10" i="5"/>
  <c r="J10" i="5"/>
  <c r="Q5" i="5"/>
  <c r="Q28" i="5" s="1"/>
  <c r="E60" i="3" s="1"/>
  <c r="Q13" i="5"/>
  <c r="D23" i="14"/>
  <c r="D24" i="14" s="1"/>
  <c r="D22" i="14"/>
  <c r="F21" i="14"/>
  <c r="E29" i="3" l="1"/>
  <c r="F30" i="3"/>
  <c r="E30" i="3" s="1"/>
  <c r="F31" i="3"/>
  <c r="E52" i="3"/>
  <c r="E53" i="3"/>
  <c r="E55" i="3"/>
  <c r="E54" i="3"/>
  <c r="E50" i="3"/>
  <c r="E51" i="3"/>
  <c r="H29" i="4"/>
  <c r="H22" i="4"/>
  <c r="H43" i="4"/>
  <c r="I39" i="5"/>
  <c r="H50" i="4"/>
  <c r="E59" i="3"/>
  <c r="A18" i="2"/>
  <c r="B17" i="2"/>
  <c r="H1" i="8"/>
  <c r="B18" i="2" l="1"/>
  <c r="H1" i="9" s="1"/>
  <c r="A19" i="2"/>
  <c r="H44" i="4"/>
  <c r="H45" i="4"/>
  <c r="H46" i="4"/>
  <c r="H48" i="4"/>
  <c r="H47" i="4"/>
  <c r="H31" i="4"/>
  <c r="H32" i="4"/>
  <c r="H34" i="4"/>
  <c r="H33" i="4"/>
  <c r="H30" i="4"/>
  <c r="F32" i="3"/>
  <c r="E31" i="3"/>
  <c r="A20" i="2" l="1"/>
  <c r="B19" i="2"/>
  <c r="H1" i="10" s="1"/>
  <c r="F33" i="3"/>
  <c r="E33" i="3" s="1"/>
  <c r="E32" i="3"/>
  <c r="B20" i="2" l="1"/>
  <c r="H1" i="11" s="1"/>
  <c r="A21" i="2"/>
  <c r="E35" i="3"/>
  <c r="E43" i="3"/>
  <c r="E24" i="3"/>
  <c r="E48" i="3" l="1"/>
  <c r="E45" i="3"/>
  <c r="E47" i="3"/>
  <c r="E46" i="3"/>
  <c r="E44" i="3"/>
  <c r="B21" i="2"/>
  <c r="F1" i="12" s="1"/>
  <c r="A22" i="2"/>
  <c r="E25" i="3"/>
  <c r="E26" i="3"/>
  <c r="A23" i="2" l="1"/>
  <c r="B23" i="2" s="1"/>
  <c r="G1" i="14" s="1"/>
  <c r="B22" i="2"/>
</calcChain>
</file>

<file path=xl/sharedStrings.xml><?xml version="1.0" encoding="utf-8"?>
<sst xmlns="http://schemas.openxmlformats.org/spreadsheetml/2006/main" count="2210" uniqueCount="840">
  <si>
    <t>Būvniecības koptāme</t>
  </si>
  <si>
    <t>Nr.p.k.</t>
  </si>
  <si>
    <t>Objekta nosaukums</t>
  </si>
  <si>
    <t>Objekta izmaksas, Euro</t>
  </si>
  <si>
    <t>Kopā:</t>
  </si>
  <si>
    <t>PVN:</t>
  </si>
  <si>
    <t>Pavisam kopā:</t>
  </si>
  <si>
    <t>Pārbaudīja:</t>
  </si>
  <si>
    <t>Kopsavilkuma aprēķini pa darbu vai konstruktīvo elementu veidiem N.1.</t>
  </si>
  <si>
    <t>(Darba veids vai konstruktīvā elementa nosaukums)</t>
  </si>
  <si>
    <t xml:space="preserve">Celtniecības remontdarbi  </t>
  </si>
  <si>
    <t>Objekta nosaukums: Dzīvojamās ēkas fasādes vienkāršota atjaunošana</t>
  </si>
  <si>
    <t>Pasūtījuma Nr.WS-77-16</t>
  </si>
  <si>
    <t>Par kopējo summu, euro</t>
  </si>
  <si>
    <t>Kopējā darbietilpība, c/h</t>
  </si>
  <si>
    <t>Kods tāmes Nr.</t>
  </si>
  <si>
    <t>Būvdarbu veids vai konstruktīvā elementa nosaukums</t>
  </si>
  <si>
    <t>Darba ietilpība, (c/h)</t>
  </si>
  <si>
    <t>Tai skaitā</t>
  </si>
  <si>
    <t>Tāmes izmaksas</t>
  </si>
  <si>
    <t>Darba alga</t>
  </si>
  <si>
    <t>Mehānismi</t>
  </si>
  <si>
    <t>Virsizdevumi:</t>
  </si>
  <si>
    <t>t.sk.darba aizsardzība</t>
  </si>
  <si>
    <t>Peļņa:</t>
  </si>
  <si>
    <t>Pavisam kopā</t>
  </si>
  <si>
    <t>bez PVN</t>
  </si>
  <si>
    <t>Lokālā tāme Nr.:</t>
  </si>
  <si>
    <t>Ārsienu siltināšanas darbi</t>
  </si>
  <si>
    <r>
      <rPr>
        <b/>
        <sz val="8"/>
        <rFont val="Arial"/>
        <family val="2"/>
        <charset val="186"/>
      </rPr>
      <t xml:space="preserve">AR </t>
    </r>
    <r>
      <rPr>
        <sz val="8"/>
        <rFont val="Arial"/>
        <family val="2"/>
        <charset val="186"/>
      </rPr>
      <t xml:space="preserve">un </t>
    </r>
    <r>
      <rPr>
        <b/>
        <sz val="8"/>
        <rFont val="Arial"/>
        <family val="2"/>
        <charset val="186"/>
      </rPr>
      <t>BK</t>
    </r>
  </si>
  <si>
    <t>daļas rasējumiem</t>
  </si>
  <si>
    <t>Tāmes izmaksas euro:</t>
  </si>
  <si>
    <t>Kods</t>
  </si>
  <si>
    <t>Būvdarbu nosaukums</t>
  </si>
  <si>
    <t>Mērvienība</t>
  </si>
  <si>
    <t>Daudzums</t>
  </si>
  <si>
    <t>Vienības izmaksas</t>
  </si>
  <si>
    <t>Kopā uz visu apjomu</t>
  </si>
  <si>
    <t>Laika norma,
c/h</t>
  </si>
  <si>
    <t>Darbietilpība,
c/h</t>
  </si>
  <si>
    <t>līg.c.</t>
  </si>
  <si>
    <t>Metāla nožogojuma montāža, h=2,0 m</t>
  </si>
  <si>
    <t>m</t>
  </si>
  <si>
    <t>Žogs 3,5×2m</t>
  </si>
  <si>
    <t>gb</t>
  </si>
  <si>
    <t>Pēda</t>
  </si>
  <si>
    <t xml:space="preserve">Sastatņu montēšana </t>
  </si>
  <si>
    <t>m²</t>
  </si>
  <si>
    <t>Sastatnes</t>
  </si>
  <si>
    <t>celtniecības aizsargsiets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</si>
  <si>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</si>
  <si>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</si>
  <si>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</si>
  <si>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</si>
  <si>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</si>
  <si>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</si>
  <si>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 xml:space="preserve">Ārsienu  siltināšana ar akmensvati līmējot un piestiprinot to pie ārsienas ar mehāniskajiem stiprinājumiem </t>
  </si>
  <si>
    <t>litri</t>
  </si>
  <si>
    <t>kg</t>
  </si>
  <si>
    <t>S1/S2</t>
  </si>
  <si>
    <t>S4</t>
  </si>
  <si>
    <t>S5</t>
  </si>
  <si>
    <t>S7</t>
  </si>
  <si>
    <t>S8</t>
  </si>
  <si>
    <t>P4</t>
  </si>
  <si>
    <t>Dībeli virsmas klasifikācija ETA A,B,C,D,E, galvas Ø60, nagla tērauda Ø8-10, Punkta siltumatdeves koeficients 0,002 W/K, min iestrādes dziļums &gt;35mm, vai ekvivalents sekojošā garumā:</t>
  </si>
  <si>
    <t>*215mm</t>
  </si>
  <si>
    <t>gab</t>
  </si>
  <si>
    <t>*dībeļota tiek virszemes daļa175mm</t>
  </si>
  <si>
    <t>*Paligmateriāli</t>
  </si>
  <si>
    <t>komp</t>
  </si>
  <si>
    <t>Paligmateriāli</t>
  </si>
  <si>
    <t>Siltumizolācija sienām</t>
  </si>
  <si>
    <t>Dībeli virsmas klasifikācija ETA A,B,C,D,E, galvas Ø60, nagla tērauda Ø8-10, Punkta siltumatdeves koeficients 0,002 W/K, min iestrādes dziļums &gt;25mm, vai ekvivalents 75mm</t>
  </si>
  <si>
    <t>*Siets stikla šķiedra</t>
  </si>
  <si>
    <t>Blīvējošās lentas montēšana ap logu ailām u.c. vietām.</t>
  </si>
  <si>
    <t>Iekšējo stūru armējums visā ēkas augstumā</t>
  </si>
  <si>
    <t>Tiešās izmaksas kopā, t. sk. darba devēja sociālais nodoklis (%)</t>
  </si>
  <si>
    <t>Esošo skārda āra palodžu demontāža, b=0,25</t>
  </si>
  <si>
    <t>kpl.</t>
  </si>
  <si>
    <t>Projektētas cinkotas tērauda (ar karsto cinkošanu)  ārdurvis ar siltinājumu, rokturi, vēdināšanas žalūziju durvju augšējā daļā, eņģēm, ar  speciālām  blīvgumijām un piedurlīstēm, siltuma caurlaidības koef.:1,6 w/m²×K
tonis: skatīt krāsu pasē</t>
  </si>
  <si>
    <t>Siltummezgla metāla durvis D4 ugunsdrošās (ar EI 60) ar  rokturi,eņģēm,speciālām  blīvgumijām un piedurlīstēm, vienpuktu slēdzeni</t>
  </si>
  <si>
    <t>Durvju montāžas palīgmateriāli uz  apjomu</t>
  </si>
  <si>
    <t>montāžas skavas</t>
  </si>
  <si>
    <t>dibeļi</t>
  </si>
  <si>
    <t>l</t>
  </si>
  <si>
    <t>skrūves</t>
  </si>
  <si>
    <t>Būvgružu savākšana un aizvešana</t>
  </si>
  <si>
    <t>m³</t>
  </si>
  <si>
    <t>Gružu konteiners</t>
  </si>
  <si>
    <t>Ventilācijas atvērumu uzveidošana virtuves telpās</t>
  </si>
  <si>
    <t>Lodžiju PVC stiklojums 6-daļīgs, 1500×6240*, ar divām veramām daļām</t>
  </si>
  <si>
    <t>Lodžiju PVC stiklojums 3-daļīgs, 1500×3040*, ar vienu veramu daļu</t>
  </si>
  <si>
    <t>Perimetrs lentei, m</t>
  </si>
  <si>
    <t>aiļu apdares m², ailes platums</t>
  </si>
  <si>
    <t>palodzes, m</t>
  </si>
  <si>
    <t>Profili, m</t>
  </si>
  <si>
    <t>tips</t>
  </si>
  <si>
    <t>skaits</t>
  </si>
  <si>
    <t>Loga izmērs, m</t>
  </si>
  <si>
    <t>Logu platība m²</t>
  </si>
  <si>
    <t>ārējās</t>
  </si>
  <si>
    <t>iekšējās</t>
  </si>
  <si>
    <t>esošie PVC</t>
  </si>
  <si>
    <t>maināmie koka</t>
  </si>
  <si>
    <t>kopā</t>
  </si>
  <si>
    <t>L</t>
  </si>
  <si>
    <t>h</t>
  </si>
  <si>
    <t>1.gb.</t>
  </si>
  <si>
    <t>hidroizolācijas</t>
  </si>
  <si>
    <t>difūzijas</t>
  </si>
  <si>
    <t>L1</t>
  </si>
  <si>
    <t>LD1</t>
  </si>
  <si>
    <t>L2</t>
  </si>
  <si>
    <t>LD2</t>
  </si>
  <si>
    <t>L3</t>
  </si>
  <si>
    <t>L4</t>
  </si>
  <si>
    <t>L5</t>
  </si>
  <si>
    <t>LD5</t>
  </si>
  <si>
    <t>L6</t>
  </si>
  <si>
    <t>LD6</t>
  </si>
  <si>
    <t>L7</t>
  </si>
  <si>
    <t>L8</t>
  </si>
  <si>
    <t>L9</t>
  </si>
  <si>
    <t>L10</t>
  </si>
  <si>
    <t>L11</t>
  </si>
  <si>
    <t>L12</t>
  </si>
  <si>
    <t>D1*</t>
  </si>
  <si>
    <t>D1</t>
  </si>
  <si>
    <t>D3*</t>
  </si>
  <si>
    <t>D2</t>
  </si>
  <si>
    <t>D3</t>
  </si>
  <si>
    <t>D4</t>
  </si>
  <si>
    <t>Cinkota metāla žalūzija bēniņos R3</t>
  </si>
  <si>
    <t>Cinkota metāla žalūzija pagraba sienās R2</t>
  </si>
  <si>
    <t>PVC  bloks ar  stikla paketi Ug; Uf atbilstoši pasūtītāja vai lietotāja vēlmēm Siltuma caurlaidības koef.: Uw 1,1 W / m² K.</t>
  </si>
  <si>
    <t xml:space="preserve">Sienas paneļa montāža b=120mm Siltumizolācijas ķim sastāvs PUR poliuretāns lambda 0,023 Bs2 do. Metāla biezums iekšējā/ārējā mm 0,4/0,5. Tērauda marka S280 GD. Cinks tēraudam gr/m² 225-275. Izolācijas paneļa Izstrādājuma svars kg/m² ~12. Ārējais pārklājums: PES/RAL atbilstoši krāsu pasei 25 mikr. Iekšpuses pārklājums: PES RAL 9002. Siltumpretestības vērtība W(m²×K): 0,18. Siltumvadītspējas koeficients w/m×k 0,023. Ārējā ugunsizturība: Bs2-do. Uguns noturība EI15. Skaņas izolācija db 26,
</t>
  </si>
  <si>
    <t>M1 - margas sendviča panelis; tonis RAL 7037</t>
  </si>
  <si>
    <t>M2 - margas sendviča panelis; tonis RAL 3011</t>
  </si>
  <si>
    <t>M3 - margas sendviča panelis; tonis RAL 3011</t>
  </si>
  <si>
    <t>Lodžiju PVC aizstiklojums, 1500×6240*</t>
  </si>
  <si>
    <t>Lodžiju PVC aizstiklojums, 1500×3040*</t>
  </si>
  <si>
    <t>6,4m</t>
  </si>
  <si>
    <t>3,2m</t>
  </si>
  <si>
    <t>SILTINĀJUMS</t>
  </si>
  <si>
    <t>Marka</t>
  </si>
  <si>
    <t>Sastāvs</t>
  </si>
  <si>
    <t>Vienība</t>
  </si>
  <si>
    <t>AS-1</t>
  </si>
  <si>
    <t>AS-2</t>
  </si>
  <si>
    <t>zem zemes</t>
  </si>
  <si>
    <t xml:space="preserve">S1/S2
Vieglbetona paneļu ārējās garensienas/ gala sienas
 siltinājums
</t>
  </si>
  <si>
    <t xml:space="preserve">S3
Pamatu sienu 
siltinājums 
</t>
  </si>
  <si>
    <t xml:space="preserve">S4
Lodžiju
 starpsienu siltinājums cokola līmenī
</t>
  </si>
  <si>
    <t xml:space="preserve">S5
Ārsienas siltinājuma mezgls/ pamatu paneļu siltinājuma mezgls/ lodžiju stapsienas siltinājums
</t>
  </si>
  <si>
    <t xml:space="preserve">S6
Aiz lodžijām esošās sienas siltinājuma mezgls
</t>
  </si>
  <si>
    <t xml:space="preserve">S7
Bēniņu stāva siltinājums 
</t>
  </si>
  <si>
    <t xml:space="preserve">S8
Ārsienas/iekšsienas 
atkritumu konteinera telpā
siltinājuma mezgls
</t>
  </si>
  <si>
    <t xml:space="preserve">P1
Pagraba pārseguma siltinājums
</t>
  </si>
  <si>
    <t xml:space="preserve">P2
Bēniņu pārseguma siltinājums
</t>
  </si>
  <si>
    <t xml:space="preserve">P3
Pārseguma siltinājums virs lodžiju telpām/ jumts virs izvirzītās dzīvokļu daļas
</t>
  </si>
  <si>
    <t xml:space="preserve">P4
Pārseguma 
 siltinājums
zem lodžijas1.stāvā
</t>
  </si>
  <si>
    <t>Cokola siltināšanas darbi</t>
  </si>
  <si>
    <t>Betona apmales demontāža</t>
  </si>
  <si>
    <t>Cokola apmetuma nokalšana</t>
  </si>
  <si>
    <t xml:space="preserve">Grunts rakšanas darbi 1,2m dziļumā,1000 mm platumā </t>
  </si>
  <si>
    <t>Cokola sienas sagatavošana siltināšanai - virsmu notīrīšana un gruntēšana,</t>
  </si>
  <si>
    <t xml:space="preserve">*Grunts </t>
  </si>
  <si>
    <t>Jaunas šķidrās hidroizolācijas uzklāšana  visā siltinājuma augstumā</t>
  </si>
  <si>
    <t xml:space="preserve">*hidroizolācija </t>
  </si>
  <si>
    <t>Atrakto vietu aizbēršana ar minerālgrunti</t>
  </si>
  <si>
    <t>Cokola siltināšana</t>
  </si>
  <si>
    <t>S3</t>
  </si>
  <si>
    <t>Siltumizolācija</t>
  </si>
  <si>
    <t>Jauna monolītā betona lietus ūdens novadīšanas apmale</t>
  </si>
  <si>
    <t>Monolītais betons B15; Veidot deformācijas šuvi ik pēc 2.0 m, b=100mm</t>
  </si>
  <si>
    <t>siets F50 klases ∅6; 100x100 stiegrojumu.</t>
  </si>
  <si>
    <t xml:space="preserve">Šķembas (fr.40-70mm) kārtas ieklāšana 100mm </t>
  </si>
  <si>
    <t>Oļu pabērums zem lodžijām</t>
  </si>
  <si>
    <t>*oļi</t>
  </si>
  <si>
    <t>*šķembas fr.0-40mm biezums 150mm</t>
  </si>
  <si>
    <t>*ģeotekstila plēves iesegums 3mm</t>
  </si>
  <si>
    <t>*betons B7,5</t>
  </si>
  <si>
    <t>Gaismas aku betona grīdu remonts. (4 gb.):</t>
  </si>
  <si>
    <t>Esošās betona grīdas izlīdzināšana</t>
  </si>
  <si>
    <t xml:space="preserve">betons </t>
  </si>
  <si>
    <t xml:space="preserve">         Atvērumu izveidošana mūra vai betona 
        sieniņā,  Ø230mm, b=250mm</t>
  </si>
  <si>
    <t>vietas</t>
  </si>
  <si>
    <t xml:space="preserve">         Drenējošo tērauda cauruļu montāža Ø50mm</t>
  </si>
  <si>
    <t xml:space="preserve">  Drenējošā šķembu pildījuma izveidošana</t>
  </si>
  <si>
    <t>šķembas</t>
  </si>
  <si>
    <t>Pagraba siltināšana</t>
  </si>
  <si>
    <t>Esošo koku k-ciju augšdaļas nozāģēšana par 0,15m (precizēt uz vietas)</t>
  </si>
  <si>
    <t>Nozāģēto sieniņu enkurošana pie griestiem (precizēt uz vietas)</t>
  </si>
  <si>
    <t>gb.</t>
  </si>
  <si>
    <t>Dzelzsbetona pārsegumu notīrīšana, izlīdzināšana, sagatavošana siltināšanai</t>
  </si>
  <si>
    <t xml:space="preserve"> Siltumizolācija</t>
  </si>
  <si>
    <t>Esošo apgaismojuma lampu un kabeļu instalācijas demontāža.</t>
  </si>
  <si>
    <t xml:space="preserve">Gružu konteiners </t>
  </si>
  <si>
    <t>Bēniņu siltināšanas darbi</t>
  </si>
  <si>
    <t>Veicamie darbi bēniņu siltināšanai, vēdināšanas izvadiem, atvērumu aizpildīšanai.</t>
  </si>
  <si>
    <t>Esošo bēniņu lūku vāku un karkasu demontāža, lūkas izmēri 600x700 mm (skat.BK-3; BK-7)</t>
  </si>
  <si>
    <t>Gāzbetona bloku mūris, b=200; h=400, pa lūku perimetru, 0,36 m³ uz lūku; šuve stiegrota ar Ø8, l=4x3,8 m</t>
  </si>
  <si>
    <t>Java M100</t>
  </si>
  <si>
    <t xml:space="preserve">Bloki </t>
  </si>
  <si>
    <t>kpl</t>
  </si>
  <si>
    <t>Būvkalumi 100x100x100x2,5 mm, dībeļi M10x80, 2 gab uz detaļu, mūra enkurošanai pie pārseguma</t>
  </si>
  <si>
    <t xml:space="preserve">Esošā pārseguma virsmas attīrīšana, gružu izvākšana, virsmas izlīdzināšana  </t>
  </si>
  <si>
    <t>Plēve 200 mk</t>
  </si>
  <si>
    <t>m2</t>
  </si>
  <si>
    <t>Dēļu laipu uzstādīšana: (elementi 900x1800 mm):</t>
  </si>
  <si>
    <t xml:space="preserve">  * koka brusas ar prettrupes un pretuguns apstrādi 75×100(h)x1800</t>
  </si>
  <si>
    <t xml:space="preserve">  * dēļi ar prettrupes un pretuguns apstrādi 130×25(h)x900</t>
  </si>
  <si>
    <t xml:space="preserve">  * gāzbetona bloku hidroizolācijas krāsojums 0,25x0,35 zem koka brusām</t>
  </si>
  <si>
    <t>Azbestcementa vēdināšanas izvadu Ø300, h=0.9 m -4 gb; Ø420, h=0.6*m -16 gb m; virsmas krāsošana</t>
  </si>
  <si>
    <t xml:space="preserve">Špaktels </t>
  </si>
  <si>
    <t xml:space="preserve">Krāsa </t>
  </si>
  <si>
    <t>Skārda jumtiņu ierīkošana vēdināšanas izvadiem (Ø300 - 4gb; Ø420 - 16 gb); skat.BK-7:</t>
  </si>
  <si>
    <t>* liektas metāla enkurdetaļas - 4x40, l=560; 4 gab uz izvadu; kopā 20x4=80 gab; kop.L=0.56x80=44.8 m</t>
  </si>
  <si>
    <t>* ķīļenkuri M10x60 detaļu nostiprināšanai pie izvadu mūra, 2 gab uz detaļu</t>
  </si>
  <si>
    <t>* metāla detaļa - 4x40 pa jumtiņa perimetru  l=0.5 mx4 gb=2 m, vadiem Ø300,  kop.L=2 mx4gb=8 m</t>
  </si>
  <si>
    <t>* metāla detaļa - 4x40 pa jumtiņa perimetru  l=0.62 mx4 gb=2.5 m, vadiem Ø420,  kop.L=2.5 mx16gb=40m</t>
  </si>
  <si>
    <t>* stīpveida metāla detaļa - 4x50 pa izvada perimetru Ø300; 2 gb ar l=0.55; kop.L=0.55x8gb=4.4 m</t>
  </si>
  <si>
    <t>* stīpveida metāla detaļa - 4x50 pa izvada perimetru Ø420; 2 gb ar l=0.72; kop.L=0.72x32gb=23 m</t>
  </si>
  <si>
    <t>* skrūvju komplekti stīpveida detaļu savilkšanai, 2 gab uz izvadu</t>
  </si>
  <si>
    <t>* šuvju hermetizēšana gar izvadiem un jumta virsmu</t>
  </si>
  <si>
    <t xml:space="preserve">* jumta skārds izvadu jumtiņu segumam; uz jumtiņu 0,55 m² ar Ø300; 0.6 m² ar Ø420 </t>
  </si>
  <si>
    <t>* metāla detaļu pretkorozijas krāsošana</t>
  </si>
  <si>
    <t>Bēn.pārseg. atvērumu Ø300, jumtā Ø220 aizbetonēšana pēc atkritumu vadu demontāžas (katram 4 vietas):</t>
  </si>
  <si>
    <t xml:space="preserve">  * mitruma izturīgās OSB plātnes Ø300,  b=25 mm, sagatavots kā veidnis</t>
  </si>
  <si>
    <t xml:space="preserve">  * mitruma izturīgās OSB plātnes Ø220, b=25 mm, sagatavots kā veidnis</t>
  </si>
  <si>
    <t xml:space="preserve">  * betons B20 F50, plātnes biezums  b=6 cm, kā arī dobumu aizpildīšanai bēniņu pārseguma panelī</t>
  </si>
  <si>
    <t xml:space="preserve">  * stiegru siets, Ø8AIII, 100x100 mm, sagatavots izmēram Ø300</t>
  </si>
  <si>
    <t xml:space="preserve">  * stiegru siets, Ø8AIII, 100x100 mm, sagatavots izmēram Ø220</t>
  </si>
  <si>
    <t xml:space="preserve">  * L 50x5 pa atvēruma perimetru, l=50cm, 6 gb uz atv., kop.L=6 m</t>
  </si>
  <si>
    <t xml:space="preserve">  * ķīļenkuri Ø10x80, 1 gab uz detaļu, 6 gb uz atvērumu</t>
  </si>
  <si>
    <t xml:space="preserve">  * metāla detaļu pretkorozijas krāsojums</t>
  </si>
  <si>
    <t xml:space="preserve">  * atvēruma apšūšana ar pielāgotu, krāsotu ugunsdrošu ģipškartona plātni, b=15 mm</t>
  </si>
  <si>
    <t>Atvērumu 200x200x250(b) izfrēzēšana bēniņu ārsienā gaisa apmaiņas nodrošināšanai, restes-skat.AR</t>
  </si>
  <si>
    <t xml:space="preserve">Dzīvokļu ārsienas  un bēniņu ārsienas siltinājuma salaiduma izbūve (lapa BK-8): </t>
  </si>
  <si>
    <t xml:space="preserve">  * siltinājuma noslēgprofils, b=170, dzīvojamo ārsienu siltinājumam</t>
  </si>
  <si>
    <t xml:space="preserve">  * hermetizējošs blīvējums salaiduma vietā</t>
  </si>
  <si>
    <t xml:space="preserve">  * metāla enkrdetaļa -4x40, l=420*, enkurota ar dībeli pie ārsienas, s=700, 260 gb, kop.l=109 m</t>
  </si>
  <si>
    <t xml:space="preserve">  * krāsota skārda apšuvums, rūpīgi  aplocīts ap enkurdetaļu, b=420*</t>
  </si>
  <si>
    <t xml:space="preserve">Skārds </t>
  </si>
  <si>
    <t xml:space="preserve">  * hermetizējošs blīvējums gar skārda apšuvumu</t>
  </si>
  <si>
    <t xml:space="preserve">Sakaru kabeļu sakārtošanu firmas veic par saviem līdzekļiem, skatīt norādes lapā BK-12 </t>
  </si>
  <si>
    <t>Jumta elementu virsmas remonts</t>
  </si>
  <si>
    <t>Dzelzsbetona jumtiņu, 0,3x6,3 m, demontāža, 6 gab, svars  0,31 T</t>
  </si>
  <si>
    <t>T</t>
  </si>
  <si>
    <t>Avārijas stāvoklī esošu delzsbetona jumta paneļu, 3,2x5,2 m, demontāža, 3 gab, svars 3 T</t>
  </si>
  <si>
    <t>Demontējami atkritumu vadi, Ø300, bēniņu zonā; H=2.1 m</t>
  </si>
  <si>
    <t>Demontējami atkritumu vadi, Ø220, virsjumta zonā; H=0.6 m</t>
  </si>
  <si>
    <t>Uz montāžas laiku demontējami un atpakaļatliekami  divi vēdināšanas izvadi: Ø300 un Ø420, h=2,1m</t>
  </si>
  <si>
    <t xml:space="preserve">   * kārbveida tērauda stati 120x120x4, l=1600*, ekv. EN 10219, 5 gab; kop.L=8 m</t>
  </si>
  <si>
    <t xml:space="preserve">   * kārbveida tērauda stati 120x120x4, l=1830*, ekv. EN 10219, 6 gab; kop.L=11 m</t>
  </si>
  <si>
    <t xml:space="preserve">   * atbalstplātnes -10x300x300 zem statiem uz izlīdzinātas virsmas, 11 gb</t>
  </si>
  <si>
    <t xml:space="preserve">   * plātnes -10x200x200, metinātas uz statiem, 11 gab</t>
  </si>
  <si>
    <t xml:space="preserve">   * ribas -8x40x100*(h) pie kolonu galvām saišu pusē, 6 gab</t>
  </si>
  <si>
    <t xml:space="preserve">   * trīsstūra ribas 1/2(-8x40x100*(h)) pie statu galvām, 38 gab</t>
  </si>
  <si>
    <t xml:space="preserve">   * metāla pasijas HEA 120, l=6.6 m, metinātas pie statu augšējām plātnēm, 6 gab, kop.L=39.6</t>
  </si>
  <si>
    <t xml:space="preserve">   * metāla sijas HEA 120, l=3.5 m, skrūvētas pie pasiju plaukta, 6 gab, kop.L=21 m</t>
  </si>
  <si>
    <t xml:space="preserve">   * skrūvju M12x50 komplekts, 4 gab uz savienojuma vietu (12 sav.) </t>
  </si>
  <si>
    <t xml:space="preserve">   * ķīļveida savienojumu starplikas, precizēt pēc vietas</t>
  </si>
  <si>
    <t xml:space="preserve">   * jumta profili Z150, d=2 mm, l=3.2 m, 12 gab, nostiprināmi uz sijām HEA 120</t>
  </si>
  <si>
    <t xml:space="preserve">   * metāla ribas -4x50x100, 24 gb, metinātas pie sijas HEA 120, paredzētas Z profilu pieskrūvēšanai</t>
  </si>
  <si>
    <t xml:space="preserve">   * leņķi L63x100x6, l=100, 2 gab, enkuroti pie kontrforsa pasijas HEA atbalstam pa asi 3-H</t>
  </si>
  <si>
    <t xml:space="preserve">   * starplikas -8x50x100, zem leņķiem (mezgls "I") uz izlīdzinātas virsmas</t>
  </si>
  <si>
    <t xml:space="preserve">   * ķīļenkuri M10x60 leņķu L63x100x6 stiprināšanai pie kontrforsa</t>
  </si>
  <si>
    <t xml:space="preserve">   * detaļa -8x120x160 uz kontrforsiem statu saišu stiprināšanai, 11 gab</t>
  </si>
  <si>
    <t xml:space="preserve">   * metāla saite Ø16, l=800*, metināta pie malējo kontrforsa plātnes un stata ribas, 6 gab</t>
  </si>
  <si>
    <t xml:space="preserve">   * metāla saite Ø16, l=200*, metināta pie vidējo kontrforsa plātnes un stata ribas, 5 gab</t>
  </si>
  <si>
    <t xml:space="preserve">   * metāla detaļu pretkorozijas un pretugunsaizsardzības krāsojums (EI30)</t>
  </si>
  <si>
    <t xml:space="preserve">Antiseptiz.koka siju 100x200(h) stiprināš. pie jumta paneļu sānu ribas (skat.C-C lapā BK-11), l=31.2 m </t>
  </si>
  <si>
    <t xml:space="preserve">  kokmateriāli</t>
  </si>
  <si>
    <t>m3</t>
  </si>
  <si>
    <t xml:space="preserve">  metāla stiprinājumi</t>
  </si>
  <si>
    <t>Ķīļenkuri M12x150, s=500, brusu enkurošanai pie jumta paneļa, 10 gab uz siju</t>
  </si>
  <si>
    <t>Ugunsdrošā ģipškartona josla, b=200*, apšuvumam koka sijas apakšā</t>
  </si>
  <si>
    <t>Enkurdetaļa -4x40x250*, s=700,  koka sijas augšā apšuvuma skārda aplocīšanai paneļu savienojuma zonā</t>
  </si>
  <si>
    <t xml:space="preserve">Veicamie darbi jumtu siltināšanai virs lodžijām un 5.stāva dzīvokļiem lodžiju zonā </t>
  </si>
  <si>
    <t>Esošās ruberoīda virsmas notīrīšana no gružiem, izlīdzināšana pēc izvērtējuma, kop.L=119.6 m, b=1.2</t>
  </si>
  <si>
    <t>Skārda apšuvuma noņemšana no lodžijas jumta dzegas un parapetiem, b=300, kop.L=136.4 m</t>
  </si>
  <si>
    <t>Leņķprofils L100x7;  l=100; brusas enkurošanai; s=500; 224 gab,  kop.L=22.4 m</t>
  </si>
  <si>
    <t>Metāla detaļu pretkorozijas krāsošana</t>
  </si>
  <si>
    <t>Ķīļenkuri M10x110, 1 gab uz detaļu</t>
  </si>
  <si>
    <t>Enkurskrūves Ø8x80,  1 gab uz detaļu</t>
  </si>
  <si>
    <t>Lodžijas jumta priekšmalas izbūve, apdare arī sānu malām 16.8 m (sānu siltin.S7.skat.AR rasējumos):</t>
  </si>
  <si>
    <t xml:space="preserve">   * antispetizētas koka latas 50x50x320* stiprināšana jumta dzegā un sānos; s=500, 224 gab, kop.L=72 m</t>
  </si>
  <si>
    <t xml:space="preserve">   * ķīļenkuri M10, l=90, 1 gab uz koka detaļu, enkuroš. pie paneļa</t>
  </si>
  <si>
    <t xml:space="preserve">   * enkurskrūves Ø8x100,  1 gab uz detaļu enkuroš. pie koka brusas</t>
  </si>
  <si>
    <t xml:space="preserve">   * papildus seguma loksne uz dzegas zem skārda apšuvuma, noliekta priekšpusē un nostiprināta, b=500</t>
  </si>
  <si>
    <t xml:space="preserve">   * dzegas un sānu apšuvuma enkurdetaļa -4x40x200*, s=500, 224 gab</t>
  </si>
  <si>
    <t xml:space="preserve">   *  PVC stūra elements jumtiņa dzegas siltinājuma apakšā</t>
  </si>
  <si>
    <t xml:space="preserve">   * priekšmalas un sānu (b=1.2 m) skārda apšuvums, B=0,6* m, lodžiju malai, rūpīgi aplocīts, tonis pēc AR</t>
  </si>
  <si>
    <t xml:space="preserve">   * metāla detaļu pretkorozijas krāsojums</t>
  </si>
  <si>
    <t>Lodžijas jumts</t>
  </si>
  <si>
    <t>Gāze</t>
  </si>
  <si>
    <t>bal.</t>
  </si>
  <si>
    <t>Siltinātā lodžiju jumtiņa pieslēgums pie ārsienas (mezgls lapā BK-8), kop.L=95.2 m:</t>
  </si>
  <si>
    <t xml:space="preserve">   * divas papildus seguma kārtas pie sienas pieslēguma, kop.b=0.65+0.45 m, L=95.2 m</t>
  </si>
  <si>
    <t xml:space="preserve">   * cinkota skārda noseglīste, b=150, pašurbjoša enkurojuma l=200*, solis 200 </t>
  </si>
  <si>
    <t xml:space="preserve">   * cokola profils zem ārsienas siltinājuma S7 (b=50 mm) gar lodžiju jumtu</t>
  </si>
  <si>
    <t xml:space="preserve">   * hermetizēta šuve gar pieslēgumu</t>
  </si>
  <si>
    <t xml:space="preserve">Deflektoru iebūve siltinātā lodžiju jumtā, Ø100 mm, h=300 mm, skatīt mezglu lapā BK-8 </t>
  </si>
  <si>
    <t>Gāzbetona bloku sieniņu, b=200, h=300, l=3.75 m, mūris parapetam,  h=200 - siltinājuma norobežoš.</t>
  </si>
  <si>
    <t>Būvkalumi 100x100x100x2.5; s=500, mūra enkurošanai pie pārseguma</t>
  </si>
  <si>
    <t>Ķīļenkuri M10x80, 2 gab uz detaļu</t>
  </si>
  <si>
    <t>Antiseptiz. koka latas 50x50x370, s=500, stiprināšana parapeta augšā</t>
  </si>
  <si>
    <t>Liekta metāla detaļa -4x40x550* uz latas parapeta skārda aplocīšanai, s=500, 16 gab, kop.l=8.8 m</t>
  </si>
  <si>
    <t>Ķīļenkuri M10, l=100, 2 gab uz detaļu</t>
  </si>
  <si>
    <t>Parapeta apšuvums ar skārdu, b=0,6 m, l=2x5.3m, rūpīgi aplocīts ap enkuriem, tonis pēc AR</t>
  </si>
  <si>
    <t>Metāla detaļu pretkorozijas krāsojums</t>
  </si>
  <si>
    <t xml:space="preserve">   * cokola profils zem ārsienas siltinājuma S7 (b=50 mm) gar dzīvokļa jumtu</t>
  </si>
  <si>
    <t xml:space="preserve">Deflektoru iebūve siltinātā dzīvokļa jumtā, Ø100 mm, h=300 mm, skatīt mezglu lapā BK-8 </t>
  </si>
  <si>
    <t>Jumtiņa apmales skārda demontāža (b=0,4m), 3 gb (1.,3.,4.sekcija)</t>
  </si>
  <si>
    <t>Esošā ruberoīda seguma noņemšana, virsmas attīrīšana, izlīdzināšana ar cementa javu, b=20</t>
  </si>
  <si>
    <t>Java</t>
  </si>
  <si>
    <t>Jumtiņa betona virsmas notīrīšana fasādē atsegtām sānu malām un apakšējai plaknei</t>
  </si>
  <si>
    <t xml:space="preserve">   * atsegto stiegru pretkorozijas apstrāde, precizēt pēc vietas</t>
  </si>
  <si>
    <t xml:space="preserve">   * virsmas apstrāde ar sasaistes uzlabotāju</t>
  </si>
  <si>
    <t xml:space="preserve">   * izlīdzinātās virsmas špaktelēšana un gruntēšana</t>
  </si>
  <si>
    <t xml:space="preserve">  grunts</t>
  </si>
  <si>
    <t xml:space="preserve">   * sagatavotas virsmas krāsošana ar betona virsmai paredzētu fasādes krāsu( 2x kārtas)</t>
  </si>
  <si>
    <t>Antiseptizētas koka latas 50x50 enkurošana gar jumtiņa malu</t>
  </si>
  <si>
    <t xml:space="preserve">Jumtiņa dzegas un sānu apšuvums ar rūpnieciski krāsotu skārdu, b=500, (pēc krāsu pases) </t>
  </si>
  <si>
    <t>Jumta skārda lāseņa nostiprināšana pa jumtiņa garumu, b=250, tonis pēc AR norādēm</t>
  </si>
  <si>
    <t>Jumta segums</t>
  </si>
  <si>
    <t>Cokola profils zem ārsienas siltinājuma S1 (b=170 mm) gar jumtiņu</t>
  </si>
  <si>
    <t xml:space="preserve">Krāsota skārda ieliekta noseglīste gar pieslēgumu, b=250, enkurojuma solis 20 cm </t>
  </si>
  <si>
    <t>Hemetizēta šuve gar ārsienas un jumtiņa  pieslēgumu</t>
  </si>
  <si>
    <t>Jumtiņa apmales skārda demontāža (b=0,4m), l=3,2</t>
  </si>
  <si>
    <t>Esošā ruberoīda seguma noņemšana, virsmas attīrīšana, izlīdzināšana ar stiegrotu cementa javu, b=20</t>
  </si>
  <si>
    <t>Jumtiņa betona virsmas notīrīšana fasādē atsegtām sānu malām un apakšējai plaknei (arī telpās)</t>
  </si>
  <si>
    <t>Jumtiņa pagarināšanai veicamie būvdarbi (skat.lapu BK-9):</t>
  </si>
  <si>
    <t xml:space="preserve">   * antiseptizētas koka sijas 100x180(h), l=3* m, 2 gab, nostiprināšana brusu kurpēs</t>
  </si>
  <si>
    <t xml:space="preserve">   * cementa-skaidu plātnes  apšuvums dzegas pusē un siju apakšā, b=0,2+0,5 m=0,7 m </t>
  </si>
  <si>
    <t xml:space="preserve">   * mitruma izturīgas OSB loksnes, b=15, apšuvums uz siju augšas, joslas platums 0,5 m</t>
  </si>
  <si>
    <t>Cokola nosegprofils zem ārsienas siltinājuma S1, b=170, pa jumtiņa pieslēguma perimetru</t>
  </si>
  <si>
    <t xml:space="preserve">Putupolistirola siltinājuma apmetums un krāsojums pēc sistēmas AS-1, skat.norādes AR rasēj. </t>
  </si>
  <si>
    <t xml:space="preserve">Jumtiņa dzegas apšuvums ar rūpnieciski krāsotu skārdu, b=350, l=3 m (pēc krāsu pases) </t>
  </si>
  <si>
    <t xml:space="preserve">Krāsota skārda ieliekta noseglīste gar pieslēgumu, b=250, enkurojuma solis 20 cm, gar logu-pēc vietas </t>
  </si>
  <si>
    <t>Ruberoīda ielāpu noņemšana.no jumta augšējās virsmas (no visiem elementiem), precizēt pēc vietas</t>
  </si>
  <si>
    <t>Galasienu virsmas attīrīšana ar smilšpapīru jumta pusē</t>
  </si>
  <si>
    <t>Saduršuvju attīrīšana starp visiem jumta elementiem no vecās javas, mastikas u.c. fasādes, jumta  un bēniņu pusē: šuves starp paneļiem; gar teknēm, gar dzegu fasādē un bēniņos; šuves pie galasienām u.c.</t>
  </si>
  <si>
    <t xml:space="preserve">Caurumu, līdz Ø10* cm, plātnes b=100, aizpldīšana paneļu virsmā, betons B20 F50 </t>
  </si>
  <si>
    <t>Piltuvju iestrāde dzelzsbetona teknēs pēc tehnoloģijas lapā BK-6</t>
  </si>
  <si>
    <t>Jumta parapetu apdare pēc betona virsmas atjaunošanas:</t>
  </si>
  <si>
    <t xml:space="preserve">  * parapetu visrmas, b=550, L=41 m, slīpināšana ar cementa javu uz jumta pusi, b=20÷40 mm</t>
  </si>
  <si>
    <t xml:space="preserve">  * liektu enkuru -4x40, l=750*, s=300, nostiprināšana uz parapeta, 135 gab</t>
  </si>
  <si>
    <t xml:space="preserve">  * dībeļi M10x80 enkurdetaļu stiprināšanai pie parapeta plātnes, 2 gab uz detaļu</t>
  </si>
  <si>
    <t xml:space="preserve">  * parapetu apšuvums, b=800*, ar krāsotu jumta skārdu pēc krāsu pases</t>
  </si>
  <si>
    <t xml:space="preserve">  * enkuru pretkorozijas krāsojums</t>
  </si>
  <si>
    <t>Šuvju hermetizēšana gar uzstādītām lūkām</t>
  </si>
  <si>
    <t>Paneļu, tekņu  virsmas attīrīšana no nepiesaistītām daļiņām, uzslāņojumiem (skat.norādes BK-2)</t>
  </si>
  <si>
    <t>Atsegtā stiegrojuma notīrīšana līdz klasei Sa (min. St 2),apjomu precizēt būvdarbu laikā</t>
  </si>
  <si>
    <t>Paneļu, tekņu  plaisu iztīrīšana no nenoturīgām betona daļiņām, apjomu precizēt pēc virsmas attīrīšanas</t>
  </si>
  <si>
    <t>Ieejas mezgli</t>
  </si>
  <si>
    <t>Veicamie darbi pagraba kāpņu un laukumu atjaunošanai</t>
  </si>
  <si>
    <t xml:space="preserve">Bojātā betona nokalšana, b=~30, no pagraba ieejas laukumiem (pie pagraba durvīm) </t>
  </si>
  <si>
    <t>Uz drenāžas atvēruma pusi slīpinātas betona B20 F50 abrazīvas grīdas ierīkošana pie pagraba durvīm</t>
  </si>
  <si>
    <t>betons</t>
  </si>
  <si>
    <t>Pagraba kāpņu un pandusu virsmas attīrīšana, betona  virsmas remonts uz saķeres uzlabotāja slāņa</t>
  </si>
  <si>
    <t>Grunts atrakšana pie pagraba atbalstsienas drenāžas ierīkošanai (~1 m³ uz ieeju); šķ.anal.gaismas šahtām</t>
  </si>
  <si>
    <t>Šķembu pildījums drenāžas nolūkam (~0,5 m³ uz ieeju), skat.anal.šķēl.AR rasējumos pie gaisamas šahtām</t>
  </si>
  <si>
    <t>Grunts atpakaļatbēršana ar blietēšanu pa kārtām</t>
  </si>
  <si>
    <t xml:space="preserve">Drenāžas atvērumu Ø50 mm  izbūve pagraba atbalstsienā, b=400, pagraba laukuma grīdas līmenī </t>
  </si>
  <si>
    <t xml:space="preserve">Drenāžas caurules, l=500,  nostiprināšana atvērumā ar restīti pagraba pusē, </t>
  </si>
  <si>
    <t>Pagraba atbalstsienas virsmas attīrīšana, betona visrmas remonts, krāsošana ar betona krāsu āra darbiem</t>
  </si>
  <si>
    <t>Lodžiju remontdarbi</t>
  </si>
  <si>
    <t xml:space="preserve">Veicamo darbu apjomi lodžiju iestiklošanas detaļu ierīkošanai </t>
  </si>
  <si>
    <t>Lodžiju iestiklojuma metāla detaļas, nesošo sienu solis s=6,4 m:</t>
  </si>
  <si>
    <t xml:space="preserve">   * plakantērauda atbalstdetaļas -10x100x200(h), 2 gab uz siju</t>
  </si>
  <si>
    <t xml:space="preserve">   * ķīļenkuri Ø12, l=80, 2 gab uz detaļu</t>
  </si>
  <si>
    <t xml:space="preserve">   * leņķveida detaļa L110x70x6,5; l=6,24 m; 1 gab uz lodžiju</t>
  </si>
  <si>
    <t xml:space="preserve">   * ķīļenkuri M12, l=80; s=500; 10 gab uz lodžiju</t>
  </si>
  <si>
    <t xml:space="preserve">   * metāla detaļa L50x6, l=50, s=500, pie lodžijas paneļa priekšmalas koka latas enkuroš., 10 gb uz lodžiju</t>
  </si>
  <si>
    <t xml:space="preserve">   * ķīļenkuri M10, l=60, 1 gab uz detaļu</t>
  </si>
  <si>
    <t xml:space="preserve">   * antiseptizēta koka detaļa 50x50x200*(h), skrūvēta  ar enkurskrūvēm Ø6x50 pie L50x6, 770 gab</t>
  </si>
  <si>
    <t xml:space="preserve">   * liekta metāla detaļa -4x40x370*, s=500, pie koka latas skārda aplocīšanai, 10 gab uz lodžiju</t>
  </si>
  <si>
    <t xml:space="preserve">   * skārda apšuvums, b=0,45* m, lodžiju malai, rūpīgi aplocīts ap enkurdetaļu, tonis pēc AR krāsu pases</t>
  </si>
  <si>
    <t>Citi materiāli (malas siltinājums un Sendvič paneļi - AR apjomos):</t>
  </si>
  <si>
    <t xml:space="preserve">   * PVC stūra detaļa, l=6,56* m, zem paneļa malas siltinājuma,1 gab uz lodžiju </t>
  </si>
  <si>
    <t xml:space="preserve">   * mitruma izturīga OSB loksne, 30*(h)x110, l=6,24 zem "Sendvič" paneļa </t>
  </si>
  <si>
    <t xml:space="preserve">   * ķīļenkuri M10x60, s=500, loksnes nostiprināšanai pie paneļa, 10 gb uz lodž.</t>
  </si>
  <si>
    <t xml:space="preserve">   * hidroizlācijas lenta, b=110,  zem OSB starplikas </t>
  </si>
  <si>
    <t xml:space="preserve">   * PVC palodze, b=150* mm, 1 gab uz lodžiju</t>
  </si>
  <si>
    <t xml:space="preserve">   * U-veida termoprofils, h=130, "Sendvič" paneļa augšas nosegšanai</t>
  </si>
  <si>
    <t xml:space="preserve">   * šuvju blīvējumi gar "Sendvič" paneli augšā un apakšā</t>
  </si>
  <si>
    <t xml:space="preserve">   * u-veida termoprofils, h=130, un skārda palodze, b=150, pēc stiklojuma uzstādīšanas</t>
  </si>
  <si>
    <t xml:space="preserve">   * lodžijas paneļu apakšējās betona virsmas atjaunošana pēc Sakret vai ekvivalentas tehnoloģijas</t>
  </si>
  <si>
    <t>"Sendvič" paneļu , h=1 m, l=6,24* m, enkurošana pie metāla konstrukcijām pēc ražotāja norādes</t>
  </si>
  <si>
    <r>
      <rPr>
        <sz val="8"/>
        <rFont val="Arial"/>
        <family val="2"/>
        <charset val="186"/>
      </rPr>
      <t>Lodžiju iestiklojuma metāla detaļas, nesošo sienu solis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>s=3,2 m:</t>
    </r>
  </si>
  <si>
    <t xml:space="preserve">   * leņķveida detaļa L110x70x6,5; l=3,04 m; 1 gab uz lodžiju</t>
  </si>
  <si>
    <t xml:space="preserve">   * ķīļenkuri M12, l=80; s=500; 5 gab uz lodžiju</t>
  </si>
  <si>
    <t xml:space="preserve">   * antiseptizēta koka detaļa 50x50x200*(h), skrūvēta  ar enkurskrūvēm Ø6x50 pie L50x6, 150 gab</t>
  </si>
  <si>
    <t xml:space="preserve">   * liekta metāla detaļa -4x40x370* skārda aplocīšanai, 5 gab uz lodžiju</t>
  </si>
  <si>
    <t xml:space="preserve">   * PVC stūra detaļa, l=3,04 m, zem malas siltinājuma,1 gab uz lodžiju </t>
  </si>
  <si>
    <t xml:space="preserve">   * mitruma izturīga OSB loksne, 30*(h)x110 zem "Sendvič" paneļa </t>
  </si>
  <si>
    <t xml:space="preserve">   * ķīļenkuri M10x60, s=500, loksnes nostiprināšanai pie paneļa, 5 gb uz lodž.</t>
  </si>
  <si>
    <t xml:space="preserve">   * hidroizlācijas lenta, b=110,  zem OSB starplikas, 3,04 m uz lodžiju </t>
  </si>
  <si>
    <t xml:space="preserve">   * PVC palodze, b=150* mm, 1 gab uz lodžiju, l=3,04 m</t>
  </si>
  <si>
    <t xml:space="preserve">   * skārda palodze, b=150,  pēc stiklojuma uzstādīšanas</t>
  </si>
  <si>
    <t>"Sendvič" paneļu, h=1 m, l=3,04* m,  enkurošana pie metāla konstrukcijām pēc ražotāja norādes</t>
  </si>
  <si>
    <t>AVK daļa</t>
  </si>
  <si>
    <t>AVK</t>
  </si>
  <si>
    <t>Apkure</t>
  </si>
  <si>
    <t>Esošās apkures sistēmas demontāža</t>
  </si>
  <si>
    <t>k-ts</t>
  </si>
  <si>
    <t>Polipropilēna caurule apkurei Dn40, montāža, stiprināšana pie sienas/griestiem</t>
  </si>
  <si>
    <t>Polipropilēna caurule apkurei Dn32, montāža, stiprināšana pie sienas/griestiem</t>
  </si>
  <si>
    <t>Polipropilēna caurule apkurei Dn25, montāža, stiprināšana pie sienas</t>
  </si>
  <si>
    <t>Polipropilēna caurule apkurei Dn20, montāža, stiprināšana pie sienas</t>
  </si>
  <si>
    <t>Polipropilēna caurule apkurei Dn15, montāža, stiprināšana pie sienas</t>
  </si>
  <si>
    <t>Polipropilēna caurules trejgabals Dn 40, montāža</t>
  </si>
  <si>
    <t>Polipropilēna caurules trejgabals Dn 32, montāža</t>
  </si>
  <si>
    <t>Polipropilēna caurules trejgabals Dn 25, montāža</t>
  </si>
  <si>
    <t>Polipropilēna caurules trejgabals Dn 20, montāža</t>
  </si>
  <si>
    <t>Polipropilēna caurules trejgabals Dn 15, montāža</t>
  </si>
  <si>
    <t>PPR caurules pagrieziens 90°, Dn15÷Dn25, montāža</t>
  </si>
  <si>
    <r>
      <rPr>
        <sz val="8"/>
        <rFont val="Arial"/>
        <family val="2"/>
        <charset val="186"/>
      </rPr>
      <t>PPR caurules diametru maiņa Dn40→</t>
    </r>
    <r>
      <rPr>
        <sz val="8"/>
        <rFont val="Arial"/>
        <family val="2"/>
        <charset val="204"/>
      </rPr>
      <t>Dn32, montāža</t>
    </r>
  </si>
  <si>
    <r>
      <rPr>
        <sz val="8"/>
        <rFont val="Arial"/>
        <family val="2"/>
        <charset val="186"/>
      </rPr>
      <t>PPR caurules diametru maiņa Dn32→</t>
    </r>
    <r>
      <rPr>
        <sz val="8"/>
        <rFont val="Arial"/>
        <family val="2"/>
        <charset val="204"/>
      </rPr>
      <t>Dn25, montāža</t>
    </r>
  </si>
  <si>
    <r>
      <rPr>
        <sz val="8"/>
        <rFont val="Arial"/>
        <family val="2"/>
        <charset val="186"/>
      </rPr>
      <t>PPR caurules diametru maiņa Dn25→</t>
    </r>
    <r>
      <rPr>
        <sz val="8"/>
        <rFont val="Arial"/>
        <family val="2"/>
        <charset val="204"/>
      </rPr>
      <t>Dn20, montāža</t>
    </r>
  </si>
  <si>
    <r>
      <rPr>
        <sz val="8"/>
        <rFont val="Arial"/>
        <family val="2"/>
        <charset val="186"/>
      </rPr>
      <t>PPR caurules diametru maiņa Dn20→</t>
    </r>
    <r>
      <rPr>
        <sz val="8"/>
        <rFont val="Arial"/>
        <family val="2"/>
        <charset val="204"/>
      </rPr>
      <t>Dn15, montāža</t>
    </r>
  </si>
  <si>
    <t>Pāreja PE-Cu, Dn 15, montāža (mufe)</t>
  </si>
  <si>
    <t>Pāreja PE-Cu, Dn 20, montāža (mufe)</t>
  </si>
  <si>
    <t>PPR caurules DN 40 pagrieziens, 90°, montāža</t>
  </si>
  <si>
    <t>PPR caurules DN 32 pagrieziens, 90°, montāža</t>
  </si>
  <si>
    <t>Ventilis lodveida; t=110°C; P=8 bar; Dn40</t>
  </si>
  <si>
    <t>Ventilis lodveida; t=110°C; P=8 bar; Dn20</t>
  </si>
  <si>
    <t>Ventilis lodveida; t=110°C; P=8 bar; Dn15</t>
  </si>
  <si>
    <t>Cauruļvada Dn40 siltumizolācijas čaula, b=&gt;50 mm, l= 0.040 W/K×m², caurules siltumizolēšana</t>
  </si>
  <si>
    <t>Cauruļvada Dn32 siltumizolācijas čaula, b=&gt;50 mm, l= 0.040 W/K×m², caurules siltumizolēšana</t>
  </si>
  <si>
    <t>Cauruļvada Dn25 siltumizolācijas čaula, b=&gt;50 mm, l= 0.040 W/K×m², caurules siltumizolēšana</t>
  </si>
  <si>
    <t>Cauruļvada Dn20 siltumizolācijas čaula, b=&gt;50 mm, l= 0.040 W/K×m², caurules siltumizolēšana</t>
  </si>
  <si>
    <t>Cauruļvada Dn15 siltumizolācijas čaula, b=&gt;50 mm, l= 0.040 W/K×m², caurules siltumizolēšana</t>
  </si>
  <si>
    <t>Cauruļvada Dn40 slīdošais balsts (termokompensācijas čaula), izbūve caur  griestiem, hermetizācija, apmetuma un krāsojuma atjaunošana</t>
  </si>
  <si>
    <t>Cauruļvada Dn32 slīdošais balsts (termokompensācijas čaula), izbūve caur  griestiem, hermetizācija, apmetuma un krāsojuma atjaunošana</t>
  </si>
  <si>
    <t>Cauruļvada Dn25 slīdošais balsts (termokompensācijas čaula), izbūve caur  griestiem, hermetizācija, apmetuma un krāsojuma atjaunošana</t>
  </si>
  <si>
    <t>Cauruļvada Dn20 slīdošais balsts (termokompensācijas čaula), izbūve caur  griestiem, hermetizācija, apmetuma un krāsojuma atjaunošana</t>
  </si>
  <si>
    <t>Cauruļvada Dn15 slīdošais balsts (termokompensācijas čaula), izbūve caur  griestiem, hermetizācija, apmetuma un krāsojuma atjaunošana</t>
  </si>
  <si>
    <t>Vara caurule apkurei, Dn20, montāža, stiprināšana pie sienas, ar fasondetaļām</t>
  </si>
  <si>
    <t>Vara caurule apkurei, Dn15, montāža, stiprināšana pie sienas, ar fasondetaļām</t>
  </si>
  <si>
    <t>Cauruļvadu un pievienojumu fasondetaļas un veidgabali</t>
  </si>
  <si>
    <t>Montāžas palīgmateriāli</t>
  </si>
  <si>
    <t>Siltuma maksas sadalītājs “Doprimo 3 radio net" firmas ISTA vai ekvivalents,
2-sensoru, starta temperatūra &lt; 23 °C; alumīnija plāksne F22, saskaņā ar Eiropas standartu DIN EN 834 Jādarbojas sistēmā “ISTA Symphonic sensor net” un pieslēdzams pie datu pārraides ierīces “ISTA Memonic 3 radio net” vai ekvivalents</t>
  </si>
  <si>
    <t>Iekārta datu centralizētai nolasīšanai, uzstādāms katras  sekcijas kāpņu telpā, uzstādīšana, ieregulēšana, vai analogs</t>
  </si>
  <si>
    <t>Cauruļvada Dn15 siltumizolācijas čaula, b=&gt;30 mm, l= 0.040 W/K×m², caurules siltumizolēšana</t>
  </si>
  <si>
    <t>Cauruļvada pieslēgums siltummezglā Dn40</t>
  </si>
  <si>
    <t>Apkures sistēmas nopresēšana,  ieregulēšana, pārbaude un 
nodošana ekspluatācijā</t>
  </si>
  <si>
    <t>Ventilācijas sistēma</t>
  </si>
  <si>
    <t>Gaisa nosūces reste 250×150</t>
  </si>
  <si>
    <t>Siltuma mezgls</t>
  </si>
  <si>
    <t>Aukstā ūdensapgāde.</t>
  </si>
  <si>
    <t>UK</t>
  </si>
  <si>
    <t>Materiāla un darba nosaukums, izmērs (mm)</t>
  </si>
  <si>
    <t>Izmērs</t>
  </si>
  <si>
    <t>Apjomi</t>
  </si>
  <si>
    <t>Ēkas ūdens patēriņa uzskaites mezgls</t>
  </si>
  <si>
    <t>1¼",
Qn=2,8 m³/h</t>
  </si>
  <si>
    <t>Savienojums, PPR pāreja uz vītni</t>
  </si>
  <si>
    <t>D40 &gt; 2" i.v.</t>
  </si>
  <si>
    <t>Vītņu pāreja</t>
  </si>
  <si>
    <t>1¼"</t>
  </si>
  <si>
    <t xml:space="preserve">Lodveida ventilis </t>
  </si>
  <si>
    <t>Lodveida ventilis - tukšošanas krāns</t>
  </si>
  <si>
    <t>1"</t>
  </si>
  <si>
    <t>Vienvirziena vārsts</t>
  </si>
  <si>
    <t>Rupjais netīrumu savācējs</t>
  </si>
  <si>
    <t>Q=6,5m³/h, 1¼"</t>
  </si>
  <si>
    <t>kmpl.</t>
  </si>
  <si>
    <t>Pāreja. Tērauds-PPR</t>
  </si>
  <si>
    <t>Ēkas ūdensapgādes tīkli</t>
  </si>
  <si>
    <t>Demontējamas ūdensvada caurules un tās stirpinājumi</t>
  </si>
  <si>
    <t>Dn20÷50</t>
  </si>
  <si>
    <t>Jaunizbūvējamā aukstā ūdensvada pievienošanās pie esošā ūdensvada ievada</t>
  </si>
  <si>
    <t>precizēt</t>
  </si>
  <si>
    <t>Nerūsējošā tērauda caurule Ø21,3×2,0mm</t>
  </si>
  <si>
    <t>Ø21,3×2,0mm</t>
  </si>
  <si>
    <t>Ø40×3,7mm</t>
  </si>
  <si>
    <t>Ø32×2,9mm</t>
  </si>
  <si>
    <t>Ø25×2,3mm</t>
  </si>
  <si>
    <t>Ø20×1,9mm</t>
  </si>
  <si>
    <t>Ø16×1,9mm</t>
  </si>
  <si>
    <t>Dn42×9mm</t>
  </si>
  <si>
    <t>Dn35×9mm</t>
  </si>
  <si>
    <t>Dn28×9mm</t>
  </si>
  <si>
    <t>Dn22×9mm</t>
  </si>
  <si>
    <t>Dn18x9mm</t>
  </si>
  <si>
    <t>PPR kompensācijas cilpas, PN20</t>
  </si>
  <si>
    <t>D40</t>
  </si>
  <si>
    <t>D32</t>
  </si>
  <si>
    <t>D25</t>
  </si>
  <si>
    <t>Dn42×30mm</t>
  </si>
  <si>
    <t>Dn35×30mm</t>
  </si>
  <si>
    <t>Dn28×30mm</t>
  </si>
  <si>
    <t>Dn22×30mm</t>
  </si>
  <si>
    <t>Dn18×30mm</t>
  </si>
  <si>
    <t>Noslēgventīlis uz ievadiem dzīvoklī</t>
  </si>
  <si>
    <t>½"</t>
  </si>
  <si>
    <t>PPR pāreja ar iekšējo vītni noslēgventīļiem uz ievadiem dzīvoklī</t>
  </si>
  <si>
    <t>D25×½</t>
  </si>
  <si>
    <t>D20×½</t>
  </si>
  <si>
    <t>D16×½</t>
  </si>
  <si>
    <t>Cauruļvadu stiprinājumi ar izolāciju cauruļvadu nostiprināšanai</t>
  </si>
  <si>
    <t xml:space="preserve">Dn 40 </t>
  </si>
  <si>
    <t>Dn 32</t>
  </si>
  <si>
    <t>Dn 25</t>
  </si>
  <si>
    <t>Dn20</t>
  </si>
  <si>
    <t>Dn16</t>
  </si>
  <si>
    <t>Tērauda aizsargcaurule</t>
  </si>
  <si>
    <t>Dn 40</t>
  </si>
  <si>
    <t>PPR savienojums ar ārējo vītni termostatiskā vārsta pievienošanai caurulei</t>
  </si>
  <si>
    <t>Ø20 × ½"</t>
  </si>
  <si>
    <t>Ø20-Dn20</t>
  </si>
  <si>
    <t>Projektēto ūdensvadu pieslēgšana pie siltummezgla</t>
  </si>
  <si>
    <t>Izbūvētās ūdensvada sistēmas pārbaude un nodošana</t>
  </si>
  <si>
    <t>Pārseguma šķērsošana ar PPR cauruli</t>
  </si>
  <si>
    <t>100×300mm</t>
  </si>
  <si>
    <t>100×200mm</t>
  </si>
  <si>
    <t>30kg</t>
  </si>
  <si>
    <t>maisi</t>
  </si>
  <si>
    <t>Dzīvokļu aukstā ūdens patēriņa uzskaites mezgli</t>
  </si>
  <si>
    <t>½", Qn=1,5m³/h</t>
  </si>
  <si>
    <t xml:space="preserve">Ø20 &gt; ½" </t>
  </si>
  <si>
    <t>D20</t>
  </si>
  <si>
    <t>Dvieļu žāvētāja mezgls</t>
  </si>
  <si>
    <t>Dn15, L=500mm, h=500mm</t>
  </si>
  <si>
    <t>gab.</t>
  </si>
  <si>
    <t>PPR līkums ar ārējo vītni</t>
  </si>
  <si>
    <t xml:space="preserve">Ø25 × ½" </t>
  </si>
  <si>
    <t>Kronšteini dvieļu žāvētāja stiprināšanai</t>
  </si>
  <si>
    <t>Komunikāciju šahtu vāku atjaunošana</t>
  </si>
  <si>
    <t>Komunikāciju šahtas priekšējā paneļa demontāža</t>
  </si>
  <si>
    <t>400×2500mm</t>
  </si>
  <si>
    <t>gb..</t>
  </si>
  <si>
    <t>Komunikāciju šahtas priekšējā paneļa izbūve no dubulta pastiprinātas stiprības ģipškartona profilu konstrukcijā ar špaktelēšanu</t>
  </si>
  <si>
    <t xml:space="preserve"> vertikālais profils CW-50/50/2600mm</t>
  </si>
  <si>
    <t>L=2,5m</t>
  </si>
  <si>
    <t>profils CW-50/50/3000mm rāmim ap revīzijas lūku</t>
  </si>
  <si>
    <t>L=1,0m</t>
  </si>
  <si>
    <t>Amortizācijas lente, pašlīmējoša</t>
  </si>
  <si>
    <t>30mm</t>
  </si>
  <si>
    <t>Skrūves TN 35mm</t>
  </si>
  <si>
    <t>Dībeļnagla 6/35</t>
  </si>
  <si>
    <t>Ģipškartona karkasa krāsošana</t>
  </si>
  <si>
    <t>Grunts</t>
  </si>
  <si>
    <t>Špaktele</t>
  </si>
  <si>
    <t>Krāsa</t>
  </si>
  <si>
    <t xml:space="preserve">Metāla revīzijas lūka kanalizācijas revīzijas apkalpošanai </t>
  </si>
  <si>
    <t>200×200mm</t>
  </si>
  <si>
    <t>Gāzes apgāde</t>
  </si>
  <si>
    <t>GA, GAT</t>
  </si>
  <si>
    <t>euro</t>
  </si>
  <si>
    <t>Darba nosaukums</t>
  </si>
  <si>
    <t>Gāzesvada pievads</t>
  </si>
  <si>
    <t>Esošā gāzes ievada demontāža</t>
  </si>
  <si>
    <t>Pieslēgšana pie esošā gāzes vada</t>
  </si>
  <si>
    <t>Pieslēgšanās pie esošā gāzes vada ievada un MR</t>
  </si>
  <si>
    <t>Termosarūkošā materiāla uzmava l=700mm;  caurulei</t>
  </si>
  <si>
    <t>Dn50</t>
  </si>
  <si>
    <t>Uzmavu krāns gāzei PN1 bar (gali piemetināmi)</t>
  </si>
  <si>
    <t>Izolējošais izjaucams, savienojums Pn10</t>
  </si>
  <si>
    <t>Atloku savienojumssavienojums Pn10</t>
  </si>
  <si>
    <t>Tērauda ievadlīkums PN16, EN10208-1</t>
  </si>
  <si>
    <t xml:space="preserve"> ar trīskāršo PE pretkarozijas pārklājumu EN10285</t>
  </si>
  <si>
    <t>kompl.</t>
  </si>
  <si>
    <t>Tērauda caurule ar polimēra izolāciju EN10285</t>
  </si>
  <si>
    <t>Ø60,3×3.6</t>
  </si>
  <si>
    <t>Tērauda caurules ar polimēra izolāciju līkums 3D-90° EN10253-1</t>
  </si>
  <si>
    <t>Dn50&gt;Dn40</t>
  </si>
  <si>
    <t>Dn40</t>
  </si>
  <si>
    <t>PE aizsargčaula Dn100 ar polipropilēnu un silikonu uz izvada no zemes pie ievada ēkā.</t>
  </si>
  <si>
    <t>Tērauda caurules antikorozijas apstrāde un krāsošana ar eļļas krāsu</t>
  </si>
  <si>
    <t>Indikācijas kabeļu savienojuma nozaruzmava</t>
  </si>
  <si>
    <t>Signālvads S=2×2,5 mm², ar vara dzīslām un izolāciju 
(Ar izvadu)</t>
  </si>
  <si>
    <t>Mitruma izturīga līmlenta signālkabeļa stiprināšanai</t>
  </si>
  <si>
    <t>Marķējuma lenta ar uzrakstu "Gāze"</t>
  </si>
  <si>
    <t>Smilšu seguma pabērums zem un virs gāzes vada B=100 mm</t>
  </si>
  <si>
    <t xml:space="preserve">Caurumu Ø15÷20mm izurbšana citu komunikāciju  aku vākos </t>
  </si>
  <si>
    <t>Gāzes vadu un iekārtu sazemēšana pēc RD34.12.122-87</t>
  </si>
  <si>
    <t>kompl</t>
  </si>
  <si>
    <t>Metināto šuvju pārbaude 100%</t>
  </si>
  <si>
    <t>Metināto šuvju izolācija</t>
  </si>
  <si>
    <t xml:space="preserve">Zālāja atjaunošanas   </t>
  </si>
  <si>
    <t>Gāzes vada digitālā uzmērīšana un nodošana ekspluatācijā</t>
  </si>
  <si>
    <t>Tērauda aizsargcaurule Dn80, l=0,5m</t>
  </si>
  <si>
    <t>Īscaurule Dn15 ar noslēgtapu kontrolmonometra pielēgšanai (uz gāzes vada Dn50)</t>
  </si>
  <si>
    <t>Gāzes pievienojuma veidgabals, dn50</t>
  </si>
  <si>
    <t>Cinkota konsole gāzes vada nostiprināšanai ar iznesto konsuli, komplektā ar gumijotu skavu DN 40 nostiprināšanai</t>
  </si>
  <si>
    <t>lodž. Demontāža</t>
  </si>
  <si>
    <t>Lodžiju stiklojumu demontāža</t>
  </si>
  <si>
    <t>Vēdināšanas ailu izveide (200×200). Vēdināšanas restes, cinkotas žalūzijas R-3, 240×240mm</t>
  </si>
  <si>
    <t>Caurumu urbšana sienā (230×230). Vēdināšanas restes, cinkotas žalūzijas R-2, 280×280mm</t>
  </si>
  <si>
    <t>Būvkalumi 80x80x80x2,5; 2 gab uz spāri</t>
  </si>
  <si>
    <t>Putupoliuretāna siltinājums, b=200, 1.1 m platā joslā, L=95,2 m</t>
  </si>
  <si>
    <t>Būvkalumi 80x80x80x2,5; pie gāzbetona mūra, 1 gab uz spāri</t>
  </si>
  <si>
    <t>Putupoliuretāna aizpildījums siltinājuma kabatās; 0,15m³ uz jumtiņu</t>
  </si>
  <si>
    <t>Mitruma izturīgs finieris, b=22; h=500*; l=1,1 m, jumtiņa sānos, (skat.BK-8i)</t>
  </si>
  <si>
    <t>Antisep. koka spāru 50x200, l=2m,  uzstādīšana, 4 gab uz katru jumtiņu, ēkā 2 gb, kopā 8 spāres</t>
  </si>
  <si>
    <t>Būvkalumi 60x140x80x2; spāru kores savienošanai, 1 gab uz spāru pāri</t>
  </si>
  <si>
    <t>Siltinātu jumtiņu izbūve virs 5.stāva lodžijām (norādes lapā BK-3, BK-8i)</t>
  </si>
  <si>
    <t>Siltinātu jumtiņu izbūve virs 5.stāva dzīvokļiem lodžiju zonā (norādes skat. lapā BK-5,  BK-8i; ēkā ir 2 šādi jumtiņi)</t>
  </si>
  <si>
    <t>Putupoliuretāna siltinājums, b=200, B=0,9m; L=2x2m jumtā  starp spārēm</t>
  </si>
  <si>
    <t>Antisep.koka latas 50x50, l=370; s=0,5 m; enkur. uz parapeta, 7 gb uz jumtu</t>
  </si>
  <si>
    <t>Mitruma izturīga finiera plātņu, b=22, ieklāšana uz spārēm, 4 m² uz jumtu</t>
  </si>
  <si>
    <t>Mitruma izturīga finiera plātņu, b=22, B=420, L=4,1m, ieklāšana uz parapeta</t>
  </si>
  <si>
    <t xml:space="preserve">Liekta metāla enkurdetaļa -4x40x570, s=500, 7 gab uz parapetu </t>
  </si>
  <si>
    <t>Jumta seguma ierīkošana:</t>
  </si>
  <si>
    <t>Siltinātā dzīvokļu jumtiņa pieslēgums pie ārsienas (mezgls lapā BK-8i, kop.L=8.2 m:</t>
  </si>
  <si>
    <t xml:space="preserve">   * papildus seguma kārtas pie sienas pieslēguma, kop.b=0.65+0.45 m, L=8.2 m</t>
  </si>
  <si>
    <t>Butila pašlīmējošā lenta, -6x50(b), zem paneļa atbalsta vietā ārsienas paneļa ārmalā  (3,2x3 joslas)</t>
  </si>
  <si>
    <t>Pašlīmējoša lenta, b=100 mm, uzlīmējama zem paneļu apakšējās savien.šuves, l= 5,2m uz savienojumu</t>
  </si>
  <si>
    <t>Pretkondensāta lenta, b=150 mm, ielīmējama būvlaukumā grieztajās paneļu sānmalās; 5,2mx2 uz savien.</t>
  </si>
  <si>
    <t>Automātiski ieskrūv.skrūves JT2-D-12H-5,5x30V19 paneļu grieztās malas savienoj, s=500; 10gb uz  savien.</t>
  </si>
  <si>
    <t>Automātiski ieskrūv.skrūves JT2-D-12H-5,5x235V19 paneļa vilnī  stipr. pie Z profila, s=500; 20 gb uz  paneli</t>
  </si>
  <si>
    <t xml:space="preserve">Skārda nosegdetaļa, b=450*, apliekta ap enkuru,  koka sijas un paneļa šuves nosegšanai, kop. L= 31,2 m </t>
  </si>
  <si>
    <t xml:space="preserve">Vienpusējas kniedes 4,8x10AI/E, s=125 mm, detaļas K102 stiprināšanai; uz joslu 25 gb, ir 3 joslas </t>
  </si>
  <si>
    <t>Automā. Ieskrūvēj. skrūve JT2-D-12H-5,5x30V19, katrā vilnī det.D1 stiprin.pie seguma; 11 gab uz joslu</t>
  </si>
  <si>
    <t xml:space="preserve">Vienpusējas kniedes 4,8x10AI/E, s=125 mm, detaļas D1 stiprināšanai no apakšas; uz joslu 25 gb, ir 3 joslas </t>
  </si>
  <si>
    <t>Hermetizēta šuve starp ārsienas siltinājumu un skārda apšuvumu, joslas L=3,2 m, ir 3 joslas</t>
  </si>
  <si>
    <t>Hermetizēta šuve starp jumta paneli un ārsienu no bēniņu puses, joslas L=3,2 m, ir 3 joslas</t>
  </si>
  <si>
    <t>Butila pašlīmējošā lenta, -6x50(b), zem paneļa atbalsta vietā uz teknes (3,2x2x3 joslas)</t>
  </si>
  <si>
    <t>Paaneļu galu nosegdetaļa K203 ar lāseni nokrišņu ūdens notecei uz teknēm; 3,2 m katrā teknes pusē</t>
  </si>
  <si>
    <t>Atvērumu izveidošana un apšūšana (izvadi ar Ø300 un Ø420), darbs veicams pēc vietas, lapa BK-13 :</t>
  </si>
  <si>
    <t>Atvērumu Ø300 un Ø420 izzāģēšana paneļos vēdināšanas izvadiem</t>
  </si>
  <si>
    <t>Pretkondensāta lenta, b=150 mm, ielīmējama būvlaukumā pa griezuma perimetru</t>
  </si>
  <si>
    <t>Cinkota skārda pieslēg.gredzenu  Ø300 un Ø420 izveide, uzstādīš., 2 gb uz izvadu (skārds 0,6*/0,8* m²)</t>
  </si>
  <si>
    <t>Vienpusējas kniedes 4,8x10AI/E, s=125 mm,gredzenu stiprināšanai; precizēt pēc vietas</t>
  </si>
  <si>
    <t>Pašenkurojošas skrūves FAZ8x50A4, s=200, apšuvuma stiprināšanai pie izvada</t>
  </si>
  <si>
    <t>Šuves hermetizēšana gar izvadu un apšuvumu virsjumta daļā</t>
  </si>
  <si>
    <t>Esošo mūrīto konstrukciju augšējo daļu demontāža 0,15m</t>
  </si>
  <si>
    <r>
      <t>Dn40 līkumi 90</t>
    </r>
    <r>
      <rPr>
        <vertAlign val="superscript"/>
        <sz val="10"/>
        <rFont val="Arial"/>
        <family val="2"/>
        <charset val="186"/>
      </rPr>
      <t>o</t>
    </r>
  </si>
  <si>
    <t>Elektrības kabeļa 3x1,5mm² montēšana.</t>
  </si>
  <si>
    <t>Skavas kabeļa stiprināšanai</t>
  </si>
  <si>
    <t>S6</t>
  </si>
  <si>
    <t>a,m</t>
  </si>
  <si>
    <t xml:space="preserve">h,m </t>
  </si>
  <si>
    <t>Cinkota krāsota metāla durvju montāža ar žalūziju D2 (b×h=0,9×2) ; gab-4</t>
  </si>
  <si>
    <t>Iznesamas proj.siltinājumā ar atkāpi no sienas pa asi 11-11- 1gb; Esošas: 1gb. Durvis D3*</t>
  </si>
  <si>
    <t>Durvju D3 montāža. Esošās ārdurvis atvirzīt no siltināmās ārsienas plaknes un montēt siltinājumā</t>
  </si>
  <si>
    <t>skaits, gb</t>
  </si>
  <si>
    <t>patums,m</t>
  </si>
  <si>
    <t xml:space="preserve">augstums, m </t>
  </si>
  <si>
    <t>Lodžiju iestiklojumu montāžas palīgmateriāli uz  apjomu (ieskaitot esošo pvc lodžiju iestikloju atlikšanu atpakaļ), 77 gab (1500×6240) un 15 gab (1500×3040)</t>
  </si>
  <si>
    <t>līdz 50 mm</t>
  </si>
  <si>
    <t>Esosošo dz-betona lodžiju plātņu 1,1×3,2m*, t.sk. metāla stiprinājuma detaļu demontāža</t>
  </si>
  <si>
    <t>*demontējams un utilizējams garo lodžiju stiklojums</t>
  </si>
  <si>
    <t>*Īso lodžijas margu plātņu demontāža</t>
  </si>
  <si>
    <t>*Garo lodžiju plātņu margu plātņu demontāža, sastāv no divām īsām plātnēm (2×3,2m)</t>
  </si>
  <si>
    <t>*demontējams un atliekams atpakaļ garo lodžiju stiklojums</t>
  </si>
  <si>
    <t>*demontējams un utilizējams īso lodžiju stiklojums</t>
  </si>
  <si>
    <t>*demontējams un atliekams atpakaļ īso lodžiju stiklojums</t>
  </si>
  <si>
    <t>ĀRĒJO STŪRU ARMĒŠANA</t>
  </si>
  <si>
    <t>Stūra profils ar armējumu visā augstumā visos ārējos ēkas stūros</t>
  </si>
  <si>
    <t>*Siltumizolācija</t>
  </si>
  <si>
    <t>*Apmetuma sistēma (tikai virszemes daļā)</t>
  </si>
  <si>
    <t>Būvizstrādājumi</t>
  </si>
  <si>
    <t>Kopā</t>
  </si>
  <si>
    <t>Summa</t>
  </si>
  <si>
    <r>
      <t xml:space="preserve">Darba samaksas likme, </t>
    </r>
    <r>
      <rPr>
        <i/>
        <sz val="8"/>
        <rFont val="Arial"/>
        <family val="2"/>
        <charset val="186"/>
      </rPr>
      <t>euro</t>
    </r>
    <r>
      <rPr>
        <sz val="8"/>
        <rFont val="Arial"/>
        <family val="2"/>
        <charset val="186"/>
      </rPr>
      <t>/h</t>
    </r>
  </si>
  <si>
    <t>Radiatori ir izkļauti atbilstoši pasūtītāja prasībām, jo to uzstādīšanu iedzīvotāji veiks par saviem līdzekļiem. Savukārt projekta dokumentācijā ir iekļauti, lai iedzīvotāji zinātu, kādas jaudas un parametru sildķermeņus izvēlētos</t>
  </si>
  <si>
    <r>
      <t xml:space="preserve">AR </t>
    </r>
    <r>
      <rPr>
        <sz val="8"/>
        <rFont val="Arial"/>
        <family val="2"/>
      </rPr>
      <t xml:space="preserve">un </t>
    </r>
    <r>
      <rPr>
        <b/>
        <sz val="8"/>
        <rFont val="Arial"/>
        <family val="2"/>
      </rPr>
      <t>BK</t>
    </r>
  </si>
  <si>
    <r>
      <t xml:space="preserve">Darba samaksas likme, </t>
    </r>
    <r>
      <rPr>
        <i/>
        <sz val="8"/>
        <rFont val="Arial"/>
        <family val="2"/>
      </rPr>
      <t>euro</t>
    </r>
    <r>
      <rPr>
        <sz val="8"/>
        <rFont val="Arial"/>
        <family val="2"/>
      </rPr>
      <t>/h</t>
    </r>
  </si>
  <si>
    <r>
      <t>m</t>
    </r>
    <r>
      <rPr>
        <vertAlign val="superscript"/>
        <sz val="8"/>
        <rFont val="Arial"/>
        <family val="2"/>
      </rPr>
      <t>2</t>
    </r>
  </si>
  <si>
    <r>
      <t xml:space="preserve">AR </t>
    </r>
    <r>
      <rPr>
        <sz val="8"/>
        <rFont val="Arial"/>
        <family val="2"/>
        <charset val="186"/>
      </rPr>
      <t xml:space="preserve">un </t>
    </r>
    <r>
      <rPr>
        <b/>
        <sz val="8"/>
        <rFont val="Arial"/>
        <family val="2"/>
        <charset val="186"/>
      </rPr>
      <t>BK</t>
    </r>
  </si>
  <si>
    <r>
      <t>m</t>
    </r>
    <r>
      <rPr>
        <sz val="8"/>
        <rFont val="Calibri"/>
        <family val="2"/>
        <charset val="186"/>
      </rPr>
      <t>²</t>
    </r>
  </si>
  <si>
    <r>
      <t>m</t>
    </r>
    <r>
      <rPr>
        <vertAlign val="superscript"/>
        <sz val="8"/>
        <rFont val="Arial"/>
        <family val="2"/>
        <charset val="186"/>
      </rPr>
      <t>2</t>
    </r>
  </si>
  <si>
    <r>
      <t>m</t>
    </r>
    <r>
      <rPr>
        <b/>
        <sz val="8"/>
        <rFont val="Arial"/>
        <family val="2"/>
        <charset val="186"/>
      </rPr>
      <t>³</t>
    </r>
  </si>
  <si>
    <r>
      <t>m</t>
    </r>
    <r>
      <rPr>
        <sz val="8"/>
        <rFont val="Calibri"/>
        <family val="2"/>
        <charset val="186"/>
      </rPr>
      <t>³</t>
    </r>
  </si>
  <si>
    <r>
      <t>Jumta konstrukciju demontāžas darbi. Metāla atbalstkonstrukciju un jumta izbūve demontāžas zonās</t>
    </r>
    <r>
      <rPr>
        <sz val="8"/>
        <rFont val="Arial"/>
        <family val="2"/>
      </rPr>
      <t xml:space="preserve"> (lapas BK-11, BK-13, BK-14)</t>
    </r>
  </si>
  <si>
    <r>
      <t xml:space="preserve">Ārējo ieeju jumtiņu atjaunošana </t>
    </r>
    <r>
      <rPr>
        <sz val="8"/>
        <rFont val="Arial"/>
        <family val="2"/>
      </rPr>
      <t>(skat. lapā BK-6)</t>
    </r>
  </si>
  <si>
    <r>
      <t>Jumtiņa atjaunošana un pagarināšana 2.sekcijai</t>
    </r>
    <r>
      <rPr>
        <sz val="8"/>
        <rFont val="Arial"/>
        <family val="2"/>
      </rPr>
      <t xml:space="preserve"> (lapa BK-9)</t>
    </r>
  </si>
  <si>
    <r>
      <t>Veicamo darbu apjomi saglabājamo jumta elementu atjaunošanai</t>
    </r>
    <r>
      <rPr>
        <sz val="8"/>
        <rFont val="Arial"/>
        <family val="2"/>
      </rPr>
      <t xml:space="preserve"> (lapas BK-4, BK-5, BK-6)</t>
    </r>
  </si>
  <si>
    <r>
      <t xml:space="preserve">Jumta paneļu, tekņu, jumtiņu, parapetu  </t>
    </r>
    <r>
      <rPr>
        <b/>
        <sz val="8"/>
        <rFont val="Arial"/>
        <family val="2"/>
      </rPr>
      <t>augšējās</t>
    </r>
    <r>
      <rPr>
        <sz val="8"/>
        <rFont val="Arial"/>
        <family val="2"/>
      </rPr>
      <t xml:space="preserve"> un redzamās sānu virsmas mehāniska attīrīšana ar smilšpapīru: jumta paneļi - 777 m², teknes - 151 m², jumtiņi - 147 m², parapeu plātnes - 35 m² </t>
    </r>
  </si>
  <si>
    <r>
      <t xml:space="preserve">Jumta </t>
    </r>
    <r>
      <rPr>
        <b/>
        <sz val="8"/>
        <rFont val="Arial"/>
        <family val="2"/>
      </rPr>
      <t>augšējās</t>
    </r>
    <r>
      <rPr>
        <sz val="8"/>
        <rFont val="Arial"/>
        <family val="2"/>
      </rPr>
      <t xml:space="preserve"> virsmas  plaisu iztīrīšana no nenoturīgām betona daļiņām, precizēt pēc attīrīšanas</t>
    </r>
  </si>
  <si>
    <r>
      <t>Jumta paneļu un tekņu apakšējās virsmas remonts</t>
    </r>
    <r>
      <rPr>
        <sz val="8"/>
        <rFont val="Arial"/>
        <family val="2"/>
      </rPr>
      <t xml:space="preserve"> (bēniņu puse), skat. lapu BK-2:</t>
    </r>
  </si>
  <si>
    <t>Objekta nosaukums: Dzīvojamas ēkas fasādes vienkāršota atjaunošana</t>
  </si>
  <si>
    <t>Tāme sastādīta</t>
  </si>
  <si>
    <t>Dzīvojamas ēkas vienkāršota  atjaunošana Mirdzas Ķempes ielā 22, Liepāja</t>
  </si>
  <si>
    <t>Sastādīja:</t>
  </si>
  <si>
    <t>Sertifikāta Nr.:</t>
  </si>
  <si>
    <t>Būves nosaukums: Daudzdzīvokļu dzīvojamā ēka</t>
  </si>
  <si>
    <t>Objekta adrese: Mirdzas Ķempes iela 22, Liepāja</t>
  </si>
  <si>
    <t>Darba alga (euro)</t>
  </si>
  <si>
    <t>Būvizstrādājumi (euro)</t>
  </si>
  <si>
    <t>Mehānismi (euro)</t>
  </si>
  <si>
    <t>Finanšu rezerve</t>
  </si>
  <si>
    <t>%</t>
  </si>
  <si>
    <t>Tāme sastādīta .gada tirgus cenās, pamatojoties uz:</t>
  </si>
  <si>
    <t xml:space="preserve"> daļas rasējumiem.</t>
  </si>
  <si>
    <t>AR un BK</t>
  </si>
  <si>
    <t>Logu nomaiņa, tsk. lodžijas</t>
  </si>
  <si>
    <t>Signāllentes novilkšana</t>
  </si>
  <si>
    <t>Vidēji rupjas smilts sagatavošanas kārta, b=100mm</t>
  </si>
  <si>
    <t>Bortakmens oļu pabērumam 80×200×1000</t>
  </si>
  <si>
    <t>*bortakmens 80×200×1000</t>
  </si>
  <si>
    <t>Betona C16 kārtas ieklāšana, b=20mm</t>
  </si>
  <si>
    <t>Metāla elementi projektēto "Sendvič" paneļu atbalstam (skatīt lapu BK-11):</t>
  </si>
  <si>
    <t>Projektēto "Sendvič" tipa jumta paneļu uzstādīšana, montāžas detaļas: skatīt papildus lapu BK-13 un  BK-14</t>
  </si>
  <si>
    <t>Profilēta pildmateriāla PE iestrāde paneļu vilnī, 2 gab  ar atstarpi; 12x2 gab uz jolu l=3,2 m; 3 joslas</t>
  </si>
  <si>
    <t>Profilēta pildmateriāla PE iestrāde paneļu vilnī tekņu zonā, 12 gb uz joslu katrā teknes pusē (12x2x3 joslas)</t>
  </si>
  <si>
    <t>Ārējo un iekšējo šuvju hermetizēšana gar jumta paneli un tekni (3,2x2x3 joslas)</t>
  </si>
  <si>
    <t>Profilēta pildmateriāla PE iestrāde paneļu vilnī izzāģēto izvadu zonā, b=100; precizēt pēc vietas</t>
  </si>
  <si>
    <t>Atbalsta joslas, b=100, attīrīšana pa jumta perimetru koka brusas enkurošanas vietā</t>
  </si>
  <si>
    <t xml:space="preserve">Antiseptizētas koka brusas 100x200(h) enkurošana pie jumta, dzega 95.2 m, sānu malas 16.8 m; L=112 m </t>
  </si>
  <si>
    <t>Atbalsta joslas, b=200, attīrīšanano seguma līdz cietai virsmai mūra sieniņu atbalstam</t>
  </si>
  <si>
    <t xml:space="preserve">   * kārbveida tērauda stati 60x60x4, l=1000, EN 10219 vai ekvivalents, 1 gab uz lodžiju</t>
  </si>
  <si>
    <t xml:space="preserve">   * kārbveida tērauda sijas 60x100(h)x4, l=6,24 m, EN 10219 vai ekvivalents, 1 gb uz lodž.</t>
  </si>
  <si>
    <t xml:space="preserve">   * kārbveida tērauda sijas 60x100(h)x4, l=3,04 m, EN 10219 vai ekvivalents, 1 gb uz lodž.</t>
  </si>
  <si>
    <t>Automātiskais patēriņa ierobežotājs ar integrētu termoregulējošu vārstu AB-PM 20; t=110°C; P=8 bar firmas "Danfoss" vai ekvivalents, pāreju uzstādīšana, ieregulēšana</t>
  </si>
  <si>
    <t>Automātiskais patēriņa ierobežotājs ar integrētu termoregulējošu vārstu AB-PM 15; t=110°C; P=8 bar firmas "Danfoss" vai ekvivalents, pāreju uzstādīšana, ieregulēšana</t>
  </si>
  <si>
    <t>Tērauda caurule gar ēkas fasādi; Pn=4 bar; 
LVS EN 10208-2</t>
  </si>
  <si>
    <t>Tērauda caurules pāreja Pn=4 bar; 
LVS EN 10208-2</t>
  </si>
  <si>
    <t>PPR caurules un veidgabali no polipropilēna random kopolimēra, PN20</t>
  </si>
  <si>
    <t xml:space="preserve">Esošo ārdurvju demontāža </t>
  </si>
  <si>
    <t>Hidroizolācijas lentas montēšana logos un durvīs</t>
  </si>
  <si>
    <t>Jaunu krāsotu ārējo skārda palodžu montāža visiem logiem, b=0,35m*, +pārkares lāsenis 30mm</t>
  </si>
  <si>
    <t>Palodzes sāna pieslēguma profils</t>
  </si>
  <si>
    <t>Sildķermeņa pievienojuma krāns firmas Danfoss, RLV-S vai ekvivalents t=110 °C; P=8 bar; Dn15;</t>
  </si>
  <si>
    <t>Divcauruļu sistēmu radiatoru termostatiskais vārsts Danfoss, 
RA-N-15 vai ekvivalents komplektā ar savienojumu  t=110 °C; P=8 bar; Dn15</t>
  </si>
  <si>
    <t>Sensors RA vārstiem  Danfoss, RAS-C 5023 vai ekvivalents, uzstādīšana, ieregulēšana</t>
  </si>
  <si>
    <t>Hermētiķa loksne - karstā ūdens šķērsošana</t>
  </si>
  <si>
    <t xml:space="preserve">Hermētiķa loksne- aukstā ūdens šķērsošana, vai ekvivalents </t>
  </si>
  <si>
    <t>Elektroniska ūdens atkaļķošanas iekārta komplektā ar vadu 30m 3×2,5mm²</t>
  </si>
  <si>
    <t>Ventilis aukstajam ūdenim</t>
  </si>
  <si>
    <t>Pretvārsts</t>
  </si>
  <si>
    <t>Izlaides ventīlis</t>
  </si>
  <si>
    <t>Nosēdumu filtrs</t>
  </si>
  <si>
    <t>Izjaucams savienojums ar iekšējo vītni</t>
  </si>
  <si>
    <t>Ugunsdrošā java blīves iestrādāšanai</t>
  </si>
  <si>
    <t>Līmjava</t>
  </si>
  <si>
    <t>Stūra profils</t>
  </si>
  <si>
    <t>Pielaiduma profils</t>
  </si>
  <si>
    <t>Stūra lāsenis</t>
  </si>
  <si>
    <t>Palodzes montāžas profils</t>
  </si>
  <si>
    <t>Cokola profils</t>
  </si>
  <si>
    <t>Apmetuma sistēma virs siltinājuma (AS-1; AS-2), b= 7mm; Grunts; Siltinājums - akmensvate  λ=0,037W/m²K, b=150mm;  Līmjava; Grunts; Esošā siena - vieglbetona panelis, b=250/410mm</t>
  </si>
  <si>
    <t xml:space="preserve">Apmetuma sistēma virs siltinājuma (AS-1 vai AS-2), b=7mm; Grunts; putupolistirola plāksne,; λ=0,037* W/mK, b=100mm; Līmjava; Vertikālā hidroizolācija; Grunts; Esošā siena -ribotais panelis, b=450mm                                    </t>
  </si>
  <si>
    <t>Apmetuma sistēma virs siltinājuma (AS-1); Siltinājums - putupolistirola plāksne, λ=0,031* W/mK, b=30mm ; Līmjava; Vertikālā hidroizolācija; Grunts; Esoša dz-betona starpsiena,  b=160mm; Grunts; Vertikālā hidroizolācija; Līmjava; Siltinājums - putupolistirola plāksne, λ=0,031* W/mK, b=30mm; Apmetuma sistēma virs siltinājuma (AS-1)</t>
  </si>
  <si>
    <t xml:space="preserve">Apmetuma sistēma virs siltinājuma, b=7mm 
(AS-1 vai AS-2) (lodžiju paneļu galiem- skārda iesegums); Siltinājums - poliuretāna materiāls; λ=0,031W/mK), b=50mm; Līmjava; Gruntējums; Esoša betona bloka siena/pamatu panelis, b=160/250*mm     </t>
  </si>
  <si>
    <t>Apmetuma sistēma virs siltinājuma (AS-2), b=7mm; Siltinājums - akmensvate λ=0,036W/m²K, b=75mm; Līmjava
Gruntējums; Esoša betona bloka siena/pamatu panelis, b=250mm</t>
  </si>
  <si>
    <t xml:space="preserve">Apmetuma sistēma virs siltinājuma (AS-2), b=7mm; Grunts; Putupolistirola plāksne, λ=0,034W/m²K, b=50mm ; Līmjava; Vertikālā hidroizolācija; Grunts; Esošā  betona bloku siena, b=250mm                </t>
  </si>
  <si>
    <t xml:space="preserve">Apmetuma sistēma virs siltinājuma, b=7mm (AS-1); Siltinājums - poliuretāna materiāls; λ=0,031W/mK), b=50mm; Līmjava; Gruntējums; Esoša betona bloka siena/pamatu panelis, b=160/250*mm     </t>
  </si>
  <si>
    <t>Esošs grīdas sastāvs, b=80mm; Esošais dz-betona pārsegums, b=220mm (vertikālām plaknēm gaisa šķirkārta+120mm silikātķieģeļu mūris); Līmjava; Akmensvates lamele 0,038 W/m²K, b=100mm</t>
  </si>
  <si>
    <t>Pārsegumu siltumizolāc.beramā akmensvate,  λ=0,042W/mK, b= 400mm
(ieskaitot sablīvēšanas koef.)
Tvaika izolācijas plēve, b=0,2mm
Esoša cementa java, b=50mm
Esošs fibrolīta plātņu slānis, b=~150mm
Esošas hidroizolācijas slānis
Esošais dz-betona pārsegums, b=220mm</t>
  </si>
  <si>
    <t>Augšējais segums (4,5 kg/m²)
Apakšējais segums (3,5 kg/m²)
Mitruma izturīga OSB plātne, b=22mm
Putupoliuretāns starp spārēm 50x150(h), s=900, b=200mm, λ=0,039W/mK. Esošs ruberīda segums
Esošs lodžijas panelis, b=220mm</t>
  </si>
  <si>
    <t>Atjaunotā betona kārta, b=40mm; Esošais dz-betona pārsegums, b=220mm; Līmjava; Siltinājums λ=0,036W/mK, b=170mm (dobuma vietā 270mm); Līmjava uz stiklšķiedras sieta, b=10mm; Ārējā apdare (krāsots struktūrapmetums )</t>
  </si>
  <si>
    <t>1. meh. klases apmetuma izveidošana: 2 kārtas armējošās javas un armējošā stikla šķiedras sieta uzklāšana, zemapmetuma grunts uzklāšana, dekoratīvā gatavā silikona apmetuma ar tonējumu uznešana</t>
  </si>
  <si>
    <t>*Līmjava</t>
  </si>
  <si>
    <t>*Grunts</t>
  </si>
  <si>
    <t>*Silikona homogēnais apmetums, 1,5mm graudu lielums</t>
  </si>
  <si>
    <t>2. meh. klases apmetuma izveidošana: 1 kārta armējošās javas un armējošā stikla šķiedras sieta uzklāšana, zemapmetuma grunts uzklāšana, dekoratīvā gatavā silikona apmetuma ar tonējumu uznešana.</t>
  </si>
  <si>
    <t>Siets stikla šķiedra</t>
  </si>
  <si>
    <t>Silikona homogēnais apmetums, 1,5mm graudu lielums</t>
  </si>
  <si>
    <t>Durvju un logu aiļu apdare ar akmensvates plātnēm b=30mm,platums~ 0,25m*</t>
  </si>
  <si>
    <t>Logu un durvju aiļu ārējo stūru armēšana ar sietu papildus sietu 0,5×0,3m platumā no ailes un ailē stiepes izturība &gt;200N/5cm, Struktūras stabilitāte &gt;22%, Atbilst REACH , sieta acojuma lielums 4×4mm.</t>
  </si>
  <si>
    <t>montāžas putas</t>
  </si>
  <si>
    <t>silikona hermētiķis</t>
  </si>
  <si>
    <t>Logu vārstu montēšana esošos un jaunajos veramajos PVC logu rāmjos un lodžijās l=400*mm</t>
  </si>
  <si>
    <t>Hidroizolācija monolītās betona apmales pieslēguma vietā, 3 kārtas; l=375*mm</t>
  </si>
  <si>
    <t>Siltumizolācijas akmensvates lameļu līmēšana pie pārseguma apakšas, b=150mm</t>
  </si>
  <si>
    <t>Apgaismojuma gaismeklis, siets un kabeļu instalācijas montēšana pie sienas</t>
  </si>
  <si>
    <t>Ugunsdrošu bēniņu lūku  (EI30) montāža, nostiprināšana (lūkas izmēri 600x700)</t>
  </si>
  <si>
    <t>Tvaika plēves, b=0,2 mm, ieklāšana, k=1.15</t>
  </si>
  <si>
    <t>Beramās akmens vates ieklāšana, b=400 mm</t>
  </si>
  <si>
    <t xml:space="preserve">  * gāzbetona bloki (200x250x600), piezāģēts pēc gabarītiem 200x250x300</t>
  </si>
  <si>
    <t xml:space="preserve">  * CD profils, 60/80, dībeļots pie atvēruma sieniņas apakšējā daļā, l=1,5 m uz atvērumu</t>
  </si>
  <si>
    <t xml:space="preserve">   * enkuri  M12, l=250; 4 gab uz plātni, iestrādāti pārsegumā</t>
  </si>
  <si>
    <t xml:space="preserve">   * enkuri  M12, l=150; 1 gab uz plātni, iestrādāti kontrforsā</t>
  </si>
  <si>
    <t>"Sendvič" paneļu, 1.0x5.2x0.184(h) m, montāža uz iepriekš sagatavotas, ar cementa javu atbilstoši slīpinātas esošās betona vrsmas  (jumta paneļi ar akmens vates siltinājumu; siltumnoturība nav būtiska-svarīgs paneļa augstums) - papildus mezgli lapā BK-13</t>
  </si>
  <si>
    <t>Paneļu dzegas apšuvuma izveidošana:</t>
  </si>
  <si>
    <t xml:space="preserve">Profilēta detaļa; l=3,2 m uz joslu, jumta ir 3 joslas; </t>
  </si>
  <si>
    <t>Liekta skārda detaļa D1, (pielāgot det. no kat.,krāsot tonī Nr.1 AR pasē); kop.b=500, L=3,2m, 3 joslas</t>
  </si>
  <si>
    <t>Paneļu apšuvuma izveidošana pie teknēm:</t>
  </si>
  <si>
    <t xml:space="preserve">Vienpusējas kniedes 4,8x10AI/E, s=125 mm, detaļas stiprināšanai; uz joslu 25x2 gb, ir 3 joslas </t>
  </si>
  <si>
    <t xml:space="preserve">Metāla margu uzstādīšana, h=0,6 m, uz "Sendvič" paneļiem pēc tipveida risinājuma </t>
  </si>
  <si>
    <t>Antisep. koka spāru 50x200, l=1,1m, uzstādīšana, s=0,9m,  (95,2:0,9=106 gb  (būvkalumi pie sienas un brusas)</t>
  </si>
  <si>
    <t xml:space="preserve">   * lodžijas paneļu priekšējās malas siltinājums S7, b=50 mm, h=500* mm, L=95.2 m </t>
  </si>
  <si>
    <t>Mitruma izturīga finiera plātņu, b=22,  ieklāšana</t>
  </si>
  <si>
    <t>Apakšējais segums (3,5 kg/m²), ar uzliekumu uz ārienas, b=1.55 m; L=95.2 m</t>
  </si>
  <si>
    <t>Augšējais segums (4,5 kg/m²), ar uzliekumu uz ārsienas, b=1.55; l=106 m</t>
  </si>
  <si>
    <t xml:space="preserve">   * putupolistirola siltinājums uz ārsienas gar jumtiņu, b=40, h=300</t>
  </si>
  <si>
    <t xml:space="preserve">   * stūra elements 150x150, akmens vate</t>
  </si>
  <si>
    <t>Akmens vate, h=50, b=200, L=4,1 mx 2 jumti, starp latām</t>
  </si>
  <si>
    <t>Slīpinājuma detaļas 100x100 gar parapetu un ēkas ārsienu</t>
  </si>
  <si>
    <t>Apakšējais segums (3,5 kg/m² jumtam, b=1 m, uzliekums uz ārsienas, h=0,3m, uzliekums parapeta, b=0,9m,; kopā B=1.9 m; L=2x4.1 m</t>
  </si>
  <si>
    <t>Augšējais segums (4,5 kg/m²), ar uzliekumu uz ārsienas un parapeta, b=1.9; l=2x4.1 m</t>
  </si>
  <si>
    <t xml:space="preserve">   * akmens vate, b=30, h=300, pie ārsienas</t>
  </si>
  <si>
    <t>Jumtiņa apakšējās virsmas un malu remonts:</t>
  </si>
  <si>
    <t xml:space="preserve">   * betona aizsargkārtas atjaunošana</t>
  </si>
  <si>
    <t>Siltinājuma, b=50, ieklāšana uz jumtiņa</t>
  </si>
  <si>
    <t>Papildus seguma kārta (3,5 kg/m²), uz dzegas, noliekta, nostiprināta, b=500mm, l=9.6 m</t>
  </si>
  <si>
    <t>Apakšējais segums (3,5 kg/m²) ar 15 cm uzliekumu uz ārsienas</t>
  </si>
  <si>
    <t>Augšējais segums (4,5 kg/m²) ar 15 cm uzliekumu uz ārsienas</t>
  </si>
  <si>
    <t>Putupolistirola siltinājums, enkurots pie ārsienas gar jumtiņu, b=150, h=150</t>
  </si>
  <si>
    <t>Hemetizēta šuve gar ārsienas un jumtiņa pieslēgumu</t>
  </si>
  <si>
    <t xml:space="preserve">   * betona aizsargkārtas atjaunošana (remontjava)</t>
  </si>
  <si>
    <t xml:space="preserve">   * brusu kurpes, 100x120, nostiprināšana ķieģeļu mūra (2 vietas) un paneļu ārsienā (2 vietas) </t>
  </si>
  <si>
    <t xml:space="preserve">   * ķīļenkuri M12x200, 4 gab uz atbalstvietu</t>
  </si>
  <si>
    <t xml:space="preserve">   * papildus jumta seguma kārta uz dzegas ar noliekumu un nostiprinājumu, b=0,5 m</t>
  </si>
  <si>
    <t>Siltinājuma, b=50, ieklāšana uz jumtiņa (esošā platība bez pagarinājuma)</t>
  </si>
  <si>
    <t>Putupolistirola siltinājums, enkurots pie ārsienas H-H gar jumtiņu, b=20, h=700</t>
  </si>
  <si>
    <t>Putupolistirola siltinājums, enkurots pie ārsienas 8-8, 11-11 gar jumtiņu, b=150, h=150</t>
  </si>
  <si>
    <t>Apakšējais segums (3,5 kg/m²) ar 15 cm uzliekumu uz pieslēdzošām ārsienas</t>
  </si>
  <si>
    <t>Dzelzsbetona jumtiņu noņemšana-atpakaļatlikšana uz šuvju un jumta  virsmas remonta laiku (~310 kg)</t>
  </si>
  <si>
    <t>Iztīrīto šuvju hermetizēšana ar hermētiķi</t>
  </si>
  <si>
    <t>Jumta virsmas mazgāšana ar ūdens strūklu zem spiediena (pirms tam notekpiltuvēm uzliekot sietus, lai netīrumi neaizsprosto lietus kanalizāciju)</t>
  </si>
  <si>
    <t>Plaisu aizdare ar epoksīdsveķu mastiku (šķidru)</t>
  </si>
  <si>
    <t xml:space="preserve">Atsegtā stiegrojuma attīrīšana līdz kl.Sa (min.St2), pārklāt ar suspensiju augšējā virsmā, veicamo apjomu precizēt pēc virsmas attīrīšanas </t>
  </si>
  <si>
    <t>Betona aizsargkārtas, b=15, atjaunošana augšvirsmai ar sastāvu, precizēt</t>
  </si>
  <si>
    <t>Saķeres uzlabotāja, grunts uzklāšana uz tīras, samitrinātas virsmas</t>
  </si>
  <si>
    <t xml:space="preserve">Hidroizolācija divās kārtās: pie izvadiem, jumta lūkām, galasienām, b~300 </t>
  </si>
  <si>
    <t>Tekņu dibena virsmas slīpināšana - cementa java M200 ar piedevu, 0÷20 mm</t>
  </si>
  <si>
    <t xml:space="preserve">Hidroizolācija visā tekņu augšējā virsmā </t>
  </si>
  <si>
    <t>Hidroizolācija gar savienojumiem teknēs un gar piltuvēm, precizēt pēc vietas</t>
  </si>
  <si>
    <t>Hidroizolācijas, UV izturīga, uzklāšana 2 kārtās ar augstspied. uzsmidzināšanas iekārtu</t>
  </si>
  <si>
    <t>Jumta lūku vāku, nomaiņa esošos atvērumos 610*x1030*, sk.lapu BK-7</t>
  </si>
  <si>
    <t>Jumta margu uzstādīšana</t>
  </si>
  <si>
    <t>Stiegrojuma pārklājums ar suspensiju vienā kārtā</t>
  </si>
  <si>
    <t>Plaisu aizdare ar fiksotropisku (biezu) remontjavu</t>
  </si>
  <si>
    <t>Apakšējās virsmas noklāšana ar remontjavu (var ar izsmidzināšanu)</t>
  </si>
  <si>
    <t>Paneļu virsmas apstrāde ar pretpelējuma līdzekli 3 reizes</t>
  </si>
  <si>
    <t xml:space="preserve">   * lodžijas paneļu apakšējās betona virsmas atjaunošana</t>
  </si>
  <si>
    <t>Vēdināšanas komplekts, montāža ārsienā</t>
  </si>
  <si>
    <t>Esošo ventilācijas kanālu (skursteņu, cuku) apskate, remonts, tīrīšana (t.sk. aizgruvumu)</t>
  </si>
  <si>
    <t>Karstā ūdens cirkulācijas sūknis (precizēt ar pasūtītāju)</t>
  </si>
  <si>
    <t>Aukstā ūdens skaitītājs komplektā ar saskrūvi (precizēt ar pasūtītāju) daudzstrūklu mājas ūdens skaitītājs Dn40</t>
  </si>
  <si>
    <t>Mehāniskais ūdens filtrs (precizēt ar pasūtītāju)</t>
  </si>
  <si>
    <t>Kaučuka izolācijas čaula aukstā ūdens apgādei, kaučuka izolācijas čaulām</t>
  </si>
  <si>
    <r>
      <t>Akmens vates izolācijas čaula karstā ūdens apgādei - akmens vates cauruļvadu izolācijas čaulas ar armētu alumīnija folijas pārklājumu un garenšuvē iestrādātu līmlentu. Siltumvadītspēja pie +10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>C - 0,034W/</t>
    </r>
  </si>
  <si>
    <t>Termostatisks, automātisks, proporcionāls vārsts (precizēt ar pasūtītāju)</t>
  </si>
  <si>
    <t>Attālināmi nolasāmais aukstā ūdens skaitītājs komplektā ar saskrūvi - modulārais dzīvokļu ūdens skaitītājs (precizēt ar pasūtītāju)</t>
  </si>
  <si>
    <t>Nerūsējošā tērauda dvieļu žāvētājs ar saskrūvi</t>
  </si>
  <si>
    <t>ģipškartona plāksne, 12,5×1200×2600mm</t>
  </si>
  <si>
    <t>Ķīmiskie dībeļi paredzēti gāzbetonam Ø8, paredzēti 2gb uz vienu kronšteinu; enkurmasa; vītņstienis AM12 8.8; paplāksne A13/24; uzgrieznis M12</t>
  </si>
  <si>
    <t>Cauruļskava 1/4''</t>
  </si>
  <si>
    <t>Uzgrieznis M10; vītņstienis M10</t>
  </si>
  <si>
    <t>Piezīme:</t>
  </si>
  <si>
    <t xml:space="preserve"> • Siltināšanas un apmešanas darbi veicami saskaņā ar ETAG 004 „Eiropas tehniskā apstiprinājuma pamatnostādne ārējās siltumizolācijas sistēmām un
 apmetumam”.
• Visiem būvmateriāliem jābūt marķētiem ar CE zīmi.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</si>
</sst>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-;\-* #,##0.00_-;_-* \-??_-;_-@_-"/>
    <numFmt numFmtId="165" formatCode="0.0"/>
    <numFmt numFmtId="166" formatCode="_(* #,##0.00_);_(* \(#,##0.00\);_(* \-??_);_(@_)"/>
    <numFmt numFmtId="167" formatCode="0.000"/>
    <numFmt numFmtId="168" formatCode="_-* #,##0.00_-;\-* #,##0.00_-;_-* \-??_-;_-@_ "/>
    <numFmt numFmtId="169" formatCode="_-* ###0.00_-;\-* ###0.00_-;_-* \-??_-;_-@_-"/>
    <numFmt numFmtId="170" formatCode="_(* #,##0.00_);_(* \(#,##0.00\);_(* &quot;-&quot;??_);_(@_)"/>
  </numFmts>
  <fonts count="46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indexed="8"/>
      <name val="Calibri"/>
      <family val="2"/>
      <charset val="204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name val="Calibri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i/>
      <sz val="11"/>
      <color indexed="23"/>
      <name val="Calibri"/>
      <family val="2"/>
      <charset val="186"/>
    </font>
    <font>
      <i/>
      <sz val="8"/>
      <name val="Arial"/>
      <family val="2"/>
      <charset val="186"/>
    </font>
    <font>
      <i/>
      <sz val="8"/>
      <name val="Arial"/>
      <family val="2"/>
      <charset val="204"/>
    </font>
    <font>
      <vertAlign val="superscript"/>
      <sz val="8"/>
      <name val="Arial"/>
      <family val="2"/>
      <charset val="186"/>
    </font>
    <font>
      <sz val="8"/>
      <color indexed="8"/>
      <name val="Calibri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10"/>
      <name val="Arial"/>
      <family val="2"/>
      <charset val="186"/>
    </font>
    <font>
      <sz val="8"/>
      <color indexed="17"/>
      <name val="Arial"/>
      <family val="2"/>
      <charset val="186"/>
    </font>
    <font>
      <b/>
      <sz val="8"/>
      <color indexed="17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b/>
      <i/>
      <sz val="8"/>
      <name val="Arial"/>
      <family val="2"/>
      <charset val="204"/>
    </font>
    <font>
      <u/>
      <sz val="8"/>
      <name val="Arial"/>
      <family val="2"/>
      <charset val="186"/>
    </font>
    <font>
      <b/>
      <i/>
      <sz val="8"/>
      <name val="Arial"/>
      <family val="2"/>
      <charset val="186"/>
    </font>
    <font>
      <sz val="8"/>
      <color indexed="63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vertAlign val="superscript"/>
      <sz val="10"/>
      <name val="Arial"/>
      <family val="2"/>
      <charset val="186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b/>
      <i/>
      <u/>
      <sz val="8"/>
      <name val="Arial"/>
      <family val="2"/>
    </font>
    <font>
      <sz val="11"/>
      <name val="Calibri"/>
      <family val="2"/>
      <charset val="204"/>
    </font>
    <font>
      <sz val="11"/>
      <color rgb="FF0061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8"/>
      <color theme="4" tint="-0.249977111117893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</font>
    <font>
      <b/>
      <sz val="1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29" fillId="0" borderId="0" applyFill="0" applyBorder="0" applyAlignment="0" applyProtection="0"/>
    <xf numFmtId="0" fontId="13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4" fontId="29" fillId="0" borderId="0" applyFill="0" applyBorder="0" applyAlignment="0" applyProtection="0"/>
    <xf numFmtId="0" fontId="39" fillId="8" borderId="0" applyNumberFormat="0" applyBorder="0" applyAlignment="0" applyProtection="0"/>
    <xf numFmtId="0" fontId="29" fillId="0" borderId="0"/>
    <xf numFmtId="0" fontId="3" fillId="0" borderId="0">
      <alignment textRotation="90"/>
    </xf>
    <xf numFmtId="0" fontId="3" fillId="0" borderId="0"/>
    <xf numFmtId="0" fontId="3" fillId="0" borderId="0"/>
    <xf numFmtId="0" fontId="4" fillId="0" borderId="0"/>
    <xf numFmtId="0" fontId="29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9" fontId="29" fillId="0" borderId="0" applyFill="0" applyBorder="0" applyAlignment="0" applyProtection="0"/>
    <xf numFmtId="0" fontId="1" fillId="0" borderId="0"/>
    <xf numFmtId="0" fontId="5" fillId="0" borderId="0"/>
    <xf numFmtId="0" fontId="3" fillId="0" borderId="0"/>
    <xf numFmtId="0" fontId="1" fillId="0" borderId="0"/>
    <xf numFmtId="0" fontId="5" fillId="0" borderId="0"/>
  </cellStyleXfs>
  <cellXfs count="785">
    <xf numFmtId="0" fontId="0" fillId="0" borderId="0" xfId="0"/>
    <xf numFmtId="0" fontId="7" fillId="0" borderId="0" xfId="11" applyFont="1" applyAlignment="1">
      <alignment horizontal="center" vertical="center"/>
    </xf>
    <xf numFmtId="0" fontId="7" fillId="0" borderId="0" xfId="11" applyFont="1" applyAlignment="1">
      <alignment horizontal="left" vertical="center"/>
    </xf>
    <xf numFmtId="0" fontId="9" fillId="0" borderId="0" xfId="0" applyFont="1"/>
    <xf numFmtId="0" fontId="8" fillId="0" borderId="0" xfId="11" applyFont="1" applyAlignment="1">
      <alignment horizontal="center" vertical="center"/>
    </xf>
    <xf numFmtId="0" fontId="7" fillId="0" borderId="0" xfId="11" applyFont="1" applyAlignment="1">
      <alignment vertical="center"/>
    </xf>
    <xf numFmtId="0" fontId="7" fillId="0" borderId="0" xfId="17" applyFont="1" applyAlignment="1">
      <alignment vertical="center"/>
    </xf>
    <xf numFmtId="0" fontId="8" fillId="0" borderId="0" xfId="11" applyFont="1" applyAlignment="1">
      <alignment horizontal="left" vertical="center"/>
    </xf>
    <xf numFmtId="0" fontId="7" fillId="0" borderId="0" xfId="17" applyFont="1" applyAlignment="1">
      <alignment vertical="center" wrapText="1"/>
    </xf>
    <xf numFmtId="0" fontId="7" fillId="0" borderId="0" xfId="23" applyFont="1" applyAlignment="1">
      <alignment horizontal="center" vertical="center"/>
    </xf>
    <xf numFmtId="0" fontId="7" fillId="0" borderId="0" xfId="17" applyFont="1" applyAlignment="1">
      <alignment horizontal="center" vertical="center"/>
    </xf>
    <xf numFmtId="0" fontId="7" fillId="0" borderId="0" xfId="17" applyFont="1" applyAlignment="1">
      <alignment horizontal="left" vertical="center"/>
    </xf>
    <xf numFmtId="0" fontId="7" fillId="0" borderId="0" xfId="17" applyFont="1" applyAlignment="1">
      <alignment horizontal="center" vertical="center" wrapText="1"/>
    </xf>
    <xf numFmtId="0" fontId="7" fillId="0" borderId="0" xfId="17" applyFont="1" applyAlignment="1">
      <alignment horizontal="left" vertical="center" wrapText="1"/>
    </xf>
    <xf numFmtId="0" fontId="8" fillId="0" borderId="0" xfId="23" applyFont="1" applyAlignment="1">
      <alignment horizontal="center" vertical="center"/>
    </xf>
    <xf numFmtId="2" fontId="7" fillId="0" borderId="0" xfId="23" applyNumberFormat="1" applyFont="1" applyAlignment="1">
      <alignment horizontal="center" vertical="center"/>
    </xf>
    <xf numFmtId="0" fontId="8" fillId="0" borderId="0" xfId="23" applyFont="1" applyAlignment="1">
      <alignment horizontal="left" vertical="center"/>
    </xf>
    <xf numFmtId="0" fontId="7" fillId="0" borderId="1" xfId="16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2" fontId="7" fillId="0" borderId="1" xfId="11" applyNumberFormat="1" applyFont="1" applyBorder="1" applyAlignment="1">
      <alignment horizontal="right" vertical="center"/>
    </xf>
    <xf numFmtId="0" fontId="7" fillId="0" borderId="0" xfId="11" applyFont="1" applyAlignment="1">
      <alignment horizontal="center" vertical="center" wrapText="1"/>
    </xf>
    <xf numFmtId="0" fontId="8" fillId="0" borderId="0" xfId="11" applyFont="1" applyAlignment="1">
      <alignment horizontal="right" vertical="center"/>
    </xf>
    <xf numFmtId="2" fontId="8" fillId="0" borderId="0" xfId="11" applyNumberFormat="1" applyFont="1" applyAlignment="1">
      <alignment horizontal="right" vertical="center"/>
    </xf>
    <xf numFmtId="0" fontId="8" fillId="0" borderId="0" xfId="11" applyFont="1" applyAlignment="1">
      <alignment horizontal="right" vertical="center" wrapText="1"/>
    </xf>
    <xf numFmtId="9" fontId="8" fillId="0" borderId="0" xfId="22" applyFont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23" applyFont="1" applyAlignment="1">
      <alignment horizontal="left" vertical="center"/>
    </xf>
    <xf numFmtId="0" fontId="11" fillId="0" borderId="0" xfId="23" applyFont="1" applyAlignment="1">
      <alignment horizontal="center" vertical="center"/>
    </xf>
    <xf numFmtId="0" fontId="11" fillId="0" borderId="0" xfId="17" applyFont="1" applyAlignment="1">
      <alignment vertical="center"/>
    </xf>
    <xf numFmtId="0" fontId="12" fillId="0" borderId="0" xfId="17" applyFont="1" applyAlignment="1">
      <alignment vertical="center"/>
    </xf>
    <xf numFmtId="0" fontId="12" fillId="0" borderId="0" xfId="17" applyFont="1" applyAlignment="1">
      <alignment horizontal="left" vertical="center"/>
    </xf>
    <xf numFmtId="0" fontId="7" fillId="0" borderId="0" xfId="23" applyFont="1" applyAlignment="1">
      <alignment vertical="center"/>
    </xf>
    <xf numFmtId="0" fontId="7" fillId="0" borderId="0" xfId="23" applyFont="1" applyAlignment="1">
      <alignment horizontal="left" vertical="center"/>
    </xf>
    <xf numFmtId="0" fontId="7" fillId="0" borderId="0" xfId="23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left"/>
    </xf>
    <xf numFmtId="2" fontId="7" fillId="0" borderId="0" xfId="0" applyNumberFormat="1" applyFont="1"/>
    <xf numFmtId="2" fontId="7" fillId="0" borderId="0" xfId="0" applyNumberFormat="1" applyFont="1" applyAlignment="1">
      <alignment vertical="center"/>
    </xf>
    <xf numFmtId="0" fontId="8" fillId="0" borderId="1" xfId="1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11" applyFont="1" applyBorder="1" applyAlignment="1">
      <alignment horizontal="left" vertical="center" wrapText="1"/>
    </xf>
    <xf numFmtId="164" fontId="7" fillId="0" borderId="1" xfId="11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2" fontId="12" fillId="3" borderId="1" xfId="11" applyNumberFormat="1" applyFont="1" applyFill="1" applyBorder="1" applyAlignment="1">
      <alignment horizontal="left" vertical="center" wrapText="1"/>
    </xf>
    <xf numFmtId="164" fontId="7" fillId="3" borderId="1" xfId="11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2" fillId="0" borderId="1" xfId="23" applyFont="1" applyBorder="1" applyAlignment="1">
      <alignment vertical="center"/>
    </xf>
    <xf numFmtId="2" fontId="7" fillId="0" borderId="1" xfId="23" applyNumberFormat="1" applyFont="1" applyBorder="1" applyAlignment="1">
      <alignment vertical="center"/>
    </xf>
    <xf numFmtId="1" fontId="7" fillId="0" borderId="1" xfId="23" applyNumberFormat="1" applyFont="1" applyBorder="1" applyAlignment="1">
      <alignment vertical="center"/>
    </xf>
    <xf numFmtId="2" fontId="12" fillId="0" borderId="1" xfId="11" applyNumberFormat="1" applyFont="1" applyBorder="1" applyAlignment="1">
      <alignment vertical="center"/>
    </xf>
    <xf numFmtId="2" fontId="12" fillId="0" borderId="1" xfId="11" applyNumberFormat="1" applyFont="1" applyBorder="1" applyAlignment="1">
      <alignment vertical="center" wrapText="1"/>
    </xf>
    <xf numFmtId="164" fontId="8" fillId="0" borderId="0" xfId="2" applyNumberFormat="1" applyFont="1" applyAlignment="1">
      <alignment horizontal="right" vertical="center" wrapText="1"/>
    </xf>
    <xf numFmtId="2" fontId="8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0" xfId="16" applyFont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0" xfId="0" applyFont="1"/>
    <xf numFmtId="0" fontId="12" fillId="0" borderId="0" xfId="11" applyFont="1" applyAlignment="1">
      <alignment horizontal="right" vertical="center"/>
    </xf>
    <xf numFmtId="2" fontId="12" fillId="0" borderId="0" xfId="11" applyNumberFormat="1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23" applyFont="1" applyAlignment="1">
      <alignment vertical="center"/>
    </xf>
    <xf numFmtId="0" fontId="11" fillId="0" borderId="0" xfId="23" applyFont="1" applyAlignment="1">
      <alignment vertical="center"/>
    </xf>
    <xf numFmtId="0" fontId="11" fillId="0" borderId="0" xfId="23" applyFont="1" applyAlignment="1">
      <alignment horizontal="right" vertical="center"/>
    </xf>
    <xf numFmtId="0" fontId="12" fillId="0" borderId="0" xfId="17" applyFont="1" applyAlignment="1">
      <alignment vertical="center" wrapText="1"/>
    </xf>
    <xf numFmtId="0" fontId="7" fillId="0" borderId="0" xfId="23" applyFont="1" applyAlignment="1">
      <alignment horizontal="right" vertical="center"/>
    </xf>
    <xf numFmtId="0" fontId="7" fillId="0" borderId="0" xfId="23" applyFont="1" applyAlignment="1">
      <alignment vertical="center" wrapText="1"/>
    </xf>
    <xf numFmtId="0" fontId="7" fillId="0" borderId="0" xfId="3" applyFont="1" applyFill="1" applyAlignment="1" applyProtection="1">
      <alignment vertical="center"/>
      <protection locked="0"/>
    </xf>
    <xf numFmtId="0" fontId="7" fillId="0" borderId="0" xfId="3" applyFont="1" applyFill="1" applyAlignment="1" applyProtection="1">
      <alignment horizontal="right" vertical="center"/>
      <protection locked="0"/>
    </xf>
    <xf numFmtId="0" fontId="7" fillId="0" borderId="1" xfId="23" applyFont="1" applyBorder="1" applyAlignment="1">
      <alignment horizontal="center" vertical="center" textRotation="90" wrapText="1"/>
    </xf>
    <xf numFmtId="0" fontId="7" fillId="0" borderId="1" xfId="23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7" fillId="0" borderId="1" xfId="17" applyFont="1" applyBorder="1" applyAlignment="1">
      <alignment horizontal="center" vertical="center" textRotation="90" wrapText="1"/>
    </xf>
    <xf numFmtId="0" fontId="15" fillId="0" borderId="1" xfId="2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23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24" applyNumberFormat="1" applyFont="1" applyFill="1" applyBorder="1" applyAlignment="1">
      <alignment horizontal="center" vertical="center" wrapText="1"/>
    </xf>
    <xf numFmtId="164" fontId="7" fillId="0" borderId="1" xfId="5" applyFont="1" applyBorder="1" applyAlignment="1">
      <alignment horizontal="center" vertical="center"/>
    </xf>
    <xf numFmtId="164" fontId="7" fillId="0" borderId="1" xfId="5" applyFont="1" applyBorder="1" applyAlignment="1">
      <alignment horizontal="center" vertical="center" wrapText="1"/>
    </xf>
    <xf numFmtId="49" fontId="7" fillId="0" borderId="1" xfId="2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23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20" applyNumberFormat="1" applyFont="1" applyBorder="1" applyAlignment="1">
      <alignment horizontal="center" vertical="center" wrapText="1"/>
    </xf>
    <xf numFmtId="49" fontId="7" fillId="0" borderId="1" xfId="24" applyNumberFormat="1" applyFont="1" applyBorder="1" applyAlignment="1">
      <alignment horizontal="center" vertical="center" wrapText="1"/>
    </xf>
    <xf numFmtId="2" fontId="12" fillId="3" borderId="1" xfId="24" applyNumberFormat="1" applyFont="1" applyFill="1" applyBorder="1" applyAlignment="1">
      <alignment horizontal="center" vertical="center" wrapText="1"/>
    </xf>
    <xf numFmtId="166" fontId="7" fillId="3" borderId="1" xfId="11" applyNumberFormat="1" applyFont="1" applyFill="1" applyBorder="1" applyAlignment="1">
      <alignment horizontal="center" vertical="center" wrapText="1"/>
    </xf>
    <xf numFmtId="0" fontId="7" fillId="0" borderId="0" xfId="23" applyFont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24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2" fontId="7" fillId="3" borderId="4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2" fontId="7" fillId="0" borderId="1" xfId="23" applyNumberFormat="1" applyFont="1" applyBorder="1" applyAlignment="1">
      <alignment horizontal="center" vertical="center" wrapText="1"/>
    </xf>
    <xf numFmtId="0" fontId="7" fillId="0" borderId="1" xfId="24" applyFont="1" applyBorder="1" applyAlignment="1">
      <alignment horizontal="left" vertical="center" wrapText="1"/>
    </xf>
    <xf numFmtId="0" fontId="7" fillId="0" borderId="1" xfId="24" applyFont="1" applyBorder="1" applyAlignment="1">
      <alignment horizontal="center" vertical="center" wrapText="1"/>
    </xf>
    <xf numFmtId="0" fontId="7" fillId="0" borderId="1" xfId="13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23" applyNumberFormat="1" applyFont="1" applyAlignment="1">
      <alignment horizontal="center" vertical="center" wrapText="1"/>
    </xf>
    <xf numFmtId="2" fontId="7" fillId="0" borderId="0" xfId="23" applyNumberFormat="1" applyFont="1" applyAlignment="1">
      <alignment horizontal="center" vertical="center" wrapText="1"/>
    </xf>
    <xf numFmtId="0" fontId="7" fillId="0" borderId="0" xfId="14" applyFont="1" applyAlignment="1">
      <alignment vertical="center" wrapText="1"/>
    </xf>
    <xf numFmtId="2" fontId="7" fillId="0" borderId="0" xfId="26" applyNumberFormat="1" applyFont="1" applyAlignment="1">
      <alignment horizontal="center" vertical="center" wrapText="1"/>
    </xf>
    <xf numFmtId="0" fontId="7" fillId="0" borderId="0" xfId="14" applyFont="1" applyAlignment="1">
      <alignment horizontal="center" vertical="center" wrapText="1"/>
    </xf>
    <xf numFmtId="2" fontId="7" fillId="0" borderId="0" xfId="14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17" applyFont="1" applyAlignment="1">
      <alignment horizontal="center" vertical="center" wrapText="1"/>
    </xf>
    <xf numFmtId="0" fontId="7" fillId="0" borderId="0" xfId="3" applyFont="1" applyFill="1" applyAlignment="1" applyProtection="1">
      <alignment horizontal="right" vertical="center" wrapText="1"/>
      <protection locked="0"/>
    </xf>
    <xf numFmtId="0" fontId="7" fillId="0" borderId="0" xfId="3" applyFont="1" applyFill="1" applyAlignment="1" applyProtection="1">
      <alignment horizontal="center" vertical="center" wrapText="1"/>
      <protection locked="0"/>
    </xf>
    <xf numFmtId="0" fontId="7" fillId="0" borderId="1" xfId="23" applyFont="1" applyBorder="1" applyAlignment="1">
      <alignment horizontal="center" vertical="center" wrapText="1"/>
    </xf>
    <xf numFmtId="49" fontId="12" fillId="0" borderId="1" xfId="23" applyNumberFormat="1" applyFont="1" applyBorder="1" applyAlignment="1">
      <alignment horizontal="center" vertical="center" wrapText="1"/>
    </xf>
    <xf numFmtId="2" fontId="7" fillId="0" borderId="5" xfId="24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166" fontId="7" fillId="0" borderId="1" xfId="11" applyNumberFormat="1" applyFont="1" applyBorder="1" applyAlignment="1">
      <alignment horizontal="center" vertical="center" wrapText="1"/>
    </xf>
    <xf numFmtId="2" fontId="7" fillId="0" borderId="3" xfId="24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left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2" fontId="7" fillId="0" borderId="1" xfId="19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12" fillId="0" borderId="1" xfId="23" applyFont="1" applyBorder="1" applyAlignment="1">
      <alignment horizontal="center" vertical="center" wrapText="1"/>
    </xf>
    <xf numFmtId="2" fontId="12" fillId="0" borderId="3" xfId="25" applyNumberFormat="1" applyFont="1" applyBorder="1" applyAlignment="1">
      <alignment horizontal="center" vertical="center" wrapText="1"/>
    </xf>
    <xf numFmtId="164" fontId="12" fillId="0" borderId="3" xfId="25" applyNumberFormat="1" applyFont="1" applyBorder="1" applyAlignment="1">
      <alignment horizontal="center" vertical="center" wrapText="1"/>
    </xf>
    <xf numFmtId="0" fontId="12" fillId="0" borderId="3" xfId="25" applyFont="1" applyBorder="1" applyAlignment="1">
      <alignment horizontal="center" vertical="center" wrapText="1"/>
    </xf>
    <xf numFmtId="2" fontId="12" fillId="0" borderId="1" xfId="25" applyNumberFormat="1" applyFont="1" applyBorder="1" applyAlignment="1">
      <alignment horizontal="center" vertical="center" wrapText="1"/>
    </xf>
    <xf numFmtId="164" fontId="12" fillId="0" borderId="1" xfId="25" applyNumberFormat="1" applyFont="1" applyBorder="1" applyAlignment="1">
      <alignment horizontal="center" vertical="center" wrapText="1"/>
    </xf>
    <xf numFmtId="0" fontId="12" fillId="0" borderId="1" xfId="25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6" xfId="2" applyNumberFormat="1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 wrapText="1"/>
    </xf>
    <xf numFmtId="2" fontId="7" fillId="0" borderId="3" xfId="20" applyNumberFormat="1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right" wrapText="1"/>
    </xf>
    <xf numFmtId="0" fontId="18" fillId="0" borderId="0" xfId="0" applyFont="1"/>
    <xf numFmtId="0" fontId="18" fillId="0" borderId="7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9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2" fontId="21" fillId="5" borderId="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2" fontId="21" fillId="6" borderId="1" xfId="0" applyNumberFormat="1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1" fontId="18" fillId="0" borderId="14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1" fontId="23" fillId="5" borderId="15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7" xfId="0" applyFont="1" applyBorder="1" applyAlignment="1">
      <alignment wrapText="1"/>
    </xf>
    <xf numFmtId="0" fontId="18" fillId="0" borderId="18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2" fontId="22" fillId="0" borderId="5" xfId="0" applyNumberFormat="1" applyFont="1" applyBorder="1" applyAlignment="1">
      <alignment horizontal="center" vertical="center"/>
    </xf>
    <xf numFmtId="0" fontId="18" fillId="0" borderId="1" xfId="0" applyFont="1" applyBorder="1"/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2" fontId="22" fillId="4" borderId="0" xfId="0" applyNumberFormat="1" applyFont="1" applyFill="1" applyAlignment="1">
      <alignment horizontal="center" vertical="center"/>
    </xf>
    <xf numFmtId="0" fontId="18" fillId="0" borderId="20" xfId="0" applyFont="1" applyBorder="1"/>
    <xf numFmtId="0" fontId="18" fillId="0" borderId="21" xfId="0" applyFont="1" applyBorder="1"/>
    <xf numFmtId="2" fontId="19" fillId="0" borderId="22" xfId="0" applyNumberFormat="1" applyFont="1" applyBorder="1" applyAlignment="1">
      <alignment horizontal="center"/>
    </xf>
    <xf numFmtId="0" fontId="18" fillId="0" borderId="23" xfId="0" applyFont="1" applyBorder="1"/>
    <xf numFmtId="0" fontId="18" fillId="0" borderId="24" xfId="0" applyFont="1" applyBorder="1"/>
    <xf numFmtId="2" fontId="19" fillId="0" borderId="25" xfId="0" applyNumberFormat="1" applyFont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6" fontId="12" fillId="0" borderId="1" xfId="11" applyNumberFormat="1" applyFont="1" applyBorder="1" applyAlignment="1">
      <alignment horizontal="center" vertical="center" wrapText="1"/>
    </xf>
    <xf numFmtId="2" fontId="7" fillId="3" borderId="1" xfId="27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23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2" fontId="7" fillId="3" borderId="3" xfId="2" applyNumberFormat="1" applyFont="1" applyFill="1" applyBorder="1" applyAlignment="1">
      <alignment horizontal="center" vertical="center" wrapText="1"/>
    </xf>
    <xf numFmtId="2" fontId="7" fillId="3" borderId="26" xfId="2" applyNumberFormat="1" applyFont="1" applyFill="1" applyBorder="1" applyAlignment="1">
      <alignment horizontal="center" vertical="center" wrapText="1"/>
    </xf>
    <xf numFmtId="0" fontId="7" fillId="0" borderId="4" xfId="23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13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7" fillId="0" borderId="1" xfId="13" applyFont="1" applyBorder="1" applyAlignment="1">
      <alignment vertical="center"/>
    </xf>
    <xf numFmtId="0" fontId="7" fillId="0" borderId="1" xfId="13" applyFont="1" applyBorder="1" applyAlignment="1">
      <alignment horizontal="center" vertical="center"/>
    </xf>
    <xf numFmtId="1" fontId="7" fillId="0" borderId="1" xfId="1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13" applyFont="1" applyBorder="1" applyAlignment="1">
      <alignment vertical="center" wrapText="1"/>
    </xf>
    <xf numFmtId="0" fontId="7" fillId="0" borderId="0" xfId="14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23" applyFont="1" applyAlignment="1">
      <alignment horizontal="right" vertical="center"/>
    </xf>
    <xf numFmtId="1" fontId="8" fillId="0" borderId="0" xfId="23" applyNumberFormat="1" applyFont="1" applyAlignment="1">
      <alignment horizontal="center" vertical="center"/>
    </xf>
    <xf numFmtId="0" fontId="8" fillId="0" borderId="0" xfId="23" applyFont="1" applyAlignment="1">
      <alignment vertical="center"/>
    </xf>
    <xf numFmtId="2" fontId="8" fillId="0" borderId="29" xfId="23" applyNumberFormat="1" applyFont="1" applyBorder="1" applyAlignment="1">
      <alignment horizontal="center" vertical="center"/>
    </xf>
    <xf numFmtId="0" fontId="7" fillId="0" borderId="1" xfId="23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30" xfId="23" applyFont="1" applyBorder="1" applyAlignment="1">
      <alignment horizontal="center" vertical="center"/>
    </xf>
    <xf numFmtId="2" fontId="7" fillId="0" borderId="0" xfId="23" applyNumberFormat="1" applyFont="1" applyAlignment="1">
      <alignment horizontal="left" vertical="center"/>
    </xf>
    <xf numFmtId="0" fontId="14" fillId="0" borderId="31" xfId="23" applyFont="1" applyBorder="1" applyAlignment="1">
      <alignment horizontal="center" vertical="center"/>
    </xf>
    <xf numFmtId="0" fontId="14" fillId="0" borderId="32" xfId="23" applyFont="1" applyBorder="1" applyAlignment="1">
      <alignment horizontal="center" vertical="center"/>
    </xf>
    <xf numFmtId="0" fontId="14" fillId="0" borderId="33" xfId="23" applyFont="1" applyBorder="1" applyAlignment="1">
      <alignment horizontal="center" vertical="center"/>
    </xf>
    <xf numFmtId="164" fontId="12" fillId="0" borderId="3" xfId="5" applyFont="1" applyBorder="1" applyAlignment="1">
      <alignment horizontal="center" vertical="center"/>
    </xf>
    <xf numFmtId="164" fontId="12" fillId="0" borderId="3" xfId="5" applyFont="1" applyBorder="1" applyAlignment="1">
      <alignment horizontal="center" vertical="center" wrapText="1"/>
    </xf>
    <xf numFmtId="0" fontId="12" fillId="0" borderId="1" xfId="13" applyFont="1" applyBorder="1" applyAlignment="1">
      <alignment horizontal="left" vertical="center" wrapText="1"/>
    </xf>
    <xf numFmtId="165" fontId="12" fillId="0" borderId="1" xfId="13" applyNumberFormat="1" applyFont="1" applyBorder="1" applyAlignment="1">
      <alignment horizontal="center" vertical="center" wrapText="1"/>
    </xf>
    <xf numFmtId="0" fontId="12" fillId="0" borderId="1" xfId="13" applyFont="1" applyBorder="1" applyAlignment="1">
      <alignment horizontal="center" vertical="center" wrapText="1"/>
    </xf>
    <xf numFmtId="2" fontId="12" fillId="0" borderId="1" xfId="26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0" fontId="18" fillId="0" borderId="1" xfId="23" applyFont="1" applyBorder="1" applyAlignment="1">
      <alignment vertical="center" wrapText="1"/>
    </xf>
    <xf numFmtId="165" fontId="12" fillId="0" borderId="1" xfId="23" applyNumberFormat="1" applyFont="1" applyBorder="1" applyAlignment="1">
      <alignment horizontal="center" vertical="center" wrapText="1"/>
    </xf>
    <xf numFmtId="0" fontId="18" fillId="0" borderId="1" xfId="13" applyFont="1" applyBorder="1" applyAlignment="1">
      <alignment wrapText="1"/>
    </xf>
    <xf numFmtId="0" fontId="12" fillId="0" borderId="1" xfId="13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7" applyNumberFormat="1" applyFont="1" applyBorder="1" applyAlignment="1">
      <alignment horizontal="center" vertical="center"/>
    </xf>
    <xf numFmtId="166" fontId="12" fillId="0" borderId="1" xfId="1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0" borderId="1" xfId="24" applyFont="1" applyBorder="1" applyAlignment="1">
      <alignment vertical="center" wrapText="1"/>
    </xf>
    <xf numFmtId="165" fontId="7" fillId="0" borderId="1" xfId="24" applyNumberFormat="1" applyFont="1" applyBorder="1" applyAlignment="1">
      <alignment horizontal="center" vertical="center" wrapText="1"/>
    </xf>
    <xf numFmtId="2" fontId="7" fillId="0" borderId="1" xfId="27" applyNumberFormat="1" applyFont="1" applyBorder="1" applyAlignment="1">
      <alignment horizontal="center" vertical="center" wrapText="1"/>
    </xf>
    <xf numFmtId="0" fontId="7" fillId="0" borderId="0" xfId="24" applyFont="1" applyAlignment="1">
      <alignment vertical="center"/>
    </xf>
    <xf numFmtId="0" fontId="7" fillId="3" borderId="1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0" borderId="9" xfId="23" applyNumberFormat="1" applyFont="1" applyBorder="1" applyAlignment="1">
      <alignment horizontal="center" vertical="center" wrapText="1"/>
    </xf>
    <xf numFmtId="2" fontId="7" fillId="0" borderId="4" xfId="23" applyNumberFormat="1" applyFont="1" applyBorder="1" applyAlignment="1">
      <alignment horizontal="center" vertical="center" wrapText="1"/>
    </xf>
    <xf numFmtId="2" fontId="7" fillId="0" borderId="1" xfId="26" applyNumberFormat="1" applyFont="1" applyBorder="1" applyAlignment="1">
      <alignment horizontal="center" vertical="center" wrapText="1"/>
    </xf>
    <xf numFmtId="2" fontId="12" fillId="3" borderId="1" xfId="24" applyNumberFormat="1" applyFont="1" applyFill="1" applyBorder="1" applyAlignment="1">
      <alignment horizontal="center" vertical="center"/>
    </xf>
    <xf numFmtId="2" fontId="7" fillId="0" borderId="1" xfId="24" applyNumberFormat="1" applyFont="1" applyBorder="1" applyAlignment="1">
      <alignment vertical="center" wrapText="1"/>
    </xf>
    <xf numFmtId="0" fontId="14" fillId="0" borderId="1" xfId="24" applyFont="1" applyBorder="1" applyAlignment="1">
      <alignment horizontal="center" vertical="center"/>
    </xf>
    <xf numFmtId="165" fontId="7" fillId="0" borderId="1" xfId="23" applyNumberFormat="1" applyFont="1" applyBorder="1" applyAlignment="1">
      <alignment horizontal="center" vertical="center" wrapText="1"/>
    </xf>
    <xf numFmtId="1" fontId="7" fillId="0" borderId="1" xfId="23" applyNumberFormat="1" applyFont="1" applyBorder="1" applyAlignment="1">
      <alignment horizontal="center" vertical="center" wrapText="1"/>
    </xf>
    <xf numFmtId="2" fontId="12" fillId="3" borderId="1" xfId="2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2" fontId="7" fillId="0" borderId="1" xfId="23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center" vertical="center"/>
    </xf>
    <xf numFmtId="2" fontId="8" fillId="0" borderId="0" xfId="23" applyNumberFormat="1" applyFont="1" applyAlignment="1">
      <alignment horizontal="right" vertical="center"/>
    </xf>
    <xf numFmtId="2" fontId="8" fillId="0" borderId="0" xfId="23" applyNumberFormat="1" applyFont="1" applyAlignment="1">
      <alignment vertical="center"/>
    </xf>
    <xf numFmtId="2" fontId="7" fillId="0" borderId="0" xfId="23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17" applyNumberFormat="1" applyFont="1" applyAlignment="1">
      <alignment vertical="center"/>
    </xf>
    <xf numFmtId="2" fontId="8" fillId="0" borderId="0" xfId="17" applyNumberFormat="1" applyFont="1" applyAlignment="1">
      <alignment vertical="center" wrapText="1"/>
    </xf>
    <xf numFmtId="2" fontId="8" fillId="0" borderId="0" xfId="17" applyNumberFormat="1" applyFont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1" fontId="7" fillId="0" borderId="1" xfId="23" applyNumberFormat="1" applyFont="1" applyBorder="1" applyAlignment="1">
      <alignment horizontal="center" vertical="center"/>
    </xf>
    <xf numFmtId="1" fontId="7" fillId="0" borderId="27" xfId="23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165" fontId="8" fillId="3" borderId="0" xfId="0" applyNumberFormat="1" applyFont="1" applyFill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164" fontId="7" fillId="0" borderId="27" xfId="5" applyFont="1" applyBorder="1" applyAlignment="1">
      <alignment horizontal="center" vertical="center"/>
    </xf>
    <xf numFmtId="2" fontId="7" fillId="0" borderId="1" xfId="23" applyNumberFormat="1" applyFont="1" applyBorder="1" applyAlignment="1">
      <alignment horizontal="center" vertical="center"/>
    </xf>
    <xf numFmtId="0" fontId="7" fillId="0" borderId="1" xfId="23" applyFont="1" applyBorder="1" applyAlignment="1">
      <alignment horizontal="center" vertical="center"/>
    </xf>
    <xf numFmtId="2" fontId="7" fillId="0" borderId="1" xfId="15" applyNumberFormat="1" applyFont="1" applyBorder="1" applyAlignment="1">
      <alignment horizontal="center" vertical="center"/>
    </xf>
    <xf numFmtId="168" fontId="7" fillId="0" borderId="3" xfId="0" applyNumberFormat="1" applyFont="1" applyBorder="1" applyAlignment="1">
      <alignment horizontal="center" vertical="center" wrapText="1"/>
    </xf>
    <xf numFmtId="169" fontId="7" fillId="0" borderId="3" xfId="20" applyNumberFormat="1" applyFont="1" applyBorder="1" applyAlignment="1">
      <alignment horizontal="center" vertical="center" wrapText="1"/>
    </xf>
    <xf numFmtId="2" fontId="26" fillId="0" borderId="1" xfId="2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1" fillId="0" borderId="0" xfId="17" applyFont="1" applyAlignment="1">
      <alignment vertical="center" wrapText="1"/>
    </xf>
    <xf numFmtId="0" fontId="11" fillId="0" borderId="0" xfId="0" applyFont="1" applyAlignment="1">
      <alignment vertical="center"/>
    </xf>
    <xf numFmtId="2" fontId="11" fillId="0" borderId="29" xfId="11" applyNumberFormat="1" applyFont="1" applyBorder="1" applyAlignment="1">
      <alignment horizontal="center" vertical="center"/>
    </xf>
    <xf numFmtId="0" fontId="15" fillId="0" borderId="27" xfId="23" applyFont="1" applyBorder="1" applyAlignment="1">
      <alignment horizontal="center" vertical="center" wrapText="1"/>
    </xf>
    <xf numFmtId="0" fontId="27" fillId="0" borderId="1" xfId="23" applyFont="1" applyBorder="1" applyAlignment="1">
      <alignment horizontal="center" vertical="center"/>
    </xf>
    <xf numFmtId="0" fontId="11" fillId="0" borderId="1" xfId="17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1" fillId="0" borderId="1" xfId="17" applyFont="1" applyBorder="1" applyAlignment="1">
      <alignment vertical="center"/>
    </xf>
    <xf numFmtId="0" fontId="27" fillId="0" borderId="1" xfId="17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14" applyNumberFormat="1" applyFont="1" applyBorder="1" applyAlignment="1">
      <alignment horizontal="center" vertical="center" wrapText="1"/>
    </xf>
    <xf numFmtId="2" fontId="7" fillId="0" borderId="1" xfId="17" applyNumberFormat="1" applyFont="1" applyBorder="1" applyAlignment="1">
      <alignment horizontal="center" vertical="center" wrapText="1"/>
    </xf>
    <xf numFmtId="0" fontId="12" fillId="0" borderId="0" xfId="18" applyFont="1" applyAlignment="1">
      <alignment horizontal="left" vertical="center"/>
    </xf>
    <xf numFmtId="2" fontId="12" fillId="0" borderId="1" xfId="17" applyNumberFormat="1" applyFont="1" applyBorder="1" applyAlignment="1">
      <alignment horizontal="center" vertical="center" wrapText="1"/>
    </xf>
    <xf numFmtId="2" fontId="12" fillId="0" borderId="1" xfId="14" applyNumberFormat="1" applyFont="1" applyBorder="1" applyAlignment="1">
      <alignment horizontal="center" vertical="center" wrapText="1"/>
    </xf>
    <xf numFmtId="2" fontId="12" fillId="0" borderId="1" xfId="23" applyNumberFormat="1" applyFont="1" applyBorder="1" applyAlignment="1">
      <alignment horizontal="center" vertical="center"/>
    </xf>
    <xf numFmtId="0" fontId="7" fillId="0" borderId="0" xfId="14" applyFont="1" applyAlignment="1">
      <alignment vertical="center"/>
    </xf>
    <xf numFmtId="0" fontId="28" fillId="0" borderId="0" xfId="0" applyFont="1" applyAlignment="1">
      <alignment vertical="top"/>
    </xf>
    <xf numFmtId="0" fontId="8" fillId="0" borderId="0" xfId="16" applyFont="1" applyAlignment="1">
      <alignment horizontal="right" vertical="center"/>
    </xf>
    <xf numFmtId="0" fontId="8" fillId="0" borderId="0" xfId="16" applyFont="1" applyAlignment="1">
      <alignment vertical="center"/>
    </xf>
    <xf numFmtId="0" fontId="28" fillId="0" borderId="0" xfId="0" applyFont="1" applyAlignment="1">
      <alignment vertical="center"/>
    </xf>
    <xf numFmtId="0" fontId="7" fillId="0" borderId="0" xfId="24" applyFont="1" applyAlignment="1">
      <alignment horizontal="center" vertical="center"/>
    </xf>
    <xf numFmtId="0" fontId="7" fillId="0" borderId="0" xfId="24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24" applyFont="1" applyAlignment="1">
      <alignment horizontal="center" vertical="center" wrapText="1"/>
    </xf>
    <xf numFmtId="0" fontId="7" fillId="0" borderId="0" xfId="4" applyFont="1" applyFill="1" applyAlignment="1" applyProtection="1">
      <alignment horizontal="left" vertical="center"/>
      <protection locked="0"/>
    </xf>
    <xf numFmtId="2" fontId="7" fillId="0" borderId="0" xfId="24" applyNumberFormat="1" applyFont="1" applyAlignment="1">
      <alignment horizontal="center" vertical="center"/>
    </xf>
    <xf numFmtId="0" fontId="7" fillId="0" borderId="0" xfId="4" applyFont="1" applyFill="1" applyAlignment="1" applyProtection="1">
      <alignment horizontal="center" vertical="center"/>
      <protection locked="0"/>
    </xf>
    <xf numFmtId="0" fontId="8" fillId="0" borderId="0" xfId="24" applyFont="1" applyAlignment="1">
      <alignment vertical="center"/>
    </xf>
    <xf numFmtId="0" fontId="14" fillId="0" borderId="1" xfId="24" applyFont="1" applyBorder="1" applyAlignment="1">
      <alignment horizontal="left" vertical="center"/>
    </xf>
    <xf numFmtId="0" fontId="14" fillId="0" borderId="1" xfId="24" applyFont="1" applyBorder="1" applyAlignment="1">
      <alignment horizontal="center" vertical="center" wrapText="1"/>
    </xf>
    <xf numFmtId="0" fontId="7" fillId="0" borderId="1" xfId="24" applyFont="1" applyBorder="1" applyAlignment="1">
      <alignment horizontal="center" vertical="center"/>
    </xf>
    <xf numFmtId="2" fontId="7" fillId="0" borderId="1" xfId="24" applyNumberFormat="1" applyFont="1" applyBorder="1" applyAlignment="1">
      <alignment horizontal="center" vertical="center"/>
    </xf>
    <xf numFmtId="2" fontId="7" fillId="0" borderId="4" xfId="24" applyNumberFormat="1" applyFont="1" applyBorder="1" applyAlignment="1">
      <alignment horizontal="center" vertical="center"/>
    </xf>
    <xf numFmtId="2" fontId="7" fillId="0" borderId="34" xfId="24" applyNumberFormat="1" applyFont="1" applyBorder="1" applyAlignment="1">
      <alignment horizontal="center" vertical="center"/>
    </xf>
    <xf numFmtId="2" fontId="7" fillId="0" borderId="5" xfId="24" applyNumberFormat="1" applyFont="1" applyBorder="1" applyAlignment="1">
      <alignment horizontal="center" vertical="center"/>
    </xf>
    <xf numFmtId="2" fontId="7" fillId="0" borderId="5" xfId="27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16" applyFont="1" applyAlignment="1">
      <alignment horizontal="right" vertical="center"/>
    </xf>
    <xf numFmtId="0" fontId="41" fillId="0" borderId="0" xfId="0" applyFont="1" applyAlignment="1">
      <alignment vertical="center"/>
    </xf>
    <xf numFmtId="164" fontId="7" fillId="0" borderId="4" xfId="5" applyFont="1" applyBorder="1" applyAlignment="1">
      <alignment horizontal="center" vertical="center" wrapText="1"/>
    </xf>
    <xf numFmtId="2" fontId="7" fillId="0" borderId="5" xfId="19" applyNumberFormat="1" applyFont="1" applyBorder="1" applyAlignment="1">
      <alignment horizontal="center" vertical="center" wrapText="1"/>
    </xf>
    <xf numFmtId="164" fontId="7" fillId="0" borderId="5" xfId="5" applyFont="1" applyBorder="1" applyAlignment="1">
      <alignment horizontal="center" vertical="center"/>
    </xf>
    <xf numFmtId="164" fontId="7" fillId="0" borderId="3" xfId="5" applyFont="1" applyBorder="1" applyAlignment="1">
      <alignment horizontal="center" vertical="center"/>
    </xf>
    <xf numFmtId="164" fontId="7" fillId="0" borderId="35" xfId="5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30" fillId="0" borderId="35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0" fillId="0" borderId="35" xfId="0" applyFont="1" applyBorder="1" applyAlignment="1">
      <alignment horizontal="left" vertical="center" wrapText="1"/>
    </xf>
    <xf numFmtId="0" fontId="30" fillId="0" borderId="35" xfId="0" applyFont="1" applyBorder="1" applyAlignment="1">
      <alignment vertical="center"/>
    </xf>
    <xf numFmtId="0" fontId="30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2" fontId="18" fillId="0" borderId="0" xfId="0" applyNumberFormat="1" applyFont="1"/>
    <xf numFmtId="0" fontId="18" fillId="0" borderId="0" xfId="0" applyFont="1" applyAlignment="1">
      <alignment wrapText="1"/>
    </xf>
    <xf numFmtId="166" fontId="7" fillId="3" borderId="3" xfId="11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" xfId="24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5" xfId="24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49" fontId="7" fillId="0" borderId="37" xfId="23" applyNumberFormat="1" applyFont="1" applyBorder="1" applyAlignment="1">
      <alignment horizontal="center" vertical="center" wrapText="1"/>
    </xf>
    <xf numFmtId="0" fontId="32" fillId="0" borderId="0" xfId="23" applyFont="1" applyAlignment="1">
      <alignment vertical="center"/>
    </xf>
    <xf numFmtId="0" fontId="33" fillId="0" borderId="0" xfId="23" applyFont="1" applyAlignment="1">
      <alignment vertical="center"/>
    </xf>
    <xf numFmtId="0" fontId="33" fillId="0" borderId="0" xfId="23" applyFont="1" applyAlignment="1">
      <alignment horizontal="right" vertical="center"/>
    </xf>
    <xf numFmtId="1" fontId="33" fillId="0" borderId="0" xfId="23" applyNumberFormat="1" applyFont="1" applyAlignment="1">
      <alignment horizontal="center" vertical="center"/>
    </xf>
    <xf numFmtId="0" fontId="32" fillId="0" borderId="0" xfId="17" applyFont="1" applyAlignment="1">
      <alignment vertical="center"/>
    </xf>
    <xf numFmtId="0" fontId="32" fillId="0" borderId="0" xfId="17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23" applyFont="1" applyAlignment="1">
      <alignment horizontal="left" vertical="center"/>
    </xf>
    <xf numFmtId="0" fontId="32" fillId="0" borderId="0" xfId="23" applyFont="1" applyAlignment="1">
      <alignment horizontal="center" vertical="center"/>
    </xf>
    <xf numFmtId="0" fontId="33" fillId="0" borderId="0" xfId="23" applyFont="1" applyAlignment="1">
      <alignment horizontal="center" vertical="center"/>
    </xf>
    <xf numFmtId="0" fontId="32" fillId="0" borderId="0" xfId="23" applyFont="1" applyAlignment="1">
      <alignment horizontal="right" vertical="center"/>
    </xf>
    <xf numFmtId="2" fontId="33" fillId="0" borderId="29" xfId="23" applyNumberFormat="1" applyFont="1" applyBorder="1" applyAlignment="1">
      <alignment horizontal="center" vertical="center"/>
    </xf>
    <xf numFmtId="0" fontId="32" fillId="0" borderId="0" xfId="23" applyFont="1" applyAlignment="1">
      <alignment vertical="center" wrapText="1"/>
    </xf>
    <xf numFmtId="0" fontId="32" fillId="0" borderId="0" xfId="3" applyFont="1" applyFill="1" applyAlignment="1" applyProtection="1">
      <alignment vertical="center"/>
      <protection locked="0"/>
    </xf>
    <xf numFmtId="0" fontId="32" fillId="0" borderId="0" xfId="3" applyFont="1" applyFill="1" applyAlignment="1" applyProtection="1">
      <alignment horizontal="right" vertical="center"/>
      <protection locked="0"/>
    </xf>
    <xf numFmtId="0" fontId="32" fillId="0" borderId="1" xfId="23" applyFont="1" applyBorder="1" applyAlignment="1">
      <alignment horizontal="center" vertical="center" textRotation="90" wrapText="1"/>
    </xf>
    <xf numFmtId="0" fontId="32" fillId="0" borderId="1" xfId="23" applyFont="1" applyBorder="1" applyAlignment="1">
      <alignment vertical="center" wrapText="1"/>
    </xf>
    <xf numFmtId="0" fontId="32" fillId="0" borderId="1" xfId="17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1" xfId="17" applyFont="1" applyBorder="1" applyAlignment="1">
      <alignment horizontal="center" vertical="center" textRotation="90" wrapText="1"/>
    </xf>
    <xf numFmtId="0" fontId="34" fillId="0" borderId="1" xfId="23" applyFont="1" applyBorder="1" applyAlignment="1">
      <alignment horizontal="center" vertical="center"/>
    </xf>
    <xf numFmtId="0" fontId="34" fillId="0" borderId="1" xfId="23" applyFont="1" applyBorder="1" applyAlignment="1">
      <alignment vertical="center" wrapText="1"/>
    </xf>
    <xf numFmtId="2" fontId="32" fillId="0" borderId="1" xfId="23" applyNumberFormat="1" applyFont="1" applyBorder="1" applyAlignment="1">
      <alignment horizontal="left" vertical="center"/>
    </xf>
    <xf numFmtId="0" fontId="32" fillId="0" borderId="3" xfId="0" applyFont="1" applyBorder="1" applyAlignment="1">
      <alignment horizontal="center" vertical="center" wrapText="1"/>
    </xf>
    <xf numFmtId="49" fontId="32" fillId="0" borderId="3" xfId="23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165" fontId="32" fillId="0" borderId="3" xfId="0" applyNumberFormat="1" applyFont="1" applyBorder="1" applyAlignment="1">
      <alignment horizontal="center" vertical="center" wrapText="1"/>
    </xf>
    <xf numFmtId="2" fontId="32" fillId="3" borderId="1" xfId="0" applyNumberFormat="1" applyFont="1" applyFill="1" applyBorder="1" applyAlignment="1">
      <alignment horizontal="center" vertical="center" wrapText="1"/>
    </xf>
    <xf numFmtId="2" fontId="32" fillId="3" borderId="1" xfId="24" applyNumberFormat="1" applyFont="1" applyFill="1" applyBorder="1" applyAlignment="1">
      <alignment horizontal="center" vertical="center" wrapText="1"/>
    </xf>
    <xf numFmtId="164" fontId="32" fillId="0" borderId="1" xfId="5" applyFont="1" applyBorder="1" applyAlignment="1">
      <alignment horizontal="center" vertical="center"/>
    </xf>
    <xf numFmtId="164" fontId="32" fillId="0" borderId="1" xfId="5" applyFont="1" applyBorder="1" applyAlignment="1">
      <alignment horizontal="center" vertical="center" wrapText="1"/>
    </xf>
    <xf numFmtId="49" fontId="32" fillId="0" borderId="1" xfId="23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/>
    </xf>
    <xf numFmtId="0" fontId="32" fillId="0" borderId="27" xfId="0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2" fontId="32" fillId="0" borderId="1" xfId="23" applyNumberFormat="1" applyFont="1" applyBorder="1" applyAlignment="1">
      <alignment horizontal="center" vertical="center" wrapText="1"/>
    </xf>
    <xf numFmtId="2" fontId="32" fillId="0" borderId="1" xfId="2" applyNumberFormat="1" applyFont="1" applyBorder="1" applyAlignment="1">
      <alignment horizontal="center" vertical="center" wrapText="1"/>
    </xf>
    <xf numFmtId="0" fontId="32" fillId="0" borderId="0" xfId="13" applyFont="1" applyAlignment="1">
      <alignment vertical="center" wrapText="1"/>
    </xf>
    <xf numFmtId="165" fontId="32" fillId="0" borderId="1" xfId="13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/>
    </xf>
    <xf numFmtId="166" fontId="32" fillId="3" borderId="1" xfId="11" applyNumberFormat="1" applyFont="1" applyFill="1" applyBorder="1" applyAlignment="1">
      <alignment horizontal="center" vertical="center" wrapText="1"/>
    </xf>
    <xf numFmtId="0" fontId="32" fillId="0" borderId="0" xfId="23" applyFont="1" applyAlignment="1">
      <alignment horizontal="left" vertical="center" wrapText="1"/>
    </xf>
    <xf numFmtId="0" fontId="33" fillId="0" borderId="0" xfId="0" applyFont="1" applyAlignment="1">
      <alignment vertical="center"/>
    </xf>
    <xf numFmtId="0" fontId="32" fillId="0" borderId="0" xfId="23" applyFont="1" applyAlignment="1">
      <alignment horizontal="center" vertical="center" wrapText="1"/>
    </xf>
    <xf numFmtId="0" fontId="32" fillId="0" borderId="3" xfId="2" applyFont="1" applyBorder="1" applyAlignment="1">
      <alignment horizontal="left" vertical="center" wrapText="1"/>
    </xf>
    <xf numFmtId="0" fontId="32" fillId="0" borderId="27" xfId="24" applyFont="1" applyBorder="1" applyAlignment="1">
      <alignment horizontal="center" vertical="center" wrapText="1"/>
    </xf>
    <xf numFmtId="2" fontId="32" fillId="0" borderId="1" xfId="24" applyNumberFormat="1" applyFont="1" applyBorder="1" applyAlignment="1">
      <alignment horizontal="center" vertical="center" wrapText="1"/>
    </xf>
    <xf numFmtId="2" fontId="32" fillId="0" borderId="3" xfId="2" applyNumberFormat="1" applyFont="1" applyBorder="1" applyAlignment="1">
      <alignment horizontal="center" vertical="center" wrapText="1"/>
    </xf>
    <xf numFmtId="2" fontId="32" fillId="0" borderId="26" xfId="2" applyNumberFormat="1" applyFont="1" applyBorder="1" applyAlignment="1">
      <alignment horizontal="center" vertical="center" wrapText="1"/>
    </xf>
    <xf numFmtId="0" fontId="32" fillId="0" borderId="1" xfId="2" applyFont="1" applyBorder="1" applyAlignment="1">
      <alignment horizontal="left" vertical="center" wrapText="1"/>
    </xf>
    <xf numFmtId="2" fontId="32" fillId="3" borderId="1" xfId="2" applyNumberFormat="1" applyFont="1" applyFill="1" applyBorder="1" applyAlignment="1">
      <alignment horizontal="center" vertical="center" wrapText="1"/>
    </xf>
    <xf numFmtId="2" fontId="32" fillId="3" borderId="4" xfId="2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165" fontId="32" fillId="0" borderId="1" xfId="0" applyNumberFormat="1" applyFont="1" applyBorder="1" applyAlignment="1">
      <alignment horizontal="center" vertical="center"/>
    </xf>
    <xf numFmtId="49" fontId="32" fillId="0" borderId="1" xfId="24" applyNumberFormat="1" applyFont="1" applyBorder="1" applyAlignment="1">
      <alignment horizontal="center" vertical="center" wrapText="1"/>
    </xf>
    <xf numFmtId="0" fontId="32" fillId="0" borderId="1" xfId="24" applyFont="1" applyBorder="1" applyAlignment="1">
      <alignment horizontal="center" vertical="center" wrapText="1"/>
    </xf>
    <xf numFmtId="0" fontId="32" fillId="0" borderId="27" xfId="13" applyFont="1" applyBorder="1" applyAlignment="1">
      <alignment horizontal="center" vertical="center"/>
    </xf>
    <xf numFmtId="0" fontId="32" fillId="0" borderId="1" xfId="24" applyFont="1" applyBorder="1" applyAlignment="1">
      <alignment horizontal="left" vertical="center" wrapText="1"/>
    </xf>
    <xf numFmtId="0" fontId="33" fillId="0" borderId="1" xfId="24" applyFont="1" applyBorder="1" applyAlignment="1">
      <alignment horizontal="left" vertical="center" wrapText="1"/>
    </xf>
    <xf numFmtId="165" fontId="33" fillId="0" borderId="1" xfId="24" applyNumberFormat="1" applyFont="1" applyBorder="1" applyAlignment="1">
      <alignment horizontal="center" vertical="center"/>
    </xf>
    <xf numFmtId="2" fontId="33" fillId="0" borderId="1" xfId="0" applyNumberFormat="1" applyFont="1" applyBorder="1" applyAlignment="1">
      <alignment horizontal="center" vertical="center" wrapText="1"/>
    </xf>
    <xf numFmtId="0" fontId="32" fillId="0" borderId="1" xfId="13" applyFont="1" applyBorder="1" applyAlignment="1">
      <alignment horizontal="center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49" fontId="32" fillId="0" borderId="0" xfId="23" applyNumberFormat="1" applyFont="1" applyAlignment="1">
      <alignment horizontal="center" vertical="center" wrapText="1"/>
    </xf>
    <xf numFmtId="2" fontId="32" fillId="0" borderId="0" xfId="23" applyNumberFormat="1" applyFont="1" applyAlignment="1">
      <alignment horizontal="center" vertical="center" wrapText="1"/>
    </xf>
    <xf numFmtId="0" fontId="33" fillId="0" borderId="0" xfId="0" applyFont="1" applyAlignment="1">
      <alignment horizontal="right" vertical="center" wrapText="1"/>
    </xf>
    <xf numFmtId="164" fontId="32" fillId="0" borderId="0" xfId="23" applyNumberFormat="1" applyFont="1" applyAlignment="1">
      <alignment horizontal="center" vertical="center" wrapText="1"/>
    </xf>
    <xf numFmtId="2" fontId="32" fillId="0" borderId="0" xfId="26" applyNumberFormat="1" applyFont="1" applyAlignment="1">
      <alignment horizontal="center" vertical="center" wrapText="1"/>
    </xf>
    <xf numFmtId="0" fontId="32" fillId="0" borderId="0" xfId="14" applyFont="1" applyAlignment="1">
      <alignment vertical="center" wrapText="1"/>
    </xf>
    <xf numFmtId="0" fontId="32" fillId="0" borderId="0" xfId="14" applyFont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2" fontId="33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top"/>
    </xf>
    <xf numFmtId="0" fontId="32" fillId="0" borderId="0" xfId="11" applyFont="1" applyAlignment="1">
      <alignment horizontal="center" vertical="center"/>
    </xf>
    <xf numFmtId="0" fontId="32" fillId="0" borderId="0" xfId="11" applyFont="1" applyAlignment="1">
      <alignment vertical="center"/>
    </xf>
    <xf numFmtId="165" fontId="33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 wrapText="1"/>
    </xf>
    <xf numFmtId="2" fontId="7" fillId="0" borderId="27" xfId="20" applyNumberFormat="1" applyFont="1" applyBorder="1" applyAlignment="1">
      <alignment horizontal="center" vertical="center" wrapText="1"/>
    </xf>
    <xf numFmtId="2" fontId="7" fillId="0" borderId="35" xfId="24" applyNumberFormat="1" applyFont="1" applyBorder="1" applyAlignment="1">
      <alignment horizontal="center" vertical="center" wrapText="1"/>
    </xf>
    <xf numFmtId="2" fontId="7" fillId="0" borderId="35" xfId="20" applyNumberFormat="1" applyFont="1" applyBorder="1" applyAlignment="1">
      <alignment horizontal="center" vertical="center" wrapText="1"/>
    </xf>
    <xf numFmtId="2" fontId="7" fillId="0" borderId="18" xfId="20" applyNumberFormat="1" applyFont="1" applyBorder="1" applyAlignment="1">
      <alignment horizontal="center" vertical="center" wrapText="1"/>
    </xf>
    <xf numFmtId="2" fontId="7" fillId="0" borderId="5" xfId="20" applyNumberFormat="1" applyFont="1" applyBorder="1" applyAlignment="1">
      <alignment horizontal="center" vertical="center" wrapText="1"/>
    </xf>
    <xf numFmtId="0" fontId="14" fillId="0" borderId="1" xfId="23" applyFont="1" applyBorder="1" applyAlignment="1">
      <alignment horizontal="center" vertical="center"/>
    </xf>
    <xf numFmtId="0" fontId="14" fillId="0" borderId="1" xfId="23" applyFont="1" applyBorder="1" applyAlignment="1">
      <alignment horizontal="center" vertical="center" wrapText="1"/>
    </xf>
    <xf numFmtId="2" fontId="7" fillId="0" borderId="1" xfId="23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2" fontId="7" fillId="0" borderId="6" xfId="25" applyNumberFormat="1" applyFont="1" applyBorder="1" applyAlignment="1">
      <alignment horizontal="center" vertical="center" wrapText="1"/>
    </xf>
    <xf numFmtId="164" fontId="7" fillId="0" borderId="35" xfId="25" applyNumberFormat="1" applyFont="1" applyBorder="1" applyAlignment="1">
      <alignment horizontal="center" vertical="center" wrapText="1"/>
    </xf>
    <xf numFmtId="0" fontId="7" fillId="0" borderId="35" xfId="25" applyFont="1" applyBorder="1" applyAlignment="1">
      <alignment horizontal="center" vertical="center" wrapText="1"/>
    </xf>
    <xf numFmtId="2" fontId="7" fillId="0" borderId="35" xfId="25" applyNumberFormat="1" applyFont="1" applyBorder="1" applyAlignment="1">
      <alignment horizontal="center" vertical="center" wrapText="1"/>
    </xf>
    <xf numFmtId="2" fontId="7" fillId="0" borderId="27" xfId="25" applyNumberFormat="1" applyFont="1" applyBorder="1" applyAlignment="1">
      <alignment horizontal="center" vertical="center" wrapText="1"/>
    </xf>
    <xf numFmtId="49" fontId="7" fillId="0" borderId="5" xfId="23" applyNumberFormat="1" applyFont="1" applyBorder="1" applyAlignment="1">
      <alignment horizontal="center" vertical="center" wrapText="1"/>
    </xf>
    <xf numFmtId="0" fontId="7" fillId="0" borderId="5" xfId="23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7" fillId="0" borderId="5" xfId="23" applyFont="1" applyBorder="1" applyAlignment="1">
      <alignment horizontal="center" vertical="center" wrapText="1"/>
    </xf>
    <xf numFmtId="2" fontId="7" fillId="0" borderId="5" xfId="23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164" fontId="7" fillId="0" borderId="0" xfId="23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2" fontId="7" fillId="0" borderId="1" xfId="25" applyNumberFormat="1" applyFont="1" applyBorder="1" applyAlignment="1">
      <alignment horizontal="center" vertical="center" wrapText="1"/>
    </xf>
    <xf numFmtId="0" fontId="7" fillId="0" borderId="1" xfId="0" applyFont="1" applyBorder="1"/>
    <xf numFmtId="49" fontId="7" fillId="0" borderId="27" xfId="23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165" fontId="7" fillId="0" borderId="35" xfId="0" applyNumberFormat="1" applyFont="1" applyBorder="1" applyAlignment="1">
      <alignment horizontal="center" vertical="center" wrapText="1"/>
    </xf>
    <xf numFmtId="2" fontId="7" fillId="3" borderId="26" xfId="24" applyNumberFormat="1" applyFont="1" applyFill="1" applyBorder="1" applyAlignment="1">
      <alignment horizontal="center" vertical="center" wrapText="1"/>
    </xf>
    <xf numFmtId="166" fontId="7" fillId="0" borderId="26" xfId="11" applyNumberFormat="1" applyFont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165" fontId="7" fillId="0" borderId="35" xfId="24" applyNumberFormat="1" applyFont="1" applyBorder="1" applyAlignment="1">
      <alignment horizontal="center" vertical="center" wrapText="1"/>
    </xf>
    <xf numFmtId="0" fontId="7" fillId="0" borderId="26" xfId="2" applyFont="1" applyBorder="1" applyAlignment="1">
      <alignment vertical="center" wrapText="1"/>
    </xf>
    <xf numFmtId="1" fontId="7" fillId="0" borderId="3" xfId="24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7" fillId="3" borderId="1" xfId="24" applyNumberFormat="1" applyFont="1" applyFill="1" applyBorder="1" applyAlignment="1">
      <alignment horizontal="center" vertical="center"/>
    </xf>
    <xf numFmtId="165" fontId="32" fillId="0" borderId="0" xfId="17" applyNumberFormat="1" applyFont="1" applyAlignment="1">
      <alignment vertical="center"/>
    </xf>
    <xf numFmtId="0" fontId="32" fillId="0" borderId="0" xfId="3" applyFont="1" applyFill="1" applyAlignment="1" applyProtection="1">
      <alignment horizontal="right" vertical="center" wrapText="1"/>
      <protection locked="0"/>
    </xf>
    <xf numFmtId="0" fontId="32" fillId="0" borderId="1" xfId="23" applyFont="1" applyBorder="1" applyAlignment="1">
      <alignment horizontal="left" vertical="center" wrapText="1"/>
    </xf>
    <xf numFmtId="0" fontId="32" fillId="0" borderId="1" xfId="23" applyFont="1" applyBorder="1" applyAlignment="1">
      <alignment horizontal="center" vertical="center"/>
    </xf>
    <xf numFmtId="1" fontId="32" fillId="0" borderId="1" xfId="23" applyNumberFormat="1" applyFont="1" applyBorder="1" applyAlignment="1">
      <alignment horizontal="center" vertical="center"/>
    </xf>
    <xf numFmtId="0" fontId="32" fillId="0" borderId="4" xfId="23" applyFont="1" applyBorder="1" applyAlignment="1">
      <alignment horizontal="center" vertical="center"/>
    </xf>
    <xf numFmtId="0" fontId="33" fillId="3" borderId="0" xfId="0" applyFont="1" applyFill="1" applyAlignment="1">
      <alignment vertical="center" wrapText="1"/>
    </xf>
    <xf numFmtId="165" fontId="32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/>
    </xf>
    <xf numFmtId="166" fontId="32" fillId="0" borderId="1" xfId="11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65" fontId="32" fillId="0" borderId="1" xfId="23" applyNumberFormat="1" applyFont="1" applyBorder="1" applyAlignment="1">
      <alignment horizontal="center" vertical="center" wrapText="1"/>
    </xf>
    <xf numFmtId="0" fontId="32" fillId="0" borderId="1" xfId="23" applyFont="1" applyBorder="1" applyAlignment="1">
      <alignment horizontal="center" vertical="center" wrapText="1"/>
    </xf>
    <xf numFmtId="1" fontId="32" fillId="0" borderId="1" xfId="23" applyNumberFormat="1" applyFont="1" applyBorder="1" applyAlignment="1">
      <alignment horizontal="center" vertical="center" wrapText="1"/>
    </xf>
    <xf numFmtId="2" fontId="32" fillId="0" borderId="1" xfId="26" applyNumberFormat="1" applyFont="1" applyBorder="1" applyAlignment="1">
      <alignment horizontal="center" vertical="center" wrapText="1"/>
    </xf>
    <xf numFmtId="0" fontId="33" fillId="0" borderId="1" xfId="23" applyFont="1" applyBorder="1" applyAlignment="1">
      <alignment horizontal="left" vertical="center" wrapText="1"/>
    </xf>
    <xf numFmtId="167" fontId="32" fillId="0" borderId="1" xfId="23" applyNumberFormat="1" applyFont="1" applyBorder="1" applyAlignment="1">
      <alignment horizontal="center" vertical="center" wrapText="1"/>
    </xf>
    <xf numFmtId="2" fontId="32" fillId="3" borderId="1" xfId="24" applyNumberFormat="1" applyFont="1" applyFill="1" applyBorder="1" applyAlignment="1">
      <alignment horizontal="center" vertical="center"/>
    </xf>
    <xf numFmtId="2" fontId="32" fillId="0" borderId="1" xfId="24" applyNumberFormat="1" applyFont="1" applyBorder="1" applyAlignment="1">
      <alignment vertical="center" wrapText="1"/>
    </xf>
    <xf numFmtId="0" fontId="34" fillId="0" borderId="1" xfId="24" applyFont="1" applyBorder="1" applyAlignment="1">
      <alignment horizontal="center" vertical="center"/>
    </xf>
    <xf numFmtId="165" fontId="32" fillId="0" borderId="39" xfId="0" applyNumberFormat="1" applyFont="1" applyBorder="1" applyAlignment="1">
      <alignment horizontal="left" wrapText="1"/>
    </xf>
    <xf numFmtId="165" fontId="32" fillId="0" borderId="35" xfId="0" applyNumberFormat="1" applyFont="1" applyBorder="1" applyAlignment="1">
      <alignment horizontal="center"/>
    </xf>
    <xf numFmtId="0" fontId="32" fillId="0" borderId="39" xfId="0" applyFont="1" applyBorder="1" applyAlignment="1">
      <alignment wrapText="1"/>
    </xf>
    <xf numFmtId="0" fontId="32" fillId="0" borderId="40" xfId="0" applyFont="1" applyBorder="1" applyAlignment="1">
      <alignment horizontal="center" vertical="center" wrapText="1"/>
    </xf>
    <xf numFmtId="165" fontId="32" fillId="0" borderId="40" xfId="23" applyNumberFormat="1" applyFont="1" applyBorder="1" applyAlignment="1">
      <alignment horizontal="center" vertical="center" wrapText="1"/>
    </xf>
    <xf numFmtId="2" fontId="32" fillId="3" borderId="1" xfId="23" applyNumberFormat="1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1" fontId="32" fillId="0" borderId="35" xfId="23" applyNumberFormat="1" applyFont="1" applyBorder="1" applyAlignment="1">
      <alignment horizontal="center" vertical="center" wrapText="1"/>
    </xf>
    <xf numFmtId="165" fontId="32" fillId="7" borderId="35" xfId="8" applyNumberFormat="1" applyFont="1" applyFill="1" applyBorder="1" applyAlignment="1">
      <alignment horizontal="center" vertical="center" wrapText="1"/>
    </xf>
    <xf numFmtId="0" fontId="33" fillId="0" borderId="39" xfId="0" applyFont="1" applyBorder="1" applyAlignment="1">
      <alignment wrapText="1"/>
    </xf>
    <xf numFmtId="165" fontId="32" fillId="7" borderId="40" xfId="8" applyNumberFormat="1" applyFont="1" applyFill="1" applyBorder="1" applyAlignment="1">
      <alignment horizontal="center" vertical="center" wrapText="1"/>
    </xf>
    <xf numFmtId="1" fontId="32" fillId="0" borderId="35" xfId="0" applyNumberFormat="1" applyFont="1" applyBorder="1" applyAlignment="1">
      <alignment horizontal="center"/>
    </xf>
    <xf numFmtId="1" fontId="32" fillId="7" borderId="40" xfId="8" applyNumberFormat="1" applyFont="1" applyFill="1" applyBorder="1" applyAlignment="1">
      <alignment horizontal="center" vertical="center" wrapText="1"/>
    </xf>
    <xf numFmtId="165" fontId="32" fillId="0" borderId="40" xfId="0" applyNumberFormat="1" applyFont="1" applyBorder="1" applyAlignment="1">
      <alignment horizontal="center"/>
    </xf>
    <xf numFmtId="2" fontId="32" fillId="0" borderId="35" xfId="0" applyNumberFormat="1" applyFont="1" applyBorder="1" applyAlignment="1">
      <alignment horizontal="center"/>
    </xf>
    <xf numFmtId="0" fontId="33" fillId="3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35" xfId="0" applyFont="1" applyBorder="1" applyAlignment="1">
      <alignment wrapText="1"/>
    </xf>
    <xf numFmtId="0" fontId="32" fillId="0" borderId="38" xfId="0" applyFont="1" applyBorder="1" applyAlignment="1">
      <alignment horizontal="center" wrapText="1"/>
    </xf>
    <xf numFmtId="2" fontId="32" fillId="0" borderId="38" xfId="0" applyNumberFormat="1" applyFont="1" applyBorder="1" applyAlignment="1">
      <alignment horizontal="center" wrapText="1"/>
    </xf>
    <xf numFmtId="1" fontId="32" fillId="0" borderId="38" xfId="0" applyNumberFormat="1" applyFont="1" applyBorder="1" applyAlignment="1">
      <alignment horizontal="center" wrapText="1"/>
    </xf>
    <xf numFmtId="0" fontId="32" fillId="0" borderId="40" xfId="0" applyFont="1" applyBorder="1" applyAlignment="1">
      <alignment wrapText="1"/>
    </xf>
    <xf numFmtId="165" fontId="32" fillId="0" borderId="38" xfId="0" applyNumberFormat="1" applyFont="1" applyBorder="1" applyAlignment="1">
      <alignment horizontal="center" wrapText="1"/>
    </xf>
    <xf numFmtId="0" fontId="32" fillId="0" borderId="1" xfId="16" applyFont="1" applyBorder="1" applyAlignment="1">
      <alignment horizontal="center" vertical="center" wrapText="1"/>
    </xf>
    <xf numFmtId="2" fontId="32" fillId="0" borderId="1" xfId="16" applyNumberFormat="1" applyFont="1" applyBorder="1" applyAlignment="1">
      <alignment horizontal="center" vertical="center" wrapText="1"/>
    </xf>
    <xf numFmtId="0" fontId="32" fillId="0" borderId="1" xfId="16" applyFont="1" applyBorder="1" applyAlignment="1">
      <alignment vertical="center" wrapText="1"/>
    </xf>
    <xf numFmtId="0" fontId="32" fillId="0" borderId="37" xfId="0" applyFont="1" applyBorder="1" applyAlignment="1">
      <alignment wrapText="1"/>
    </xf>
    <xf numFmtId="167" fontId="32" fillId="0" borderId="38" xfId="0" applyNumberFormat="1" applyFont="1" applyBorder="1" applyAlignment="1">
      <alignment horizontal="center" wrapText="1"/>
    </xf>
    <xf numFmtId="0" fontId="33" fillId="0" borderId="1" xfId="0" applyFont="1" applyBorder="1" applyAlignment="1">
      <alignment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2" fillId="0" borderId="0" xfId="23" applyFont="1" applyAlignment="1">
      <alignment vertical="top" wrapText="1"/>
    </xf>
    <xf numFmtId="0" fontId="32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2" fontId="32" fillId="0" borderId="1" xfId="23" applyNumberFormat="1" applyFont="1" applyBorder="1" applyAlignment="1">
      <alignment vertical="center" wrapText="1"/>
    </xf>
    <xf numFmtId="0" fontId="32" fillId="0" borderId="0" xfId="14" applyFont="1" applyAlignment="1">
      <alignment horizontal="right" vertical="center" wrapText="1"/>
    </xf>
    <xf numFmtId="2" fontId="32" fillId="0" borderId="0" xfId="14" applyNumberFormat="1" applyFont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65" fontId="32" fillId="0" borderId="0" xfId="0" applyNumberFormat="1" applyFont="1" applyAlignment="1">
      <alignment vertical="center"/>
    </xf>
    <xf numFmtId="0" fontId="33" fillId="0" borderId="0" xfId="17" applyFont="1" applyAlignment="1">
      <alignment vertical="center"/>
    </xf>
    <xf numFmtId="0" fontId="33" fillId="0" borderId="0" xfId="17" applyFont="1" applyAlignment="1">
      <alignment horizontal="right" vertical="center"/>
    </xf>
    <xf numFmtId="0" fontId="33" fillId="0" borderId="41" xfId="17" applyFont="1" applyBorder="1" applyAlignment="1">
      <alignment horizontal="center" vertical="center"/>
    </xf>
    <xf numFmtId="0" fontId="33" fillId="0" borderId="0" xfId="17" applyFont="1" applyAlignment="1">
      <alignment horizontal="center" vertical="center"/>
    </xf>
    <xf numFmtId="0" fontId="32" fillId="0" borderId="0" xfId="6" applyFont="1" applyFill="1" applyAlignment="1" applyProtection="1">
      <alignment horizontal="right" vertical="center" wrapText="1"/>
      <protection locked="0"/>
    </xf>
    <xf numFmtId="2" fontId="33" fillId="0" borderId="41" xfId="11" applyNumberFormat="1" applyFont="1" applyBorder="1" applyAlignment="1">
      <alignment horizontal="center" vertical="center"/>
    </xf>
    <xf numFmtId="0" fontId="32" fillId="0" borderId="0" xfId="6" applyFont="1" applyFill="1" applyAlignment="1" applyProtection="1">
      <alignment vertical="center"/>
      <protection locked="0"/>
    </xf>
    <xf numFmtId="0" fontId="32" fillId="0" borderId="0" xfId="6" applyFont="1" applyFill="1" applyAlignment="1" applyProtection="1">
      <alignment horizontal="right" vertical="center"/>
      <protection locked="0"/>
    </xf>
    <xf numFmtId="0" fontId="32" fillId="0" borderId="42" xfId="17" applyFont="1" applyBorder="1" applyAlignment="1">
      <alignment vertical="center" wrapText="1"/>
    </xf>
    <xf numFmtId="0" fontId="32" fillId="0" borderId="35" xfId="17" applyFont="1" applyBorder="1" applyAlignment="1">
      <alignment horizontal="center" vertical="center"/>
    </xf>
    <xf numFmtId="0" fontId="32" fillId="0" borderId="43" xfId="17" applyFont="1" applyBorder="1" applyAlignment="1">
      <alignment vertical="center" wrapText="1"/>
    </xf>
    <xf numFmtId="0" fontId="36" fillId="0" borderId="35" xfId="17" applyFont="1" applyBorder="1" applyAlignment="1">
      <alignment horizontal="center" vertical="center"/>
    </xf>
    <xf numFmtId="0" fontId="36" fillId="0" borderId="35" xfId="17" applyFont="1" applyBorder="1" applyAlignment="1">
      <alignment horizontal="center" vertical="center" wrapText="1"/>
    </xf>
    <xf numFmtId="0" fontId="32" fillId="0" borderId="35" xfId="23" applyFont="1" applyBorder="1" applyAlignment="1">
      <alignment horizontal="center" vertical="center" wrapText="1"/>
    </xf>
    <xf numFmtId="0" fontId="37" fillId="0" borderId="44" xfId="17" applyFont="1" applyBorder="1" applyAlignment="1">
      <alignment horizontal="left" vertical="center" wrapText="1"/>
    </xf>
    <xf numFmtId="0" fontId="33" fillId="0" borderId="44" xfId="17" applyFont="1" applyBorder="1" applyAlignment="1">
      <alignment horizontal="center" vertical="center" wrapText="1"/>
    </xf>
    <xf numFmtId="0" fontId="33" fillId="0" borderId="44" xfId="17" applyFont="1" applyBorder="1" applyAlignment="1">
      <alignment vertical="center"/>
    </xf>
    <xf numFmtId="43" fontId="32" fillId="0" borderId="35" xfId="17" applyNumberFormat="1" applyFont="1" applyBorder="1" applyAlignment="1">
      <alignment horizontal="center" vertical="center"/>
    </xf>
    <xf numFmtId="43" fontId="32" fillId="0" borderId="35" xfId="14" applyNumberFormat="1" applyFont="1" applyBorder="1" applyAlignment="1">
      <alignment horizontal="center" vertical="center"/>
    </xf>
    <xf numFmtId="43" fontId="32" fillId="0" borderId="35" xfId="17" applyNumberFormat="1" applyFont="1" applyBorder="1" applyAlignment="1">
      <alignment vertical="center"/>
    </xf>
    <xf numFmtId="49" fontId="32" fillId="0" borderId="35" xfId="14" applyNumberFormat="1" applyFont="1" applyBorder="1" applyAlignment="1">
      <alignment horizontal="center" vertical="center"/>
    </xf>
    <xf numFmtId="0" fontId="32" fillId="0" borderId="40" xfId="17" applyFont="1" applyBorder="1" applyAlignment="1">
      <alignment vertical="center" wrapText="1"/>
    </xf>
    <xf numFmtId="0" fontId="32" fillId="0" borderId="40" xfId="17" applyFont="1" applyBorder="1" applyAlignment="1">
      <alignment horizontal="center" vertical="center" wrapText="1"/>
    </xf>
    <xf numFmtId="0" fontId="32" fillId="0" borderId="40" xfId="17" applyFont="1" applyBorder="1" applyAlignment="1">
      <alignment horizontal="center" vertical="center"/>
    </xf>
    <xf numFmtId="164" fontId="32" fillId="0" borderId="3" xfId="17" applyNumberFormat="1" applyFont="1" applyBorder="1" applyAlignment="1">
      <alignment horizontal="center" vertical="center"/>
    </xf>
    <xf numFmtId="164" fontId="32" fillId="0" borderId="1" xfId="17" applyNumberFormat="1" applyFont="1" applyBorder="1" applyAlignment="1">
      <alignment horizontal="center" vertical="center"/>
    </xf>
    <xf numFmtId="164" fontId="32" fillId="0" borderId="3" xfId="14" applyNumberFormat="1" applyFont="1" applyBorder="1" applyAlignment="1">
      <alignment horizontal="center" vertical="center"/>
    </xf>
    <xf numFmtId="164" fontId="32" fillId="0" borderId="3" xfId="17" applyNumberFormat="1" applyFont="1" applyBorder="1" applyAlignment="1">
      <alignment vertical="center"/>
    </xf>
    <xf numFmtId="0" fontId="32" fillId="7" borderId="0" xfId="14" applyFont="1" applyFill="1" applyAlignment="1">
      <alignment vertical="center"/>
    </xf>
    <xf numFmtId="0" fontId="32" fillId="0" borderId="35" xfId="17" applyFont="1" applyBorder="1" applyAlignment="1">
      <alignment vertical="center" wrapText="1"/>
    </xf>
    <xf numFmtId="0" fontId="32" fillId="0" borderId="35" xfId="17" applyFont="1" applyBorder="1" applyAlignment="1">
      <alignment horizontal="center" vertical="center" wrapText="1"/>
    </xf>
    <xf numFmtId="164" fontId="32" fillId="0" borderId="1" xfId="14" applyNumberFormat="1" applyFont="1" applyBorder="1" applyAlignment="1">
      <alignment horizontal="center" vertical="center"/>
    </xf>
    <xf numFmtId="164" fontId="32" fillId="0" borderId="1" xfId="17" applyNumberFormat="1" applyFont="1" applyBorder="1" applyAlignment="1">
      <alignment vertical="center"/>
    </xf>
    <xf numFmtId="0" fontId="32" fillId="0" borderId="35" xfId="17" applyFont="1" applyBorder="1" applyAlignment="1">
      <alignment vertical="center"/>
    </xf>
    <xf numFmtId="0" fontId="32" fillId="0" borderId="0" xfId="14" applyFont="1" applyAlignment="1">
      <alignment vertical="center"/>
    </xf>
    <xf numFmtId="0" fontId="32" fillId="0" borderId="38" xfId="17" applyFont="1" applyBorder="1" applyAlignment="1">
      <alignment vertical="center" wrapText="1"/>
    </xf>
    <xf numFmtId="0" fontId="32" fillId="0" borderId="38" xfId="17" applyFont="1" applyBorder="1" applyAlignment="1">
      <alignment horizontal="center" vertical="center" wrapText="1"/>
    </xf>
    <xf numFmtId="0" fontId="32" fillId="0" borderId="38" xfId="17" applyFont="1" applyBorder="1" applyAlignment="1">
      <alignment horizontal="center" vertical="center"/>
    </xf>
    <xf numFmtId="164" fontId="32" fillId="0" borderId="5" xfId="17" applyNumberFormat="1" applyFont="1" applyBorder="1" applyAlignment="1">
      <alignment horizontal="center" vertical="center"/>
    </xf>
    <xf numFmtId="164" fontId="32" fillId="0" borderId="5" xfId="14" applyNumberFormat="1" applyFont="1" applyBorder="1" applyAlignment="1">
      <alignment horizontal="center" vertical="center"/>
    </xf>
    <xf numFmtId="164" fontId="32" fillId="0" borderId="5" xfId="17" applyNumberFormat="1" applyFont="1" applyBorder="1" applyAlignment="1">
      <alignment vertical="center"/>
    </xf>
    <xf numFmtId="0" fontId="37" fillId="0" borderId="39" xfId="17" applyFont="1" applyBorder="1" applyAlignment="1">
      <alignment horizontal="left" vertical="center"/>
    </xf>
    <xf numFmtId="0" fontId="36" fillId="0" borderId="39" xfId="17" applyFont="1" applyBorder="1" applyAlignment="1">
      <alignment horizontal="center" vertical="center"/>
    </xf>
    <xf numFmtId="0" fontId="32" fillId="0" borderId="40" xfId="14" applyFont="1" applyBorder="1" applyAlignment="1">
      <alignment horizontal="left" vertical="center" wrapText="1"/>
    </xf>
    <xf numFmtId="0" fontId="32" fillId="0" borderId="40" xfId="14" applyFont="1" applyBorder="1" applyAlignment="1">
      <alignment horizontal="center" vertical="center" wrapText="1"/>
    </xf>
    <xf numFmtId="0" fontId="32" fillId="0" borderId="40" xfId="14" applyFont="1" applyBorder="1" applyAlignment="1">
      <alignment horizontal="center" vertical="center"/>
    </xf>
    <xf numFmtId="0" fontId="32" fillId="0" borderId="45" xfId="14" applyFont="1" applyBorder="1" applyAlignment="1">
      <alignment horizontal="left" vertical="center" wrapText="1"/>
    </xf>
    <xf numFmtId="0" fontId="32" fillId="0" borderId="45" xfId="14" applyFont="1" applyBorder="1" applyAlignment="1">
      <alignment horizontal="center" vertical="center" wrapText="1"/>
    </xf>
    <xf numFmtId="0" fontId="32" fillId="0" borderId="45" xfId="17" applyFont="1" applyBorder="1" applyAlignment="1">
      <alignment horizontal="center" vertical="center"/>
    </xf>
    <xf numFmtId="0" fontId="32" fillId="0" borderId="35" xfId="14" applyFont="1" applyBorder="1" applyAlignment="1">
      <alignment horizontal="left" vertical="center" wrapText="1"/>
    </xf>
    <xf numFmtId="0" fontId="32" fillId="0" borderId="35" xfId="14" applyFont="1" applyBorder="1" applyAlignment="1">
      <alignment horizontal="center" vertical="center" wrapText="1"/>
    </xf>
    <xf numFmtId="0" fontId="32" fillId="0" borderId="35" xfId="17" applyFont="1" applyBorder="1" applyAlignment="1">
      <alignment horizontal="left" vertical="center" wrapText="1"/>
    </xf>
    <xf numFmtId="0" fontId="32" fillId="0" borderId="46" xfId="14" applyFont="1" applyBorder="1" applyAlignment="1">
      <alignment horizontal="center" vertical="center" wrapText="1"/>
    </xf>
    <xf numFmtId="0" fontId="32" fillId="0" borderId="46" xfId="17" applyFont="1" applyBorder="1" applyAlignment="1">
      <alignment horizontal="center" vertical="center" wrapText="1"/>
    </xf>
    <xf numFmtId="0" fontId="33" fillId="0" borderId="35" xfId="17" applyFont="1" applyBorder="1" applyAlignment="1">
      <alignment vertical="center"/>
    </xf>
    <xf numFmtId="164" fontId="32" fillId="0" borderId="1" xfId="11" applyNumberFormat="1" applyFont="1" applyBorder="1" applyAlignment="1">
      <alignment horizontal="center" vertical="center"/>
    </xf>
    <xf numFmtId="164" fontId="32" fillId="0" borderId="1" xfId="17" applyNumberFormat="1" applyFont="1" applyBorder="1" applyAlignment="1">
      <alignment horizontal="center" vertical="center" wrapText="1"/>
    </xf>
    <xf numFmtId="0" fontId="33" fillId="9" borderId="35" xfId="17" applyFont="1" applyFill="1" applyBorder="1" applyAlignment="1">
      <alignment vertical="center"/>
    </xf>
    <xf numFmtId="0" fontId="32" fillId="0" borderId="35" xfId="14" applyFont="1" applyBorder="1" applyAlignment="1">
      <alignment horizontal="center" vertical="center"/>
    </xf>
    <xf numFmtId="0" fontId="32" fillId="0" borderId="38" xfId="14" applyFont="1" applyBorder="1" applyAlignment="1">
      <alignment horizontal="left" vertical="center" wrapText="1"/>
    </xf>
    <xf numFmtId="0" fontId="32" fillId="0" borderId="38" xfId="14" applyFont="1" applyBorder="1" applyAlignment="1">
      <alignment horizontal="center" vertical="center" wrapText="1"/>
    </xf>
    <xf numFmtId="0" fontId="32" fillId="0" borderId="38" xfId="14" applyFont="1" applyBorder="1" applyAlignment="1">
      <alignment horizontal="center" vertical="center"/>
    </xf>
    <xf numFmtId="0" fontId="37" fillId="0" borderId="28" xfId="17" applyFont="1" applyBorder="1" applyAlignment="1">
      <alignment horizontal="left" vertical="center" wrapText="1"/>
    </xf>
    <xf numFmtId="0" fontId="32" fillId="0" borderId="28" xfId="14" applyFont="1" applyBorder="1" applyAlignment="1">
      <alignment horizontal="center" vertical="center" wrapText="1"/>
    </xf>
    <xf numFmtId="0" fontId="32" fillId="0" borderId="28" xfId="17" applyFont="1" applyBorder="1" applyAlignment="1">
      <alignment horizontal="center" vertical="center"/>
    </xf>
    <xf numFmtId="0" fontId="32" fillId="0" borderId="28" xfId="14" applyFont="1" applyBorder="1" applyAlignment="1">
      <alignment horizontal="center" vertical="center"/>
    </xf>
    <xf numFmtId="164" fontId="32" fillId="0" borderId="28" xfId="14" applyNumberFormat="1" applyFont="1" applyBorder="1" applyAlignment="1">
      <alignment horizontal="center" vertical="center"/>
    </xf>
    <xf numFmtId="164" fontId="32" fillId="0" borderId="28" xfId="17" applyNumberFormat="1" applyFont="1" applyBorder="1" applyAlignment="1">
      <alignment horizontal="center" vertical="center"/>
    </xf>
    <xf numFmtId="164" fontId="32" fillId="0" borderId="4" xfId="14" applyNumberFormat="1" applyFont="1" applyBorder="1" applyAlignment="1">
      <alignment horizontal="center" vertical="center"/>
    </xf>
    <xf numFmtId="0" fontId="32" fillId="0" borderId="3" xfId="17" applyFont="1" applyBorder="1" applyAlignment="1">
      <alignment vertical="center" wrapText="1"/>
    </xf>
    <xf numFmtId="0" fontId="32" fillId="0" borderId="3" xfId="14" applyFont="1" applyBorder="1" applyAlignment="1">
      <alignment horizontal="center" vertical="center" wrapText="1"/>
    </xf>
    <xf numFmtId="0" fontId="32" fillId="0" borderId="3" xfId="17" applyFont="1" applyBorder="1" applyAlignment="1">
      <alignment horizontal="center" vertical="center"/>
    </xf>
    <xf numFmtId="0" fontId="32" fillId="0" borderId="3" xfId="14" applyFont="1" applyBorder="1" applyAlignment="1">
      <alignment horizontal="center" vertical="center"/>
    </xf>
    <xf numFmtId="0" fontId="32" fillId="0" borderId="1" xfId="17" applyFont="1" applyBorder="1" applyAlignment="1">
      <alignment vertical="center" wrapText="1"/>
    </xf>
    <xf numFmtId="0" fontId="32" fillId="0" borderId="1" xfId="14" applyFont="1" applyBorder="1" applyAlignment="1">
      <alignment horizontal="center" vertical="center" wrapText="1"/>
    </xf>
    <xf numFmtId="0" fontId="32" fillId="0" borderId="1" xfId="14" applyFont="1" applyBorder="1" applyAlignment="1">
      <alignment horizontal="center" vertical="center"/>
    </xf>
    <xf numFmtId="0" fontId="32" fillId="0" borderId="5" xfId="17" applyFont="1" applyBorder="1" applyAlignment="1">
      <alignment horizontal="left" vertical="center" wrapText="1"/>
    </xf>
    <xf numFmtId="0" fontId="32" fillId="0" borderId="5" xfId="14" applyFont="1" applyBorder="1" applyAlignment="1">
      <alignment horizontal="center" vertical="center" wrapText="1"/>
    </xf>
    <xf numFmtId="0" fontId="32" fillId="0" borderId="5" xfId="17" applyFont="1" applyBorder="1" applyAlignment="1">
      <alignment horizontal="center" vertical="center"/>
    </xf>
    <xf numFmtId="0" fontId="32" fillId="0" borderId="5" xfId="14" applyFont="1" applyBorder="1" applyAlignment="1">
      <alignment horizontal="center" vertical="center"/>
    </xf>
    <xf numFmtId="0" fontId="37" fillId="0" borderId="35" xfId="17" applyFont="1" applyBorder="1" applyAlignment="1">
      <alignment horizontal="left" vertical="center"/>
    </xf>
    <xf numFmtId="0" fontId="33" fillId="0" borderId="35" xfId="17" applyFont="1" applyBorder="1" applyAlignment="1">
      <alignment horizontal="center" vertical="center" wrapText="1"/>
    </xf>
    <xf numFmtId="170" fontId="32" fillId="0" borderId="35" xfId="17" applyNumberFormat="1" applyFont="1" applyBorder="1" applyAlignment="1">
      <alignment horizontal="center" vertical="center"/>
    </xf>
    <xf numFmtId="170" fontId="32" fillId="0" borderId="35" xfId="14" applyNumberFormat="1" applyFont="1" applyBorder="1" applyAlignment="1">
      <alignment horizontal="center" vertical="center"/>
    </xf>
    <xf numFmtId="170" fontId="32" fillId="0" borderId="35" xfId="17" applyNumberFormat="1" applyFont="1" applyBorder="1" applyAlignment="1">
      <alignment vertical="center"/>
    </xf>
    <xf numFmtId="49" fontId="32" fillId="7" borderId="35" xfId="14" applyNumberFormat="1" applyFont="1" applyFill="1" applyBorder="1" applyAlignment="1">
      <alignment horizontal="center" vertical="center"/>
    </xf>
    <xf numFmtId="0" fontId="37" fillId="0" borderId="27" xfId="17" applyFont="1" applyBorder="1" applyAlignment="1">
      <alignment horizontal="left" vertical="center" wrapText="1"/>
    </xf>
    <xf numFmtId="0" fontId="33" fillId="0" borderId="28" xfId="17" applyFont="1" applyBorder="1" applyAlignment="1">
      <alignment horizontal="center" vertical="center" wrapText="1"/>
    </xf>
    <xf numFmtId="0" fontId="33" fillId="0" borderId="28" xfId="17" applyFont="1" applyBorder="1" applyAlignment="1">
      <alignment vertical="center"/>
    </xf>
    <xf numFmtId="164" fontId="33" fillId="0" borderId="28" xfId="17" applyNumberFormat="1" applyFont="1" applyBorder="1" applyAlignment="1">
      <alignment horizontal="center" vertical="center"/>
    </xf>
    <xf numFmtId="0" fontId="32" fillId="0" borderId="3" xfId="17" applyFont="1" applyBorder="1" applyAlignment="1">
      <alignment horizontal="center" vertical="center" wrapText="1"/>
    </xf>
    <xf numFmtId="0" fontId="32" fillId="0" borderId="1" xfId="17" applyFont="1" applyBorder="1" applyAlignment="1">
      <alignment horizontal="center" vertical="center" wrapText="1"/>
    </xf>
    <xf numFmtId="0" fontId="37" fillId="0" borderId="35" xfId="17" applyFont="1" applyBorder="1" applyAlignment="1">
      <alignment horizontal="left" vertical="center" wrapText="1"/>
    </xf>
    <xf numFmtId="0" fontId="32" fillId="0" borderId="40" xfId="11" applyFont="1" applyBorder="1" applyAlignment="1">
      <alignment vertical="center" wrapText="1"/>
    </xf>
    <xf numFmtId="0" fontId="32" fillId="0" borderId="40" xfId="11" applyFont="1" applyBorder="1" applyAlignment="1">
      <alignment horizontal="center" vertical="center" wrapText="1"/>
    </xf>
    <xf numFmtId="0" fontId="32" fillId="0" borderId="40" xfId="11" applyFont="1" applyBorder="1" applyAlignment="1">
      <alignment horizontal="center" vertical="center"/>
    </xf>
    <xf numFmtId="165" fontId="32" fillId="0" borderId="40" xfId="11" applyNumberFormat="1" applyFont="1" applyBorder="1" applyAlignment="1">
      <alignment horizontal="center" vertical="center"/>
    </xf>
    <xf numFmtId="43" fontId="32" fillId="0" borderId="40" xfId="11" applyNumberFormat="1" applyFont="1" applyBorder="1" applyAlignment="1">
      <alignment horizontal="center" vertical="center"/>
    </xf>
    <xf numFmtId="43" fontId="32" fillId="0" borderId="40" xfId="17" applyNumberFormat="1" applyFont="1" applyBorder="1" applyAlignment="1">
      <alignment horizontal="center" vertical="center"/>
    </xf>
    <xf numFmtId="43" fontId="32" fillId="0" borderId="40" xfId="14" applyNumberFormat="1" applyFont="1" applyBorder="1" applyAlignment="1">
      <alignment horizontal="center" vertical="center"/>
    </xf>
    <xf numFmtId="0" fontId="32" fillId="0" borderId="35" xfId="11" applyFont="1" applyBorder="1" applyAlignment="1">
      <alignment vertical="center" wrapText="1"/>
    </xf>
    <xf numFmtId="0" fontId="32" fillId="0" borderId="35" xfId="11" applyFont="1" applyBorder="1" applyAlignment="1">
      <alignment horizontal="center" vertical="center" wrapText="1"/>
    </xf>
    <xf numFmtId="0" fontId="32" fillId="0" borderId="35" xfId="11" applyFont="1" applyBorder="1" applyAlignment="1">
      <alignment horizontal="center" vertical="center"/>
    </xf>
    <xf numFmtId="165" fontId="32" fillId="0" borderId="35" xfId="11" applyNumberFormat="1" applyFont="1" applyBorder="1" applyAlignment="1">
      <alignment horizontal="center" vertical="center"/>
    </xf>
    <xf numFmtId="43" fontId="32" fillId="0" borderId="35" xfId="11" applyNumberFormat="1" applyFont="1" applyBorder="1" applyAlignment="1">
      <alignment horizontal="center" vertical="center"/>
    </xf>
    <xf numFmtId="0" fontId="32" fillId="0" borderId="35" xfId="11" applyFont="1" applyBorder="1" applyAlignment="1">
      <alignment horizontal="right" vertical="center" wrapText="1"/>
    </xf>
    <xf numFmtId="2" fontId="32" fillId="0" borderId="35" xfId="11" applyNumberFormat="1" applyFont="1" applyBorder="1" applyAlignment="1">
      <alignment horizontal="center" vertical="center"/>
    </xf>
    <xf numFmtId="0" fontId="32" fillId="0" borderId="35" xfId="11" applyFont="1" applyBorder="1" applyAlignment="1">
      <alignment horizontal="left" vertical="center" wrapText="1"/>
    </xf>
    <xf numFmtId="0" fontId="33" fillId="0" borderId="0" xfId="16" applyFont="1" applyAlignment="1">
      <alignment vertical="center"/>
    </xf>
    <xf numFmtId="0" fontId="7" fillId="0" borderId="27" xfId="11" applyFont="1" applyBorder="1" applyAlignment="1">
      <alignment horizontal="right" vertical="center"/>
    </xf>
    <xf numFmtId="0" fontId="7" fillId="0" borderId="1" xfId="11" applyFont="1" applyBorder="1" applyAlignment="1">
      <alignment vertical="center"/>
    </xf>
    <xf numFmtId="0" fontId="7" fillId="0" borderId="1" xfId="11" applyFont="1" applyBorder="1" applyAlignment="1">
      <alignment vertical="center" wrapText="1"/>
    </xf>
    <xf numFmtId="0" fontId="7" fillId="0" borderId="35" xfId="21" applyFont="1" applyBorder="1" applyAlignment="1">
      <alignment horizontal="left" vertical="center" wrapText="1"/>
    </xf>
    <xf numFmtId="0" fontId="7" fillId="0" borderId="0" xfId="21" applyFont="1" applyAlignment="1">
      <alignment horizontal="right" vertical="center"/>
    </xf>
    <xf numFmtId="0" fontId="7" fillId="0" borderId="0" xfId="21" applyFont="1" applyAlignment="1">
      <alignment horizontal="right" vertical="center" wrapText="1"/>
    </xf>
    <xf numFmtId="0" fontId="38" fillId="0" borderId="0" xfId="0" applyFont="1"/>
    <xf numFmtId="0" fontId="7" fillId="0" borderId="0" xfId="21" applyFont="1" applyAlignment="1">
      <alignment horizontal="left" vertical="center"/>
    </xf>
    <xf numFmtId="0" fontId="7" fillId="0" borderId="0" xfId="21" applyFont="1" applyAlignment="1">
      <alignment horizontal="left" vertical="center" wrapText="1"/>
    </xf>
    <xf numFmtId="0" fontId="38" fillId="0" borderId="0" xfId="0" applyFont="1" applyAlignment="1">
      <alignment horizontal="left"/>
    </xf>
    <xf numFmtId="2" fontId="7" fillId="0" borderId="35" xfId="2" applyNumberFormat="1" applyFont="1" applyBorder="1" applyAlignment="1">
      <alignment horizontal="center" vertical="center"/>
    </xf>
    <xf numFmtId="0" fontId="8" fillId="0" borderId="35" xfId="2" applyFont="1" applyBorder="1" applyAlignment="1">
      <alignment horizontal="right" vertical="center"/>
    </xf>
    <xf numFmtId="2" fontId="8" fillId="0" borderId="35" xfId="2" applyNumberFormat="1" applyFont="1" applyBorder="1" applyAlignment="1">
      <alignment horizontal="center" vertical="center"/>
    </xf>
    <xf numFmtId="0" fontId="7" fillId="0" borderId="35" xfId="0" applyFont="1" applyBorder="1" applyAlignment="1">
      <alignment vertical="top"/>
    </xf>
    <xf numFmtId="0" fontId="7" fillId="0" borderId="35" xfId="0" applyFont="1" applyBorder="1" applyAlignment="1">
      <alignment vertical="center"/>
    </xf>
    <xf numFmtId="9" fontId="7" fillId="0" borderId="35" xfId="2" applyNumberFormat="1" applyFont="1" applyBorder="1" applyAlignment="1">
      <alignment horizontal="right" vertical="center"/>
    </xf>
    <xf numFmtId="9" fontId="7" fillId="0" borderId="35" xfId="0" applyNumberFormat="1" applyFont="1" applyBorder="1" applyAlignment="1">
      <alignment horizontal="right" vertical="top"/>
    </xf>
    <xf numFmtId="0" fontId="7" fillId="0" borderId="35" xfId="0" applyFont="1" applyBorder="1" applyAlignment="1">
      <alignment horizontal="right" vertical="center"/>
    </xf>
    <xf numFmtId="0" fontId="7" fillId="0" borderId="0" xfId="21" applyFont="1"/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2" fontId="7" fillId="0" borderId="5" xfId="2" applyNumberFormat="1" applyFont="1" applyBorder="1" applyAlignment="1">
      <alignment horizontal="center" vertical="center" wrapText="1"/>
    </xf>
    <xf numFmtId="164" fontId="7" fillId="0" borderId="5" xfId="5" applyFont="1" applyBorder="1" applyAlignment="1">
      <alignment horizontal="center" vertical="center" wrapText="1"/>
    </xf>
    <xf numFmtId="2" fontId="7" fillId="0" borderId="35" xfId="2" applyNumberFormat="1" applyFont="1" applyBorder="1" applyAlignment="1">
      <alignment horizontal="center" vertical="center" wrapText="1"/>
    </xf>
    <xf numFmtId="164" fontId="7" fillId="0" borderId="35" xfId="5" applyFont="1" applyBorder="1" applyAlignment="1">
      <alignment horizontal="center" vertical="center" wrapText="1"/>
    </xf>
    <xf numFmtId="0" fontId="43" fillId="0" borderId="35" xfId="19" applyFont="1" applyFill="1" applyBorder="1" applyAlignment="1">
      <alignment vertical="center" wrapText="1"/>
    </xf>
    <xf numFmtId="0" fontId="43" fillId="0" borderId="35" xfId="19" applyFont="1" applyFill="1" applyBorder="1" applyAlignment="1">
      <alignment horizontal="center" vertical="center" wrapText="1"/>
    </xf>
    <xf numFmtId="1" fontId="43" fillId="0" borderId="35" xfId="19" applyNumberFormat="1" applyFont="1" applyFill="1" applyBorder="1" applyAlignment="1">
      <alignment horizontal="center" vertical="center" wrapText="1"/>
    </xf>
    <xf numFmtId="0" fontId="43" fillId="0" borderId="35" xfId="2" applyFont="1" applyBorder="1" applyAlignment="1">
      <alignment horizontal="left" vertical="center" wrapText="1"/>
    </xf>
    <xf numFmtId="0" fontId="43" fillId="0" borderId="35" xfId="13" applyFont="1" applyFill="1" applyBorder="1" applyAlignment="1">
      <alignment horizontal="center" vertical="center" wrapText="1"/>
    </xf>
    <xf numFmtId="2" fontId="43" fillId="0" borderId="35" xfId="2" applyNumberFormat="1" applyFont="1" applyBorder="1" applyAlignment="1">
      <alignment horizontal="center" vertical="center" wrapText="1"/>
    </xf>
    <xf numFmtId="0" fontId="43" fillId="0" borderId="35" xfId="13" applyFont="1" applyFill="1" applyBorder="1" applyAlignment="1">
      <alignment vertical="center" wrapText="1"/>
    </xf>
    <xf numFmtId="0" fontId="43" fillId="0" borderId="35" xfId="0" applyFont="1" applyBorder="1" applyAlignment="1">
      <alignment vertical="center"/>
    </xf>
    <xf numFmtId="165" fontId="43" fillId="0" borderId="35" xfId="13" applyNumberFormat="1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vertical="center" wrapText="1"/>
    </xf>
    <xf numFmtId="0" fontId="43" fillId="0" borderId="35" xfId="0" applyFont="1" applyFill="1" applyBorder="1" applyAlignment="1">
      <alignment horizontal="center" vertical="center" wrapText="1"/>
    </xf>
    <xf numFmtId="165" fontId="43" fillId="0" borderId="35" xfId="0" applyNumberFormat="1" applyFont="1" applyFill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165" fontId="43" fillId="0" borderId="35" xfId="0" applyNumberFormat="1" applyFont="1" applyBorder="1" applyAlignment="1">
      <alignment horizontal="center" vertical="center" wrapText="1"/>
    </xf>
    <xf numFmtId="0" fontId="44" fillId="0" borderId="35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35" xfId="17" applyFont="1" applyBorder="1" applyAlignment="1">
      <alignment horizontal="left" vertical="center" wrapText="1"/>
    </xf>
    <xf numFmtId="0" fontId="44" fillId="0" borderId="3" xfId="17" applyFont="1" applyBorder="1" applyAlignment="1">
      <alignment vertical="center" wrapText="1"/>
    </xf>
    <xf numFmtId="0" fontId="44" fillId="0" borderId="1" xfId="17" applyFont="1" applyBorder="1" applyAlignment="1">
      <alignment vertical="center" wrapText="1"/>
    </xf>
    <xf numFmtId="0" fontId="44" fillId="0" borderId="5" xfId="17" applyFont="1" applyBorder="1" applyAlignment="1">
      <alignment horizontal="left" vertical="center" wrapText="1"/>
    </xf>
    <xf numFmtId="0" fontId="44" fillId="0" borderId="35" xfId="17" applyFont="1" applyBorder="1" applyAlignment="1">
      <alignment vertical="center"/>
    </xf>
    <xf numFmtId="0" fontId="8" fillId="0" borderId="0" xfId="11" applyFont="1" applyAlignment="1">
      <alignment horizontal="center" vertical="center"/>
    </xf>
    <xf numFmtId="0" fontId="8" fillId="0" borderId="1" xfId="16" applyFont="1" applyBorder="1" applyAlignment="1">
      <alignment horizontal="center" vertical="center" wrapText="1"/>
    </xf>
    <xf numFmtId="0" fontId="7" fillId="0" borderId="35" xfId="2" applyFont="1" applyBorder="1" applyAlignment="1">
      <alignment horizontal="right" vertical="center"/>
    </xf>
    <xf numFmtId="0" fontId="14" fillId="0" borderId="35" xfId="2" applyFont="1" applyBorder="1" applyAlignment="1">
      <alignment horizontal="right" vertical="center"/>
    </xf>
    <xf numFmtId="0" fontId="8" fillId="0" borderId="35" xfId="2" applyFont="1" applyBorder="1" applyAlignment="1">
      <alignment horizontal="right" vertical="center"/>
    </xf>
    <xf numFmtId="0" fontId="7" fillId="0" borderId="35" xfId="16" applyFont="1" applyBorder="1" applyAlignment="1">
      <alignment horizontal="right" vertical="center"/>
    </xf>
    <xf numFmtId="0" fontId="7" fillId="0" borderId="35" xfId="11" applyFont="1" applyBorder="1" applyAlignment="1">
      <alignment horizontal="right" vertical="center"/>
    </xf>
    <xf numFmtId="0" fontId="8" fillId="0" borderId="0" xfId="23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11" applyFont="1" applyBorder="1" applyAlignment="1">
      <alignment horizontal="center" vertical="center" wrapText="1"/>
    </xf>
    <xf numFmtId="0" fontId="32" fillId="0" borderId="1" xfId="17" applyFont="1" applyBorder="1" applyAlignment="1">
      <alignment horizontal="center" vertical="center"/>
    </xf>
    <xf numFmtId="0" fontId="32" fillId="0" borderId="1" xfId="23" applyFont="1" applyBorder="1" applyAlignment="1">
      <alignment horizontal="center" vertical="center" textRotation="90" wrapText="1"/>
    </xf>
    <xf numFmtId="0" fontId="32" fillId="0" borderId="1" xfId="23" applyFont="1" applyBorder="1" applyAlignment="1">
      <alignment vertical="center" wrapText="1"/>
    </xf>
    <xf numFmtId="0" fontId="32" fillId="0" borderId="1" xfId="23" applyFont="1" applyBorder="1" applyAlignment="1">
      <alignment horizontal="center" vertical="center" textRotation="90"/>
    </xf>
    <xf numFmtId="0" fontId="7" fillId="0" borderId="1" xfId="17" applyFont="1" applyBorder="1" applyAlignment="1">
      <alignment horizontal="center" vertical="center"/>
    </xf>
    <xf numFmtId="0" fontId="14" fillId="0" borderId="1" xfId="23" applyFont="1" applyBorder="1" applyAlignment="1">
      <alignment horizontal="center" vertical="center" wrapText="1"/>
    </xf>
    <xf numFmtId="0" fontId="8" fillId="0" borderId="0" xfId="23" applyFont="1" applyAlignment="1">
      <alignment horizontal="right" vertical="center"/>
    </xf>
    <xf numFmtId="0" fontId="7" fillId="0" borderId="1" xfId="23" applyFont="1" applyBorder="1" applyAlignment="1">
      <alignment horizontal="center" vertical="center" textRotation="90" wrapText="1"/>
    </xf>
    <xf numFmtId="0" fontId="7" fillId="0" borderId="1" xfId="23" applyFont="1" applyBorder="1" applyAlignment="1">
      <alignment horizontal="center" vertical="center" wrapText="1"/>
    </xf>
    <xf numFmtId="0" fontId="7" fillId="0" borderId="1" xfId="23" applyFont="1" applyBorder="1" applyAlignment="1">
      <alignment horizontal="center" vertical="center" textRotation="90"/>
    </xf>
    <xf numFmtId="0" fontId="18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7" fillId="0" borderId="1" xfId="23" applyFont="1" applyBorder="1" applyAlignment="1">
      <alignment horizontal="left" vertical="center" wrapText="1"/>
    </xf>
    <xf numFmtId="0" fontId="32" fillId="0" borderId="4" xfId="17" applyFont="1" applyBorder="1" applyAlignment="1">
      <alignment horizontal="center" vertical="center"/>
    </xf>
    <xf numFmtId="0" fontId="33" fillId="0" borderId="0" xfId="23" applyFont="1" applyAlignment="1">
      <alignment horizontal="right" vertical="center"/>
    </xf>
    <xf numFmtId="0" fontId="32" fillId="0" borderId="1" xfId="23" applyFont="1" applyBorder="1" applyAlignment="1">
      <alignment horizontal="left" vertical="center" wrapText="1"/>
    </xf>
    <xf numFmtId="2" fontId="8" fillId="0" borderId="0" xfId="23" applyNumberFormat="1" applyFont="1" applyAlignment="1">
      <alignment horizontal="right" vertical="center"/>
    </xf>
    <xf numFmtId="0" fontId="7" fillId="0" borderId="27" xfId="17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11" fillId="0" borderId="0" xfId="23" applyFont="1" applyAlignment="1">
      <alignment horizontal="right" vertical="center"/>
    </xf>
    <xf numFmtId="0" fontId="7" fillId="0" borderId="27" xfId="23" applyFont="1" applyBorder="1" applyAlignment="1">
      <alignment horizontal="center" vertical="center" wrapText="1"/>
    </xf>
    <xf numFmtId="0" fontId="32" fillId="0" borderId="38" xfId="17" applyFont="1" applyBorder="1" applyAlignment="1">
      <alignment horizontal="left" vertical="center" wrapText="1"/>
    </xf>
    <xf numFmtId="0" fontId="32" fillId="0" borderId="45" xfId="17" applyFont="1" applyBorder="1" applyAlignment="1">
      <alignment horizontal="left" vertical="center" wrapText="1"/>
    </xf>
    <xf numFmtId="0" fontId="32" fillId="0" borderId="40" xfId="17" applyFont="1" applyBorder="1" applyAlignment="1">
      <alignment horizontal="left" vertical="center" wrapText="1"/>
    </xf>
    <xf numFmtId="0" fontId="32" fillId="0" borderId="38" xfId="17" applyFont="1" applyBorder="1" applyAlignment="1">
      <alignment horizontal="left" vertical="center"/>
    </xf>
    <xf numFmtId="0" fontId="32" fillId="0" borderId="40" xfId="17" applyFont="1" applyBorder="1" applyAlignment="1">
      <alignment horizontal="left" vertical="center"/>
    </xf>
    <xf numFmtId="0" fontId="32" fillId="0" borderId="35" xfId="17" applyFont="1" applyBorder="1" applyAlignment="1">
      <alignment horizontal="center" vertical="center"/>
    </xf>
    <xf numFmtId="0" fontId="36" fillId="0" borderId="49" xfId="17" applyFont="1" applyBorder="1" applyAlignment="1">
      <alignment horizontal="center" vertical="center"/>
    </xf>
    <xf numFmtId="0" fontId="36" fillId="0" borderId="46" xfId="17" applyFont="1" applyBorder="1" applyAlignment="1">
      <alignment horizontal="center" vertical="center"/>
    </xf>
    <xf numFmtId="0" fontId="32" fillId="0" borderId="35" xfId="17" applyFont="1" applyBorder="1" applyAlignment="1">
      <alignment horizontal="left" vertical="center" wrapText="1"/>
    </xf>
    <xf numFmtId="0" fontId="44" fillId="0" borderId="35" xfId="17" applyFont="1" applyBorder="1" applyAlignment="1">
      <alignment horizontal="left" vertical="center" wrapText="1"/>
    </xf>
    <xf numFmtId="0" fontId="32" fillId="0" borderId="35" xfId="23" applyFont="1" applyBorder="1" applyAlignment="1">
      <alignment horizontal="center" vertical="center" textRotation="90" wrapText="1"/>
    </xf>
    <xf numFmtId="0" fontId="32" fillId="0" borderId="38" xfId="17" applyFont="1" applyBorder="1" applyAlignment="1">
      <alignment horizontal="center" vertical="center" textRotation="90" wrapText="1"/>
    </xf>
    <xf numFmtId="0" fontId="32" fillId="0" borderId="40" xfId="17" applyFont="1" applyBorder="1" applyAlignment="1">
      <alignment horizontal="center" vertical="center" textRotation="90" wrapText="1"/>
    </xf>
    <xf numFmtId="0" fontId="32" fillId="0" borderId="35" xfId="17" applyFont="1" applyBorder="1" applyAlignment="1">
      <alignment horizontal="center" vertical="center" textRotation="90"/>
    </xf>
    <xf numFmtId="0" fontId="32" fillId="0" borderId="35" xfId="17" applyFont="1" applyBorder="1" applyAlignment="1">
      <alignment horizontal="center" vertical="center" textRotation="90" wrapText="1"/>
    </xf>
    <xf numFmtId="0" fontId="7" fillId="0" borderId="0" xfId="24" applyFont="1" applyAlignment="1">
      <alignment horizontal="right" vertical="center"/>
    </xf>
    <xf numFmtId="0" fontId="7" fillId="0" borderId="0" xfId="4" applyFont="1" applyFill="1" applyAlignment="1" applyProtection="1">
      <alignment horizontal="right" vertical="center"/>
      <protection locked="0"/>
    </xf>
    <xf numFmtId="0" fontId="7" fillId="0" borderId="1" xfId="24" applyFont="1" applyBorder="1" applyAlignment="1">
      <alignment horizontal="left" vertical="center" textRotation="90" wrapText="1"/>
    </xf>
    <xf numFmtId="0" fontId="7" fillId="0" borderId="1" xfId="24" applyFont="1" applyBorder="1" applyAlignment="1">
      <alignment horizontal="center" vertical="center" textRotation="90" wrapText="1"/>
    </xf>
    <xf numFmtId="0" fontId="7" fillId="0" borderId="1" xfId="24" applyFont="1" applyBorder="1" applyAlignment="1">
      <alignment horizontal="center" vertical="center" wrapText="1"/>
    </xf>
    <xf numFmtId="0" fontId="7" fillId="0" borderId="1" xfId="24" applyFont="1" applyBorder="1" applyAlignment="1">
      <alignment horizontal="center" vertical="center" textRotation="90"/>
    </xf>
    <xf numFmtId="0" fontId="45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45" fillId="0" borderId="0" xfId="0" applyFont="1" applyAlignment="1">
      <alignment horizontal="left" wrapText="1"/>
    </xf>
  </cellXfs>
  <cellStyles count="28">
    <cellStyle name="Comma 2" xfId="1" xr:uid="{00000000-0005-0000-0000-000000000000}"/>
    <cellStyle name="Excel_BuiltIn_Explanatory Text" xfId="2" xr:uid="{00000000-0005-0000-0000-000001000000}"/>
    <cellStyle name="Excel_BuiltIn_Good" xfId="3" xr:uid="{00000000-0005-0000-0000-000002000000}"/>
    <cellStyle name="Good 2" xfId="4" xr:uid="{00000000-0005-0000-0000-000003000000}"/>
    <cellStyle name="Komats" xfId="5" builtinId="3"/>
    <cellStyle name="Labs" xfId="6" builtinId="26"/>
    <cellStyle name="Normal 12" xfId="7" xr:uid="{00000000-0005-0000-0000-000006000000}"/>
    <cellStyle name="Normal 2" xfId="8" xr:uid="{00000000-0005-0000-0000-000007000000}"/>
    <cellStyle name="Normal 2 2" xfId="9" xr:uid="{00000000-0005-0000-0000-000008000000}"/>
    <cellStyle name="Normal 2_Tame AVK Uliha 56 07.05.2010." xfId="10" xr:uid="{00000000-0005-0000-0000-000009000000}"/>
    <cellStyle name="Normal 3" xfId="11" xr:uid="{00000000-0005-0000-0000-00000A000000}"/>
    <cellStyle name="Normal 5" xfId="12" xr:uid="{00000000-0005-0000-0000-00000B000000}"/>
    <cellStyle name="Normal_DA" xfId="13" xr:uid="{00000000-0005-0000-0000-00000C000000}"/>
    <cellStyle name="Normal_Liepaja Peldu 5 UK tames" xfId="14" xr:uid="{00000000-0005-0000-0000-00000D000000}"/>
    <cellStyle name="Normal_Rucava rotalu laukums - tabulas" xfId="15" xr:uid="{00000000-0005-0000-0000-00000E000000}"/>
    <cellStyle name="Normal_Sheet1 2" xfId="16" xr:uid="{00000000-0005-0000-0000-00000F000000}"/>
    <cellStyle name="Normal_Siguldas 27 - tabulas" xfId="17" xr:uid="{00000000-0005-0000-0000-000010000000}"/>
    <cellStyle name="Normal_Tame AVK Uliha 56 07.05.2010." xfId="18" xr:uid="{00000000-0005-0000-0000-000011000000}"/>
    <cellStyle name="Parasts" xfId="0" builtinId="0"/>
    <cellStyle name="Parasts 3" xfId="19" xr:uid="{00000000-0005-0000-0000-000013000000}"/>
    <cellStyle name="Parasts 3 2" xfId="20" xr:uid="{00000000-0005-0000-0000-000014000000}"/>
    <cellStyle name="Paskaidrojošs teksts" xfId="21" builtinId="53"/>
    <cellStyle name="Procenti" xfId="22" builtinId="5"/>
    <cellStyle name="Style 1" xfId="23" xr:uid="{00000000-0005-0000-0000-000017000000}"/>
    <cellStyle name="Style 1 2" xfId="24" xr:uid="{00000000-0005-0000-0000-000018000000}"/>
    <cellStyle name="Style 1 4" xfId="25" xr:uid="{00000000-0005-0000-0000-000019000000}"/>
    <cellStyle name="Стиль 1" xfId="26" xr:uid="{00000000-0005-0000-0000-00001A000000}"/>
    <cellStyle name="Стиль 1 2" xfId="27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37</xdr:row>
      <xdr:rowOff>0</xdr:rowOff>
    </xdr:from>
    <xdr:to>
      <xdr:col>4</xdr:col>
      <xdr:colOff>76200</xdr:colOff>
      <xdr:row>38</xdr:row>
      <xdr:rowOff>9525</xdr:rowOff>
    </xdr:to>
    <xdr:sp macro="" textlink="">
      <xdr:nvSpPr>
        <xdr:cNvPr id="237667" name="Text Box 71">
          <a:extLst>
            <a:ext uri="{FF2B5EF4-FFF2-40B4-BE49-F238E27FC236}">
              <a16:creationId xmlns:a16="http://schemas.microsoft.com/office/drawing/2014/main" id="{2EC4A5D9-C270-4B20-A700-4E6D43295A55}"/>
            </a:ext>
          </a:extLst>
        </xdr:cNvPr>
        <xdr:cNvSpPr txBox="1">
          <a:spLocks noChangeArrowheads="1"/>
        </xdr:cNvSpPr>
      </xdr:nvSpPr>
      <xdr:spPr bwMode="auto">
        <a:xfrm>
          <a:off x="6438900" y="7924800"/>
          <a:ext cx="666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76200</xdr:colOff>
      <xdr:row>38</xdr:row>
      <xdr:rowOff>9525</xdr:rowOff>
    </xdr:to>
    <xdr:sp macro="" textlink="">
      <xdr:nvSpPr>
        <xdr:cNvPr id="237747" name="Text Box 175">
          <a:extLst>
            <a:ext uri="{FF2B5EF4-FFF2-40B4-BE49-F238E27FC236}">
              <a16:creationId xmlns:a16="http://schemas.microsoft.com/office/drawing/2014/main" id="{81D0C1FB-B8DF-4FCD-9029-7D59A82D1166}"/>
            </a:ext>
          </a:extLst>
        </xdr:cNvPr>
        <xdr:cNvSpPr txBox="1">
          <a:spLocks noChangeArrowheads="1"/>
        </xdr:cNvSpPr>
      </xdr:nvSpPr>
      <xdr:spPr bwMode="auto">
        <a:xfrm>
          <a:off x="6438900" y="7924800"/>
          <a:ext cx="666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76200</xdr:colOff>
      <xdr:row>38</xdr:row>
      <xdr:rowOff>19050</xdr:rowOff>
    </xdr:to>
    <xdr:sp macro="" textlink="">
      <xdr:nvSpPr>
        <xdr:cNvPr id="237829" name="Text Box 71">
          <a:extLst>
            <a:ext uri="{FF2B5EF4-FFF2-40B4-BE49-F238E27FC236}">
              <a16:creationId xmlns:a16="http://schemas.microsoft.com/office/drawing/2014/main" id="{86B662B7-8F94-4C85-A1FE-1DFBC1116B86}"/>
            </a:ext>
          </a:extLst>
        </xdr:cNvPr>
        <xdr:cNvSpPr txBox="1">
          <a:spLocks noChangeArrowheads="1"/>
        </xdr:cNvSpPr>
      </xdr:nvSpPr>
      <xdr:spPr bwMode="auto">
        <a:xfrm>
          <a:off x="6438900" y="792480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76200</xdr:colOff>
      <xdr:row>38</xdr:row>
      <xdr:rowOff>19050</xdr:rowOff>
    </xdr:to>
    <xdr:sp macro="" textlink="">
      <xdr:nvSpPr>
        <xdr:cNvPr id="237830" name="Text Box 175">
          <a:extLst>
            <a:ext uri="{FF2B5EF4-FFF2-40B4-BE49-F238E27FC236}">
              <a16:creationId xmlns:a16="http://schemas.microsoft.com/office/drawing/2014/main" id="{AFFE4DA7-2645-46F0-94E3-AAD0F8A9A632}"/>
            </a:ext>
          </a:extLst>
        </xdr:cNvPr>
        <xdr:cNvSpPr txBox="1">
          <a:spLocks noChangeArrowheads="1"/>
        </xdr:cNvSpPr>
      </xdr:nvSpPr>
      <xdr:spPr bwMode="auto">
        <a:xfrm>
          <a:off x="6438900" y="792480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29</xdr:row>
      <xdr:rowOff>57150</xdr:rowOff>
    </xdr:from>
    <xdr:to>
      <xdr:col>4</xdr:col>
      <xdr:colOff>28575</xdr:colOff>
      <xdr:row>30</xdr:row>
      <xdr:rowOff>57150</xdr:rowOff>
    </xdr:to>
    <xdr:sp macro="" textlink="">
      <xdr:nvSpPr>
        <xdr:cNvPr id="237831" name="Text Box 188">
          <a:extLst>
            <a:ext uri="{FF2B5EF4-FFF2-40B4-BE49-F238E27FC236}">
              <a16:creationId xmlns:a16="http://schemas.microsoft.com/office/drawing/2014/main" id="{4987D6A6-3CF4-47C4-AB36-30DBB030AE4B}"/>
            </a:ext>
          </a:extLst>
        </xdr:cNvPr>
        <xdr:cNvSpPr>
          <a:spLocks noChangeArrowheads="1"/>
        </xdr:cNvSpPr>
      </xdr:nvSpPr>
      <xdr:spPr bwMode="auto">
        <a:xfrm>
          <a:off x="5067300" y="5876925"/>
          <a:ext cx="13906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54</xdr:row>
      <xdr:rowOff>9525</xdr:rowOff>
    </xdr:from>
    <xdr:to>
      <xdr:col>4</xdr:col>
      <xdr:colOff>28575</xdr:colOff>
      <xdr:row>54</xdr:row>
      <xdr:rowOff>38100</xdr:rowOff>
    </xdr:to>
    <xdr:sp macro="" textlink="">
      <xdr:nvSpPr>
        <xdr:cNvPr id="237832" name="Text Box 193">
          <a:extLst>
            <a:ext uri="{FF2B5EF4-FFF2-40B4-BE49-F238E27FC236}">
              <a16:creationId xmlns:a16="http://schemas.microsoft.com/office/drawing/2014/main" id="{11E8CE39-39DA-42E9-AAEE-B85C49041D99}"/>
            </a:ext>
          </a:extLst>
        </xdr:cNvPr>
        <xdr:cNvSpPr>
          <a:spLocks noChangeArrowheads="1"/>
        </xdr:cNvSpPr>
      </xdr:nvSpPr>
      <xdr:spPr bwMode="auto">
        <a:xfrm>
          <a:off x="5067300" y="11772900"/>
          <a:ext cx="1390650" cy="28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54</xdr:row>
      <xdr:rowOff>9525</xdr:rowOff>
    </xdr:from>
    <xdr:to>
      <xdr:col>4</xdr:col>
      <xdr:colOff>28575</xdr:colOff>
      <xdr:row>54</xdr:row>
      <xdr:rowOff>38100</xdr:rowOff>
    </xdr:to>
    <xdr:sp macro="" textlink="">
      <xdr:nvSpPr>
        <xdr:cNvPr id="237833" name="Text Box 194">
          <a:extLst>
            <a:ext uri="{FF2B5EF4-FFF2-40B4-BE49-F238E27FC236}">
              <a16:creationId xmlns:a16="http://schemas.microsoft.com/office/drawing/2014/main" id="{82433AFD-4CCF-4780-AC74-F7C76D804FB5}"/>
            </a:ext>
          </a:extLst>
        </xdr:cNvPr>
        <xdr:cNvSpPr>
          <a:spLocks noChangeArrowheads="1"/>
        </xdr:cNvSpPr>
      </xdr:nvSpPr>
      <xdr:spPr bwMode="auto">
        <a:xfrm>
          <a:off x="5067300" y="11772900"/>
          <a:ext cx="1390650" cy="28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54</xdr:row>
      <xdr:rowOff>9525</xdr:rowOff>
    </xdr:from>
    <xdr:to>
      <xdr:col>4</xdr:col>
      <xdr:colOff>28575</xdr:colOff>
      <xdr:row>54</xdr:row>
      <xdr:rowOff>38100</xdr:rowOff>
    </xdr:to>
    <xdr:sp macro="" textlink="">
      <xdr:nvSpPr>
        <xdr:cNvPr id="237834" name="Text Box 195">
          <a:extLst>
            <a:ext uri="{FF2B5EF4-FFF2-40B4-BE49-F238E27FC236}">
              <a16:creationId xmlns:a16="http://schemas.microsoft.com/office/drawing/2014/main" id="{C714371A-6F91-48CB-AB23-10D129A9DEF6}"/>
            </a:ext>
          </a:extLst>
        </xdr:cNvPr>
        <xdr:cNvSpPr>
          <a:spLocks noChangeArrowheads="1"/>
        </xdr:cNvSpPr>
      </xdr:nvSpPr>
      <xdr:spPr bwMode="auto">
        <a:xfrm>
          <a:off x="5067300" y="11772900"/>
          <a:ext cx="1390650" cy="28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35" name="Text Box 1">
          <a:extLst>
            <a:ext uri="{FF2B5EF4-FFF2-40B4-BE49-F238E27FC236}">
              <a16:creationId xmlns:a16="http://schemas.microsoft.com/office/drawing/2014/main" id="{92C74578-BCFA-4140-9C22-293B244DC5C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36" name="Text Box 23">
          <a:extLst>
            <a:ext uri="{FF2B5EF4-FFF2-40B4-BE49-F238E27FC236}">
              <a16:creationId xmlns:a16="http://schemas.microsoft.com/office/drawing/2014/main" id="{51279AE4-9FC5-4CB5-B8CF-5DD9649DB01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37" name="Text Box 24">
          <a:extLst>
            <a:ext uri="{FF2B5EF4-FFF2-40B4-BE49-F238E27FC236}">
              <a16:creationId xmlns:a16="http://schemas.microsoft.com/office/drawing/2014/main" id="{4BB7A374-1B75-4A17-AA95-37D2673BFAC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38" name="Text Box 25">
          <a:extLst>
            <a:ext uri="{FF2B5EF4-FFF2-40B4-BE49-F238E27FC236}">
              <a16:creationId xmlns:a16="http://schemas.microsoft.com/office/drawing/2014/main" id="{5A0E8694-BE7A-4AE6-B5F2-C7614B295E2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39" name="Text Box 26">
          <a:extLst>
            <a:ext uri="{FF2B5EF4-FFF2-40B4-BE49-F238E27FC236}">
              <a16:creationId xmlns:a16="http://schemas.microsoft.com/office/drawing/2014/main" id="{B382DE0F-26AD-4ED8-A887-AE4C4B2F70F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0" name="Text Box 27">
          <a:extLst>
            <a:ext uri="{FF2B5EF4-FFF2-40B4-BE49-F238E27FC236}">
              <a16:creationId xmlns:a16="http://schemas.microsoft.com/office/drawing/2014/main" id="{03DC82C2-8E0F-44A9-86AF-4F822AE5EC8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1" name="Text Box 28">
          <a:extLst>
            <a:ext uri="{FF2B5EF4-FFF2-40B4-BE49-F238E27FC236}">
              <a16:creationId xmlns:a16="http://schemas.microsoft.com/office/drawing/2014/main" id="{B8DD1A10-1F48-4904-848E-16E7669D5D3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2" name="Text Box 29">
          <a:extLst>
            <a:ext uri="{FF2B5EF4-FFF2-40B4-BE49-F238E27FC236}">
              <a16:creationId xmlns:a16="http://schemas.microsoft.com/office/drawing/2014/main" id="{9371F5A7-24A4-418C-A0B7-73132B0710F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3" name="Text Box 30">
          <a:extLst>
            <a:ext uri="{FF2B5EF4-FFF2-40B4-BE49-F238E27FC236}">
              <a16:creationId xmlns:a16="http://schemas.microsoft.com/office/drawing/2014/main" id="{D4BD624C-AD0A-4279-B1CF-91CC4F5A7A9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4" name="Text Box 31">
          <a:extLst>
            <a:ext uri="{FF2B5EF4-FFF2-40B4-BE49-F238E27FC236}">
              <a16:creationId xmlns:a16="http://schemas.microsoft.com/office/drawing/2014/main" id="{869AC54F-6993-490B-9C42-85D728CED8C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5" name="Text Box 32">
          <a:extLst>
            <a:ext uri="{FF2B5EF4-FFF2-40B4-BE49-F238E27FC236}">
              <a16:creationId xmlns:a16="http://schemas.microsoft.com/office/drawing/2014/main" id="{DA3F8F32-ED35-4ECD-8AFA-E1D3B9512E3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6" name="Text Box 33">
          <a:extLst>
            <a:ext uri="{FF2B5EF4-FFF2-40B4-BE49-F238E27FC236}">
              <a16:creationId xmlns:a16="http://schemas.microsoft.com/office/drawing/2014/main" id="{96A20010-054C-4951-BF91-CF8912D2589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7" name="Text Box 34">
          <a:extLst>
            <a:ext uri="{FF2B5EF4-FFF2-40B4-BE49-F238E27FC236}">
              <a16:creationId xmlns:a16="http://schemas.microsoft.com/office/drawing/2014/main" id="{77EA4B79-8680-48A8-9B22-941E211E731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8" name="Text Box 35">
          <a:extLst>
            <a:ext uri="{FF2B5EF4-FFF2-40B4-BE49-F238E27FC236}">
              <a16:creationId xmlns:a16="http://schemas.microsoft.com/office/drawing/2014/main" id="{DC45543F-3DF1-466B-8386-34AB86C7B31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49" name="Text Box 36">
          <a:extLst>
            <a:ext uri="{FF2B5EF4-FFF2-40B4-BE49-F238E27FC236}">
              <a16:creationId xmlns:a16="http://schemas.microsoft.com/office/drawing/2014/main" id="{6181A808-5AEA-4EAE-8ED8-CB842A98F6E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0" name="Text Box 37">
          <a:extLst>
            <a:ext uri="{FF2B5EF4-FFF2-40B4-BE49-F238E27FC236}">
              <a16:creationId xmlns:a16="http://schemas.microsoft.com/office/drawing/2014/main" id="{D48E5AF1-FD1B-4527-BB74-AB064D914BD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1" name="Text Box 38">
          <a:extLst>
            <a:ext uri="{FF2B5EF4-FFF2-40B4-BE49-F238E27FC236}">
              <a16:creationId xmlns:a16="http://schemas.microsoft.com/office/drawing/2014/main" id="{23F747FB-16B9-4395-87BF-6BC0A99472B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2" name="Text Box 39">
          <a:extLst>
            <a:ext uri="{FF2B5EF4-FFF2-40B4-BE49-F238E27FC236}">
              <a16:creationId xmlns:a16="http://schemas.microsoft.com/office/drawing/2014/main" id="{0B6B7643-A760-4A43-8B25-132482C6FD6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3" name="Text Box 40">
          <a:extLst>
            <a:ext uri="{FF2B5EF4-FFF2-40B4-BE49-F238E27FC236}">
              <a16:creationId xmlns:a16="http://schemas.microsoft.com/office/drawing/2014/main" id="{2403A38C-6761-478D-A197-DC7D70FE297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4" name="Text Box 41">
          <a:extLst>
            <a:ext uri="{FF2B5EF4-FFF2-40B4-BE49-F238E27FC236}">
              <a16:creationId xmlns:a16="http://schemas.microsoft.com/office/drawing/2014/main" id="{5DCF7F22-60C9-454E-8B54-1DC3504B268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5" name="Text Box 42">
          <a:extLst>
            <a:ext uri="{FF2B5EF4-FFF2-40B4-BE49-F238E27FC236}">
              <a16:creationId xmlns:a16="http://schemas.microsoft.com/office/drawing/2014/main" id="{77F39A3C-1FE4-430B-80D6-D3993663EFD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6" name="Text Box 43">
          <a:extLst>
            <a:ext uri="{FF2B5EF4-FFF2-40B4-BE49-F238E27FC236}">
              <a16:creationId xmlns:a16="http://schemas.microsoft.com/office/drawing/2014/main" id="{61BA3612-8D4D-48F2-812C-3AC47932E64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7" name="Text Box 44">
          <a:extLst>
            <a:ext uri="{FF2B5EF4-FFF2-40B4-BE49-F238E27FC236}">
              <a16:creationId xmlns:a16="http://schemas.microsoft.com/office/drawing/2014/main" id="{784550E7-741D-44D8-B2FB-AF99DE42D7C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8" name="Text Box 45">
          <a:extLst>
            <a:ext uri="{FF2B5EF4-FFF2-40B4-BE49-F238E27FC236}">
              <a16:creationId xmlns:a16="http://schemas.microsoft.com/office/drawing/2014/main" id="{104FAA50-4762-4D85-936D-3495B5BDA98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59" name="Text Box 46">
          <a:extLst>
            <a:ext uri="{FF2B5EF4-FFF2-40B4-BE49-F238E27FC236}">
              <a16:creationId xmlns:a16="http://schemas.microsoft.com/office/drawing/2014/main" id="{DB4ABA1F-03C1-46D2-9BE3-3BDEEFE5A49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0" name="Text Box 47">
          <a:extLst>
            <a:ext uri="{FF2B5EF4-FFF2-40B4-BE49-F238E27FC236}">
              <a16:creationId xmlns:a16="http://schemas.microsoft.com/office/drawing/2014/main" id="{4F9488BC-37ED-4544-AA0F-DF6CA4B64C3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1" name="Text Box 48">
          <a:extLst>
            <a:ext uri="{FF2B5EF4-FFF2-40B4-BE49-F238E27FC236}">
              <a16:creationId xmlns:a16="http://schemas.microsoft.com/office/drawing/2014/main" id="{D53B5F49-C126-41CD-B336-197EA18D559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2" name="Text Box 49">
          <a:extLst>
            <a:ext uri="{FF2B5EF4-FFF2-40B4-BE49-F238E27FC236}">
              <a16:creationId xmlns:a16="http://schemas.microsoft.com/office/drawing/2014/main" id="{ECB6226A-9D7F-4126-A168-15E2EE19988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3" name="Text Box 50">
          <a:extLst>
            <a:ext uri="{FF2B5EF4-FFF2-40B4-BE49-F238E27FC236}">
              <a16:creationId xmlns:a16="http://schemas.microsoft.com/office/drawing/2014/main" id="{85F97CCB-3DE0-41C1-AA25-3C6F3898E83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4" name="Text Box 51">
          <a:extLst>
            <a:ext uri="{FF2B5EF4-FFF2-40B4-BE49-F238E27FC236}">
              <a16:creationId xmlns:a16="http://schemas.microsoft.com/office/drawing/2014/main" id="{0E0019AC-FCCC-4ED0-9C1B-F6EB1CD2555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5" name="Text Box 52">
          <a:extLst>
            <a:ext uri="{FF2B5EF4-FFF2-40B4-BE49-F238E27FC236}">
              <a16:creationId xmlns:a16="http://schemas.microsoft.com/office/drawing/2014/main" id="{1BC00132-6874-49E9-BECC-67D59DAC310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6" name="Text Box 53">
          <a:extLst>
            <a:ext uri="{FF2B5EF4-FFF2-40B4-BE49-F238E27FC236}">
              <a16:creationId xmlns:a16="http://schemas.microsoft.com/office/drawing/2014/main" id="{68CA5255-9613-4AAD-85D4-10235B4761E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7" name="Text Box 54">
          <a:extLst>
            <a:ext uri="{FF2B5EF4-FFF2-40B4-BE49-F238E27FC236}">
              <a16:creationId xmlns:a16="http://schemas.microsoft.com/office/drawing/2014/main" id="{88A4F7D4-025F-4709-B3B1-17979B3588C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8" name="Text Box 55">
          <a:extLst>
            <a:ext uri="{FF2B5EF4-FFF2-40B4-BE49-F238E27FC236}">
              <a16:creationId xmlns:a16="http://schemas.microsoft.com/office/drawing/2014/main" id="{052279D0-D82A-469B-B9A9-981B77FD00F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69" name="Text Box 56">
          <a:extLst>
            <a:ext uri="{FF2B5EF4-FFF2-40B4-BE49-F238E27FC236}">
              <a16:creationId xmlns:a16="http://schemas.microsoft.com/office/drawing/2014/main" id="{B8146F32-7360-44B3-89EC-6D3E3071195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0" name="Text Box 57">
          <a:extLst>
            <a:ext uri="{FF2B5EF4-FFF2-40B4-BE49-F238E27FC236}">
              <a16:creationId xmlns:a16="http://schemas.microsoft.com/office/drawing/2014/main" id="{6CBC829F-1C6A-4F8D-BE1F-53FE06DA93E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1" name="Text Box 58">
          <a:extLst>
            <a:ext uri="{FF2B5EF4-FFF2-40B4-BE49-F238E27FC236}">
              <a16:creationId xmlns:a16="http://schemas.microsoft.com/office/drawing/2014/main" id="{5521132C-B508-4519-9081-ABCFCD37FBF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2" name="Text Box 59">
          <a:extLst>
            <a:ext uri="{FF2B5EF4-FFF2-40B4-BE49-F238E27FC236}">
              <a16:creationId xmlns:a16="http://schemas.microsoft.com/office/drawing/2014/main" id="{05D9ABB9-52C6-46BF-B1CE-DA35D3ED85A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3" name="Text Box 60">
          <a:extLst>
            <a:ext uri="{FF2B5EF4-FFF2-40B4-BE49-F238E27FC236}">
              <a16:creationId xmlns:a16="http://schemas.microsoft.com/office/drawing/2014/main" id="{D10143B5-F78A-4BA9-860D-8ADEF687B31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4" name="Text Box 61">
          <a:extLst>
            <a:ext uri="{FF2B5EF4-FFF2-40B4-BE49-F238E27FC236}">
              <a16:creationId xmlns:a16="http://schemas.microsoft.com/office/drawing/2014/main" id="{2F7F65B8-BC2B-465D-8752-5F7211A3F0F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5" name="Text Box 62">
          <a:extLst>
            <a:ext uri="{FF2B5EF4-FFF2-40B4-BE49-F238E27FC236}">
              <a16:creationId xmlns:a16="http://schemas.microsoft.com/office/drawing/2014/main" id="{439BB580-B974-47C5-B905-73E2347C690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6" name="Text Box 63">
          <a:extLst>
            <a:ext uri="{FF2B5EF4-FFF2-40B4-BE49-F238E27FC236}">
              <a16:creationId xmlns:a16="http://schemas.microsoft.com/office/drawing/2014/main" id="{A5833296-7918-4105-AEA1-0D955087A44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7" name="Text Box 64">
          <a:extLst>
            <a:ext uri="{FF2B5EF4-FFF2-40B4-BE49-F238E27FC236}">
              <a16:creationId xmlns:a16="http://schemas.microsoft.com/office/drawing/2014/main" id="{24047371-F602-4A89-8E16-E0AD230F9F3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8" name="Text Box 65">
          <a:extLst>
            <a:ext uri="{FF2B5EF4-FFF2-40B4-BE49-F238E27FC236}">
              <a16:creationId xmlns:a16="http://schemas.microsoft.com/office/drawing/2014/main" id="{4820A06D-4EA2-41CA-93AF-65EAB1646B0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79" name="Text Box 66">
          <a:extLst>
            <a:ext uri="{FF2B5EF4-FFF2-40B4-BE49-F238E27FC236}">
              <a16:creationId xmlns:a16="http://schemas.microsoft.com/office/drawing/2014/main" id="{C9E2AC75-0E73-40B2-AA4A-A6FF1269382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0" name="Text Box 67">
          <a:extLst>
            <a:ext uri="{FF2B5EF4-FFF2-40B4-BE49-F238E27FC236}">
              <a16:creationId xmlns:a16="http://schemas.microsoft.com/office/drawing/2014/main" id="{7456DFFA-7E6B-4C12-80BD-7836E320822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1" name="Text Box 68">
          <a:extLst>
            <a:ext uri="{FF2B5EF4-FFF2-40B4-BE49-F238E27FC236}">
              <a16:creationId xmlns:a16="http://schemas.microsoft.com/office/drawing/2014/main" id="{2970636B-5483-4EC3-B3FD-919093E8940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2" name="Text Box 69">
          <a:extLst>
            <a:ext uri="{FF2B5EF4-FFF2-40B4-BE49-F238E27FC236}">
              <a16:creationId xmlns:a16="http://schemas.microsoft.com/office/drawing/2014/main" id="{EF5A69FF-60A0-4667-AB2E-AAEAF660224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3" name="Text Box 70">
          <a:extLst>
            <a:ext uri="{FF2B5EF4-FFF2-40B4-BE49-F238E27FC236}">
              <a16:creationId xmlns:a16="http://schemas.microsoft.com/office/drawing/2014/main" id="{B23670E1-5538-4479-AB1F-DEBC2815CC4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4" name="Text Box 72">
          <a:extLst>
            <a:ext uri="{FF2B5EF4-FFF2-40B4-BE49-F238E27FC236}">
              <a16:creationId xmlns:a16="http://schemas.microsoft.com/office/drawing/2014/main" id="{B02BCB5A-C665-460A-93E1-3377122BD95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5" name="Text Box 73">
          <a:extLst>
            <a:ext uri="{FF2B5EF4-FFF2-40B4-BE49-F238E27FC236}">
              <a16:creationId xmlns:a16="http://schemas.microsoft.com/office/drawing/2014/main" id="{74320261-C6A0-48A8-9DED-D2773D87C2D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6" name="Text Box 77">
          <a:extLst>
            <a:ext uri="{FF2B5EF4-FFF2-40B4-BE49-F238E27FC236}">
              <a16:creationId xmlns:a16="http://schemas.microsoft.com/office/drawing/2014/main" id="{212D5FCB-CEB1-4487-A8DF-3C57E700EB2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7" name="Text Box 78">
          <a:extLst>
            <a:ext uri="{FF2B5EF4-FFF2-40B4-BE49-F238E27FC236}">
              <a16:creationId xmlns:a16="http://schemas.microsoft.com/office/drawing/2014/main" id="{3633F001-C275-41A2-9E0E-DD5F05A7188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8" name="Text Box 79">
          <a:extLst>
            <a:ext uri="{FF2B5EF4-FFF2-40B4-BE49-F238E27FC236}">
              <a16:creationId xmlns:a16="http://schemas.microsoft.com/office/drawing/2014/main" id="{7790C52F-E078-404E-A74F-6991BA04BE3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89" name="Text Box 80">
          <a:extLst>
            <a:ext uri="{FF2B5EF4-FFF2-40B4-BE49-F238E27FC236}">
              <a16:creationId xmlns:a16="http://schemas.microsoft.com/office/drawing/2014/main" id="{30D8A927-01CB-4210-A079-AE9D5A3C91D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0" name="Text Box 81">
          <a:extLst>
            <a:ext uri="{FF2B5EF4-FFF2-40B4-BE49-F238E27FC236}">
              <a16:creationId xmlns:a16="http://schemas.microsoft.com/office/drawing/2014/main" id="{79B759E0-A6DC-4245-AF96-FB1469E399B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1" name="Text Box 82">
          <a:extLst>
            <a:ext uri="{FF2B5EF4-FFF2-40B4-BE49-F238E27FC236}">
              <a16:creationId xmlns:a16="http://schemas.microsoft.com/office/drawing/2014/main" id="{F7D76B72-6786-438E-A3EF-04244402154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2" name="Text Box 84">
          <a:extLst>
            <a:ext uri="{FF2B5EF4-FFF2-40B4-BE49-F238E27FC236}">
              <a16:creationId xmlns:a16="http://schemas.microsoft.com/office/drawing/2014/main" id="{791C3DF8-D66D-4F95-8405-719BD790A1C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3" name="Text Box 85">
          <a:extLst>
            <a:ext uri="{FF2B5EF4-FFF2-40B4-BE49-F238E27FC236}">
              <a16:creationId xmlns:a16="http://schemas.microsoft.com/office/drawing/2014/main" id="{70D5FDF3-0C16-4A1D-B679-9A83DBD3FD9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4" name="Text Box 89">
          <a:extLst>
            <a:ext uri="{FF2B5EF4-FFF2-40B4-BE49-F238E27FC236}">
              <a16:creationId xmlns:a16="http://schemas.microsoft.com/office/drawing/2014/main" id="{95F5F63F-2A8D-45E1-8D61-435B4075CD4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5" name="Text Box 90">
          <a:extLst>
            <a:ext uri="{FF2B5EF4-FFF2-40B4-BE49-F238E27FC236}">
              <a16:creationId xmlns:a16="http://schemas.microsoft.com/office/drawing/2014/main" id="{93B93949-1DDE-405E-830F-557B2EF5DB6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6" name="Text Box 91">
          <a:extLst>
            <a:ext uri="{FF2B5EF4-FFF2-40B4-BE49-F238E27FC236}">
              <a16:creationId xmlns:a16="http://schemas.microsoft.com/office/drawing/2014/main" id="{E3FF5C9C-470F-4AA6-8BD3-7C94E80EB68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7" name="Text Box 92">
          <a:extLst>
            <a:ext uri="{FF2B5EF4-FFF2-40B4-BE49-F238E27FC236}">
              <a16:creationId xmlns:a16="http://schemas.microsoft.com/office/drawing/2014/main" id="{85269E99-B6D1-477D-8A9A-B7630CE83D8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8" name="Text Box 93">
          <a:extLst>
            <a:ext uri="{FF2B5EF4-FFF2-40B4-BE49-F238E27FC236}">
              <a16:creationId xmlns:a16="http://schemas.microsoft.com/office/drawing/2014/main" id="{F67DFEEE-C9FF-4F63-B98B-78B04A6360C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899" name="Text Box 94">
          <a:extLst>
            <a:ext uri="{FF2B5EF4-FFF2-40B4-BE49-F238E27FC236}">
              <a16:creationId xmlns:a16="http://schemas.microsoft.com/office/drawing/2014/main" id="{1214F58F-E83B-4DB2-BBB5-B60C89E2456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0" name="Text Box 95">
          <a:extLst>
            <a:ext uri="{FF2B5EF4-FFF2-40B4-BE49-F238E27FC236}">
              <a16:creationId xmlns:a16="http://schemas.microsoft.com/office/drawing/2014/main" id="{FCEA3068-95EB-4A4E-8D18-9D9A1B5FB8E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1" name="Text Box 96">
          <a:extLst>
            <a:ext uri="{FF2B5EF4-FFF2-40B4-BE49-F238E27FC236}">
              <a16:creationId xmlns:a16="http://schemas.microsoft.com/office/drawing/2014/main" id="{439EE3CD-11A6-4198-9F56-112F22CCC74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2" name="Text Box 97">
          <a:extLst>
            <a:ext uri="{FF2B5EF4-FFF2-40B4-BE49-F238E27FC236}">
              <a16:creationId xmlns:a16="http://schemas.microsoft.com/office/drawing/2014/main" id="{F6F0EC6E-0FB1-4528-9859-57F73C03093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3" name="Text Box 101">
          <a:extLst>
            <a:ext uri="{FF2B5EF4-FFF2-40B4-BE49-F238E27FC236}">
              <a16:creationId xmlns:a16="http://schemas.microsoft.com/office/drawing/2014/main" id="{0BDC56E6-84CE-420E-8CDE-1C325FE9076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4" name="Text Box 102">
          <a:extLst>
            <a:ext uri="{FF2B5EF4-FFF2-40B4-BE49-F238E27FC236}">
              <a16:creationId xmlns:a16="http://schemas.microsoft.com/office/drawing/2014/main" id="{00FA4B2C-B02B-4654-A5FD-EFC912A4A68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5" name="Text Box 103">
          <a:extLst>
            <a:ext uri="{FF2B5EF4-FFF2-40B4-BE49-F238E27FC236}">
              <a16:creationId xmlns:a16="http://schemas.microsoft.com/office/drawing/2014/main" id="{54E9584C-7035-4D51-A405-0EF8D578D9D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6" name="Text Box 104">
          <a:extLst>
            <a:ext uri="{FF2B5EF4-FFF2-40B4-BE49-F238E27FC236}">
              <a16:creationId xmlns:a16="http://schemas.microsoft.com/office/drawing/2014/main" id="{9017064B-EE12-43C2-BD41-1DBF78EE3A4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7" name="Text Box 105">
          <a:extLst>
            <a:ext uri="{FF2B5EF4-FFF2-40B4-BE49-F238E27FC236}">
              <a16:creationId xmlns:a16="http://schemas.microsoft.com/office/drawing/2014/main" id="{7EE40677-22A3-4737-A1DF-CE32FA3CD6B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8" name="Text Box 106">
          <a:extLst>
            <a:ext uri="{FF2B5EF4-FFF2-40B4-BE49-F238E27FC236}">
              <a16:creationId xmlns:a16="http://schemas.microsoft.com/office/drawing/2014/main" id="{5E56D1A8-A473-4C35-9AD4-D23B61AF9E1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09" name="Text Box 107">
          <a:extLst>
            <a:ext uri="{FF2B5EF4-FFF2-40B4-BE49-F238E27FC236}">
              <a16:creationId xmlns:a16="http://schemas.microsoft.com/office/drawing/2014/main" id="{461D9592-ED1E-433B-ACB5-79090D550CC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0" name="Text Box 108">
          <a:extLst>
            <a:ext uri="{FF2B5EF4-FFF2-40B4-BE49-F238E27FC236}">
              <a16:creationId xmlns:a16="http://schemas.microsoft.com/office/drawing/2014/main" id="{D1F73151-3222-430D-837A-79BB6F643B5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1" name="Text Box 109">
          <a:extLst>
            <a:ext uri="{FF2B5EF4-FFF2-40B4-BE49-F238E27FC236}">
              <a16:creationId xmlns:a16="http://schemas.microsoft.com/office/drawing/2014/main" id="{116D4B1D-00B0-4E4E-8CC1-7D8B57FF8C9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2" name="Text Box 113">
          <a:extLst>
            <a:ext uri="{FF2B5EF4-FFF2-40B4-BE49-F238E27FC236}">
              <a16:creationId xmlns:a16="http://schemas.microsoft.com/office/drawing/2014/main" id="{8DF12D18-FB9C-4008-9A14-5EFA3083E32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3" name="Text Box 114">
          <a:extLst>
            <a:ext uri="{FF2B5EF4-FFF2-40B4-BE49-F238E27FC236}">
              <a16:creationId xmlns:a16="http://schemas.microsoft.com/office/drawing/2014/main" id="{B356B4F2-DDE9-45EB-92CA-452D042F082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4" name="Text Box 115">
          <a:extLst>
            <a:ext uri="{FF2B5EF4-FFF2-40B4-BE49-F238E27FC236}">
              <a16:creationId xmlns:a16="http://schemas.microsoft.com/office/drawing/2014/main" id="{D546991D-B113-47AE-97BC-5BA35374920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5" name="Text Box 116">
          <a:extLst>
            <a:ext uri="{FF2B5EF4-FFF2-40B4-BE49-F238E27FC236}">
              <a16:creationId xmlns:a16="http://schemas.microsoft.com/office/drawing/2014/main" id="{C55E77D6-F652-4E9A-9F31-F78919ABD60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6" name="Text Box 117">
          <a:extLst>
            <a:ext uri="{FF2B5EF4-FFF2-40B4-BE49-F238E27FC236}">
              <a16:creationId xmlns:a16="http://schemas.microsoft.com/office/drawing/2014/main" id="{289886D9-6AE2-4FB7-9632-ACD7C0C75A0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7" name="Text Box 118">
          <a:extLst>
            <a:ext uri="{FF2B5EF4-FFF2-40B4-BE49-F238E27FC236}">
              <a16:creationId xmlns:a16="http://schemas.microsoft.com/office/drawing/2014/main" id="{F7F5A4A1-D4D1-499D-B0D0-477C5A3B9F3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8" name="Text Box 119">
          <a:extLst>
            <a:ext uri="{FF2B5EF4-FFF2-40B4-BE49-F238E27FC236}">
              <a16:creationId xmlns:a16="http://schemas.microsoft.com/office/drawing/2014/main" id="{8E558EBB-4024-4BD8-A39D-5A48EA01EE6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19" name="Text Box 120">
          <a:extLst>
            <a:ext uri="{FF2B5EF4-FFF2-40B4-BE49-F238E27FC236}">
              <a16:creationId xmlns:a16="http://schemas.microsoft.com/office/drawing/2014/main" id="{3A4DBE36-A984-4557-9D55-4EBDBB04CF3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0" name="Text Box 121">
          <a:extLst>
            <a:ext uri="{FF2B5EF4-FFF2-40B4-BE49-F238E27FC236}">
              <a16:creationId xmlns:a16="http://schemas.microsoft.com/office/drawing/2014/main" id="{F9769178-2EE7-4B6D-B213-CE3D7765C2B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1" name="Text Box 125">
          <a:extLst>
            <a:ext uri="{FF2B5EF4-FFF2-40B4-BE49-F238E27FC236}">
              <a16:creationId xmlns:a16="http://schemas.microsoft.com/office/drawing/2014/main" id="{E52DE5C0-ABF9-4669-8BD7-E3700062ACC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2" name="Text Box 126">
          <a:extLst>
            <a:ext uri="{FF2B5EF4-FFF2-40B4-BE49-F238E27FC236}">
              <a16:creationId xmlns:a16="http://schemas.microsoft.com/office/drawing/2014/main" id="{0FD59B63-7DA9-4B23-A5CF-7A77A5D4F0D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3" name="Text Box 127">
          <a:extLst>
            <a:ext uri="{FF2B5EF4-FFF2-40B4-BE49-F238E27FC236}">
              <a16:creationId xmlns:a16="http://schemas.microsoft.com/office/drawing/2014/main" id="{3C14EFC8-3F3D-4FC1-B51D-8AD4DF2BBFF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4" name="Text Box 128">
          <a:extLst>
            <a:ext uri="{FF2B5EF4-FFF2-40B4-BE49-F238E27FC236}">
              <a16:creationId xmlns:a16="http://schemas.microsoft.com/office/drawing/2014/main" id="{294F6DCE-0EC3-4546-B708-BD651EDE41B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5" name="Text Box 129">
          <a:extLst>
            <a:ext uri="{FF2B5EF4-FFF2-40B4-BE49-F238E27FC236}">
              <a16:creationId xmlns:a16="http://schemas.microsoft.com/office/drawing/2014/main" id="{3127C78C-99CE-4E92-9753-EDB81ED87AE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6" name="Text Box 130">
          <a:extLst>
            <a:ext uri="{FF2B5EF4-FFF2-40B4-BE49-F238E27FC236}">
              <a16:creationId xmlns:a16="http://schemas.microsoft.com/office/drawing/2014/main" id="{DE3C0D2A-5C7F-4832-92CC-2621ABF6DF6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7" name="Text Box 131">
          <a:extLst>
            <a:ext uri="{FF2B5EF4-FFF2-40B4-BE49-F238E27FC236}">
              <a16:creationId xmlns:a16="http://schemas.microsoft.com/office/drawing/2014/main" id="{5D399772-6177-4027-BC55-EDBF0267B24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8" name="Text Box 132">
          <a:extLst>
            <a:ext uri="{FF2B5EF4-FFF2-40B4-BE49-F238E27FC236}">
              <a16:creationId xmlns:a16="http://schemas.microsoft.com/office/drawing/2014/main" id="{384EE290-453A-4009-BAEC-160451F6287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29" name="Text Box 133">
          <a:extLst>
            <a:ext uri="{FF2B5EF4-FFF2-40B4-BE49-F238E27FC236}">
              <a16:creationId xmlns:a16="http://schemas.microsoft.com/office/drawing/2014/main" id="{C23891A3-3C14-49D5-AC09-842942C050B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0" name="Text Box 137">
          <a:extLst>
            <a:ext uri="{FF2B5EF4-FFF2-40B4-BE49-F238E27FC236}">
              <a16:creationId xmlns:a16="http://schemas.microsoft.com/office/drawing/2014/main" id="{F94B423B-465C-45B4-88F0-8A1C6EADF2D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1" name="Text Box 138">
          <a:extLst>
            <a:ext uri="{FF2B5EF4-FFF2-40B4-BE49-F238E27FC236}">
              <a16:creationId xmlns:a16="http://schemas.microsoft.com/office/drawing/2014/main" id="{C0972589-F97B-457C-B5CD-3F67E33F7BA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2" name="Text Box 139">
          <a:extLst>
            <a:ext uri="{FF2B5EF4-FFF2-40B4-BE49-F238E27FC236}">
              <a16:creationId xmlns:a16="http://schemas.microsoft.com/office/drawing/2014/main" id="{E7C081F7-1917-42A0-8D75-5DFB0CEB6B6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3" name="Text Box 140">
          <a:extLst>
            <a:ext uri="{FF2B5EF4-FFF2-40B4-BE49-F238E27FC236}">
              <a16:creationId xmlns:a16="http://schemas.microsoft.com/office/drawing/2014/main" id="{95951DD3-A1C9-4993-AC01-B55FE265305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4" name="Text Box 141">
          <a:extLst>
            <a:ext uri="{FF2B5EF4-FFF2-40B4-BE49-F238E27FC236}">
              <a16:creationId xmlns:a16="http://schemas.microsoft.com/office/drawing/2014/main" id="{E9D1DABA-B44C-4BC9-A5F3-BA810F39B12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5" name="Text Box 142">
          <a:extLst>
            <a:ext uri="{FF2B5EF4-FFF2-40B4-BE49-F238E27FC236}">
              <a16:creationId xmlns:a16="http://schemas.microsoft.com/office/drawing/2014/main" id="{3D257ACC-0ADD-488A-B1F8-57D6494EFA4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6" name="Text Box 143">
          <a:extLst>
            <a:ext uri="{FF2B5EF4-FFF2-40B4-BE49-F238E27FC236}">
              <a16:creationId xmlns:a16="http://schemas.microsoft.com/office/drawing/2014/main" id="{9FE5B56D-B5C1-46D8-B4F1-E64ADBA7EC9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7" name="Text Box 144">
          <a:extLst>
            <a:ext uri="{FF2B5EF4-FFF2-40B4-BE49-F238E27FC236}">
              <a16:creationId xmlns:a16="http://schemas.microsoft.com/office/drawing/2014/main" id="{771C2B68-AD5F-4981-9D4E-17B1B199463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8" name="Text Box 145">
          <a:extLst>
            <a:ext uri="{FF2B5EF4-FFF2-40B4-BE49-F238E27FC236}">
              <a16:creationId xmlns:a16="http://schemas.microsoft.com/office/drawing/2014/main" id="{C3C8A96F-FD9E-4C73-8B2F-680E3409632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39" name="Text Box 149">
          <a:extLst>
            <a:ext uri="{FF2B5EF4-FFF2-40B4-BE49-F238E27FC236}">
              <a16:creationId xmlns:a16="http://schemas.microsoft.com/office/drawing/2014/main" id="{0B9EEB5F-E412-4DDC-90C3-2C89953D0A9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0" name="Text Box 150">
          <a:extLst>
            <a:ext uri="{FF2B5EF4-FFF2-40B4-BE49-F238E27FC236}">
              <a16:creationId xmlns:a16="http://schemas.microsoft.com/office/drawing/2014/main" id="{755AED8A-8737-482A-8920-9D1A3B9CD3B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1" name="Text Box 151">
          <a:extLst>
            <a:ext uri="{FF2B5EF4-FFF2-40B4-BE49-F238E27FC236}">
              <a16:creationId xmlns:a16="http://schemas.microsoft.com/office/drawing/2014/main" id="{8A1E19B9-D097-4DAD-8CC0-F0630106956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2" name="Text Box 152">
          <a:extLst>
            <a:ext uri="{FF2B5EF4-FFF2-40B4-BE49-F238E27FC236}">
              <a16:creationId xmlns:a16="http://schemas.microsoft.com/office/drawing/2014/main" id="{01A9F298-A97E-4311-BD4B-722019D2C55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3" name="Text Box 153">
          <a:extLst>
            <a:ext uri="{FF2B5EF4-FFF2-40B4-BE49-F238E27FC236}">
              <a16:creationId xmlns:a16="http://schemas.microsoft.com/office/drawing/2014/main" id="{1FC04C01-7100-4E5D-8D43-A69D8EC7B4C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4" name="Text Box 154">
          <a:extLst>
            <a:ext uri="{FF2B5EF4-FFF2-40B4-BE49-F238E27FC236}">
              <a16:creationId xmlns:a16="http://schemas.microsoft.com/office/drawing/2014/main" id="{2A709E42-9D96-4E5E-BAE0-896A5779903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5" name="Text Box 155">
          <a:extLst>
            <a:ext uri="{FF2B5EF4-FFF2-40B4-BE49-F238E27FC236}">
              <a16:creationId xmlns:a16="http://schemas.microsoft.com/office/drawing/2014/main" id="{FD53076F-0B15-4B34-942C-39AEE0CD645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6" name="Text Box 156">
          <a:extLst>
            <a:ext uri="{FF2B5EF4-FFF2-40B4-BE49-F238E27FC236}">
              <a16:creationId xmlns:a16="http://schemas.microsoft.com/office/drawing/2014/main" id="{B07D598D-E84C-45E3-A9B3-72AE4EAE3D8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7" name="Text Box 157">
          <a:extLst>
            <a:ext uri="{FF2B5EF4-FFF2-40B4-BE49-F238E27FC236}">
              <a16:creationId xmlns:a16="http://schemas.microsoft.com/office/drawing/2014/main" id="{E145F6FA-5BF9-4954-918B-1C8D4EDD7E9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8" name="Text Box 161">
          <a:extLst>
            <a:ext uri="{FF2B5EF4-FFF2-40B4-BE49-F238E27FC236}">
              <a16:creationId xmlns:a16="http://schemas.microsoft.com/office/drawing/2014/main" id="{C37F0576-C5E8-472C-B3E3-1347F3A387B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49" name="Text Box 162">
          <a:extLst>
            <a:ext uri="{FF2B5EF4-FFF2-40B4-BE49-F238E27FC236}">
              <a16:creationId xmlns:a16="http://schemas.microsoft.com/office/drawing/2014/main" id="{88FA54FA-8681-445E-B5D3-417CA1100CD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0" name="Text Box 163">
          <a:extLst>
            <a:ext uri="{FF2B5EF4-FFF2-40B4-BE49-F238E27FC236}">
              <a16:creationId xmlns:a16="http://schemas.microsoft.com/office/drawing/2014/main" id="{79DE3F40-2907-44C9-8508-40DB3452DE5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1" name="Text Box 164">
          <a:extLst>
            <a:ext uri="{FF2B5EF4-FFF2-40B4-BE49-F238E27FC236}">
              <a16:creationId xmlns:a16="http://schemas.microsoft.com/office/drawing/2014/main" id="{AEE905A0-1CB0-4F7C-87D7-C0D8E4BC092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2" name="Text Box 165">
          <a:extLst>
            <a:ext uri="{FF2B5EF4-FFF2-40B4-BE49-F238E27FC236}">
              <a16:creationId xmlns:a16="http://schemas.microsoft.com/office/drawing/2014/main" id="{905FD0D6-0FBF-4CB2-878D-8BEDB0FAA37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3" name="Text Box 166">
          <a:extLst>
            <a:ext uri="{FF2B5EF4-FFF2-40B4-BE49-F238E27FC236}">
              <a16:creationId xmlns:a16="http://schemas.microsoft.com/office/drawing/2014/main" id="{EE14DC47-B981-47B2-A475-2FA2310F3A1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4" name="Text Box 167">
          <a:extLst>
            <a:ext uri="{FF2B5EF4-FFF2-40B4-BE49-F238E27FC236}">
              <a16:creationId xmlns:a16="http://schemas.microsoft.com/office/drawing/2014/main" id="{B08D5A2B-69BB-4932-8688-B73500FDE7E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5" name="Text Box 168">
          <a:extLst>
            <a:ext uri="{FF2B5EF4-FFF2-40B4-BE49-F238E27FC236}">
              <a16:creationId xmlns:a16="http://schemas.microsoft.com/office/drawing/2014/main" id="{0CF61184-36BC-4CB5-A0D5-F43388BEB06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6" name="Text Box 169">
          <a:extLst>
            <a:ext uri="{FF2B5EF4-FFF2-40B4-BE49-F238E27FC236}">
              <a16:creationId xmlns:a16="http://schemas.microsoft.com/office/drawing/2014/main" id="{199BA7FC-8D6B-4389-87B6-656894FB04D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7" name="Text Box 170">
          <a:extLst>
            <a:ext uri="{FF2B5EF4-FFF2-40B4-BE49-F238E27FC236}">
              <a16:creationId xmlns:a16="http://schemas.microsoft.com/office/drawing/2014/main" id="{D827F31A-276D-42AF-85B4-714D93ACA9A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8" name="Text Box 171">
          <a:extLst>
            <a:ext uri="{FF2B5EF4-FFF2-40B4-BE49-F238E27FC236}">
              <a16:creationId xmlns:a16="http://schemas.microsoft.com/office/drawing/2014/main" id="{510D2956-3CE5-45F2-8A38-A291123DAA1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59" name="Text Box 172">
          <a:extLst>
            <a:ext uri="{FF2B5EF4-FFF2-40B4-BE49-F238E27FC236}">
              <a16:creationId xmlns:a16="http://schemas.microsoft.com/office/drawing/2014/main" id="{F447119F-45CE-4F70-ACC0-50322737535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0" name="Text Box 173">
          <a:extLst>
            <a:ext uri="{FF2B5EF4-FFF2-40B4-BE49-F238E27FC236}">
              <a16:creationId xmlns:a16="http://schemas.microsoft.com/office/drawing/2014/main" id="{486C7DFA-816C-438B-84D6-A2B38BACB8A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1" name="Text Box 174">
          <a:extLst>
            <a:ext uri="{FF2B5EF4-FFF2-40B4-BE49-F238E27FC236}">
              <a16:creationId xmlns:a16="http://schemas.microsoft.com/office/drawing/2014/main" id="{D5BA1033-7F1D-4120-AD57-D408709AC03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2" name="Text Box 176">
          <a:extLst>
            <a:ext uri="{FF2B5EF4-FFF2-40B4-BE49-F238E27FC236}">
              <a16:creationId xmlns:a16="http://schemas.microsoft.com/office/drawing/2014/main" id="{9BDEE4FB-365B-4093-B730-F32F8B67119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3" name="Text Box 178">
          <a:extLst>
            <a:ext uri="{FF2B5EF4-FFF2-40B4-BE49-F238E27FC236}">
              <a16:creationId xmlns:a16="http://schemas.microsoft.com/office/drawing/2014/main" id="{290865D8-7403-4ACE-9EF1-88753189F85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4" name="Text Box 179">
          <a:extLst>
            <a:ext uri="{FF2B5EF4-FFF2-40B4-BE49-F238E27FC236}">
              <a16:creationId xmlns:a16="http://schemas.microsoft.com/office/drawing/2014/main" id="{715F9F78-B52A-4EAB-B51A-3106AA65F7C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5" name="Text Box 180">
          <a:extLst>
            <a:ext uri="{FF2B5EF4-FFF2-40B4-BE49-F238E27FC236}">
              <a16:creationId xmlns:a16="http://schemas.microsoft.com/office/drawing/2014/main" id="{A15190BA-B918-40C6-8A24-73F3B3B9BED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6" name="Text Box 181">
          <a:extLst>
            <a:ext uri="{FF2B5EF4-FFF2-40B4-BE49-F238E27FC236}">
              <a16:creationId xmlns:a16="http://schemas.microsoft.com/office/drawing/2014/main" id="{3F1F6CBF-CAF3-4162-859A-9FBA7509D68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7" name="Text Box 182">
          <a:extLst>
            <a:ext uri="{FF2B5EF4-FFF2-40B4-BE49-F238E27FC236}">
              <a16:creationId xmlns:a16="http://schemas.microsoft.com/office/drawing/2014/main" id="{AA9C5ED3-208B-4EF0-A2A4-784321F44F8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8" name="Text Box 183">
          <a:extLst>
            <a:ext uri="{FF2B5EF4-FFF2-40B4-BE49-F238E27FC236}">
              <a16:creationId xmlns:a16="http://schemas.microsoft.com/office/drawing/2014/main" id="{7C6A3598-F8FB-4A9D-9976-3E0EE85AB96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69" name="Text Box 184">
          <a:extLst>
            <a:ext uri="{FF2B5EF4-FFF2-40B4-BE49-F238E27FC236}">
              <a16:creationId xmlns:a16="http://schemas.microsoft.com/office/drawing/2014/main" id="{88671670-CBCA-4A19-AC07-C9007D7B1AB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0" name="Text Box 185">
          <a:extLst>
            <a:ext uri="{FF2B5EF4-FFF2-40B4-BE49-F238E27FC236}">
              <a16:creationId xmlns:a16="http://schemas.microsoft.com/office/drawing/2014/main" id="{934C1155-0BAC-4533-80E0-7EB06A4018E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1" name="Text Box 186">
          <a:extLst>
            <a:ext uri="{FF2B5EF4-FFF2-40B4-BE49-F238E27FC236}">
              <a16:creationId xmlns:a16="http://schemas.microsoft.com/office/drawing/2014/main" id="{2B687D58-53D7-4453-8E1B-32800885B36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2" name="Text Box 187">
          <a:extLst>
            <a:ext uri="{FF2B5EF4-FFF2-40B4-BE49-F238E27FC236}">
              <a16:creationId xmlns:a16="http://schemas.microsoft.com/office/drawing/2014/main" id="{0B945269-2302-433A-A4A0-24603BE478D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3" name="Text Box 188">
          <a:extLst>
            <a:ext uri="{FF2B5EF4-FFF2-40B4-BE49-F238E27FC236}">
              <a16:creationId xmlns:a16="http://schemas.microsoft.com/office/drawing/2014/main" id="{C80D7165-8558-4402-BD89-7A85C1BA808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4" name="Text Box 189">
          <a:extLst>
            <a:ext uri="{FF2B5EF4-FFF2-40B4-BE49-F238E27FC236}">
              <a16:creationId xmlns:a16="http://schemas.microsoft.com/office/drawing/2014/main" id="{887A145B-078E-4214-8732-47DA1AD267E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5" name="Text Box 190">
          <a:extLst>
            <a:ext uri="{FF2B5EF4-FFF2-40B4-BE49-F238E27FC236}">
              <a16:creationId xmlns:a16="http://schemas.microsoft.com/office/drawing/2014/main" id="{06E5CE7D-3466-4EBD-A2A6-B16C86FFA51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6" name="Text Box 191">
          <a:extLst>
            <a:ext uri="{FF2B5EF4-FFF2-40B4-BE49-F238E27FC236}">
              <a16:creationId xmlns:a16="http://schemas.microsoft.com/office/drawing/2014/main" id="{FBDA88FC-2153-409D-889D-37ABEDCD3DF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7" name="Text Box 192">
          <a:extLst>
            <a:ext uri="{FF2B5EF4-FFF2-40B4-BE49-F238E27FC236}">
              <a16:creationId xmlns:a16="http://schemas.microsoft.com/office/drawing/2014/main" id="{AEAE0791-A4F0-4D62-8418-BE175284957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8" name="Text Box 193">
          <a:extLst>
            <a:ext uri="{FF2B5EF4-FFF2-40B4-BE49-F238E27FC236}">
              <a16:creationId xmlns:a16="http://schemas.microsoft.com/office/drawing/2014/main" id="{63860043-D07D-4BFA-A5E3-5E5402FE11A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79" name="Text Box 194">
          <a:extLst>
            <a:ext uri="{FF2B5EF4-FFF2-40B4-BE49-F238E27FC236}">
              <a16:creationId xmlns:a16="http://schemas.microsoft.com/office/drawing/2014/main" id="{A44FF546-AB9C-4686-BB48-DA886B3AB6A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0" name="Text Box 195">
          <a:extLst>
            <a:ext uri="{FF2B5EF4-FFF2-40B4-BE49-F238E27FC236}">
              <a16:creationId xmlns:a16="http://schemas.microsoft.com/office/drawing/2014/main" id="{8E067453-BE84-4322-86B4-57141E8B41A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1" name="Text Box 196">
          <a:extLst>
            <a:ext uri="{FF2B5EF4-FFF2-40B4-BE49-F238E27FC236}">
              <a16:creationId xmlns:a16="http://schemas.microsoft.com/office/drawing/2014/main" id="{F7190F44-9B16-4B67-8C9D-112A8586BA0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2" name="Text Box 197">
          <a:extLst>
            <a:ext uri="{FF2B5EF4-FFF2-40B4-BE49-F238E27FC236}">
              <a16:creationId xmlns:a16="http://schemas.microsoft.com/office/drawing/2014/main" id="{8ECD4DCE-F5DB-4CC5-A36F-7C4DE43FBD0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3" name="Text Box 198">
          <a:extLst>
            <a:ext uri="{FF2B5EF4-FFF2-40B4-BE49-F238E27FC236}">
              <a16:creationId xmlns:a16="http://schemas.microsoft.com/office/drawing/2014/main" id="{1B4A287F-48B1-4D74-A1F0-7F605C92AD1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4" name="Text Box 199">
          <a:extLst>
            <a:ext uri="{FF2B5EF4-FFF2-40B4-BE49-F238E27FC236}">
              <a16:creationId xmlns:a16="http://schemas.microsoft.com/office/drawing/2014/main" id="{6E812844-331B-43AF-860F-4D046709DEE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5" name="Text Box 200">
          <a:extLst>
            <a:ext uri="{FF2B5EF4-FFF2-40B4-BE49-F238E27FC236}">
              <a16:creationId xmlns:a16="http://schemas.microsoft.com/office/drawing/2014/main" id="{A4E941F4-88FC-4EF2-BCC4-ABC257B2475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6" name="Text Box 201">
          <a:extLst>
            <a:ext uri="{FF2B5EF4-FFF2-40B4-BE49-F238E27FC236}">
              <a16:creationId xmlns:a16="http://schemas.microsoft.com/office/drawing/2014/main" id="{A6632427-8F2E-4255-BE60-447E6B6EA04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7" name="Text Box 202">
          <a:extLst>
            <a:ext uri="{FF2B5EF4-FFF2-40B4-BE49-F238E27FC236}">
              <a16:creationId xmlns:a16="http://schemas.microsoft.com/office/drawing/2014/main" id="{0947B174-4A05-43C6-B30E-8914C2EAD26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8" name="Text Box 203">
          <a:extLst>
            <a:ext uri="{FF2B5EF4-FFF2-40B4-BE49-F238E27FC236}">
              <a16:creationId xmlns:a16="http://schemas.microsoft.com/office/drawing/2014/main" id="{08FE56D3-AAF0-4031-A5C2-60BFC7D0803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89" name="Text Box 204">
          <a:extLst>
            <a:ext uri="{FF2B5EF4-FFF2-40B4-BE49-F238E27FC236}">
              <a16:creationId xmlns:a16="http://schemas.microsoft.com/office/drawing/2014/main" id="{E3DF89FC-3289-4AF8-B067-A4631D045BE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90" name="Text Box 206">
          <a:extLst>
            <a:ext uri="{FF2B5EF4-FFF2-40B4-BE49-F238E27FC236}">
              <a16:creationId xmlns:a16="http://schemas.microsoft.com/office/drawing/2014/main" id="{D4D32D75-7127-445D-9362-1DBF2C87E54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91" name="Text Box 207">
          <a:extLst>
            <a:ext uri="{FF2B5EF4-FFF2-40B4-BE49-F238E27FC236}">
              <a16:creationId xmlns:a16="http://schemas.microsoft.com/office/drawing/2014/main" id="{800C9FB3-D989-4394-A6C4-B269C0B3D02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92" name="Text Box 208">
          <a:extLst>
            <a:ext uri="{FF2B5EF4-FFF2-40B4-BE49-F238E27FC236}">
              <a16:creationId xmlns:a16="http://schemas.microsoft.com/office/drawing/2014/main" id="{8A06C917-4B3F-4F70-9FA0-CDCD6D0A439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93" name="Text Box 209">
          <a:extLst>
            <a:ext uri="{FF2B5EF4-FFF2-40B4-BE49-F238E27FC236}">
              <a16:creationId xmlns:a16="http://schemas.microsoft.com/office/drawing/2014/main" id="{013EB918-D6DF-4C59-A4FB-73AFB3DA8F3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94" name="Text Box 210">
          <a:extLst>
            <a:ext uri="{FF2B5EF4-FFF2-40B4-BE49-F238E27FC236}">
              <a16:creationId xmlns:a16="http://schemas.microsoft.com/office/drawing/2014/main" id="{40E5F5C9-DFB6-4CC6-938F-DB198CAE3E2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95" name="Text Box 211">
          <a:extLst>
            <a:ext uri="{FF2B5EF4-FFF2-40B4-BE49-F238E27FC236}">
              <a16:creationId xmlns:a16="http://schemas.microsoft.com/office/drawing/2014/main" id="{4FDC0A0D-3000-4016-A7F8-18BCF666D72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96" name="Text Box 212">
          <a:extLst>
            <a:ext uri="{FF2B5EF4-FFF2-40B4-BE49-F238E27FC236}">
              <a16:creationId xmlns:a16="http://schemas.microsoft.com/office/drawing/2014/main" id="{EA2AE7F3-0082-4366-BC73-1C066544474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97" name="Text Box 213">
          <a:extLst>
            <a:ext uri="{FF2B5EF4-FFF2-40B4-BE49-F238E27FC236}">
              <a16:creationId xmlns:a16="http://schemas.microsoft.com/office/drawing/2014/main" id="{EADA33D7-2B0F-437C-8A10-BE60E0445DA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7998" name="Text Box 214">
          <a:extLst>
            <a:ext uri="{FF2B5EF4-FFF2-40B4-BE49-F238E27FC236}">
              <a16:creationId xmlns:a16="http://schemas.microsoft.com/office/drawing/2014/main" id="{A870A4DE-BA23-4796-88AA-A4B26B21F41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7999" name="Text Box 216">
          <a:extLst>
            <a:ext uri="{FF2B5EF4-FFF2-40B4-BE49-F238E27FC236}">
              <a16:creationId xmlns:a16="http://schemas.microsoft.com/office/drawing/2014/main" id="{BE587B04-4ADC-4B18-AE65-A184B767560F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0" name="Text Box 217">
          <a:extLst>
            <a:ext uri="{FF2B5EF4-FFF2-40B4-BE49-F238E27FC236}">
              <a16:creationId xmlns:a16="http://schemas.microsoft.com/office/drawing/2014/main" id="{E5978F3A-E49A-4E49-8368-D7285517EE5F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1" name="Text Box 218">
          <a:extLst>
            <a:ext uri="{FF2B5EF4-FFF2-40B4-BE49-F238E27FC236}">
              <a16:creationId xmlns:a16="http://schemas.microsoft.com/office/drawing/2014/main" id="{1E462D3E-A036-4301-8D91-474B89E3A36B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2" name="Text Box 219">
          <a:extLst>
            <a:ext uri="{FF2B5EF4-FFF2-40B4-BE49-F238E27FC236}">
              <a16:creationId xmlns:a16="http://schemas.microsoft.com/office/drawing/2014/main" id="{8547296A-12E9-4D4B-AC0B-DA38885E48BB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3" name="Text Box 220">
          <a:extLst>
            <a:ext uri="{FF2B5EF4-FFF2-40B4-BE49-F238E27FC236}">
              <a16:creationId xmlns:a16="http://schemas.microsoft.com/office/drawing/2014/main" id="{B1CD89D8-9CBB-4EB2-8FB8-60A1530D72E5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4" name="Text Box 221">
          <a:extLst>
            <a:ext uri="{FF2B5EF4-FFF2-40B4-BE49-F238E27FC236}">
              <a16:creationId xmlns:a16="http://schemas.microsoft.com/office/drawing/2014/main" id="{1D61836A-7C87-4630-85F3-CB4874CE6979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5" name="Text Box 222">
          <a:extLst>
            <a:ext uri="{FF2B5EF4-FFF2-40B4-BE49-F238E27FC236}">
              <a16:creationId xmlns:a16="http://schemas.microsoft.com/office/drawing/2014/main" id="{01CE1366-0E53-4C05-A072-1D511DF87158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6" name="Text Box 223">
          <a:extLst>
            <a:ext uri="{FF2B5EF4-FFF2-40B4-BE49-F238E27FC236}">
              <a16:creationId xmlns:a16="http://schemas.microsoft.com/office/drawing/2014/main" id="{A4516630-B154-4391-BBA8-C90644B3662A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7" name="Text Box 224">
          <a:extLst>
            <a:ext uri="{FF2B5EF4-FFF2-40B4-BE49-F238E27FC236}">
              <a16:creationId xmlns:a16="http://schemas.microsoft.com/office/drawing/2014/main" id="{211C427C-292D-4CCF-8C08-00903599B8EC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8" name="Text Box 225">
          <a:extLst>
            <a:ext uri="{FF2B5EF4-FFF2-40B4-BE49-F238E27FC236}">
              <a16:creationId xmlns:a16="http://schemas.microsoft.com/office/drawing/2014/main" id="{0AAE965A-E20B-4171-A1FA-294C81CF2402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09" name="Text Box 226">
          <a:extLst>
            <a:ext uri="{FF2B5EF4-FFF2-40B4-BE49-F238E27FC236}">
              <a16:creationId xmlns:a16="http://schemas.microsoft.com/office/drawing/2014/main" id="{443D7C33-08D1-4534-9174-4F63902D8B19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10" name="Text Box 227">
          <a:extLst>
            <a:ext uri="{FF2B5EF4-FFF2-40B4-BE49-F238E27FC236}">
              <a16:creationId xmlns:a16="http://schemas.microsoft.com/office/drawing/2014/main" id="{7F7BD51E-041C-4542-94BE-0DEBB193DBEB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11" name="Text Box 228">
          <a:extLst>
            <a:ext uri="{FF2B5EF4-FFF2-40B4-BE49-F238E27FC236}">
              <a16:creationId xmlns:a16="http://schemas.microsoft.com/office/drawing/2014/main" id="{79CA40C7-763B-40DA-A5B3-6B10CF0D9E9A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12" name="Text Box 229">
          <a:extLst>
            <a:ext uri="{FF2B5EF4-FFF2-40B4-BE49-F238E27FC236}">
              <a16:creationId xmlns:a16="http://schemas.microsoft.com/office/drawing/2014/main" id="{6CB9E438-088A-49DB-9D73-0D39CEBF9BC1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13" name="Text Box 230">
          <a:extLst>
            <a:ext uri="{FF2B5EF4-FFF2-40B4-BE49-F238E27FC236}">
              <a16:creationId xmlns:a16="http://schemas.microsoft.com/office/drawing/2014/main" id="{2EE15CB7-EB9B-46B3-882D-8CB953EBEEA9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14" name="Text Box 231">
          <a:extLst>
            <a:ext uri="{FF2B5EF4-FFF2-40B4-BE49-F238E27FC236}">
              <a16:creationId xmlns:a16="http://schemas.microsoft.com/office/drawing/2014/main" id="{AA586B71-BDA4-4BE5-B813-33C32D03F21D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15" name="Text Box 232">
          <a:extLst>
            <a:ext uri="{FF2B5EF4-FFF2-40B4-BE49-F238E27FC236}">
              <a16:creationId xmlns:a16="http://schemas.microsoft.com/office/drawing/2014/main" id="{969CE9D4-4200-4D3C-BC68-9BC2C3B6FCFE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16" name="Text Box 233">
          <a:extLst>
            <a:ext uri="{FF2B5EF4-FFF2-40B4-BE49-F238E27FC236}">
              <a16:creationId xmlns:a16="http://schemas.microsoft.com/office/drawing/2014/main" id="{1617AD45-A8C1-4F3D-ABDA-EE9DD3DCF45E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17" name="Text Box 234">
          <a:extLst>
            <a:ext uri="{FF2B5EF4-FFF2-40B4-BE49-F238E27FC236}">
              <a16:creationId xmlns:a16="http://schemas.microsoft.com/office/drawing/2014/main" id="{20A02FA7-7C86-47B2-9FF7-35F8DE9AA2FC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18" name="Text Box 235">
          <a:extLst>
            <a:ext uri="{FF2B5EF4-FFF2-40B4-BE49-F238E27FC236}">
              <a16:creationId xmlns:a16="http://schemas.microsoft.com/office/drawing/2014/main" id="{C1A654F6-9B51-458E-8FBE-0FAAE5E3DFD9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37</xdr:row>
      <xdr:rowOff>19050</xdr:rowOff>
    </xdr:from>
    <xdr:to>
      <xdr:col>4</xdr:col>
      <xdr:colOff>161925</xdr:colOff>
      <xdr:row>38</xdr:row>
      <xdr:rowOff>28575</xdr:rowOff>
    </xdr:to>
    <xdr:sp macro="" textlink="">
      <xdr:nvSpPr>
        <xdr:cNvPr id="238019" name="Text Box 236">
          <a:extLst>
            <a:ext uri="{FF2B5EF4-FFF2-40B4-BE49-F238E27FC236}">
              <a16:creationId xmlns:a16="http://schemas.microsoft.com/office/drawing/2014/main" id="{707AE8CA-E512-4FDD-8D27-75BFCE1F5B95}"/>
            </a:ext>
          </a:extLst>
        </xdr:cNvPr>
        <xdr:cNvSpPr txBox="1">
          <a:spLocks noChangeArrowheads="1"/>
        </xdr:cNvSpPr>
      </xdr:nvSpPr>
      <xdr:spPr bwMode="auto">
        <a:xfrm>
          <a:off x="6524625" y="7943850"/>
          <a:ext cx="666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20" name="Text Box 237">
          <a:extLst>
            <a:ext uri="{FF2B5EF4-FFF2-40B4-BE49-F238E27FC236}">
              <a16:creationId xmlns:a16="http://schemas.microsoft.com/office/drawing/2014/main" id="{4A41A2AA-ECBD-4DD9-B2DB-856BC39ABD88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21" name="Text Box 238">
          <a:extLst>
            <a:ext uri="{FF2B5EF4-FFF2-40B4-BE49-F238E27FC236}">
              <a16:creationId xmlns:a16="http://schemas.microsoft.com/office/drawing/2014/main" id="{458CF163-F86A-4C81-8D8B-9AD71F136A29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22" name="Text Box 239">
          <a:extLst>
            <a:ext uri="{FF2B5EF4-FFF2-40B4-BE49-F238E27FC236}">
              <a16:creationId xmlns:a16="http://schemas.microsoft.com/office/drawing/2014/main" id="{8229863C-94F6-4D62-BC1A-188A77404D4A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23" name="Text Box 240">
          <a:extLst>
            <a:ext uri="{FF2B5EF4-FFF2-40B4-BE49-F238E27FC236}">
              <a16:creationId xmlns:a16="http://schemas.microsoft.com/office/drawing/2014/main" id="{30BA721A-1CA4-4B59-860A-5CFBA882305D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024" name="Text Box 241">
          <a:extLst>
            <a:ext uri="{FF2B5EF4-FFF2-40B4-BE49-F238E27FC236}">
              <a16:creationId xmlns:a16="http://schemas.microsoft.com/office/drawing/2014/main" id="{16896C5E-0ACE-4596-8FA2-5DA172F17D56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28</xdr:row>
      <xdr:rowOff>0</xdr:rowOff>
    </xdr:from>
    <xdr:to>
      <xdr:col>5</xdr:col>
      <xdr:colOff>9525</xdr:colOff>
      <xdr:row>30</xdr:row>
      <xdr:rowOff>28575</xdr:rowOff>
    </xdr:to>
    <xdr:sp macro="" textlink="">
      <xdr:nvSpPr>
        <xdr:cNvPr id="238025" name="Text Box 187">
          <a:extLst>
            <a:ext uri="{FF2B5EF4-FFF2-40B4-BE49-F238E27FC236}">
              <a16:creationId xmlns:a16="http://schemas.microsoft.com/office/drawing/2014/main" id="{CD6EA67F-D449-4CCE-AB3D-63E57D47EF62}"/>
            </a:ext>
          </a:extLst>
        </xdr:cNvPr>
        <xdr:cNvSpPr txBox="1">
          <a:spLocks noChangeArrowheads="1"/>
        </xdr:cNvSpPr>
      </xdr:nvSpPr>
      <xdr:spPr bwMode="auto">
        <a:xfrm>
          <a:off x="6743700" y="563880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9525</xdr:colOff>
      <xdr:row>37</xdr:row>
      <xdr:rowOff>66675</xdr:rowOff>
    </xdr:to>
    <xdr:sp macro="" textlink="">
      <xdr:nvSpPr>
        <xdr:cNvPr id="238026" name="Text Box 188">
          <a:extLst>
            <a:ext uri="{FF2B5EF4-FFF2-40B4-BE49-F238E27FC236}">
              <a16:creationId xmlns:a16="http://schemas.microsoft.com/office/drawing/2014/main" id="{80C640AE-C72F-4C8F-8FD2-B0391C2C1BC1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1905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9525</xdr:colOff>
      <xdr:row>38</xdr:row>
      <xdr:rowOff>47625</xdr:rowOff>
    </xdr:to>
    <xdr:sp macro="" textlink="">
      <xdr:nvSpPr>
        <xdr:cNvPr id="238027" name="Text Box 189">
          <a:extLst>
            <a:ext uri="{FF2B5EF4-FFF2-40B4-BE49-F238E27FC236}">
              <a16:creationId xmlns:a16="http://schemas.microsoft.com/office/drawing/2014/main" id="{AC401ADA-218E-4B66-8CAE-B27E43B20F13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19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9525</xdr:colOff>
      <xdr:row>38</xdr:row>
      <xdr:rowOff>47625</xdr:rowOff>
    </xdr:to>
    <xdr:sp macro="" textlink="">
      <xdr:nvSpPr>
        <xdr:cNvPr id="238028" name="Text Box 190">
          <a:extLst>
            <a:ext uri="{FF2B5EF4-FFF2-40B4-BE49-F238E27FC236}">
              <a16:creationId xmlns:a16="http://schemas.microsoft.com/office/drawing/2014/main" id="{4742B2BF-A587-4F15-8849-83DA09E51A7B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19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9525</xdr:colOff>
      <xdr:row>38</xdr:row>
      <xdr:rowOff>47625</xdr:rowOff>
    </xdr:to>
    <xdr:sp macro="" textlink="">
      <xdr:nvSpPr>
        <xdr:cNvPr id="238029" name="Text Box 191">
          <a:extLst>
            <a:ext uri="{FF2B5EF4-FFF2-40B4-BE49-F238E27FC236}">
              <a16:creationId xmlns:a16="http://schemas.microsoft.com/office/drawing/2014/main" id="{EC513EA8-8A25-4241-B4DA-9C81866B9540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19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9525</xdr:colOff>
      <xdr:row>38</xdr:row>
      <xdr:rowOff>47625</xdr:rowOff>
    </xdr:to>
    <xdr:sp macro="" textlink="">
      <xdr:nvSpPr>
        <xdr:cNvPr id="238030" name="Text Box 192">
          <a:extLst>
            <a:ext uri="{FF2B5EF4-FFF2-40B4-BE49-F238E27FC236}">
              <a16:creationId xmlns:a16="http://schemas.microsoft.com/office/drawing/2014/main" id="{CA930BB4-87BF-4A6D-8C0F-F7D37434DC82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19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031" name="Text Box 193">
          <a:extLst>
            <a:ext uri="{FF2B5EF4-FFF2-40B4-BE49-F238E27FC236}">
              <a16:creationId xmlns:a16="http://schemas.microsoft.com/office/drawing/2014/main" id="{FB3087F7-4B26-4F3E-BEA1-B7B8AC499FFD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032" name="Text Box 194">
          <a:extLst>
            <a:ext uri="{FF2B5EF4-FFF2-40B4-BE49-F238E27FC236}">
              <a16:creationId xmlns:a16="http://schemas.microsoft.com/office/drawing/2014/main" id="{6A3B5634-00A8-42CC-AE39-09C92F3FAAF3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033" name="Text Box 195">
          <a:extLst>
            <a:ext uri="{FF2B5EF4-FFF2-40B4-BE49-F238E27FC236}">
              <a16:creationId xmlns:a16="http://schemas.microsoft.com/office/drawing/2014/main" id="{46F5D0F8-B4F6-48EA-A3B4-35954D016D7B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28</xdr:row>
      <xdr:rowOff>0</xdr:rowOff>
    </xdr:from>
    <xdr:to>
      <xdr:col>5</xdr:col>
      <xdr:colOff>9525</xdr:colOff>
      <xdr:row>30</xdr:row>
      <xdr:rowOff>28575</xdr:rowOff>
    </xdr:to>
    <xdr:sp macro="" textlink="">
      <xdr:nvSpPr>
        <xdr:cNvPr id="238034" name="Text Box 193">
          <a:extLst>
            <a:ext uri="{FF2B5EF4-FFF2-40B4-BE49-F238E27FC236}">
              <a16:creationId xmlns:a16="http://schemas.microsoft.com/office/drawing/2014/main" id="{C7DC9BE6-ED43-4F19-A447-F2C8418F62D1}"/>
            </a:ext>
          </a:extLst>
        </xdr:cNvPr>
        <xdr:cNvSpPr txBox="1">
          <a:spLocks noChangeArrowheads="1"/>
        </xdr:cNvSpPr>
      </xdr:nvSpPr>
      <xdr:spPr bwMode="auto">
        <a:xfrm>
          <a:off x="6743700" y="563880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28</xdr:row>
      <xdr:rowOff>0</xdr:rowOff>
    </xdr:from>
    <xdr:to>
      <xdr:col>5</xdr:col>
      <xdr:colOff>9525</xdr:colOff>
      <xdr:row>30</xdr:row>
      <xdr:rowOff>28575</xdr:rowOff>
    </xdr:to>
    <xdr:sp macro="" textlink="">
      <xdr:nvSpPr>
        <xdr:cNvPr id="238035" name="Text Box 194">
          <a:extLst>
            <a:ext uri="{FF2B5EF4-FFF2-40B4-BE49-F238E27FC236}">
              <a16:creationId xmlns:a16="http://schemas.microsoft.com/office/drawing/2014/main" id="{C4C767A9-3B42-487E-8EB6-B408AFB2C401}"/>
            </a:ext>
          </a:extLst>
        </xdr:cNvPr>
        <xdr:cNvSpPr txBox="1">
          <a:spLocks noChangeArrowheads="1"/>
        </xdr:cNvSpPr>
      </xdr:nvSpPr>
      <xdr:spPr bwMode="auto">
        <a:xfrm>
          <a:off x="6743700" y="563880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28</xdr:row>
      <xdr:rowOff>0</xdr:rowOff>
    </xdr:from>
    <xdr:to>
      <xdr:col>5</xdr:col>
      <xdr:colOff>9525</xdr:colOff>
      <xdr:row>30</xdr:row>
      <xdr:rowOff>28575</xdr:rowOff>
    </xdr:to>
    <xdr:sp macro="" textlink="">
      <xdr:nvSpPr>
        <xdr:cNvPr id="238036" name="Text Box 195">
          <a:extLst>
            <a:ext uri="{FF2B5EF4-FFF2-40B4-BE49-F238E27FC236}">
              <a16:creationId xmlns:a16="http://schemas.microsoft.com/office/drawing/2014/main" id="{35772787-4CA5-4BA9-ACF0-E2D7B3C12BC0}"/>
            </a:ext>
          </a:extLst>
        </xdr:cNvPr>
        <xdr:cNvSpPr txBox="1">
          <a:spLocks noChangeArrowheads="1"/>
        </xdr:cNvSpPr>
      </xdr:nvSpPr>
      <xdr:spPr bwMode="auto">
        <a:xfrm>
          <a:off x="6743700" y="563880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9525</xdr:colOff>
      <xdr:row>26</xdr:row>
      <xdr:rowOff>95250</xdr:rowOff>
    </xdr:to>
    <xdr:sp macro="" textlink="">
      <xdr:nvSpPr>
        <xdr:cNvPr id="238037" name="Text Box 193">
          <a:extLst>
            <a:ext uri="{FF2B5EF4-FFF2-40B4-BE49-F238E27FC236}">
              <a16:creationId xmlns:a16="http://schemas.microsoft.com/office/drawing/2014/main" id="{F1EA8F94-B51E-423E-86F0-065172E44B94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190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9525</xdr:colOff>
      <xdr:row>26</xdr:row>
      <xdr:rowOff>95250</xdr:rowOff>
    </xdr:to>
    <xdr:sp macro="" textlink="">
      <xdr:nvSpPr>
        <xdr:cNvPr id="238038" name="Text Box 194">
          <a:extLst>
            <a:ext uri="{FF2B5EF4-FFF2-40B4-BE49-F238E27FC236}">
              <a16:creationId xmlns:a16="http://schemas.microsoft.com/office/drawing/2014/main" id="{AC0A1003-97D6-4850-A93A-8AB45E53CA99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190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9525</xdr:colOff>
      <xdr:row>26</xdr:row>
      <xdr:rowOff>95250</xdr:rowOff>
    </xdr:to>
    <xdr:sp macro="" textlink="">
      <xdr:nvSpPr>
        <xdr:cNvPr id="238039" name="Text Box 195">
          <a:extLst>
            <a:ext uri="{FF2B5EF4-FFF2-40B4-BE49-F238E27FC236}">
              <a16:creationId xmlns:a16="http://schemas.microsoft.com/office/drawing/2014/main" id="{F6E5958B-6D33-4C30-9019-038BC6324332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190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040" name="Text Box 193">
          <a:extLst>
            <a:ext uri="{FF2B5EF4-FFF2-40B4-BE49-F238E27FC236}">
              <a16:creationId xmlns:a16="http://schemas.microsoft.com/office/drawing/2014/main" id="{2C83AAB0-B42A-4070-8F21-3284C2034D00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041" name="Text Box 194">
          <a:extLst>
            <a:ext uri="{FF2B5EF4-FFF2-40B4-BE49-F238E27FC236}">
              <a16:creationId xmlns:a16="http://schemas.microsoft.com/office/drawing/2014/main" id="{994618BC-026A-4F69-A876-874C5AD27F73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042" name="Text Box 195">
          <a:extLst>
            <a:ext uri="{FF2B5EF4-FFF2-40B4-BE49-F238E27FC236}">
              <a16:creationId xmlns:a16="http://schemas.microsoft.com/office/drawing/2014/main" id="{C5D9220A-BC3B-4EE0-8457-AC2C5DBE7EE8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39</xdr:row>
      <xdr:rowOff>219075</xdr:rowOff>
    </xdr:from>
    <xdr:to>
      <xdr:col>5</xdr:col>
      <xdr:colOff>9525</xdr:colOff>
      <xdr:row>41</xdr:row>
      <xdr:rowOff>19050</xdr:rowOff>
    </xdr:to>
    <xdr:sp macro="" textlink="">
      <xdr:nvSpPr>
        <xdr:cNvPr id="238043" name="Text Box 193">
          <a:extLst>
            <a:ext uri="{FF2B5EF4-FFF2-40B4-BE49-F238E27FC236}">
              <a16:creationId xmlns:a16="http://schemas.microsoft.com/office/drawing/2014/main" id="{000EEEC8-4C64-4B21-82DF-BAE9DD1DB679}"/>
            </a:ext>
          </a:extLst>
        </xdr:cNvPr>
        <xdr:cNvSpPr txBox="1">
          <a:spLocks noChangeArrowheads="1"/>
        </xdr:cNvSpPr>
      </xdr:nvSpPr>
      <xdr:spPr bwMode="auto">
        <a:xfrm>
          <a:off x="6743700" y="8410575"/>
          <a:ext cx="190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39</xdr:row>
      <xdr:rowOff>219075</xdr:rowOff>
    </xdr:from>
    <xdr:to>
      <xdr:col>5</xdr:col>
      <xdr:colOff>9525</xdr:colOff>
      <xdr:row>41</xdr:row>
      <xdr:rowOff>19050</xdr:rowOff>
    </xdr:to>
    <xdr:sp macro="" textlink="">
      <xdr:nvSpPr>
        <xdr:cNvPr id="238044" name="Text Box 194">
          <a:extLst>
            <a:ext uri="{FF2B5EF4-FFF2-40B4-BE49-F238E27FC236}">
              <a16:creationId xmlns:a16="http://schemas.microsoft.com/office/drawing/2014/main" id="{FCD07A41-6024-400F-8592-50772E61BA33}"/>
            </a:ext>
          </a:extLst>
        </xdr:cNvPr>
        <xdr:cNvSpPr txBox="1">
          <a:spLocks noChangeArrowheads="1"/>
        </xdr:cNvSpPr>
      </xdr:nvSpPr>
      <xdr:spPr bwMode="auto">
        <a:xfrm>
          <a:off x="6743700" y="8410575"/>
          <a:ext cx="190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39</xdr:row>
      <xdr:rowOff>219075</xdr:rowOff>
    </xdr:from>
    <xdr:to>
      <xdr:col>5</xdr:col>
      <xdr:colOff>9525</xdr:colOff>
      <xdr:row>41</xdr:row>
      <xdr:rowOff>19050</xdr:rowOff>
    </xdr:to>
    <xdr:sp macro="" textlink="">
      <xdr:nvSpPr>
        <xdr:cNvPr id="238045" name="Text Box 195">
          <a:extLst>
            <a:ext uri="{FF2B5EF4-FFF2-40B4-BE49-F238E27FC236}">
              <a16:creationId xmlns:a16="http://schemas.microsoft.com/office/drawing/2014/main" id="{29CDCDF5-E25A-4B90-9467-A1524F3151D9}"/>
            </a:ext>
          </a:extLst>
        </xdr:cNvPr>
        <xdr:cNvSpPr txBox="1">
          <a:spLocks noChangeArrowheads="1"/>
        </xdr:cNvSpPr>
      </xdr:nvSpPr>
      <xdr:spPr bwMode="auto">
        <a:xfrm>
          <a:off x="6743700" y="8410575"/>
          <a:ext cx="190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9525</xdr:colOff>
      <xdr:row>29</xdr:row>
      <xdr:rowOff>28575</xdr:rowOff>
    </xdr:to>
    <xdr:sp macro="" textlink="">
      <xdr:nvSpPr>
        <xdr:cNvPr id="238046" name="Text Box 187">
          <a:extLst>
            <a:ext uri="{FF2B5EF4-FFF2-40B4-BE49-F238E27FC236}">
              <a16:creationId xmlns:a16="http://schemas.microsoft.com/office/drawing/2014/main" id="{79E635F3-54F2-4735-829E-C5E5052B207E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9525</xdr:colOff>
      <xdr:row>29</xdr:row>
      <xdr:rowOff>28575</xdr:rowOff>
    </xdr:to>
    <xdr:sp macro="" textlink="">
      <xdr:nvSpPr>
        <xdr:cNvPr id="238047" name="Text Box 193">
          <a:extLst>
            <a:ext uri="{FF2B5EF4-FFF2-40B4-BE49-F238E27FC236}">
              <a16:creationId xmlns:a16="http://schemas.microsoft.com/office/drawing/2014/main" id="{014A23A2-2D59-4226-A738-FB23B4728DB2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9525</xdr:colOff>
      <xdr:row>29</xdr:row>
      <xdr:rowOff>28575</xdr:rowOff>
    </xdr:to>
    <xdr:sp macro="" textlink="">
      <xdr:nvSpPr>
        <xdr:cNvPr id="238048" name="Text Box 194">
          <a:extLst>
            <a:ext uri="{FF2B5EF4-FFF2-40B4-BE49-F238E27FC236}">
              <a16:creationId xmlns:a16="http://schemas.microsoft.com/office/drawing/2014/main" id="{55D68E46-DB49-485F-8D20-DF53C93147C4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9525</xdr:colOff>
      <xdr:row>29</xdr:row>
      <xdr:rowOff>28575</xdr:rowOff>
    </xdr:to>
    <xdr:sp macro="" textlink="">
      <xdr:nvSpPr>
        <xdr:cNvPr id="238049" name="Text Box 195">
          <a:extLst>
            <a:ext uri="{FF2B5EF4-FFF2-40B4-BE49-F238E27FC236}">
              <a16:creationId xmlns:a16="http://schemas.microsoft.com/office/drawing/2014/main" id="{9365411D-8DDC-41F5-BA7D-4A936B97DEB1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9525</xdr:colOff>
      <xdr:row>26</xdr:row>
      <xdr:rowOff>285750</xdr:rowOff>
    </xdr:to>
    <xdr:sp macro="" textlink="">
      <xdr:nvSpPr>
        <xdr:cNvPr id="238050" name="Text Box 193">
          <a:extLst>
            <a:ext uri="{FF2B5EF4-FFF2-40B4-BE49-F238E27FC236}">
              <a16:creationId xmlns:a16="http://schemas.microsoft.com/office/drawing/2014/main" id="{C43DB10B-7CC5-442C-98F0-5FEB9264D0A7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9525</xdr:colOff>
      <xdr:row>26</xdr:row>
      <xdr:rowOff>285750</xdr:rowOff>
    </xdr:to>
    <xdr:sp macro="" textlink="">
      <xdr:nvSpPr>
        <xdr:cNvPr id="238051" name="Text Box 194">
          <a:extLst>
            <a:ext uri="{FF2B5EF4-FFF2-40B4-BE49-F238E27FC236}">
              <a16:creationId xmlns:a16="http://schemas.microsoft.com/office/drawing/2014/main" id="{287E6437-F1DE-40AB-8200-6FE3BB357744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9525</xdr:colOff>
      <xdr:row>26</xdr:row>
      <xdr:rowOff>285750</xdr:rowOff>
    </xdr:to>
    <xdr:sp macro="" textlink="">
      <xdr:nvSpPr>
        <xdr:cNvPr id="238052" name="Text Box 195">
          <a:extLst>
            <a:ext uri="{FF2B5EF4-FFF2-40B4-BE49-F238E27FC236}">
              <a16:creationId xmlns:a16="http://schemas.microsoft.com/office/drawing/2014/main" id="{B984B834-C5FC-4FAD-ACE8-B6E3DCBE372E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57150</xdr:colOff>
      <xdr:row>18</xdr:row>
      <xdr:rowOff>285750</xdr:rowOff>
    </xdr:to>
    <xdr:sp macro="" textlink="">
      <xdr:nvSpPr>
        <xdr:cNvPr id="238053" name="Text Box 215">
          <a:extLst>
            <a:ext uri="{FF2B5EF4-FFF2-40B4-BE49-F238E27FC236}">
              <a16:creationId xmlns:a16="http://schemas.microsoft.com/office/drawing/2014/main" id="{453A302C-0460-4E49-A264-CAA28DC135CB}"/>
            </a:ext>
          </a:extLst>
        </xdr:cNvPr>
        <xdr:cNvSpPr txBox="1">
          <a:spLocks noChangeArrowheads="1"/>
        </xdr:cNvSpPr>
      </xdr:nvSpPr>
      <xdr:spPr bwMode="auto">
        <a:xfrm>
          <a:off x="6429375" y="3286125"/>
          <a:ext cx="5715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54" name="Text Box 1">
          <a:extLst>
            <a:ext uri="{FF2B5EF4-FFF2-40B4-BE49-F238E27FC236}">
              <a16:creationId xmlns:a16="http://schemas.microsoft.com/office/drawing/2014/main" id="{85619C33-5D18-4685-9D72-EFF9083C05B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55" name="Text Box 23">
          <a:extLst>
            <a:ext uri="{FF2B5EF4-FFF2-40B4-BE49-F238E27FC236}">
              <a16:creationId xmlns:a16="http://schemas.microsoft.com/office/drawing/2014/main" id="{651056F9-C3CD-4A78-8219-E18F2DD1734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56" name="Text Box 24">
          <a:extLst>
            <a:ext uri="{FF2B5EF4-FFF2-40B4-BE49-F238E27FC236}">
              <a16:creationId xmlns:a16="http://schemas.microsoft.com/office/drawing/2014/main" id="{A8B7F9F8-3A3B-46CE-9D50-1242AB4990A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57" name="Text Box 25">
          <a:extLst>
            <a:ext uri="{FF2B5EF4-FFF2-40B4-BE49-F238E27FC236}">
              <a16:creationId xmlns:a16="http://schemas.microsoft.com/office/drawing/2014/main" id="{3E34FCE5-9930-4AF1-8BA0-56FF1228B9E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58" name="Text Box 26">
          <a:extLst>
            <a:ext uri="{FF2B5EF4-FFF2-40B4-BE49-F238E27FC236}">
              <a16:creationId xmlns:a16="http://schemas.microsoft.com/office/drawing/2014/main" id="{073DA574-C61E-470F-AF8A-C490C6565E2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59" name="Text Box 27">
          <a:extLst>
            <a:ext uri="{FF2B5EF4-FFF2-40B4-BE49-F238E27FC236}">
              <a16:creationId xmlns:a16="http://schemas.microsoft.com/office/drawing/2014/main" id="{109C7E9E-80A9-418C-BA4F-9AC04E21497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0" name="Text Box 28">
          <a:extLst>
            <a:ext uri="{FF2B5EF4-FFF2-40B4-BE49-F238E27FC236}">
              <a16:creationId xmlns:a16="http://schemas.microsoft.com/office/drawing/2014/main" id="{2331A6E9-B9B8-484B-B918-C792AAA67EE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1" name="Text Box 29">
          <a:extLst>
            <a:ext uri="{FF2B5EF4-FFF2-40B4-BE49-F238E27FC236}">
              <a16:creationId xmlns:a16="http://schemas.microsoft.com/office/drawing/2014/main" id="{E3594AD1-6780-45B3-AB88-2D8436E4456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2" name="Text Box 30">
          <a:extLst>
            <a:ext uri="{FF2B5EF4-FFF2-40B4-BE49-F238E27FC236}">
              <a16:creationId xmlns:a16="http://schemas.microsoft.com/office/drawing/2014/main" id="{CBFA69A9-16AC-478C-8C6F-E4073321A61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3" name="Text Box 31">
          <a:extLst>
            <a:ext uri="{FF2B5EF4-FFF2-40B4-BE49-F238E27FC236}">
              <a16:creationId xmlns:a16="http://schemas.microsoft.com/office/drawing/2014/main" id="{B8C0E157-E29B-4640-A5CB-62D6D30CBB6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4" name="Text Box 32">
          <a:extLst>
            <a:ext uri="{FF2B5EF4-FFF2-40B4-BE49-F238E27FC236}">
              <a16:creationId xmlns:a16="http://schemas.microsoft.com/office/drawing/2014/main" id="{AD40303F-98AB-4F4C-987C-AA92A126DE8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5" name="Text Box 33">
          <a:extLst>
            <a:ext uri="{FF2B5EF4-FFF2-40B4-BE49-F238E27FC236}">
              <a16:creationId xmlns:a16="http://schemas.microsoft.com/office/drawing/2014/main" id="{B0E94D8D-3F92-45BD-AAEC-D94D927E6D0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6" name="Text Box 34">
          <a:extLst>
            <a:ext uri="{FF2B5EF4-FFF2-40B4-BE49-F238E27FC236}">
              <a16:creationId xmlns:a16="http://schemas.microsoft.com/office/drawing/2014/main" id="{BA46AF9F-3789-4336-8660-F45E47FA3EF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7" name="Text Box 35">
          <a:extLst>
            <a:ext uri="{FF2B5EF4-FFF2-40B4-BE49-F238E27FC236}">
              <a16:creationId xmlns:a16="http://schemas.microsoft.com/office/drawing/2014/main" id="{F86C7106-0FEC-4190-B5BD-DE0DB744165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8" name="Text Box 36">
          <a:extLst>
            <a:ext uri="{FF2B5EF4-FFF2-40B4-BE49-F238E27FC236}">
              <a16:creationId xmlns:a16="http://schemas.microsoft.com/office/drawing/2014/main" id="{36EA8820-CBBE-46B9-911D-7D0C36D5C0A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69" name="Text Box 37">
          <a:extLst>
            <a:ext uri="{FF2B5EF4-FFF2-40B4-BE49-F238E27FC236}">
              <a16:creationId xmlns:a16="http://schemas.microsoft.com/office/drawing/2014/main" id="{DAF7D6F2-B0C2-4987-9CB0-112FC95DD78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0" name="Text Box 38">
          <a:extLst>
            <a:ext uri="{FF2B5EF4-FFF2-40B4-BE49-F238E27FC236}">
              <a16:creationId xmlns:a16="http://schemas.microsoft.com/office/drawing/2014/main" id="{3321D5F7-6758-4588-A9A7-ADA36D521DA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1" name="Text Box 39">
          <a:extLst>
            <a:ext uri="{FF2B5EF4-FFF2-40B4-BE49-F238E27FC236}">
              <a16:creationId xmlns:a16="http://schemas.microsoft.com/office/drawing/2014/main" id="{595F2AD3-B177-4525-BD44-FDA31E77458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2" name="Text Box 40">
          <a:extLst>
            <a:ext uri="{FF2B5EF4-FFF2-40B4-BE49-F238E27FC236}">
              <a16:creationId xmlns:a16="http://schemas.microsoft.com/office/drawing/2014/main" id="{7781CB5A-4E75-4CD8-B3C1-1C77AD5D7A6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3" name="Text Box 41">
          <a:extLst>
            <a:ext uri="{FF2B5EF4-FFF2-40B4-BE49-F238E27FC236}">
              <a16:creationId xmlns:a16="http://schemas.microsoft.com/office/drawing/2014/main" id="{3AFE4866-2B73-4392-B5FE-2B967B3BCF8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4" name="Text Box 42">
          <a:extLst>
            <a:ext uri="{FF2B5EF4-FFF2-40B4-BE49-F238E27FC236}">
              <a16:creationId xmlns:a16="http://schemas.microsoft.com/office/drawing/2014/main" id="{320DFCC7-9648-4250-8B3A-441AB33A435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5" name="Text Box 43">
          <a:extLst>
            <a:ext uri="{FF2B5EF4-FFF2-40B4-BE49-F238E27FC236}">
              <a16:creationId xmlns:a16="http://schemas.microsoft.com/office/drawing/2014/main" id="{878D0597-1E10-498B-980C-0F7381AD329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6" name="Text Box 44">
          <a:extLst>
            <a:ext uri="{FF2B5EF4-FFF2-40B4-BE49-F238E27FC236}">
              <a16:creationId xmlns:a16="http://schemas.microsoft.com/office/drawing/2014/main" id="{6AF61D0B-98EA-4FB9-BB00-A92E412B28F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7" name="Text Box 45">
          <a:extLst>
            <a:ext uri="{FF2B5EF4-FFF2-40B4-BE49-F238E27FC236}">
              <a16:creationId xmlns:a16="http://schemas.microsoft.com/office/drawing/2014/main" id="{675E9CAC-914A-42D3-8289-87C00652D38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8" name="Text Box 46">
          <a:extLst>
            <a:ext uri="{FF2B5EF4-FFF2-40B4-BE49-F238E27FC236}">
              <a16:creationId xmlns:a16="http://schemas.microsoft.com/office/drawing/2014/main" id="{BD75D425-28D2-4D79-9FEF-5FE805E1F07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79" name="Text Box 47">
          <a:extLst>
            <a:ext uri="{FF2B5EF4-FFF2-40B4-BE49-F238E27FC236}">
              <a16:creationId xmlns:a16="http://schemas.microsoft.com/office/drawing/2014/main" id="{7A9BD462-C5EC-45AF-B8EC-880902974A2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0" name="Text Box 48">
          <a:extLst>
            <a:ext uri="{FF2B5EF4-FFF2-40B4-BE49-F238E27FC236}">
              <a16:creationId xmlns:a16="http://schemas.microsoft.com/office/drawing/2014/main" id="{4C8E9E3F-993B-4C98-8ED4-F4BB86ED5FA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1" name="Text Box 49">
          <a:extLst>
            <a:ext uri="{FF2B5EF4-FFF2-40B4-BE49-F238E27FC236}">
              <a16:creationId xmlns:a16="http://schemas.microsoft.com/office/drawing/2014/main" id="{073FFD39-D57A-40A5-BE41-0BFD166776E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2" name="Text Box 50">
          <a:extLst>
            <a:ext uri="{FF2B5EF4-FFF2-40B4-BE49-F238E27FC236}">
              <a16:creationId xmlns:a16="http://schemas.microsoft.com/office/drawing/2014/main" id="{514EA88E-12C7-42E4-9457-3DF656EF51D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3" name="Text Box 51">
          <a:extLst>
            <a:ext uri="{FF2B5EF4-FFF2-40B4-BE49-F238E27FC236}">
              <a16:creationId xmlns:a16="http://schemas.microsoft.com/office/drawing/2014/main" id="{4192E76E-B1DF-4A25-B0FA-EC96C816ECC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4" name="Text Box 52">
          <a:extLst>
            <a:ext uri="{FF2B5EF4-FFF2-40B4-BE49-F238E27FC236}">
              <a16:creationId xmlns:a16="http://schemas.microsoft.com/office/drawing/2014/main" id="{8A263373-2520-4542-BD81-FB33CB7BEB7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5" name="Text Box 53">
          <a:extLst>
            <a:ext uri="{FF2B5EF4-FFF2-40B4-BE49-F238E27FC236}">
              <a16:creationId xmlns:a16="http://schemas.microsoft.com/office/drawing/2014/main" id="{BA6189E7-6664-447A-BCEB-B6BCEF34CC7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6" name="Text Box 54">
          <a:extLst>
            <a:ext uri="{FF2B5EF4-FFF2-40B4-BE49-F238E27FC236}">
              <a16:creationId xmlns:a16="http://schemas.microsoft.com/office/drawing/2014/main" id="{670F5691-77CE-47BB-BDAA-E2741B36799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7" name="Text Box 55">
          <a:extLst>
            <a:ext uri="{FF2B5EF4-FFF2-40B4-BE49-F238E27FC236}">
              <a16:creationId xmlns:a16="http://schemas.microsoft.com/office/drawing/2014/main" id="{6E642951-D66D-453C-8731-79570873127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8" name="Text Box 56">
          <a:extLst>
            <a:ext uri="{FF2B5EF4-FFF2-40B4-BE49-F238E27FC236}">
              <a16:creationId xmlns:a16="http://schemas.microsoft.com/office/drawing/2014/main" id="{0AB970A9-F170-41AD-BA7C-07BCB604387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89" name="Text Box 57">
          <a:extLst>
            <a:ext uri="{FF2B5EF4-FFF2-40B4-BE49-F238E27FC236}">
              <a16:creationId xmlns:a16="http://schemas.microsoft.com/office/drawing/2014/main" id="{4CC6CAC4-098B-4728-B3C3-BBE4CE0A3A7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0" name="Text Box 58">
          <a:extLst>
            <a:ext uri="{FF2B5EF4-FFF2-40B4-BE49-F238E27FC236}">
              <a16:creationId xmlns:a16="http://schemas.microsoft.com/office/drawing/2014/main" id="{7CDAB517-0F29-47B6-9FFC-DE2D6042E9C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1" name="Text Box 59">
          <a:extLst>
            <a:ext uri="{FF2B5EF4-FFF2-40B4-BE49-F238E27FC236}">
              <a16:creationId xmlns:a16="http://schemas.microsoft.com/office/drawing/2014/main" id="{0C8A4EE5-B258-41AD-ADE1-FCDD6FD7064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2" name="Text Box 60">
          <a:extLst>
            <a:ext uri="{FF2B5EF4-FFF2-40B4-BE49-F238E27FC236}">
              <a16:creationId xmlns:a16="http://schemas.microsoft.com/office/drawing/2014/main" id="{F5CC8E2B-2355-4905-B881-E78A6D6C0EF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3" name="Text Box 61">
          <a:extLst>
            <a:ext uri="{FF2B5EF4-FFF2-40B4-BE49-F238E27FC236}">
              <a16:creationId xmlns:a16="http://schemas.microsoft.com/office/drawing/2014/main" id="{75EF6B11-2686-49C7-8B2C-3F37080F431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4" name="Text Box 62">
          <a:extLst>
            <a:ext uri="{FF2B5EF4-FFF2-40B4-BE49-F238E27FC236}">
              <a16:creationId xmlns:a16="http://schemas.microsoft.com/office/drawing/2014/main" id="{1175C754-EF25-4789-A9DF-15427CFB16C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5" name="Text Box 63">
          <a:extLst>
            <a:ext uri="{FF2B5EF4-FFF2-40B4-BE49-F238E27FC236}">
              <a16:creationId xmlns:a16="http://schemas.microsoft.com/office/drawing/2014/main" id="{FD16D771-D090-4191-A90E-00DA19F77BB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6" name="Text Box 64">
          <a:extLst>
            <a:ext uri="{FF2B5EF4-FFF2-40B4-BE49-F238E27FC236}">
              <a16:creationId xmlns:a16="http://schemas.microsoft.com/office/drawing/2014/main" id="{CBE4E4F0-7381-47B0-B91C-063A21CCA05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7" name="Text Box 65">
          <a:extLst>
            <a:ext uri="{FF2B5EF4-FFF2-40B4-BE49-F238E27FC236}">
              <a16:creationId xmlns:a16="http://schemas.microsoft.com/office/drawing/2014/main" id="{BB967CCD-1D1C-4D6C-9344-58E509D4733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8" name="Text Box 66">
          <a:extLst>
            <a:ext uri="{FF2B5EF4-FFF2-40B4-BE49-F238E27FC236}">
              <a16:creationId xmlns:a16="http://schemas.microsoft.com/office/drawing/2014/main" id="{06FDFA24-F4AE-4B4A-9518-37F5D85A7A4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099" name="Text Box 67">
          <a:extLst>
            <a:ext uri="{FF2B5EF4-FFF2-40B4-BE49-F238E27FC236}">
              <a16:creationId xmlns:a16="http://schemas.microsoft.com/office/drawing/2014/main" id="{09D38AF5-F927-4133-9805-2603B7C4FC1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00" name="Text Box 68">
          <a:extLst>
            <a:ext uri="{FF2B5EF4-FFF2-40B4-BE49-F238E27FC236}">
              <a16:creationId xmlns:a16="http://schemas.microsoft.com/office/drawing/2014/main" id="{FC285F2D-AB57-467C-80B5-62EC3A4AD1E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01" name="Text Box 69">
          <a:extLst>
            <a:ext uri="{FF2B5EF4-FFF2-40B4-BE49-F238E27FC236}">
              <a16:creationId xmlns:a16="http://schemas.microsoft.com/office/drawing/2014/main" id="{6333233C-A640-4735-9863-F5E78342D1D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02" name="Text Box 70">
          <a:extLst>
            <a:ext uri="{FF2B5EF4-FFF2-40B4-BE49-F238E27FC236}">
              <a16:creationId xmlns:a16="http://schemas.microsoft.com/office/drawing/2014/main" id="{E8658AB8-C9B4-46E9-9130-DA6670D70FA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42</xdr:row>
      <xdr:rowOff>85725</xdr:rowOff>
    </xdr:from>
    <xdr:to>
      <xdr:col>5</xdr:col>
      <xdr:colOff>85725</xdr:colOff>
      <xdr:row>43</xdr:row>
      <xdr:rowOff>85725</xdr:rowOff>
    </xdr:to>
    <xdr:sp macro="" textlink="">
      <xdr:nvSpPr>
        <xdr:cNvPr id="238103" name="Text Box 71">
          <a:extLst>
            <a:ext uri="{FF2B5EF4-FFF2-40B4-BE49-F238E27FC236}">
              <a16:creationId xmlns:a16="http://schemas.microsoft.com/office/drawing/2014/main" id="{65E7EA4C-24E0-48ED-9F1F-ED7266B18697}"/>
            </a:ext>
          </a:extLst>
        </xdr:cNvPr>
        <xdr:cNvSpPr txBox="1">
          <a:spLocks noChangeArrowheads="1"/>
        </xdr:cNvSpPr>
      </xdr:nvSpPr>
      <xdr:spPr bwMode="auto">
        <a:xfrm>
          <a:off x="6762750" y="8982075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04" name="Text Box 72">
          <a:extLst>
            <a:ext uri="{FF2B5EF4-FFF2-40B4-BE49-F238E27FC236}">
              <a16:creationId xmlns:a16="http://schemas.microsoft.com/office/drawing/2014/main" id="{4C45F6EC-7744-4A9F-8F99-36E86439627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05" name="Text Box 73">
          <a:extLst>
            <a:ext uri="{FF2B5EF4-FFF2-40B4-BE49-F238E27FC236}">
              <a16:creationId xmlns:a16="http://schemas.microsoft.com/office/drawing/2014/main" id="{6AC25249-A300-4F4F-8E59-9AA10F6BDCC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06" name="Text Box 77">
          <a:extLst>
            <a:ext uri="{FF2B5EF4-FFF2-40B4-BE49-F238E27FC236}">
              <a16:creationId xmlns:a16="http://schemas.microsoft.com/office/drawing/2014/main" id="{0247FB5E-3C25-4572-96FB-31A1ABC2A2D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07" name="Text Box 78">
          <a:extLst>
            <a:ext uri="{FF2B5EF4-FFF2-40B4-BE49-F238E27FC236}">
              <a16:creationId xmlns:a16="http://schemas.microsoft.com/office/drawing/2014/main" id="{4B7E917C-7340-410C-B40C-BA3E155EFF5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08" name="Text Box 79">
          <a:extLst>
            <a:ext uri="{FF2B5EF4-FFF2-40B4-BE49-F238E27FC236}">
              <a16:creationId xmlns:a16="http://schemas.microsoft.com/office/drawing/2014/main" id="{945AF312-5187-4B9F-AF56-51C638521FA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09" name="Text Box 80">
          <a:extLst>
            <a:ext uri="{FF2B5EF4-FFF2-40B4-BE49-F238E27FC236}">
              <a16:creationId xmlns:a16="http://schemas.microsoft.com/office/drawing/2014/main" id="{C81204F6-25CC-445F-8E99-43095EB9CA3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10" name="Text Box 81">
          <a:extLst>
            <a:ext uri="{FF2B5EF4-FFF2-40B4-BE49-F238E27FC236}">
              <a16:creationId xmlns:a16="http://schemas.microsoft.com/office/drawing/2014/main" id="{F8B4BE16-8582-493D-B6DC-0F31AEE3589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11" name="Text Box 82">
          <a:extLst>
            <a:ext uri="{FF2B5EF4-FFF2-40B4-BE49-F238E27FC236}">
              <a16:creationId xmlns:a16="http://schemas.microsoft.com/office/drawing/2014/main" id="{61133CFC-4A35-4352-ACA9-92570A2B746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42</xdr:row>
      <xdr:rowOff>85725</xdr:rowOff>
    </xdr:from>
    <xdr:to>
      <xdr:col>4</xdr:col>
      <xdr:colOff>295275</xdr:colOff>
      <xdr:row>43</xdr:row>
      <xdr:rowOff>85725</xdr:rowOff>
    </xdr:to>
    <xdr:sp macro="" textlink="">
      <xdr:nvSpPr>
        <xdr:cNvPr id="238112" name="Text Box 83">
          <a:extLst>
            <a:ext uri="{FF2B5EF4-FFF2-40B4-BE49-F238E27FC236}">
              <a16:creationId xmlns:a16="http://schemas.microsoft.com/office/drawing/2014/main" id="{75A4E040-568D-4A53-AF5A-F78A0F8D911E}"/>
            </a:ext>
          </a:extLst>
        </xdr:cNvPr>
        <xdr:cNvSpPr txBox="1">
          <a:spLocks noChangeArrowheads="1"/>
        </xdr:cNvSpPr>
      </xdr:nvSpPr>
      <xdr:spPr bwMode="auto">
        <a:xfrm>
          <a:off x="6686550" y="8982075"/>
          <a:ext cx="381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13" name="Text Box 84">
          <a:extLst>
            <a:ext uri="{FF2B5EF4-FFF2-40B4-BE49-F238E27FC236}">
              <a16:creationId xmlns:a16="http://schemas.microsoft.com/office/drawing/2014/main" id="{45674413-9175-444D-8A2A-D2B37774A88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14" name="Text Box 85">
          <a:extLst>
            <a:ext uri="{FF2B5EF4-FFF2-40B4-BE49-F238E27FC236}">
              <a16:creationId xmlns:a16="http://schemas.microsoft.com/office/drawing/2014/main" id="{B596E9F9-9923-40BA-A128-06D2D1466FA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15" name="Text Box 89">
          <a:extLst>
            <a:ext uri="{FF2B5EF4-FFF2-40B4-BE49-F238E27FC236}">
              <a16:creationId xmlns:a16="http://schemas.microsoft.com/office/drawing/2014/main" id="{65540F59-CA0A-483E-8ACC-892999EE52E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16" name="Text Box 90">
          <a:extLst>
            <a:ext uri="{FF2B5EF4-FFF2-40B4-BE49-F238E27FC236}">
              <a16:creationId xmlns:a16="http://schemas.microsoft.com/office/drawing/2014/main" id="{4D6B6FA2-D73A-4989-B9BC-B5B338A400A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17" name="Text Box 91">
          <a:extLst>
            <a:ext uri="{FF2B5EF4-FFF2-40B4-BE49-F238E27FC236}">
              <a16:creationId xmlns:a16="http://schemas.microsoft.com/office/drawing/2014/main" id="{A19DFC51-216D-4758-9BEC-900CDFA8085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18" name="Text Box 92">
          <a:extLst>
            <a:ext uri="{FF2B5EF4-FFF2-40B4-BE49-F238E27FC236}">
              <a16:creationId xmlns:a16="http://schemas.microsoft.com/office/drawing/2014/main" id="{CD1FD2AE-1B47-420D-B017-EDCC9D80FBE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19" name="Text Box 93">
          <a:extLst>
            <a:ext uri="{FF2B5EF4-FFF2-40B4-BE49-F238E27FC236}">
              <a16:creationId xmlns:a16="http://schemas.microsoft.com/office/drawing/2014/main" id="{6F66B1D9-7E2D-4E79-8729-E4F879E464A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0" name="Text Box 94">
          <a:extLst>
            <a:ext uri="{FF2B5EF4-FFF2-40B4-BE49-F238E27FC236}">
              <a16:creationId xmlns:a16="http://schemas.microsoft.com/office/drawing/2014/main" id="{7DE439BB-AADD-4753-B3F3-D685A2A0469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1" name="Text Box 95">
          <a:extLst>
            <a:ext uri="{FF2B5EF4-FFF2-40B4-BE49-F238E27FC236}">
              <a16:creationId xmlns:a16="http://schemas.microsoft.com/office/drawing/2014/main" id="{78D5D407-C919-4217-A2BC-3B11E4077EF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2" name="Text Box 96">
          <a:extLst>
            <a:ext uri="{FF2B5EF4-FFF2-40B4-BE49-F238E27FC236}">
              <a16:creationId xmlns:a16="http://schemas.microsoft.com/office/drawing/2014/main" id="{2060F1FB-4B29-4360-8806-AAA20D8C786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3" name="Text Box 97">
          <a:extLst>
            <a:ext uri="{FF2B5EF4-FFF2-40B4-BE49-F238E27FC236}">
              <a16:creationId xmlns:a16="http://schemas.microsoft.com/office/drawing/2014/main" id="{80256375-9EAD-4B18-B9D7-90EAA59CDD2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4" name="Text Box 101">
          <a:extLst>
            <a:ext uri="{FF2B5EF4-FFF2-40B4-BE49-F238E27FC236}">
              <a16:creationId xmlns:a16="http://schemas.microsoft.com/office/drawing/2014/main" id="{E9651046-4862-4F9B-9296-B4AF43AA8A6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5" name="Text Box 102">
          <a:extLst>
            <a:ext uri="{FF2B5EF4-FFF2-40B4-BE49-F238E27FC236}">
              <a16:creationId xmlns:a16="http://schemas.microsoft.com/office/drawing/2014/main" id="{E128815E-F5E8-42A4-B3EE-F6637DC359F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6" name="Text Box 103">
          <a:extLst>
            <a:ext uri="{FF2B5EF4-FFF2-40B4-BE49-F238E27FC236}">
              <a16:creationId xmlns:a16="http://schemas.microsoft.com/office/drawing/2014/main" id="{9A6E4021-676B-4047-B60D-A1EC3A9F25A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7" name="Text Box 104">
          <a:extLst>
            <a:ext uri="{FF2B5EF4-FFF2-40B4-BE49-F238E27FC236}">
              <a16:creationId xmlns:a16="http://schemas.microsoft.com/office/drawing/2014/main" id="{8C07EB1C-8228-423B-A749-C52EF3790F3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8" name="Text Box 105">
          <a:extLst>
            <a:ext uri="{FF2B5EF4-FFF2-40B4-BE49-F238E27FC236}">
              <a16:creationId xmlns:a16="http://schemas.microsoft.com/office/drawing/2014/main" id="{B94FF2AF-53FC-40E7-B591-0AEDE72EF39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29" name="Text Box 106">
          <a:extLst>
            <a:ext uri="{FF2B5EF4-FFF2-40B4-BE49-F238E27FC236}">
              <a16:creationId xmlns:a16="http://schemas.microsoft.com/office/drawing/2014/main" id="{37793F7E-BF69-4F73-9EA3-DCF5DEACE81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0" name="Text Box 107">
          <a:extLst>
            <a:ext uri="{FF2B5EF4-FFF2-40B4-BE49-F238E27FC236}">
              <a16:creationId xmlns:a16="http://schemas.microsoft.com/office/drawing/2014/main" id="{B5168768-B69D-4A95-A53E-3EC3F05CDC5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1" name="Text Box 108">
          <a:extLst>
            <a:ext uri="{FF2B5EF4-FFF2-40B4-BE49-F238E27FC236}">
              <a16:creationId xmlns:a16="http://schemas.microsoft.com/office/drawing/2014/main" id="{6CFE08FF-953B-4192-84D5-8E71BEA3514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2" name="Text Box 109">
          <a:extLst>
            <a:ext uri="{FF2B5EF4-FFF2-40B4-BE49-F238E27FC236}">
              <a16:creationId xmlns:a16="http://schemas.microsoft.com/office/drawing/2014/main" id="{E3ABD88F-9152-411B-AFDB-1000216B736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3" name="Text Box 113">
          <a:extLst>
            <a:ext uri="{FF2B5EF4-FFF2-40B4-BE49-F238E27FC236}">
              <a16:creationId xmlns:a16="http://schemas.microsoft.com/office/drawing/2014/main" id="{730F240D-2AC0-4FFC-92D9-9EBB877B637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4" name="Text Box 114">
          <a:extLst>
            <a:ext uri="{FF2B5EF4-FFF2-40B4-BE49-F238E27FC236}">
              <a16:creationId xmlns:a16="http://schemas.microsoft.com/office/drawing/2014/main" id="{9458E831-AC54-4286-ABA2-0050787EFBC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5" name="Text Box 115">
          <a:extLst>
            <a:ext uri="{FF2B5EF4-FFF2-40B4-BE49-F238E27FC236}">
              <a16:creationId xmlns:a16="http://schemas.microsoft.com/office/drawing/2014/main" id="{7ACE1422-563C-4B09-9C76-A5C522FE02A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6" name="Text Box 116">
          <a:extLst>
            <a:ext uri="{FF2B5EF4-FFF2-40B4-BE49-F238E27FC236}">
              <a16:creationId xmlns:a16="http://schemas.microsoft.com/office/drawing/2014/main" id="{ADCE8D46-6E12-45D5-9E03-C0629CD5FFD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7" name="Text Box 117">
          <a:extLst>
            <a:ext uri="{FF2B5EF4-FFF2-40B4-BE49-F238E27FC236}">
              <a16:creationId xmlns:a16="http://schemas.microsoft.com/office/drawing/2014/main" id="{A7D1F216-7611-443D-A632-F11848E4F28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8" name="Text Box 118">
          <a:extLst>
            <a:ext uri="{FF2B5EF4-FFF2-40B4-BE49-F238E27FC236}">
              <a16:creationId xmlns:a16="http://schemas.microsoft.com/office/drawing/2014/main" id="{55D55317-1A5D-416F-B8AE-75586F908BD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39" name="Text Box 119">
          <a:extLst>
            <a:ext uri="{FF2B5EF4-FFF2-40B4-BE49-F238E27FC236}">
              <a16:creationId xmlns:a16="http://schemas.microsoft.com/office/drawing/2014/main" id="{7FB92CAE-701F-4453-97FB-827404E7F75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0" name="Text Box 120">
          <a:extLst>
            <a:ext uri="{FF2B5EF4-FFF2-40B4-BE49-F238E27FC236}">
              <a16:creationId xmlns:a16="http://schemas.microsoft.com/office/drawing/2014/main" id="{C8E51810-8F03-4D8D-BA2C-A1DB7CA76E7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1" name="Text Box 121">
          <a:extLst>
            <a:ext uri="{FF2B5EF4-FFF2-40B4-BE49-F238E27FC236}">
              <a16:creationId xmlns:a16="http://schemas.microsoft.com/office/drawing/2014/main" id="{410EC48C-3F0A-406A-B947-2789031434B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2" name="Text Box 125">
          <a:extLst>
            <a:ext uri="{FF2B5EF4-FFF2-40B4-BE49-F238E27FC236}">
              <a16:creationId xmlns:a16="http://schemas.microsoft.com/office/drawing/2014/main" id="{F51CA624-026B-4F54-8121-67B412459E5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3" name="Text Box 126">
          <a:extLst>
            <a:ext uri="{FF2B5EF4-FFF2-40B4-BE49-F238E27FC236}">
              <a16:creationId xmlns:a16="http://schemas.microsoft.com/office/drawing/2014/main" id="{73051211-0D08-4AE7-9DE3-1169833C9AE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4" name="Text Box 127">
          <a:extLst>
            <a:ext uri="{FF2B5EF4-FFF2-40B4-BE49-F238E27FC236}">
              <a16:creationId xmlns:a16="http://schemas.microsoft.com/office/drawing/2014/main" id="{F33373A4-CBD3-4647-A139-6B8C3476666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5" name="Text Box 128">
          <a:extLst>
            <a:ext uri="{FF2B5EF4-FFF2-40B4-BE49-F238E27FC236}">
              <a16:creationId xmlns:a16="http://schemas.microsoft.com/office/drawing/2014/main" id="{88DF92AC-263F-43FD-80EF-0792C0D33C2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6" name="Text Box 129">
          <a:extLst>
            <a:ext uri="{FF2B5EF4-FFF2-40B4-BE49-F238E27FC236}">
              <a16:creationId xmlns:a16="http://schemas.microsoft.com/office/drawing/2014/main" id="{A5420276-41AB-440D-8F04-23B00A48096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7" name="Text Box 130">
          <a:extLst>
            <a:ext uri="{FF2B5EF4-FFF2-40B4-BE49-F238E27FC236}">
              <a16:creationId xmlns:a16="http://schemas.microsoft.com/office/drawing/2014/main" id="{ED4E74EF-8C7D-49AA-BF15-05BE36936C1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8" name="Text Box 131">
          <a:extLst>
            <a:ext uri="{FF2B5EF4-FFF2-40B4-BE49-F238E27FC236}">
              <a16:creationId xmlns:a16="http://schemas.microsoft.com/office/drawing/2014/main" id="{4D224068-9053-4B0F-A94F-284CF311D9D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49" name="Text Box 132">
          <a:extLst>
            <a:ext uri="{FF2B5EF4-FFF2-40B4-BE49-F238E27FC236}">
              <a16:creationId xmlns:a16="http://schemas.microsoft.com/office/drawing/2014/main" id="{E9D9DB0A-8359-4B56-BC10-B879CF6FF31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0" name="Text Box 133">
          <a:extLst>
            <a:ext uri="{FF2B5EF4-FFF2-40B4-BE49-F238E27FC236}">
              <a16:creationId xmlns:a16="http://schemas.microsoft.com/office/drawing/2014/main" id="{5547C8F6-BBEA-473B-8017-85438AE1797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1" name="Text Box 137">
          <a:extLst>
            <a:ext uri="{FF2B5EF4-FFF2-40B4-BE49-F238E27FC236}">
              <a16:creationId xmlns:a16="http://schemas.microsoft.com/office/drawing/2014/main" id="{0A1CAE4F-52EA-4AEE-9977-B0CDD7B5527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2" name="Text Box 138">
          <a:extLst>
            <a:ext uri="{FF2B5EF4-FFF2-40B4-BE49-F238E27FC236}">
              <a16:creationId xmlns:a16="http://schemas.microsoft.com/office/drawing/2014/main" id="{364C8ACE-FB5B-4A86-A407-0FFEA241D1A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3" name="Text Box 139">
          <a:extLst>
            <a:ext uri="{FF2B5EF4-FFF2-40B4-BE49-F238E27FC236}">
              <a16:creationId xmlns:a16="http://schemas.microsoft.com/office/drawing/2014/main" id="{FB4B9A43-9BF2-4D10-B1A8-F50575EADFF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4" name="Text Box 140">
          <a:extLst>
            <a:ext uri="{FF2B5EF4-FFF2-40B4-BE49-F238E27FC236}">
              <a16:creationId xmlns:a16="http://schemas.microsoft.com/office/drawing/2014/main" id="{91F58606-D3D8-4263-AE7C-00648DB8F66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5" name="Text Box 141">
          <a:extLst>
            <a:ext uri="{FF2B5EF4-FFF2-40B4-BE49-F238E27FC236}">
              <a16:creationId xmlns:a16="http://schemas.microsoft.com/office/drawing/2014/main" id="{21A28D8D-4499-4872-9514-1733EE613C4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6" name="Text Box 142">
          <a:extLst>
            <a:ext uri="{FF2B5EF4-FFF2-40B4-BE49-F238E27FC236}">
              <a16:creationId xmlns:a16="http://schemas.microsoft.com/office/drawing/2014/main" id="{1EA1A4AC-FDBE-4022-806F-FF447116AA4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7" name="Text Box 143">
          <a:extLst>
            <a:ext uri="{FF2B5EF4-FFF2-40B4-BE49-F238E27FC236}">
              <a16:creationId xmlns:a16="http://schemas.microsoft.com/office/drawing/2014/main" id="{2B8EA70B-DF46-40B3-98CC-90E8BC89771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8" name="Text Box 144">
          <a:extLst>
            <a:ext uri="{FF2B5EF4-FFF2-40B4-BE49-F238E27FC236}">
              <a16:creationId xmlns:a16="http://schemas.microsoft.com/office/drawing/2014/main" id="{7606ED74-31B7-4B11-BA7A-63656BC437A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59" name="Text Box 145">
          <a:extLst>
            <a:ext uri="{FF2B5EF4-FFF2-40B4-BE49-F238E27FC236}">
              <a16:creationId xmlns:a16="http://schemas.microsoft.com/office/drawing/2014/main" id="{3E21F053-D5A7-48D1-844C-C4F34C548B6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0" name="Text Box 149">
          <a:extLst>
            <a:ext uri="{FF2B5EF4-FFF2-40B4-BE49-F238E27FC236}">
              <a16:creationId xmlns:a16="http://schemas.microsoft.com/office/drawing/2014/main" id="{26AD62BB-C393-47D4-8E92-16F21B82C22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1" name="Text Box 150">
          <a:extLst>
            <a:ext uri="{FF2B5EF4-FFF2-40B4-BE49-F238E27FC236}">
              <a16:creationId xmlns:a16="http://schemas.microsoft.com/office/drawing/2014/main" id="{9DF83CC9-32F0-44B9-98D8-ECBAE9FABA9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2" name="Text Box 151">
          <a:extLst>
            <a:ext uri="{FF2B5EF4-FFF2-40B4-BE49-F238E27FC236}">
              <a16:creationId xmlns:a16="http://schemas.microsoft.com/office/drawing/2014/main" id="{1A881373-3412-4D8E-B335-A7251B9E063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3" name="Text Box 152">
          <a:extLst>
            <a:ext uri="{FF2B5EF4-FFF2-40B4-BE49-F238E27FC236}">
              <a16:creationId xmlns:a16="http://schemas.microsoft.com/office/drawing/2014/main" id="{8FBFB941-B6F7-4B5E-8A3A-361BA8E9FA9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4" name="Text Box 153">
          <a:extLst>
            <a:ext uri="{FF2B5EF4-FFF2-40B4-BE49-F238E27FC236}">
              <a16:creationId xmlns:a16="http://schemas.microsoft.com/office/drawing/2014/main" id="{8D4480F4-93CD-4346-8EDB-BDF8DD6DFAD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5" name="Text Box 154">
          <a:extLst>
            <a:ext uri="{FF2B5EF4-FFF2-40B4-BE49-F238E27FC236}">
              <a16:creationId xmlns:a16="http://schemas.microsoft.com/office/drawing/2014/main" id="{37768576-928F-4158-B907-EC02B0F4BA5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6" name="Text Box 155">
          <a:extLst>
            <a:ext uri="{FF2B5EF4-FFF2-40B4-BE49-F238E27FC236}">
              <a16:creationId xmlns:a16="http://schemas.microsoft.com/office/drawing/2014/main" id="{85FAFC3D-61FC-4A81-BA04-263C297A34D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7" name="Text Box 156">
          <a:extLst>
            <a:ext uri="{FF2B5EF4-FFF2-40B4-BE49-F238E27FC236}">
              <a16:creationId xmlns:a16="http://schemas.microsoft.com/office/drawing/2014/main" id="{79B2184B-09F8-49CC-805D-2AE91EF4EC5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8" name="Text Box 157">
          <a:extLst>
            <a:ext uri="{FF2B5EF4-FFF2-40B4-BE49-F238E27FC236}">
              <a16:creationId xmlns:a16="http://schemas.microsoft.com/office/drawing/2014/main" id="{AF0D2BC7-DD23-4B86-A193-8E5F90C6ED5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69" name="Text Box 161">
          <a:extLst>
            <a:ext uri="{FF2B5EF4-FFF2-40B4-BE49-F238E27FC236}">
              <a16:creationId xmlns:a16="http://schemas.microsoft.com/office/drawing/2014/main" id="{90AEBADE-2F83-4693-8CEF-F43E66E4A38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0" name="Text Box 162">
          <a:extLst>
            <a:ext uri="{FF2B5EF4-FFF2-40B4-BE49-F238E27FC236}">
              <a16:creationId xmlns:a16="http://schemas.microsoft.com/office/drawing/2014/main" id="{DF379E34-7D51-41A9-A145-B1BE55D4E14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1" name="Text Box 163">
          <a:extLst>
            <a:ext uri="{FF2B5EF4-FFF2-40B4-BE49-F238E27FC236}">
              <a16:creationId xmlns:a16="http://schemas.microsoft.com/office/drawing/2014/main" id="{E0F65ECC-431A-41B2-880C-25E7522D2A9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2" name="Text Box 164">
          <a:extLst>
            <a:ext uri="{FF2B5EF4-FFF2-40B4-BE49-F238E27FC236}">
              <a16:creationId xmlns:a16="http://schemas.microsoft.com/office/drawing/2014/main" id="{5230F539-55C7-43D0-9563-4D5EC9CE253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3" name="Text Box 165">
          <a:extLst>
            <a:ext uri="{FF2B5EF4-FFF2-40B4-BE49-F238E27FC236}">
              <a16:creationId xmlns:a16="http://schemas.microsoft.com/office/drawing/2014/main" id="{9A648075-AC40-40AF-AAF4-1F894F9B73B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4" name="Text Box 166">
          <a:extLst>
            <a:ext uri="{FF2B5EF4-FFF2-40B4-BE49-F238E27FC236}">
              <a16:creationId xmlns:a16="http://schemas.microsoft.com/office/drawing/2014/main" id="{91B3FD56-D470-4A6C-B4BB-2648EECE182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5" name="Text Box 167">
          <a:extLst>
            <a:ext uri="{FF2B5EF4-FFF2-40B4-BE49-F238E27FC236}">
              <a16:creationId xmlns:a16="http://schemas.microsoft.com/office/drawing/2014/main" id="{917FA24C-4159-4076-B1CC-38E8AA0B422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6" name="Text Box 168">
          <a:extLst>
            <a:ext uri="{FF2B5EF4-FFF2-40B4-BE49-F238E27FC236}">
              <a16:creationId xmlns:a16="http://schemas.microsoft.com/office/drawing/2014/main" id="{95F1E78F-71CC-4ACE-ACB8-CD423A86CF7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7" name="Text Box 169">
          <a:extLst>
            <a:ext uri="{FF2B5EF4-FFF2-40B4-BE49-F238E27FC236}">
              <a16:creationId xmlns:a16="http://schemas.microsoft.com/office/drawing/2014/main" id="{FD23A571-6996-486C-A25E-B31F0704A61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8" name="Text Box 170">
          <a:extLst>
            <a:ext uri="{FF2B5EF4-FFF2-40B4-BE49-F238E27FC236}">
              <a16:creationId xmlns:a16="http://schemas.microsoft.com/office/drawing/2014/main" id="{89196A1D-9AA1-412E-B7BB-31D331760E9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79" name="Text Box 171">
          <a:extLst>
            <a:ext uri="{FF2B5EF4-FFF2-40B4-BE49-F238E27FC236}">
              <a16:creationId xmlns:a16="http://schemas.microsoft.com/office/drawing/2014/main" id="{7A769956-27F3-49E8-80D6-491EB56880A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80" name="Text Box 172">
          <a:extLst>
            <a:ext uri="{FF2B5EF4-FFF2-40B4-BE49-F238E27FC236}">
              <a16:creationId xmlns:a16="http://schemas.microsoft.com/office/drawing/2014/main" id="{89109DDA-E3C4-4020-A93D-44648217A88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81" name="Text Box 173">
          <a:extLst>
            <a:ext uri="{FF2B5EF4-FFF2-40B4-BE49-F238E27FC236}">
              <a16:creationId xmlns:a16="http://schemas.microsoft.com/office/drawing/2014/main" id="{A8DF485A-6F4B-4741-8778-9415A3F0ECC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82" name="Text Box 174">
          <a:extLst>
            <a:ext uri="{FF2B5EF4-FFF2-40B4-BE49-F238E27FC236}">
              <a16:creationId xmlns:a16="http://schemas.microsoft.com/office/drawing/2014/main" id="{025F4AB9-D898-4265-B1F7-46C1ABF58C4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42</xdr:row>
      <xdr:rowOff>85725</xdr:rowOff>
    </xdr:from>
    <xdr:to>
      <xdr:col>5</xdr:col>
      <xdr:colOff>85725</xdr:colOff>
      <xdr:row>43</xdr:row>
      <xdr:rowOff>85725</xdr:rowOff>
    </xdr:to>
    <xdr:sp macro="" textlink="">
      <xdr:nvSpPr>
        <xdr:cNvPr id="238183" name="Text Box 175">
          <a:extLst>
            <a:ext uri="{FF2B5EF4-FFF2-40B4-BE49-F238E27FC236}">
              <a16:creationId xmlns:a16="http://schemas.microsoft.com/office/drawing/2014/main" id="{2BA623E1-1B16-4D38-8325-8FDAE0054CC7}"/>
            </a:ext>
          </a:extLst>
        </xdr:cNvPr>
        <xdr:cNvSpPr txBox="1">
          <a:spLocks noChangeArrowheads="1"/>
        </xdr:cNvSpPr>
      </xdr:nvSpPr>
      <xdr:spPr bwMode="auto">
        <a:xfrm>
          <a:off x="6762750" y="8982075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84" name="Text Box 176">
          <a:extLst>
            <a:ext uri="{FF2B5EF4-FFF2-40B4-BE49-F238E27FC236}">
              <a16:creationId xmlns:a16="http://schemas.microsoft.com/office/drawing/2014/main" id="{C74061F7-E073-4CE8-A6E5-DE0E62E9356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42</xdr:row>
      <xdr:rowOff>85725</xdr:rowOff>
    </xdr:from>
    <xdr:to>
      <xdr:col>4</xdr:col>
      <xdr:colOff>295275</xdr:colOff>
      <xdr:row>43</xdr:row>
      <xdr:rowOff>85725</xdr:rowOff>
    </xdr:to>
    <xdr:sp macro="" textlink="">
      <xdr:nvSpPr>
        <xdr:cNvPr id="238185" name="Text Box 177">
          <a:extLst>
            <a:ext uri="{FF2B5EF4-FFF2-40B4-BE49-F238E27FC236}">
              <a16:creationId xmlns:a16="http://schemas.microsoft.com/office/drawing/2014/main" id="{9AD82628-53F2-4A83-8A31-273717D59FCC}"/>
            </a:ext>
          </a:extLst>
        </xdr:cNvPr>
        <xdr:cNvSpPr txBox="1">
          <a:spLocks noChangeArrowheads="1"/>
        </xdr:cNvSpPr>
      </xdr:nvSpPr>
      <xdr:spPr bwMode="auto">
        <a:xfrm>
          <a:off x="6686550" y="8982075"/>
          <a:ext cx="381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86" name="Text Box 178">
          <a:extLst>
            <a:ext uri="{FF2B5EF4-FFF2-40B4-BE49-F238E27FC236}">
              <a16:creationId xmlns:a16="http://schemas.microsoft.com/office/drawing/2014/main" id="{6916E429-3E4D-4FDE-943A-F3909E8EC22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87" name="Text Box 179">
          <a:extLst>
            <a:ext uri="{FF2B5EF4-FFF2-40B4-BE49-F238E27FC236}">
              <a16:creationId xmlns:a16="http://schemas.microsoft.com/office/drawing/2014/main" id="{20D6FC05-CD1D-4FB0-8010-334DC8CB27C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88" name="Text Box 180">
          <a:extLst>
            <a:ext uri="{FF2B5EF4-FFF2-40B4-BE49-F238E27FC236}">
              <a16:creationId xmlns:a16="http://schemas.microsoft.com/office/drawing/2014/main" id="{5B051689-2D18-4825-B842-5A225F9574F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89" name="Text Box 181">
          <a:extLst>
            <a:ext uri="{FF2B5EF4-FFF2-40B4-BE49-F238E27FC236}">
              <a16:creationId xmlns:a16="http://schemas.microsoft.com/office/drawing/2014/main" id="{0C9494FF-C2DB-46AC-AA5C-6B7F6C95997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0" name="Text Box 182">
          <a:extLst>
            <a:ext uri="{FF2B5EF4-FFF2-40B4-BE49-F238E27FC236}">
              <a16:creationId xmlns:a16="http://schemas.microsoft.com/office/drawing/2014/main" id="{D84EF2E6-5256-485C-BFEB-C0971253C41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1" name="Text Box 183">
          <a:extLst>
            <a:ext uri="{FF2B5EF4-FFF2-40B4-BE49-F238E27FC236}">
              <a16:creationId xmlns:a16="http://schemas.microsoft.com/office/drawing/2014/main" id="{CD841C14-26A8-4D20-B510-436E299301E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2" name="Text Box 184">
          <a:extLst>
            <a:ext uri="{FF2B5EF4-FFF2-40B4-BE49-F238E27FC236}">
              <a16:creationId xmlns:a16="http://schemas.microsoft.com/office/drawing/2014/main" id="{7BBCEBDD-981B-4AEF-A288-0C0260ACDCC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3" name="Text Box 185">
          <a:extLst>
            <a:ext uri="{FF2B5EF4-FFF2-40B4-BE49-F238E27FC236}">
              <a16:creationId xmlns:a16="http://schemas.microsoft.com/office/drawing/2014/main" id="{0320C83D-E99D-4A5A-A916-047402BE937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4" name="Text Box 186">
          <a:extLst>
            <a:ext uri="{FF2B5EF4-FFF2-40B4-BE49-F238E27FC236}">
              <a16:creationId xmlns:a16="http://schemas.microsoft.com/office/drawing/2014/main" id="{D03646E7-E366-48D0-8B6F-83ED09B5F08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5" name="Text Box 187">
          <a:extLst>
            <a:ext uri="{FF2B5EF4-FFF2-40B4-BE49-F238E27FC236}">
              <a16:creationId xmlns:a16="http://schemas.microsoft.com/office/drawing/2014/main" id="{58583A95-5C9A-421B-AEFC-7A15E9047EC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6" name="Text Box 188">
          <a:extLst>
            <a:ext uri="{FF2B5EF4-FFF2-40B4-BE49-F238E27FC236}">
              <a16:creationId xmlns:a16="http://schemas.microsoft.com/office/drawing/2014/main" id="{CE38EA87-8ABE-4A2B-87C4-EDF847398AD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7" name="Text Box 189">
          <a:extLst>
            <a:ext uri="{FF2B5EF4-FFF2-40B4-BE49-F238E27FC236}">
              <a16:creationId xmlns:a16="http://schemas.microsoft.com/office/drawing/2014/main" id="{24C48429-ACEF-4875-A6BA-9A7D948A72E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8" name="Text Box 190">
          <a:extLst>
            <a:ext uri="{FF2B5EF4-FFF2-40B4-BE49-F238E27FC236}">
              <a16:creationId xmlns:a16="http://schemas.microsoft.com/office/drawing/2014/main" id="{5BF31AC0-8016-47C3-8DC7-682EEAED95E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199" name="Text Box 191">
          <a:extLst>
            <a:ext uri="{FF2B5EF4-FFF2-40B4-BE49-F238E27FC236}">
              <a16:creationId xmlns:a16="http://schemas.microsoft.com/office/drawing/2014/main" id="{9BB2E596-ACA8-41FE-B660-391B99861F0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0" name="Text Box 192">
          <a:extLst>
            <a:ext uri="{FF2B5EF4-FFF2-40B4-BE49-F238E27FC236}">
              <a16:creationId xmlns:a16="http://schemas.microsoft.com/office/drawing/2014/main" id="{15AADB80-C515-40B7-A5FD-19CB9D1F7E6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1" name="Text Box 193">
          <a:extLst>
            <a:ext uri="{FF2B5EF4-FFF2-40B4-BE49-F238E27FC236}">
              <a16:creationId xmlns:a16="http://schemas.microsoft.com/office/drawing/2014/main" id="{BD466846-3ECE-44BD-AB47-113C2AC3FB7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2" name="Text Box 194">
          <a:extLst>
            <a:ext uri="{FF2B5EF4-FFF2-40B4-BE49-F238E27FC236}">
              <a16:creationId xmlns:a16="http://schemas.microsoft.com/office/drawing/2014/main" id="{79081C65-7DDF-403F-827A-708172EFD80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3" name="Text Box 195">
          <a:extLst>
            <a:ext uri="{FF2B5EF4-FFF2-40B4-BE49-F238E27FC236}">
              <a16:creationId xmlns:a16="http://schemas.microsoft.com/office/drawing/2014/main" id="{72FA8CD2-B639-4761-AB1E-0F58150CC49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4" name="Text Box 196">
          <a:extLst>
            <a:ext uri="{FF2B5EF4-FFF2-40B4-BE49-F238E27FC236}">
              <a16:creationId xmlns:a16="http://schemas.microsoft.com/office/drawing/2014/main" id="{E73D5509-2729-4FF3-BB3C-11B5713105B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5" name="Text Box 197">
          <a:extLst>
            <a:ext uri="{FF2B5EF4-FFF2-40B4-BE49-F238E27FC236}">
              <a16:creationId xmlns:a16="http://schemas.microsoft.com/office/drawing/2014/main" id="{45D3CE0E-B866-4050-8B69-53ED4030D9A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6" name="Text Box 198">
          <a:extLst>
            <a:ext uri="{FF2B5EF4-FFF2-40B4-BE49-F238E27FC236}">
              <a16:creationId xmlns:a16="http://schemas.microsoft.com/office/drawing/2014/main" id="{452F3334-DEB3-4D10-9C3B-C2417AB1AB7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7" name="Text Box 199">
          <a:extLst>
            <a:ext uri="{FF2B5EF4-FFF2-40B4-BE49-F238E27FC236}">
              <a16:creationId xmlns:a16="http://schemas.microsoft.com/office/drawing/2014/main" id="{01364013-65FE-4EB5-9431-15A02A300DC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8" name="Text Box 200">
          <a:extLst>
            <a:ext uri="{FF2B5EF4-FFF2-40B4-BE49-F238E27FC236}">
              <a16:creationId xmlns:a16="http://schemas.microsoft.com/office/drawing/2014/main" id="{8B86B5B9-247C-4696-956C-FC13224C611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09" name="Text Box 201">
          <a:extLst>
            <a:ext uri="{FF2B5EF4-FFF2-40B4-BE49-F238E27FC236}">
              <a16:creationId xmlns:a16="http://schemas.microsoft.com/office/drawing/2014/main" id="{2390784F-8F98-4F7D-A604-7FAA9A7E20E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10" name="Text Box 202">
          <a:extLst>
            <a:ext uri="{FF2B5EF4-FFF2-40B4-BE49-F238E27FC236}">
              <a16:creationId xmlns:a16="http://schemas.microsoft.com/office/drawing/2014/main" id="{FD3845CE-AA3A-4F4B-B428-6BFFECF87B4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11" name="Text Box 203">
          <a:extLst>
            <a:ext uri="{FF2B5EF4-FFF2-40B4-BE49-F238E27FC236}">
              <a16:creationId xmlns:a16="http://schemas.microsoft.com/office/drawing/2014/main" id="{AE3A8D91-36F5-4AD6-8186-E08D314A51F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12" name="Text Box 204">
          <a:extLst>
            <a:ext uri="{FF2B5EF4-FFF2-40B4-BE49-F238E27FC236}">
              <a16:creationId xmlns:a16="http://schemas.microsoft.com/office/drawing/2014/main" id="{F8CB586D-34C6-467C-B94F-48D6D45165A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42</xdr:row>
      <xdr:rowOff>85725</xdr:rowOff>
    </xdr:from>
    <xdr:to>
      <xdr:col>4</xdr:col>
      <xdr:colOff>161925</xdr:colOff>
      <xdr:row>43</xdr:row>
      <xdr:rowOff>85725</xdr:rowOff>
    </xdr:to>
    <xdr:sp macro="" textlink="">
      <xdr:nvSpPr>
        <xdr:cNvPr id="238213" name="Text Box 205">
          <a:extLst>
            <a:ext uri="{FF2B5EF4-FFF2-40B4-BE49-F238E27FC236}">
              <a16:creationId xmlns:a16="http://schemas.microsoft.com/office/drawing/2014/main" id="{81CD8D23-C03D-4474-9F57-C75BC5C73A3D}"/>
            </a:ext>
          </a:extLst>
        </xdr:cNvPr>
        <xdr:cNvSpPr txBox="1">
          <a:spLocks noChangeArrowheads="1"/>
        </xdr:cNvSpPr>
      </xdr:nvSpPr>
      <xdr:spPr bwMode="auto">
        <a:xfrm>
          <a:off x="652462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14" name="Text Box 206">
          <a:extLst>
            <a:ext uri="{FF2B5EF4-FFF2-40B4-BE49-F238E27FC236}">
              <a16:creationId xmlns:a16="http://schemas.microsoft.com/office/drawing/2014/main" id="{70E397C3-A387-473B-98FF-62254BF1926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15" name="Text Box 207">
          <a:extLst>
            <a:ext uri="{FF2B5EF4-FFF2-40B4-BE49-F238E27FC236}">
              <a16:creationId xmlns:a16="http://schemas.microsoft.com/office/drawing/2014/main" id="{4E3C8FC6-7528-440B-9A1A-B6123E47B8A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16" name="Text Box 208">
          <a:extLst>
            <a:ext uri="{FF2B5EF4-FFF2-40B4-BE49-F238E27FC236}">
              <a16:creationId xmlns:a16="http://schemas.microsoft.com/office/drawing/2014/main" id="{5E478953-2D68-49EC-8BB0-D3386A875D4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17" name="Text Box 209">
          <a:extLst>
            <a:ext uri="{FF2B5EF4-FFF2-40B4-BE49-F238E27FC236}">
              <a16:creationId xmlns:a16="http://schemas.microsoft.com/office/drawing/2014/main" id="{BA57559D-CB7F-4C79-A43B-203B0D08B91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18" name="Text Box 210">
          <a:extLst>
            <a:ext uri="{FF2B5EF4-FFF2-40B4-BE49-F238E27FC236}">
              <a16:creationId xmlns:a16="http://schemas.microsoft.com/office/drawing/2014/main" id="{7C0916D8-F658-4298-AEE3-9A92E50CBA8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19" name="Text Box 211">
          <a:extLst>
            <a:ext uri="{FF2B5EF4-FFF2-40B4-BE49-F238E27FC236}">
              <a16:creationId xmlns:a16="http://schemas.microsoft.com/office/drawing/2014/main" id="{D52567F1-C864-42F7-924C-6AD1E30251F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20" name="Text Box 212">
          <a:extLst>
            <a:ext uri="{FF2B5EF4-FFF2-40B4-BE49-F238E27FC236}">
              <a16:creationId xmlns:a16="http://schemas.microsoft.com/office/drawing/2014/main" id="{BFE90FF8-8731-4562-8B88-5AFC6377496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21" name="Text Box 213">
          <a:extLst>
            <a:ext uri="{FF2B5EF4-FFF2-40B4-BE49-F238E27FC236}">
              <a16:creationId xmlns:a16="http://schemas.microsoft.com/office/drawing/2014/main" id="{0A7D360F-9C1E-42C2-8C7A-BFE46F14377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222" name="Text Box 214">
          <a:extLst>
            <a:ext uri="{FF2B5EF4-FFF2-40B4-BE49-F238E27FC236}">
              <a16:creationId xmlns:a16="http://schemas.microsoft.com/office/drawing/2014/main" id="{C42810EF-CB48-4C05-8831-084D86A1AC9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42</xdr:row>
      <xdr:rowOff>85725</xdr:rowOff>
    </xdr:from>
    <xdr:to>
      <xdr:col>4</xdr:col>
      <xdr:colOff>161925</xdr:colOff>
      <xdr:row>43</xdr:row>
      <xdr:rowOff>85725</xdr:rowOff>
    </xdr:to>
    <xdr:sp macro="" textlink="">
      <xdr:nvSpPr>
        <xdr:cNvPr id="238223" name="Text Box 215">
          <a:extLst>
            <a:ext uri="{FF2B5EF4-FFF2-40B4-BE49-F238E27FC236}">
              <a16:creationId xmlns:a16="http://schemas.microsoft.com/office/drawing/2014/main" id="{F6396CAC-BC4E-470E-A123-47585A131FC5}"/>
            </a:ext>
          </a:extLst>
        </xdr:cNvPr>
        <xdr:cNvSpPr txBox="1">
          <a:spLocks noChangeArrowheads="1"/>
        </xdr:cNvSpPr>
      </xdr:nvSpPr>
      <xdr:spPr bwMode="auto">
        <a:xfrm>
          <a:off x="652462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24" name="Text Box 216">
          <a:extLst>
            <a:ext uri="{FF2B5EF4-FFF2-40B4-BE49-F238E27FC236}">
              <a16:creationId xmlns:a16="http://schemas.microsoft.com/office/drawing/2014/main" id="{D49A9C46-CB6B-4C8B-9A3A-9623FF76CAED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25" name="Text Box 217">
          <a:extLst>
            <a:ext uri="{FF2B5EF4-FFF2-40B4-BE49-F238E27FC236}">
              <a16:creationId xmlns:a16="http://schemas.microsoft.com/office/drawing/2014/main" id="{47238F6E-4207-471C-A9FE-DA379564C0DC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26" name="Text Box 218">
          <a:extLst>
            <a:ext uri="{FF2B5EF4-FFF2-40B4-BE49-F238E27FC236}">
              <a16:creationId xmlns:a16="http://schemas.microsoft.com/office/drawing/2014/main" id="{CBF39E85-05D9-4983-8498-962B97472474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27" name="Text Box 219">
          <a:extLst>
            <a:ext uri="{FF2B5EF4-FFF2-40B4-BE49-F238E27FC236}">
              <a16:creationId xmlns:a16="http://schemas.microsoft.com/office/drawing/2014/main" id="{B7FC417F-094B-4404-9D8C-98C6A9540405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28" name="Text Box 220">
          <a:extLst>
            <a:ext uri="{FF2B5EF4-FFF2-40B4-BE49-F238E27FC236}">
              <a16:creationId xmlns:a16="http://schemas.microsoft.com/office/drawing/2014/main" id="{955BB5A4-E862-4859-AE12-8F567A574783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29" name="Text Box 221">
          <a:extLst>
            <a:ext uri="{FF2B5EF4-FFF2-40B4-BE49-F238E27FC236}">
              <a16:creationId xmlns:a16="http://schemas.microsoft.com/office/drawing/2014/main" id="{917BFE1F-2B5E-4009-AE34-5A87FE75E2BD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0" name="Text Box 222">
          <a:extLst>
            <a:ext uri="{FF2B5EF4-FFF2-40B4-BE49-F238E27FC236}">
              <a16:creationId xmlns:a16="http://schemas.microsoft.com/office/drawing/2014/main" id="{F94EA47C-1211-49FF-B042-D90C15D9231E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1" name="Text Box 223">
          <a:extLst>
            <a:ext uri="{FF2B5EF4-FFF2-40B4-BE49-F238E27FC236}">
              <a16:creationId xmlns:a16="http://schemas.microsoft.com/office/drawing/2014/main" id="{91DC8D7C-419D-4691-9932-FD89B28A0B57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2" name="Text Box 224">
          <a:extLst>
            <a:ext uri="{FF2B5EF4-FFF2-40B4-BE49-F238E27FC236}">
              <a16:creationId xmlns:a16="http://schemas.microsoft.com/office/drawing/2014/main" id="{A1A1ED7F-5E94-453E-8817-198457163EAC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3" name="Text Box 225">
          <a:extLst>
            <a:ext uri="{FF2B5EF4-FFF2-40B4-BE49-F238E27FC236}">
              <a16:creationId xmlns:a16="http://schemas.microsoft.com/office/drawing/2014/main" id="{0DA2D015-5D4E-4541-87D4-E2105CEA2445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4" name="Text Box 226">
          <a:extLst>
            <a:ext uri="{FF2B5EF4-FFF2-40B4-BE49-F238E27FC236}">
              <a16:creationId xmlns:a16="http://schemas.microsoft.com/office/drawing/2014/main" id="{2EE860E5-FC2F-4FE3-8852-D7D0953D2D44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5" name="Text Box 227">
          <a:extLst>
            <a:ext uri="{FF2B5EF4-FFF2-40B4-BE49-F238E27FC236}">
              <a16:creationId xmlns:a16="http://schemas.microsoft.com/office/drawing/2014/main" id="{840B4ADF-89EF-4D97-93D1-70E656C44295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6" name="Text Box 228">
          <a:extLst>
            <a:ext uri="{FF2B5EF4-FFF2-40B4-BE49-F238E27FC236}">
              <a16:creationId xmlns:a16="http://schemas.microsoft.com/office/drawing/2014/main" id="{0960ECAF-FCD8-4ADE-8EDC-BFA24DD1B315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7" name="Text Box 229">
          <a:extLst>
            <a:ext uri="{FF2B5EF4-FFF2-40B4-BE49-F238E27FC236}">
              <a16:creationId xmlns:a16="http://schemas.microsoft.com/office/drawing/2014/main" id="{64543192-2F22-41E1-B677-9515C86248F0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8" name="Text Box 230">
          <a:extLst>
            <a:ext uri="{FF2B5EF4-FFF2-40B4-BE49-F238E27FC236}">
              <a16:creationId xmlns:a16="http://schemas.microsoft.com/office/drawing/2014/main" id="{063C09DE-23ED-420A-B655-AA365BAF27AC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39" name="Text Box 231">
          <a:extLst>
            <a:ext uri="{FF2B5EF4-FFF2-40B4-BE49-F238E27FC236}">
              <a16:creationId xmlns:a16="http://schemas.microsoft.com/office/drawing/2014/main" id="{4AB98B8C-F5F4-4E2A-BE69-D8642BEE9E10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40" name="Text Box 232">
          <a:extLst>
            <a:ext uri="{FF2B5EF4-FFF2-40B4-BE49-F238E27FC236}">
              <a16:creationId xmlns:a16="http://schemas.microsoft.com/office/drawing/2014/main" id="{430F595B-6BB2-4019-92CB-35764F34B98F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41" name="Text Box 233">
          <a:extLst>
            <a:ext uri="{FF2B5EF4-FFF2-40B4-BE49-F238E27FC236}">
              <a16:creationId xmlns:a16="http://schemas.microsoft.com/office/drawing/2014/main" id="{A45947B9-583A-4EFC-A9EC-B4491B2FEB1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42" name="Text Box 234">
          <a:extLst>
            <a:ext uri="{FF2B5EF4-FFF2-40B4-BE49-F238E27FC236}">
              <a16:creationId xmlns:a16="http://schemas.microsoft.com/office/drawing/2014/main" id="{E635C638-8676-4888-ACA5-77B5C8A8BC2A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43" name="Text Box 235">
          <a:extLst>
            <a:ext uri="{FF2B5EF4-FFF2-40B4-BE49-F238E27FC236}">
              <a16:creationId xmlns:a16="http://schemas.microsoft.com/office/drawing/2014/main" id="{35D634BD-7C5F-4EF5-A26F-4B506EF8AA3A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36</xdr:row>
      <xdr:rowOff>0</xdr:rowOff>
    </xdr:from>
    <xdr:to>
      <xdr:col>4</xdr:col>
      <xdr:colOff>161925</xdr:colOff>
      <xdr:row>37</xdr:row>
      <xdr:rowOff>19050</xdr:rowOff>
    </xdr:to>
    <xdr:sp macro="" textlink="">
      <xdr:nvSpPr>
        <xdr:cNvPr id="238244" name="Text Box 236">
          <a:extLst>
            <a:ext uri="{FF2B5EF4-FFF2-40B4-BE49-F238E27FC236}">
              <a16:creationId xmlns:a16="http://schemas.microsoft.com/office/drawing/2014/main" id="{54186A90-5895-45D1-8B96-4DB05A3FD3C8}"/>
            </a:ext>
          </a:extLst>
        </xdr:cNvPr>
        <xdr:cNvSpPr txBox="1">
          <a:spLocks noChangeArrowheads="1"/>
        </xdr:cNvSpPr>
      </xdr:nvSpPr>
      <xdr:spPr bwMode="auto">
        <a:xfrm>
          <a:off x="652462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45" name="Text Box 237">
          <a:extLst>
            <a:ext uri="{FF2B5EF4-FFF2-40B4-BE49-F238E27FC236}">
              <a16:creationId xmlns:a16="http://schemas.microsoft.com/office/drawing/2014/main" id="{096421CE-611C-498D-9370-844CCD8449E1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46" name="Text Box 238">
          <a:extLst>
            <a:ext uri="{FF2B5EF4-FFF2-40B4-BE49-F238E27FC236}">
              <a16:creationId xmlns:a16="http://schemas.microsoft.com/office/drawing/2014/main" id="{63103819-5E35-48F9-82F7-8E30ED9CD88F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47" name="Text Box 239">
          <a:extLst>
            <a:ext uri="{FF2B5EF4-FFF2-40B4-BE49-F238E27FC236}">
              <a16:creationId xmlns:a16="http://schemas.microsoft.com/office/drawing/2014/main" id="{398B0C81-8486-4CA2-8AF7-F0A62AFDA418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48" name="Text Box 240">
          <a:extLst>
            <a:ext uri="{FF2B5EF4-FFF2-40B4-BE49-F238E27FC236}">
              <a16:creationId xmlns:a16="http://schemas.microsoft.com/office/drawing/2014/main" id="{D48576B5-90F8-4847-A6B5-192AD80E1FBE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8249" name="Text Box 241">
          <a:extLst>
            <a:ext uri="{FF2B5EF4-FFF2-40B4-BE49-F238E27FC236}">
              <a16:creationId xmlns:a16="http://schemas.microsoft.com/office/drawing/2014/main" id="{FCFAF31E-DA12-42E1-A963-8B909E062BDA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66675</xdr:colOff>
      <xdr:row>18</xdr:row>
      <xdr:rowOff>47625</xdr:rowOff>
    </xdr:to>
    <xdr:sp macro="" textlink="">
      <xdr:nvSpPr>
        <xdr:cNvPr id="238250" name="Text Box 242">
          <a:extLst>
            <a:ext uri="{FF2B5EF4-FFF2-40B4-BE49-F238E27FC236}">
              <a16:creationId xmlns:a16="http://schemas.microsoft.com/office/drawing/2014/main" id="{F18F4CDA-FD15-4D30-B877-C1E77A24BC32}"/>
            </a:ext>
          </a:extLst>
        </xdr:cNvPr>
        <xdr:cNvSpPr txBox="1">
          <a:spLocks noChangeArrowheads="1"/>
        </xdr:cNvSpPr>
      </xdr:nvSpPr>
      <xdr:spPr bwMode="auto">
        <a:xfrm>
          <a:off x="6753225" y="2714625"/>
          <a:ext cx="6667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42</xdr:row>
      <xdr:rowOff>85725</xdr:rowOff>
    </xdr:from>
    <xdr:to>
      <xdr:col>5</xdr:col>
      <xdr:colOff>66675</xdr:colOff>
      <xdr:row>43</xdr:row>
      <xdr:rowOff>85725</xdr:rowOff>
    </xdr:to>
    <xdr:sp macro="" textlink="">
      <xdr:nvSpPr>
        <xdr:cNvPr id="238251" name="Text Box 246">
          <a:extLst>
            <a:ext uri="{FF2B5EF4-FFF2-40B4-BE49-F238E27FC236}">
              <a16:creationId xmlns:a16="http://schemas.microsoft.com/office/drawing/2014/main" id="{B948B910-F803-4358-A37C-B9031F57F9A9}"/>
            </a:ext>
          </a:extLst>
        </xdr:cNvPr>
        <xdr:cNvSpPr txBox="1">
          <a:spLocks noChangeArrowheads="1"/>
        </xdr:cNvSpPr>
      </xdr:nvSpPr>
      <xdr:spPr bwMode="auto">
        <a:xfrm>
          <a:off x="675322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285750</xdr:rowOff>
    </xdr:to>
    <xdr:sp macro="" textlink="">
      <xdr:nvSpPr>
        <xdr:cNvPr id="238252" name="Text Box 187">
          <a:extLst>
            <a:ext uri="{FF2B5EF4-FFF2-40B4-BE49-F238E27FC236}">
              <a16:creationId xmlns:a16="http://schemas.microsoft.com/office/drawing/2014/main" id="{096A87DF-619B-4CAB-837A-F471F6E33AE5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35</xdr:row>
      <xdr:rowOff>19050</xdr:rowOff>
    </xdr:from>
    <xdr:to>
      <xdr:col>5</xdr:col>
      <xdr:colOff>66675</xdr:colOff>
      <xdr:row>36</xdr:row>
      <xdr:rowOff>38100</xdr:rowOff>
    </xdr:to>
    <xdr:sp macro="" textlink="">
      <xdr:nvSpPr>
        <xdr:cNvPr id="238253" name="Text Box 188">
          <a:extLst>
            <a:ext uri="{FF2B5EF4-FFF2-40B4-BE49-F238E27FC236}">
              <a16:creationId xmlns:a16="http://schemas.microsoft.com/office/drawing/2014/main" id="{8CC52E1F-F43B-4664-B905-CFFDD2702641}"/>
            </a:ext>
          </a:extLst>
        </xdr:cNvPr>
        <xdr:cNvSpPr txBox="1">
          <a:spLocks noChangeArrowheads="1"/>
        </xdr:cNvSpPr>
      </xdr:nvSpPr>
      <xdr:spPr bwMode="auto">
        <a:xfrm>
          <a:off x="6743700" y="7296150"/>
          <a:ext cx="762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66675</xdr:colOff>
      <xdr:row>37</xdr:row>
      <xdr:rowOff>38100</xdr:rowOff>
    </xdr:to>
    <xdr:sp macro="" textlink="">
      <xdr:nvSpPr>
        <xdr:cNvPr id="238254" name="Text Box 189">
          <a:extLst>
            <a:ext uri="{FF2B5EF4-FFF2-40B4-BE49-F238E27FC236}">
              <a16:creationId xmlns:a16="http://schemas.microsoft.com/office/drawing/2014/main" id="{73E7628C-92DE-4482-88E9-D228C9C105B4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66675</xdr:colOff>
      <xdr:row>37</xdr:row>
      <xdr:rowOff>38100</xdr:rowOff>
    </xdr:to>
    <xdr:sp macro="" textlink="">
      <xdr:nvSpPr>
        <xdr:cNvPr id="238255" name="Text Box 190">
          <a:extLst>
            <a:ext uri="{FF2B5EF4-FFF2-40B4-BE49-F238E27FC236}">
              <a16:creationId xmlns:a16="http://schemas.microsoft.com/office/drawing/2014/main" id="{8B9994B4-B519-47E4-A3DC-CC29AAD95D15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66675</xdr:colOff>
      <xdr:row>37</xdr:row>
      <xdr:rowOff>38100</xdr:rowOff>
    </xdr:to>
    <xdr:sp macro="" textlink="">
      <xdr:nvSpPr>
        <xdr:cNvPr id="238256" name="Text Box 191">
          <a:extLst>
            <a:ext uri="{FF2B5EF4-FFF2-40B4-BE49-F238E27FC236}">
              <a16:creationId xmlns:a16="http://schemas.microsoft.com/office/drawing/2014/main" id="{6F95B70C-EBB6-46DA-8B9C-4252A6F8439F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66675</xdr:colOff>
      <xdr:row>37</xdr:row>
      <xdr:rowOff>38100</xdr:rowOff>
    </xdr:to>
    <xdr:sp macro="" textlink="">
      <xdr:nvSpPr>
        <xdr:cNvPr id="238257" name="Text Box 192">
          <a:extLst>
            <a:ext uri="{FF2B5EF4-FFF2-40B4-BE49-F238E27FC236}">
              <a16:creationId xmlns:a16="http://schemas.microsoft.com/office/drawing/2014/main" id="{8A5CC702-CD82-42F5-8617-A85F992015D6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8258" name="Text Box 193">
          <a:extLst>
            <a:ext uri="{FF2B5EF4-FFF2-40B4-BE49-F238E27FC236}">
              <a16:creationId xmlns:a16="http://schemas.microsoft.com/office/drawing/2014/main" id="{DF3EA533-D945-4FBC-B273-EAF4B37898AB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8259" name="Text Box 194">
          <a:extLst>
            <a:ext uri="{FF2B5EF4-FFF2-40B4-BE49-F238E27FC236}">
              <a16:creationId xmlns:a16="http://schemas.microsoft.com/office/drawing/2014/main" id="{6ABF85FA-2BEE-4F21-A33B-997794FF645F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8260" name="Text Box 195">
          <a:extLst>
            <a:ext uri="{FF2B5EF4-FFF2-40B4-BE49-F238E27FC236}">
              <a16:creationId xmlns:a16="http://schemas.microsoft.com/office/drawing/2014/main" id="{8803CC25-519E-4EE0-8F12-8FB638B4BA14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285750</xdr:rowOff>
    </xdr:to>
    <xdr:sp macro="" textlink="">
      <xdr:nvSpPr>
        <xdr:cNvPr id="238261" name="Text Box 193">
          <a:extLst>
            <a:ext uri="{FF2B5EF4-FFF2-40B4-BE49-F238E27FC236}">
              <a16:creationId xmlns:a16="http://schemas.microsoft.com/office/drawing/2014/main" id="{046802C8-7F05-423C-9FCC-DE16804FF338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285750</xdr:rowOff>
    </xdr:to>
    <xdr:sp macro="" textlink="">
      <xdr:nvSpPr>
        <xdr:cNvPr id="238262" name="Text Box 194">
          <a:extLst>
            <a:ext uri="{FF2B5EF4-FFF2-40B4-BE49-F238E27FC236}">
              <a16:creationId xmlns:a16="http://schemas.microsoft.com/office/drawing/2014/main" id="{93B35A1D-7854-43B8-98E7-25892115E4FA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285750</xdr:rowOff>
    </xdr:to>
    <xdr:sp macro="" textlink="">
      <xdr:nvSpPr>
        <xdr:cNvPr id="238263" name="Text Box 195">
          <a:extLst>
            <a:ext uri="{FF2B5EF4-FFF2-40B4-BE49-F238E27FC236}">
              <a16:creationId xmlns:a16="http://schemas.microsoft.com/office/drawing/2014/main" id="{A9C7F41D-2E05-4067-95F2-BC1EA93768FF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57150</xdr:rowOff>
    </xdr:to>
    <xdr:sp macro="" textlink="">
      <xdr:nvSpPr>
        <xdr:cNvPr id="238264" name="Text Box 193">
          <a:extLst>
            <a:ext uri="{FF2B5EF4-FFF2-40B4-BE49-F238E27FC236}">
              <a16:creationId xmlns:a16="http://schemas.microsoft.com/office/drawing/2014/main" id="{27D2359E-BE73-4A6F-BB8D-C7484F80D10B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57150</xdr:rowOff>
    </xdr:to>
    <xdr:sp macro="" textlink="">
      <xdr:nvSpPr>
        <xdr:cNvPr id="238265" name="Text Box 194">
          <a:extLst>
            <a:ext uri="{FF2B5EF4-FFF2-40B4-BE49-F238E27FC236}">
              <a16:creationId xmlns:a16="http://schemas.microsoft.com/office/drawing/2014/main" id="{C5BB275E-23A8-4732-9635-8BCC8D88A1AB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57150</xdr:rowOff>
    </xdr:to>
    <xdr:sp macro="" textlink="">
      <xdr:nvSpPr>
        <xdr:cNvPr id="238266" name="Text Box 195">
          <a:extLst>
            <a:ext uri="{FF2B5EF4-FFF2-40B4-BE49-F238E27FC236}">
              <a16:creationId xmlns:a16="http://schemas.microsoft.com/office/drawing/2014/main" id="{720F832B-AD82-421C-AC79-F01A29048935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8267" name="Text Box 193">
          <a:extLst>
            <a:ext uri="{FF2B5EF4-FFF2-40B4-BE49-F238E27FC236}">
              <a16:creationId xmlns:a16="http://schemas.microsoft.com/office/drawing/2014/main" id="{23C4096D-3E99-423A-885F-856F859B1C85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8268" name="Text Box 194">
          <a:extLst>
            <a:ext uri="{FF2B5EF4-FFF2-40B4-BE49-F238E27FC236}">
              <a16:creationId xmlns:a16="http://schemas.microsoft.com/office/drawing/2014/main" id="{0656F5D7-F1FB-480C-8229-C14CA28DE7F6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8269" name="Text Box 195">
          <a:extLst>
            <a:ext uri="{FF2B5EF4-FFF2-40B4-BE49-F238E27FC236}">
              <a16:creationId xmlns:a16="http://schemas.microsoft.com/office/drawing/2014/main" id="{8D65457D-3F14-40D9-999C-59BFCCCFBE57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66675</xdr:colOff>
      <xdr:row>39</xdr:row>
      <xdr:rowOff>285750</xdr:rowOff>
    </xdr:to>
    <xdr:sp macro="" textlink="">
      <xdr:nvSpPr>
        <xdr:cNvPr id="238270" name="Text Box 193">
          <a:extLst>
            <a:ext uri="{FF2B5EF4-FFF2-40B4-BE49-F238E27FC236}">
              <a16:creationId xmlns:a16="http://schemas.microsoft.com/office/drawing/2014/main" id="{6CB7E207-C3E1-44BF-BCF6-778C520B2DD3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762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66675</xdr:colOff>
      <xdr:row>39</xdr:row>
      <xdr:rowOff>285750</xdr:rowOff>
    </xdr:to>
    <xdr:sp macro="" textlink="">
      <xdr:nvSpPr>
        <xdr:cNvPr id="238271" name="Text Box 194">
          <a:extLst>
            <a:ext uri="{FF2B5EF4-FFF2-40B4-BE49-F238E27FC236}">
              <a16:creationId xmlns:a16="http://schemas.microsoft.com/office/drawing/2014/main" id="{3C802D90-A9DE-49F3-A779-7653C5F19CFB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762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66675</xdr:colOff>
      <xdr:row>39</xdr:row>
      <xdr:rowOff>285750</xdr:rowOff>
    </xdr:to>
    <xdr:sp macro="" textlink="">
      <xdr:nvSpPr>
        <xdr:cNvPr id="238272" name="Text Box 195">
          <a:extLst>
            <a:ext uri="{FF2B5EF4-FFF2-40B4-BE49-F238E27FC236}">
              <a16:creationId xmlns:a16="http://schemas.microsoft.com/office/drawing/2014/main" id="{879F7FA3-ABBC-4E11-A36B-B5F6753CC1FA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762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285750</xdr:rowOff>
    </xdr:to>
    <xdr:sp macro="" textlink="">
      <xdr:nvSpPr>
        <xdr:cNvPr id="238273" name="Text Box 187">
          <a:extLst>
            <a:ext uri="{FF2B5EF4-FFF2-40B4-BE49-F238E27FC236}">
              <a16:creationId xmlns:a16="http://schemas.microsoft.com/office/drawing/2014/main" id="{393E49A1-4C25-4732-B849-9F7478BC7ED0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285750</xdr:rowOff>
    </xdr:to>
    <xdr:sp macro="" textlink="">
      <xdr:nvSpPr>
        <xdr:cNvPr id="238274" name="Text Box 193">
          <a:extLst>
            <a:ext uri="{FF2B5EF4-FFF2-40B4-BE49-F238E27FC236}">
              <a16:creationId xmlns:a16="http://schemas.microsoft.com/office/drawing/2014/main" id="{D5A91AE9-E566-4E7F-BF76-A0DBA6A8D138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285750</xdr:rowOff>
    </xdr:to>
    <xdr:sp macro="" textlink="">
      <xdr:nvSpPr>
        <xdr:cNvPr id="238275" name="Text Box 194">
          <a:extLst>
            <a:ext uri="{FF2B5EF4-FFF2-40B4-BE49-F238E27FC236}">
              <a16:creationId xmlns:a16="http://schemas.microsoft.com/office/drawing/2014/main" id="{915AE555-E736-45CD-883E-10BD326CB68E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285750</xdr:rowOff>
    </xdr:to>
    <xdr:sp macro="" textlink="">
      <xdr:nvSpPr>
        <xdr:cNvPr id="238276" name="Text Box 195">
          <a:extLst>
            <a:ext uri="{FF2B5EF4-FFF2-40B4-BE49-F238E27FC236}">
              <a16:creationId xmlns:a16="http://schemas.microsoft.com/office/drawing/2014/main" id="{3D7A9035-7719-40BF-8EF0-7E0A6B7ED95B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66675</xdr:colOff>
      <xdr:row>26</xdr:row>
      <xdr:rowOff>57150</xdr:rowOff>
    </xdr:to>
    <xdr:sp macro="" textlink="">
      <xdr:nvSpPr>
        <xdr:cNvPr id="238277" name="Text Box 193">
          <a:extLst>
            <a:ext uri="{FF2B5EF4-FFF2-40B4-BE49-F238E27FC236}">
              <a16:creationId xmlns:a16="http://schemas.microsoft.com/office/drawing/2014/main" id="{55B01486-1B03-442C-8FAA-001F617F34F3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66675</xdr:colOff>
      <xdr:row>26</xdr:row>
      <xdr:rowOff>57150</xdr:rowOff>
    </xdr:to>
    <xdr:sp macro="" textlink="">
      <xdr:nvSpPr>
        <xdr:cNvPr id="238278" name="Text Box 194">
          <a:extLst>
            <a:ext uri="{FF2B5EF4-FFF2-40B4-BE49-F238E27FC236}">
              <a16:creationId xmlns:a16="http://schemas.microsoft.com/office/drawing/2014/main" id="{A3EE265E-47AF-46B3-898C-FEDB90D12165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66675</xdr:colOff>
      <xdr:row>26</xdr:row>
      <xdr:rowOff>57150</xdr:rowOff>
    </xdr:to>
    <xdr:sp macro="" textlink="">
      <xdr:nvSpPr>
        <xdr:cNvPr id="238279" name="Text Box 195">
          <a:extLst>
            <a:ext uri="{FF2B5EF4-FFF2-40B4-BE49-F238E27FC236}">
              <a16:creationId xmlns:a16="http://schemas.microsoft.com/office/drawing/2014/main" id="{209BD38F-A1BC-4D3C-912B-5137F65BC162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28575</xdr:rowOff>
    </xdr:to>
    <xdr:sp macro="" textlink="">
      <xdr:nvSpPr>
        <xdr:cNvPr id="238280" name="Text Box 71">
          <a:extLst>
            <a:ext uri="{FF2B5EF4-FFF2-40B4-BE49-F238E27FC236}">
              <a16:creationId xmlns:a16="http://schemas.microsoft.com/office/drawing/2014/main" id="{E4F72597-7EE0-4518-8DB9-95194E00E0EC}"/>
            </a:ext>
          </a:extLst>
        </xdr:cNvPr>
        <xdr:cNvSpPr txBox="1">
          <a:spLocks noChangeArrowheads="1"/>
        </xdr:cNvSpPr>
      </xdr:nvSpPr>
      <xdr:spPr bwMode="auto">
        <a:xfrm>
          <a:off x="6762750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28575</xdr:rowOff>
    </xdr:to>
    <xdr:sp macro="" textlink="">
      <xdr:nvSpPr>
        <xdr:cNvPr id="238281" name="Text Box 175">
          <a:extLst>
            <a:ext uri="{FF2B5EF4-FFF2-40B4-BE49-F238E27FC236}">
              <a16:creationId xmlns:a16="http://schemas.microsoft.com/office/drawing/2014/main" id="{218C7D78-EBFC-445E-BEA5-896EE59D5357}"/>
            </a:ext>
          </a:extLst>
        </xdr:cNvPr>
        <xdr:cNvSpPr txBox="1">
          <a:spLocks noChangeArrowheads="1"/>
        </xdr:cNvSpPr>
      </xdr:nvSpPr>
      <xdr:spPr bwMode="auto">
        <a:xfrm>
          <a:off x="6762750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82" name="Text Box 1">
          <a:extLst>
            <a:ext uri="{FF2B5EF4-FFF2-40B4-BE49-F238E27FC236}">
              <a16:creationId xmlns:a16="http://schemas.microsoft.com/office/drawing/2014/main" id="{04FCB693-D93F-4885-BFE5-2438107EA92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83" name="Text Box 23">
          <a:extLst>
            <a:ext uri="{FF2B5EF4-FFF2-40B4-BE49-F238E27FC236}">
              <a16:creationId xmlns:a16="http://schemas.microsoft.com/office/drawing/2014/main" id="{4FE150DC-B564-4E0E-9CC2-7D731E98F47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84" name="Text Box 24">
          <a:extLst>
            <a:ext uri="{FF2B5EF4-FFF2-40B4-BE49-F238E27FC236}">
              <a16:creationId xmlns:a16="http://schemas.microsoft.com/office/drawing/2014/main" id="{BA507CFE-8770-4314-8A3A-A2A5B54A4B1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85" name="Text Box 25">
          <a:extLst>
            <a:ext uri="{FF2B5EF4-FFF2-40B4-BE49-F238E27FC236}">
              <a16:creationId xmlns:a16="http://schemas.microsoft.com/office/drawing/2014/main" id="{1927E30D-3CF0-4F41-889D-20012D83E2B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86" name="Text Box 26">
          <a:extLst>
            <a:ext uri="{FF2B5EF4-FFF2-40B4-BE49-F238E27FC236}">
              <a16:creationId xmlns:a16="http://schemas.microsoft.com/office/drawing/2014/main" id="{0C036A50-1EB0-49FC-A358-6A9C50531BA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87" name="Text Box 27">
          <a:extLst>
            <a:ext uri="{FF2B5EF4-FFF2-40B4-BE49-F238E27FC236}">
              <a16:creationId xmlns:a16="http://schemas.microsoft.com/office/drawing/2014/main" id="{2074F291-DAEF-46D8-8E6F-2FFA25C844D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88" name="Text Box 28">
          <a:extLst>
            <a:ext uri="{FF2B5EF4-FFF2-40B4-BE49-F238E27FC236}">
              <a16:creationId xmlns:a16="http://schemas.microsoft.com/office/drawing/2014/main" id="{8FB74742-96DB-4C46-A18F-DD00F9F8764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89" name="Text Box 29">
          <a:extLst>
            <a:ext uri="{FF2B5EF4-FFF2-40B4-BE49-F238E27FC236}">
              <a16:creationId xmlns:a16="http://schemas.microsoft.com/office/drawing/2014/main" id="{AD3E9736-2DD9-47CA-828E-011A7E5DB41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0" name="Text Box 30">
          <a:extLst>
            <a:ext uri="{FF2B5EF4-FFF2-40B4-BE49-F238E27FC236}">
              <a16:creationId xmlns:a16="http://schemas.microsoft.com/office/drawing/2014/main" id="{5D6387B8-AB35-47A1-9A9C-A3E78DFA12B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1" name="Text Box 31">
          <a:extLst>
            <a:ext uri="{FF2B5EF4-FFF2-40B4-BE49-F238E27FC236}">
              <a16:creationId xmlns:a16="http://schemas.microsoft.com/office/drawing/2014/main" id="{E3208120-2969-42C4-AD34-7DF00618812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2" name="Text Box 32">
          <a:extLst>
            <a:ext uri="{FF2B5EF4-FFF2-40B4-BE49-F238E27FC236}">
              <a16:creationId xmlns:a16="http://schemas.microsoft.com/office/drawing/2014/main" id="{A4FF38D9-8EF1-4B0C-BF5B-3CEDB567BB6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3" name="Text Box 33">
          <a:extLst>
            <a:ext uri="{FF2B5EF4-FFF2-40B4-BE49-F238E27FC236}">
              <a16:creationId xmlns:a16="http://schemas.microsoft.com/office/drawing/2014/main" id="{7C2F28A9-AE0F-48AF-96FE-DBE4F463B64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4" name="Text Box 34">
          <a:extLst>
            <a:ext uri="{FF2B5EF4-FFF2-40B4-BE49-F238E27FC236}">
              <a16:creationId xmlns:a16="http://schemas.microsoft.com/office/drawing/2014/main" id="{5C22CC43-1070-4695-93FF-27EF244767F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5" name="Text Box 35">
          <a:extLst>
            <a:ext uri="{FF2B5EF4-FFF2-40B4-BE49-F238E27FC236}">
              <a16:creationId xmlns:a16="http://schemas.microsoft.com/office/drawing/2014/main" id="{09F91492-D652-4459-8ADC-B89F78ED9F0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6" name="Text Box 36">
          <a:extLst>
            <a:ext uri="{FF2B5EF4-FFF2-40B4-BE49-F238E27FC236}">
              <a16:creationId xmlns:a16="http://schemas.microsoft.com/office/drawing/2014/main" id="{AD47F2E5-DA56-4C21-9F93-A8CBE57791E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7" name="Text Box 37">
          <a:extLst>
            <a:ext uri="{FF2B5EF4-FFF2-40B4-BE49-F238E27FC236}">
              <a16:creationId xmlns:a16="http://schemas.microsoft.com/office/drawing/2014/main" id="{14809B5B-2C08-4476-B928-EF0BB254DFF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8" name="Text Box 38">
          <a:extLst>
            <a:ext uri="{FF2B5EF4-FFF2-40B4-BE49-F238E27FC236}">
              <a16:creationId xmlns:a16="http://schemas.microsoft.com/office/drawing/2014/main" id="{5E8624FB-C566-4B23-8732-FDFCB4250F4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299" name="Text Box 39">
          <a:extLst>
            <a:ext uri="{FF2B5EF4-FFF2-40B4-BE49-F238E27FC236}">
              <a16:creationId xmlns:a16="http://schemas.microsoft.com/office/drawing/2014/main" id="{CFE81EB1-55DA-4D93-86F8-1715ABA1150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0" name="Text Box 40">
          <a:extLst>
            <a:ext uri="{FF2B5EF4-FFF2-40B4-BE49-F238E27FC236}">
              <a16:creationId xmlns:a16="http://schemas.microsoft.com/office/drawing/2014/main" id="{0D754E7B-64B5-42FB-96D3-9550146BDB2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1" name="Text Box 41">
          <a:extLst>
            <a:ext uri="{FF2B5EF4-FFF2-40B4-BE49-F238E27FC236}">
              <a16:creationId xmlns:a16="http://schemas.microsoft.com/office/drawing/2014/main" id="{EFCBCAD4-872D-4CD7-89C7-FA165007F5D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2" name="Text Box 42">
          <a:extLst>
            <a:ext uri="{FF2B5EF4-FFF2-40B4-BE49-F238E27FC236}">
              <a16:creationId xmlns:a16="http://schemas.microsoft.com/office/drawing/2014/main" id="{8A7B1357-78AB-4EDC-98C9-1C2EC39C927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3" name="Text Box 43">
          <a:extLst>
            <a:ext uri="{FF2B5EF4-FFF2-40B4-BE49-F238E27FC236}">
              <a16:creationId xmlns:a16="http://schemas.microsoft.com/office/drawing/2014/main" id="{1AAF20D2-459B-409D-9F33-B7DAF0DAB2C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4" name="Text Box 44">
          <a:extLst>
            <a:ext uri="{FF2B5EF4-FFF2-40B4-BE49-F238E27FC236}">
              <a16:creationId xmlns:a16="http://schemas.microsoft.com/office/drawing/2014/main" id="{87E1020E-B98F-464F-92BA-91AFCE8AF70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5" name="Text Box 45">
          <a:extLst>
            <a:ext uri="{FF2B5EF4-FFF2-40B4-BE49-F238E27FC236}">
              <a16:creationId xmlns:a16="http://schemas.microsoft.com/office/drawing/2014/main" id="{FA1D60CD-0E0A-4DC9-9E76-3A9139B1583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6" name="Text Box 46">
          <a:extLst>
            <a:ext uri="{FF2B5EF4-FFF2-40B4-BE49-F238E27FC236}">
              <a16:creationId xmlns:a16="http://schemas.microsoft.com/office/drawing/2014/main" id="{5FDE2CEC-4892-480A-ABFE-D591F0235BE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7" name="Text Box 47">
          <a:extLst>
            <a:ext uri="{FF2B5EF4-FFF2-40B4-BE49-F238E27FC236}">
              <a16:creationId xmlns:a16="http://schemas.microsoft.com/office/drawing/2014/main" id="{C47906EC-2171-4468-A636-429B266AF1A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8" name="Text Box 48">
          <a:extLst>
            <a:ext uri="{FF2B5EF4-FFF2-40B4-BE49-F238E27FC236}">
              <a16:creationId xmlns:a16="http://schemas.microsoft.com/office/drawing/2014/main" id="{C4683E84-CFBB-4B8D-A0B6-3816479FF51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09" name="Text Box 49">
          <a:extLst>
            <a:ext uri="{FF2B5EF4-FFF2-40B4-BE49-F238E27FC236}">
              <a16:creationId xmlns:a16="http://schemas.microsoft.com/office/drawing/2014/main" id="{23447F86-A298-498C-8CA6-8A814AFC779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0" name="Text Box 50">
          <a:extLst>
            <a:ext uri="{FF2B5EF4-FFF2-40B4-BE49-F238E27FC236}">
              <a16:creationId xmlns:a16="http://schemas.microsoft.com/office/drawing/2014/main" id="{298F9487-61B0-43F8-AA86-248874A16FA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1" name="Text Box 51">
          <a:extLst>
            <a:ext uri="{FF2B5EF4-FFF2-40B4-BE49-F238E27FC236}">
              <a16:creationId xmlns:a16="http://schemas.microsoft.com/office/drawing/2014/main" id="{B7AFC7C2-B397-42C5-B27E-C3474537EDE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2" name="Text Box 52">
          <a:extLst>
            <a:ext uri="{FF2B5EF4-FFF2-40B4-BE49-F238E27FC236}">
              <a16:creationId xmlns:a16="http://schemas.microsoft.com/office/drawing/2014/main" id="{2D11DA8B-3346-4E14-813C-5BF710D6E02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3" name="Text Box 53">
          <a:extLst>
            <a:ext uri="{FF2B5EF4-FFF2-40B4-BE49-F238E27FC236}">
              <a16:creationId xmlns:a16="http://schemas.microsoft.com/office/drawing/2014/main" id="{91DF2979-76C0-4552-9EE5-5C6FEE3C1C6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4" name="Text Box 54">
          <a:extLst>
            <a:ext uri="{FF2B5EF4-FFF2-40B4-BE49-F238E27FC236}">
              <a16:creationId xmlns:a16="http://schemas.microsoft.com/office/drawing/2014/main" id="{EFD7A8EF-9022-49A6-B542-E53662891B1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5" name="Text Box 55">
          <a:extLst>
            <a:ext uri="{FF2B5EF4-FFF2-40B4-BE49-F238E27FC236}">
              <a16:creationId xmlns:a16="http://schemas.microsoft.com/office/drawing/2014/main" id="{33E9E657-C33F-47BF-871C-2A383EB6E30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6" name="Text Box 56">
          <a:extLst>
            <a:ext uri="{FF2B5EF4-FFF2-40B4-BE49-F238E27FC236}">
              <a16:creationId xmlns:a16="http://schemas.microsoft.com/office/drawing/2014/main" id="{67EF4B82-17A7-4178-9709-B02AA1B7E99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7" name="Text Box 57">
          <a:extLst>
            <a:ext uri="{FF2B5EF4-FFF2-40B4-BE49-F238E27FC236}">
              <a16:creationId xmlns:a16="http://schemas.microsoft.com/office/drawing/2014/main" id="{744852EA-AA7F-4D66-8C19-667BFA89522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8" name="Text Box 58">
          <a:extLst>
            <a:ext uri="{FF2B5EF4-FFF2-40B4-BE49-F238E27FC236}">
              <a16:creationId xmlns:a16="http://schemas.microsoft.com/office/drawing/2014/main" id="{D026F573-A8E0-45D7-A70F-293B340BC01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19" name="Text Box 59">
          <a:extLst>
            <a:ext uri="{FF2B5EF4-FFF2-40B4-BE49-F238E27FC236}">
              <a16:creationId xmlns:a16="http://schemas.microsoft.com/office/drawing/2014/main" id="{A650E084-EABB-4129-8B26-D08ACEB5E19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0" name="Text Box 60">
          <a:extLst>
            <a:ext uri="{FF2B5EF4-FFF2-40B4-BE49-F238E27FC236}">
              <a16:creationId xmlns:a16="http://schemas.microsoft.com/office/drawing/2014/main" id="{FB980A2A-A70A-44E7-BDD3-8CDB016A27F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1" name="Text Box 61">
          <a:extLst>
            <a:ext uri="{FF2B5EF4-FFF2-40B4-BE49-F238E27FC236}">
              <a16:creationId xmlns:a16="http://schemas.microsoft.com/office/drawing/2014/main" id="{1C65B850-E2B6-4A12-AD44-7AA57B68185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2" name="Text Box 62">
          <a:extLst>
            <a:ext uri="{FF2B5EF4-FFF2-40B4-BE49-F238E27FC236}">
              <a16:creationId xmlns:a16="http://schemas.microsoft.com/office/drawing/2014/main" id="{F9629488-1BA7-4D29-BE60-A8AB5400E55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3" name="Text Box 63">
          <a:extLst>
            <a:ext uri="{FF2B5EF4-FFF2-40B4-BE49-F238E27FC236}">
              <a16:creationId xmlns:a16="http://schemas.microsoft.com/office/drawing/2014/main" id="{7F5C6FF9-1871-4D7B-8A26-D9BADC3C2EC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4" name="Text Box 64">
          <a:extLst>
            <a:ext uri="{FF2B5EF4-FFF2-40B4-BE49-F238E27FC236}">
              <a16:creationId xmlns:a16="http://schemas.microsoft.com/office/drawing/2014/main" id="{D49F1C4E-1CA4-408E-AC20-FD9F8F4F43F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5" name="Text Box 65">
          <a:extLst>
            <a:ext uri="{FF2B5EF4-FFF2-40B4-BE49-F238E27FC236}">
              <a16:creationId xmlns:a16="http://schemas.microsoft.com/office/drawing/2014/main" id="{65F1B952-D18C-4B42-BA53-6F7FD8BB2DD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6" name="Text Box 66">
          <a:extLst>
            <a:ext uri="{FF2B5EF4-FFF2-40B4-BE49-F238E27FC236}">
              <a16:creationId xmlns:a16="http://schemas.microsoft.com/office/drawing/2014/main" id="{F18ADB96-128D-4B91-B91E-CEA0A6E784D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7" name="Text Box 67">
          <a:extLst>
            <a:ext uri="{FF2B5EF4-FFF2-40B4-BE49-F238E27FC236}">
              <a16:creationId xmlns:a16="http://schemas.microsoft.com/office/drawing/2014/main" id="{55784DC1-D340-4653-B5C4-800BE24D95A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8" name="Text Box 68">
          <a:extLst>
            <a:ext uri="{FF2B5EF4-FFF2-40B4-BE49-F238E27FC236}">
              <a16:creationId xmlns:a16="http://schemas.microsoft.com/office/drawing/2014/main" id="{B184747B-D494-4ED6-8565-0461766C10C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29" name="Text Box 69">
          <a:extLst>
            <a:ext uri="{FF2B5EF4-FFF2-40B4-BE49-F238E27FC236}">
              <a16:creationId xmlns:a16="http://schemas.microsoft.com/office/drawing/2014/main" id="{960C97B6-2AC3-4529-B18B-CD5B182F593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30" name="Text Box 70">
          <a:extLst>
            <a:ext uri="{FF2B5EF4-FFF2-40B4-BE49-F238E27FC236}">
              <a16:creationId xmlns:a16="http://schemas.microsoft.com/office/drawing/2014/main" id="{B54C7E2C-B49E-4994-B820-3B1F9CE4589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31" name="Text Box 72">
          <a:extLst>
            <a:ext uri="{FF2B5EF4-FFF2-40B4-BE49-F238E27FC236}">
              <a16:creationId xmlns:a16="http://schemas.microsoft.com/office/drawing/2014/main" id="{D3AD00C9-F8B3-4F7E-9363-1853E288810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32" name="Text Box 73">
          <a:extLst>
            <a:ext uri="{FF2B5EF4-FFF2-40B4-BE49-F238E27FC236}">
              <a16:creationId xmlns:a16="http://schemas.microsoft.com/office/drawing/2014/main" id="{1D4DBFE5-3C81-41FA-AF7F-65D7048C5B9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33" name="Text Box 77">
          <a:extLst>
            <a:ext uri="{FF2B5EF4-FFF2-40B4-BE49-F238E27FC236}">
              <a16:creationId xmlns:a16="http://schemas.microsoft.com/office/drawing/2014/main" id="{52BAB16A-F371-4173-A774-2A877084128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34" name="Text Box 78">
          <a:extLst>
            <a:ext uri="{FF2B5EF4-FFF2-40B4-BE49-F238E27FC236}">
              <a16:creationId xmlns:a16="http://schemas.microsoft.com/office/drawing/2014/main" id="{FE97C7BF-3EF0-491B-BD3F-5ED310DBD4C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35" name="Text Box 79">
          <a:extLst>
            <a:ext uri="{FF2B5EF4-FFF2-40B4-BE49-F238E27FC236}">
              <a16:creationId xmlns:a16="http://schemas.microsoft.com/office/drawing/2014/main" id="{69D7A927-3D9F-4974-8DC1-BED22DF1DD0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36" name="Text Box 80">
          <a:extLst>
            <a:ext uri="{FF2B5EF4-FFF2-40B4-BE49-F238E27FC236}">
              <a16:creationId xmlns:a16="http://schemas.microsoft.com/office/drawing/2014/main" id="{AA0B2771-119C-46CB-AA0A-15406E321D7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37" name="Text Box 81">
          <a:extLst>
            <a:ext uri="{FF2B5EF4-FFF2-40B4-BE49-F238E27FC236}">
              <a16:creationId xmlns:a16="http://schemas.microsoft.com/office/drawing/2014/main" id="{DFB22FB9-4037-4065-A953-DCE2541279C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38" name="Text Box 82">
          <a:extLst>
            <a:ext uri="{FF2B5EF4-FFF2-40B4-BE49-F238E27FC236}">
              <a16:creationId xmlns:a16="http://schemas.microsoft.com/office/drawing/2014/main" id="{B23DE559-A1F3-4BA8-B386-093912CFE4D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42</xdr:row>
      <xdr:rowOff>0</xdr:rowOff>
    </xdr:from>
    <xdr:to>
      <xdr:col>4</xdr:col>
      <xdr:colOff>304800</xdr:colOff>
      <xdr:row>43</xdr:row>
      <xdr:rowOff>28575</xdr:rowOff>
    </xdr:to>
    <xdr:sp macro="" textlink="">
      <xdr:nvSpPr>
        <xdr:cNvPr id="238339" name="Text Box 83">
          <a:extLst>
            <a:ext uri="{FF2B5EF4-FFF2-40B4-BE49-F238E27FC236}">
              <a16:creationId xmlns:a16="http://schemas.microsoft.com/office/drawing/2014/main" id="{7E4B8A95-2E22-4781-B78A-328D13B4AD58}"/>
            </a:ext>
          </a:extLst>
        </xdr:cNvPr>
        <xdr:cNvSpPr txBox="1">
          <a:spLocks noChangeArrowheads="1"/>
        </xdr:cNvSpPr>
      </xdr:nvSpPr>
      <xdr:spPr bwMode="auto">
        <a:xfrm>
          <a:off x="6677025" y="8896350"/>
          <a:ext cx="57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0" name="Text Box 84">
          <a:extLst>
            <a:ext uri="{FF2B5EF4-FFF2-40B4-BE49-F238E27FC236}">
              <a16:creationId xmlns:a16="http://schemas.microsoft.com/office/drawing/2014/main" id="{706ACB32-3FD5-456D-A112-3C229B2FEDF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1" name="Text Box 85">
          <a:extLst>
            <a:ext uri="{FF2B5EF4-FFF2-40B4-BE49-F238E27FC236}">
              <a16:creationId xmlns:a16="http://schemas.microsoft.com/office/drawing/2014/main" id="{A5C2962A-B26C-49FF-BE38-4A9919C6BAA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2" name="Text Box 89">
          <a:extLst>
            <a:ext uri="{FF2B5EF4-FFF2-40B4-BE49-F238E27FC236}">
              <a16:creationId xmlns:a16="http://schemas.microsoft.com/office/drawing/2014/main" id="{97361DD8-DF26-411A-B460-B1453FD02FD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3" name="Text Box 90">
          <a:extLst>
            <a:ext uri="{FF2B5EF4-FFF2-40B4-BE49-F238E27FC236}">
              <a16:creationId xmlns:a16="http://schemas.microsoft.com/office/drawing/2014/main" id="{F917185D-DFBE-42AC-86D4-3744FCC755F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4" name="Text Box 91">
          <a:extLst>
            <a:ext uri="{FF2B5EF4-FFF2-40B4-BE49-F238E27FC236}">
              <a16:creationId xmlns:a16="http://schemas.microsoft.com/office/drawing/2014/main" id="{36F79F90-6146-4076-A410-7E75F3B01FB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5" name="Text Box 92">
          <a:extLst>
            <a:ext uri="{FF2B5EF4-FFF2-40B4-BE49-F238E27FC236}">
              <a16:creationId xmlns:a16="http://schemas.microsoft.com/office/drawing/2014/main" id="{7D6B2E58-947C-404A-8B31-9C35B3E1F68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6" name="Text Box 93">
          <a:extLst>
            <a:ext uri="{FF2B5EF4-FFF2-40B4-BE49-F238E27FC236}">
              <a16:creationId xmlns:a16="http://schemas.microsoft.com/office/drawing/2014/main" id="{EF82E639-7D53-46E4-89AC-CF20C5D589B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7" name="Text Box 94">
          <a:extLst>
            <a:ext uri="{FF2B5EF4-FFF2-40B4-BE49-F238E27FC236}">
              <a16:creationId xmlns:a16="http://schemas.microsoft.com/office/drawing/2014/main" id="{29773285-AE5B-49D4-8EF9-FD9090932F6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8" name="Text Box 95">
          <a:extLst>
            <a:ext uri="{FF2B5EF4-FFF2-40B4-BE49-F238E27FC236}">
              <a16:creationId xmlns:a16="http://schemas.microsoft.com/office/drawing/2014/main" id="{FC3FAEAC-C036-4638-93CF-37A9298CD8A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49" name="Text Box 96">
          <a:extLst>
            <a:ext uri="{FF2B5EF4-FFF2-40B4-BE49-F238E27FC236}">
              <a16:creationId xmlns:a16="http://schemas.microsoft.com/office/drawing/2014/main" id="{14758FFC-0FAA-4D55-B55E-A205D661713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0" name="Text Box 97">
          <a:extLst>
            <a:ext uri="{FF2B5EF4-FFF2-40B4-BE49-F238E27FC236}">
              <a16:creationId xmlns:a16="http://schemas.microsoft.com/office/drawing/2014/main" id="{303F0BAA-7172-443F-B2EB-0596421EB11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1" name="Text Box 101">
          <a:extLst>
            <a:ext uri="{FF2B5EF4-FFF2-40B4-BE49-F238E27FC236}">
              <a16:creationId xmlns:a16="http://schemas.microsoft.com/office/drawing/2014/main" id="{2DD97228-0B88-436B-9BD9-6678E6ED36E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2" name="Text Box 102">
          <a:extLst>
            <a:ext uri="{FF2B5EF4-FFF2-40B4-BE49-F238E27FC236}">
              <a16:creationId xmlns:a16="http://schemas.microsoft.com/office/drawing/2014/main" id="{B663730C-D5F7-4375-8D4D-446A6534A70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3" name="Text Box 103">
          <a:extLst>
            <a:ext uri="{FF2B5EF4-FFF2-40B4-BE49-F238E27FC236}">
              <a16:creationId xmlns:a16="http://schemas.microsoft.com/office/drawing/2014/main" id="{1CAE2E9B-A9B8-48EA-8B28-6EE19F6F746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4" name="Text Box 104">
          <a:extLst>
            <a:ext uri="{FF2B5EF4-FFF2-40B4-BE49-F238E27FC236}">
              <a16:creationId xmlns:a16="http://schemas.microsoft.com/office/drawing/2014/main" id="{90EE3A78-34AB-405D-A23C-2D02A631AE1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5" name="Text Box 105">
          <a:extLst>
            <a:ext uri="{FF2B5EF4-FFF2-40B4-BE49-F238E27FC236}">
              <a16:creationId xmlns:a16="http://schemas.microsoft.com/office/drawing/2014/main" id="{462FE15F-09F8-426C-930C-1DAEEA46236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6" name="Text Box 106">
          <a:extLst>
            <a:ext uri="{FF2B5EF4-FFF2-40B4-BE49-F238E27FC236}">
              <a16:creationId xmlns:a16="http://schemas.microsoft.com/office/drawing/2014/main" id="{839A3782-4807-42C4-AC7B-7DE85FBBA6F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7" name="Text Box 107">
          <a:extLst>
            <a:ext uri="{FF2B5EF4-FFF2-40B4-BE49-F238E27FC236}">
              <a16:creationId xmlns:a16="http://schemas.microsoft.com/office/drawing/2014/main" id="{B8490223-FC40-41F6-99C8-EF5FBDAD07E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8" name="Text Box 108">
          <a:extLst>
            <a:ext uri="{FF2B5EF4-FFF2-40B4-BE49-F238E27FC236}">
              <a16:creationId xmlns:a16="http://schemas.microsoft.com/office/drawing/2014/main" id="{19D641BE-7610-4A0E-A717-7B30E02BB70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59" name="Text Box 109">
          <a:extLst>
            <a:ext uri="{FF2B5EF4-FFF2-40B4-BE49-F238E27FC236}">
              <a16:creationId xmlns:a16="http://schemas.microsoft.com/office/drawing/2014/main" id="{4A3A2421-D7DE-4F44-AE31-D0A93B8EE8E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0" name="Text Box 113">
          <a:extLst>
            <a:ext uri="{FF2B5EF4-FFF2-40B4-BE49-F238E27FC236}">
              <a16:creationId xmlns:a16="http://schemas.microsoft.com/office/drawing/2014/main" id="{1E68DC29-9510-430B-B7EA-F5D47B6E555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1" name="Text Box 114">
          <a:extLst>
            <a:ext uri="{FF2B5EF4-FFF2-40B4-BE49-F238E27FC236}">
              <a16:creationId xmlns:a16="http://schemas.microsoft.com/office/drawing/2014/main" id="{DCCA2ED8-9CBB-40CF-88D9-39128155ABF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2" name="Text Box 115">
          <a:extLst>
            <a:ext uri="{FF2B5EF4-FFF2-40B4-BE49-F238E27FC236}">
              <a16:creationId xmlns:a16="http://schemas.microsoft.com/office/drawing/2014/main" id="{559462A6-1F89-4BE2-BD23-DD14E650D8D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3" name="Text Box 116">
          <a:extLst>
            <a:ext uri="{FF2B5EF4-FFF2-40B4-BE49-F238E27FC236}">
              <a16:creationId xmlns:a16="http://schemas.microsoft.com/office/drawing/2014/main" id="{0B512F50-9B8F-46F2-951C-D0731168519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4" name="Text Box 117">
          <a:extLst>
            <a:ext uri="{FF2B5EF4-FFF2-40B4-BE49-F238E27FC236}">
              <a16:creationId xmlns:a16="http://schemas.microsoft.com/office/drawing/2014/main" id="{8BC5C9F4-82C3-481E-8839-F807F76C673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5" name="Text Box 118">
          <a:extLst>
            <a:ext uri="{FF2B5EF4-FFF2-40B4-BE49-F238E27FC236}">
              <a16:creationId xmlns:a16="http://schemas.microsoft.com/office/drawing/2014/main" id="{8CE29E75-DB03-4C31-B802-B49746CBE0A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6" name="Text Box 119">
          <a:extLst>
            <a:ext uri="{FF2B5EF4-FFF2-40B4-BE49-F238E27FC236}">
              <a16:creationId xmlns:a16="http://schemas.microsoft.com/office/drawing/2014/main" id="{6370A0E7-AA9D-42AE-AA33-E9105C7069D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7" name="Text Box 120">
          <a:extLst>
            <a:ext uri="{FF2B5EF4-FFF2-40B4-BE49-F238E27FC236}">
              <a16:creationId xmlns:a16="http://schemas.microsoft.com/office/drawing/2014/main" id="{D41F3DF7-B6E6-41D7-A39D-E26436D5A4A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8" name="Text Box 121">
          <a:extLst>
            <a:ext uri="{FF2B5EF4-FFF2-40B4-BE49-F238E27FC236}">
              <a16:creationId xmlns:a16="http://schemas.microsoft.com/office/drawing/2014/main" id="{D9C17A9C-9212-4588-9CF8-EC2F3A13D09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69" name="Text Box 125">
          <a:extLst>
            <a:ext uri="{FF2B5EF4-FFF2-40B4-BE49-F238E27FC236}">
              <a16:creationId xmlns:a16="http://schemas.microsoft.com/office/drawing/2014/main" id="{849E3191-65D9-40DF-9350-090065ECDB9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0" name="Text Box 126">
          <a:extLst>
            <a:ext uri="{FF2B5EF4-FFF2-40B4-BE49-F238E27FC236}">
              <a16:creationId xmlns:a16="http://schemas.microsoft.com/office/drawing/2014/main" id="{B0517864-9713-4804-8870-EF9F3EC1360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1" name="Text Box 127">
          <a:extLst>
            <a:ext uri="{FF2B5EF4-FFF2-40B4-BE49-F238E27FC236}">
              <a16:creationId xmlns:a16="http://schemas.microsoft.com/office/drawing/2014/main" id="{CF16F82E-1785-496C-9089-4C12F488A19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2" name="Text Box 128">
          <a:extLst>
            <a:ext uri="{FF2B5EF4-FFF2-40B4-BE49-F238E27FC236}">
              <a16:creationId xmlns:a16="http://schemas.microsoft.com/office/drawing/2014/main" id="{D9271392-406F-4723-B874-F098F6FC20E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3" name="Text Box 129">
          <a:extLst>
            <a:ext uri="{FF2B5EF4-FFF2-40B4-BE49-F238E27FC236}">
              <a16:creationId xmlns:a16="http://schemas.microsoft.com/office/drawing/2014/main" id="{F20CB4E8-6529-4404-8F55-31A8EF7488D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4" name="Text Box 130">
          <a:extLst>
            <a:ext uri="{FF2B5EF4-FFF2-40B4-BE49-F238E27FC236}">
              <a16:creationId xmlns:a16="http://schemas.microsoft.com/office/drawing/2014/main" id="{B3B841D6-711A-4EF3-AB6B-0FCFEB35070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5" name="Text Box 131">
          <a:extLst>
            <a:ext uri="{FF2B5EF4-FFF2-40B4-BE49-F238E27FC236}">
              <a16:creationId xmlns:a16="http://schemas.microsoft.com/office/drawing/2014/main" id="{22E1E1A0-27F0-47AE-B2FC-29589E8F341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6" name="Text Box 132">
          <a:extLst>
            <a:ext uri="{FF2B5EF4-FFF2-40B4-BE49-F238E27FC236}">
              <a16:creationId xmlns:a16="http://schemas.microsoft.com/office/drawing/2014/main" id="{92C12C66-F88F-4842-B8C2-DD97845A925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7" name="Text Box 133">
          <a:extLst>
            <a:ext uri="{FF2B5EF4-FFF2-40B4-BE49-F238E27FC236}">
              <a16:creationId xmlns:a16="http://schemas.microsoft.com/office/drawing/2014/main" id="{CC5570F9-96A1-42B1-A1FB-E29A094D9A6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8" name="Text Box 137">
          <a:extLst>
            <a:ext uri="{FF2B5EF4-FFF2-40B4-BE49-F238E27FC236}">
              <a16:creationId xmlns:a16="http://schemas.microsoft.com/office/drawing/2014/main" id="{DF8EB175-3DFA-4CC2-B7A7-D9A58C42F30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79" name="Text Box 138">
          <a:extLst>
            <a:ext uri="{FF2B5EF4-FFF2-40B4-BE49-F238E27FC236}">
              <a16:creationId xmlns:a16="http://schemas.microsoft.com/office/drawing/2014/main" id="{256B15A0-2CFB-42BE-AD0D-7C26B8DE3DC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0" name="Text Box 139">
          <a:extLst>
            <a:ext uri="{FF2B5EF4-FFF2-40B4-BE49-F238E27FC236}">
              <a16:creationId xmlns:a16="http://schemas.microsoft.com/office/drawing/2014/main" id="{B2BB4C3C-4555-4E4D-A969-6A5DF32F8E6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1" name="Text Box 140">
          <a:extLst>
            <a:ext uri="{FF2B5EF4-FFF2-40B4-BE49-F238E27FC236}">
              <a16:creationId xmlns:a16="http://schemas.microsoft.com/office/drawing/2014/main" id="{5896DF86-7186-424C-86B5-8F9EC00B509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2" name="Text Box 141">
          <a:extLst>
            <a:ext uri="{FF2B5EF4-FFF2-40B4-BE49-F238E27FC236}">
              <a16:creationId xmlns:a16="http://schemas.microsoft.com/office/drawing/2014/main" id="{F58175C3-4300-40B0-810E-6D14E004114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3" name="Text Box 142">
          <a:extLst>
            <a:ext uri="{FF2B5EF4-FFF2-40B4-BE49-F238E27FC236}">
              <a16:creationId xmlns:a16="http://schemas.microsoft.com/office/drawing/2014/main" id="{12977328-6F4B-4304-A239-E3ADC2DBA90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4" name="Text Box 143">
          <a:extLst>
            <a:ext uri="{FF2B5EF4-FFF2-40B4-BE49-F238E27FC236}">
              <a16:creationId xmlns:a16="http://schemas.microsoft.com/office/drawing/2014/main" id="{7E5F349C-CEF4-4CC6-A138-52C966C9AAA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5" name="Text Box 144">
          <a:extLst>
            <a:ext uri="{FF2B5EF4-FFF2-40B4-BE49-F238E27FC236}">
              <a16:creationId xmlns:a16="http://schemas.microsoft.com/office/drawing/2014/main" id="{AB750A14-C1B9-4DA2-B842-915C2309E44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6" name="Text Box 145">
          <a:extLst>
            <a:ext uri="{FF2B5EF4-FFF2-40B4-BE49-F238E27FC236}">
              <a16:creationId xmlns:a16="http://schemas.microsoft.com/office/drawing/2014/main" id="{D2A822B4-B9AE-4D78-B351-FEE8905A6B2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7" name="Text Box 149">
          <a:extLst>
            <a:ext uri="{FF2B5EF4-FFF2-40B4-BE49-F238E27FC236}">
              <a16:creationId xmlns:a16="http://schemas.microsoft.com/office/drawing/2014/main" id="{6F4FEBE4-2B43-46CB-9F70-6FF0DB7F52F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8" name="Text Box 150">
          <a:extLst>
            <a:ext uri="{FF2B5EF4-FFF2-40B4-BE49-F238E27FC236}">
              <a16:creationId xmlns:a16="http://schemas.microsoft.com/office/drawing/2014/main" id="{FE4EBDDB-F307-4784-B0F2-F5E8B91FE79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89" name="Text Box 151">
          <a:extLst>
            <a:ext uri="{FF2B5EF4-FFF2-40B4-BE49-F238E27FC236}">
              <a16:creationId xmlns:a16="http://schemas.microsoft.com/office/drawing/2014/main" id="{26F41ECA-4D09-45A0-B8DC-2D9D32DC9AB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0" name="Text Box 152">
          <a:extLst>
            <a:ext uri="{FF2B5EF4-FFF2-40B4-BE49-F238E27FC236}">
              <a16:creationId xmlns:a16="http://schemas.microsoft.com/office/drawing/2014/main" id="{88E70A29-0F63-4865-93E2-FF889A47A84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1" name="Text Box 153">
          <a:extLst>
            <a:ext uri="{FF2B5EF4-FFF2-40B4-BE49-F238E27FC236}">
              <a16:creationId xmlns:a16="http://schemas.microsoft.com/office/drawing/2014/main" id="{A2B51784-9722-4520-81A4-E67A9BD1EA4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2" name="Text Box 154">
          <a:extLst>
            <a:ext uri="{FF2B5EF4-FFF2-40B4-BE49-F238E27FC236}">
              <a16:creationId xmlns:a16="http://schemas.microsoft.com/office/drawing/2014/main" id="{2413CC6C-9A99-40A9-8602-797ABA1C1CB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3" name="Text Box 155">
          <a:extLst>
            <a:ext uri="{FF2B5EF4-FFF2-40B4-BE49-F238E27FC236}">
              <a16:creationId xmlns:a16="http://schemas.microsoft.com/office/drawing/2014/main" id="{F4783EAB-14CF-4C07-B3CF-419CB4F781D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4" name="Text Box 156">
          <a:extLst>
            <a:ext uri="{FF2B5EF4-FFF2-40B4-BE49-F238E27FC236}">
              <a16:creationId xmlns:a16="http://schemas.microsoft.com/office/drawing/2014/main" id="{F8348455-3606-4CD0-B9D2-FD43B8A1D49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5" name="Text Box 157">
          <a:extLst>
            <a:ext uri="{FF2B5EF4-FFF2-40B4-BE49-F238E27FC236}">
              <a16:creationId xmlns:a16="http://schemas.microsoft.com/office/drawing/2014/main" id="{BB68D8E7-6F97-4ABB-B78C-5C2DEA07F8E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6" name="Text Box 161">
          <a:extLst>
            <a:ext uri="{FF2B5EF4-FFF2-40B4-BE49-F238E27FC236}">
              <a16:creationId xmlns:a16="http://schemas.microsoft.com/office/drawing/2014/main" id="{42269CB1-423D-4B6E-8529-7D99BF4F18A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7" name="Text Box 162">
          <a:extLst>
            <a:ext uri="{FF2B5EF4-FFF2-40B4-BE49-F238E27FC236}">
              <a16:creationId xmlns:a16="http://schemas.microsoft.com/office/drawing/2014/main" id="{11372FF2-FA65-4C59-B80A-77889B28C79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8" name="Text Box 163">
          <a:extLst>
            <a:ext uri="{FF2B5EF4-FFF2-40B4-BE49-F238E27FC236}">
              <a16:creationId xmlns:a16="http://schemas.microsoft.com/office/drawing/2014/main" id="{A69CBECF-2A8E-4515-BFF6-B4D8E0B0544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399" name="Text Box 164">
          <a:extLst>
            <a:ext uri="{FF2B5EF4-FFF2-40B4-BE49-F238E27FC236}">
              <a16:creationId xmlns:a16="http://schemas.microsoft.com/office/drawing/2014/main" id="{965D9B30-6F2F-47E7-9EE4-BF94C20C609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0" name="Text Box 165">
          <a:extLst>
            <a:ext uri="{FF2B5EF4-FFF2-40B4-BE49-F238E27FC236}">
              <a16:creationId xmlns:a16="http://schemas.microsoft.com/office/drawing/2014/main" id="{78FD7514-F004-4489-BAC9-BB8984A9A8A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1" name="Text Box 166">
          <a:extLst>
            <a:ext uri="{FF2B5EF4-FFF2-40B4-BE49-F238E27FC236}">
              <a16:creationId xmlns:a16="http://schemas.microsoft.com/office/drawing/2014/main" id="{C7A4986F-0783-41E0-A4D8-1C9D84DE1C8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2" name="Text Box 167">
          <a:extLst>
            <a:ext uri="{FF2B5EF4-FFF2-40B4-BE49-F238E27FC236}">
              <a16:creationId xmlns:a16="http://schemas.microsoft.com/office/drawing/2014/main" id="{C5A6D86F-F1F0-4797-BE1E-9DF18F14E5E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3" name="Text Box 168">
          <a:extLst>
            <a:ext uri="{FF2B5EF4-FFF2-40B4-BE49-F238E27FC236}">
              <a16:creationId xmlns:a16="http://schemas.microsoft.com/office/drawing/2014/main" id="{A8F4D70A-133F-42BA-B0E3-A6E1493591F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4" name="Text Box 169">
          <a:extLst>
            <a:ext uri="{FF2B5EF4-FFF2-40B4-BE49-F238E27FC236}">
              <a16:creationId xmlns:a16="http://schemas.microsoft.com/office/drawing/2014/main" id="{8598AFD5-3F38-49F6-B302-C4C28027F0D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5" name="Text Box 170">
          <a:extLst>
            <a:ext uri="{FF2B5EF4-FFF2-40B4-BE49-F238E27FC236}">
              <a16:creationId xmlns:a16="http://schemas.microsoft.com/office/drawing/2014/main" id="{86CC2FAC-1E91-4378-AB44-238653B346F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6" name="Text Box 171">
          <a:extLst>
            <a:ext uri="{FF2B5EF4-FFF2-40B4-BE49-F238E27FC236}">
              <a16:creationId xmlns:a16="http://schemas.microsoft.com/office/drawing/2014/main" id="{CAEFA72B-F540-4B40-9A88-B9E5F3C63F3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7" name="Text Box 172">
          <a:extLst>
            <a:ext uri="{FF2B5EF4-FFF2-40B4-BE49-F238E27FC236}">
              <a16:creationId xmlns:a16="http://schemas.microsoft.com/office/drawing/2014/main" id="{D43B7887-E78B-4B97-B6BF-1F7A9CD1B65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8" name="Text Box 173">
          <a:extLst>
            <a:ext uri="{FF2B5EF4-FFF2-40B4-BE49-F238E27FC236}">
              <a16:creationId xmlns:a16="http://schemas.microsoft.com/office/drawing/2014/main" id="{6F39CC52-C7F3-46BC-B901-DF1B00410A7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09" name="Text Box 174">
          <a:extLst>
            <a:ext uri="{FF2B5EF4-FFF2-40B4-BE49-F238E27FC236}">
              <a16:creationId xmlns:a16="http://schemas.microsoft.com/office/drawing/2014/main" id="{10903F58-40A8-49C4-AD49-68BE60EB4DA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10" name="Text Box 176">
          <a:extLst>
            <a:ext uri="{FF2B5EF4-FFF2-40B4-BE49-F238E27FC236}">
              <a16:creationId xmlns:a16="http://schemas.microsoft.com/office/drawing/2014/main" id="{E165A65C-A2A6-4FCD-982B-C93C0845F93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42</xdr:row>
      <xdr:rowOff>0</xdr:rowOff>
    </xdr:from>
    <xdr:to>
      <xdr:col>4</xdr:col>
      <xdr:colOff>304800</xdr:colOff>
      <xdr:row>43</xdr:row>
      <xdr:rowOff>28575</xdr:rowOff>
    </xdr:to>
    <xdr:sp macro="" textlink="">
      <xdr:nvSpPr>
        <xdr:cNvPr id="238411" name="Text Box 177">
          <a:extLst>
            <a:ext uri="{FF2B5EF4-FFF2-40B4-BE49-F238E27FC236}">
              <a16:creationId xmlns:a16="http://schemas.microsoft.com/office/drawing/2014/main" id="{5F7820C2-206F-45A4-8053-1B47142D78C6}"/>
            </a:ext>
          </a:extLst>
        </xdr:cNvPr>
        <xdr:cNvSpPr txBox="1">
          <a:spLocks noChangeArrowheads="1"/>
        </xdr:cNvSpPr>
      </xdr:nvSpPr>
      <xdr:spPr bwMode="auto">
        <a:xfrm>
          <a:off x="6677025" y="8896350"/>
          <a:ext cx="57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12" name="Text Box 178">
          <a:extLst>
            <a:ext uri="{FF2B5EF4-FFF2-40B4-BE49-F238E27FC236}">
              <a16:creationId xmlns:a16="http://schemas.microsoft.com/office/drawing/2014/main" id="{33573EC5-A027-4457-9ACE-48BF3573C7C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13" name="Text Box 179">
          <a:extLst>
            <a:ext uri="{FF2B5EF4-FFF2-40B4-BE49-F238E27FC236}">
              <a16:creationId xmlns:a16="http://schemas.microsoft.com/office/drawing/2014/main" id="{7F5F3456-07EA-49B1-A7DA-8DA825036FA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14" name="Text Box 180">
          <a:extLst>
            <a:ext uri="{FF2B5EF4-FFF2-40B4-BE49-F238E27FC236}">
              <a16:creationId xmlns:a16="http://schemas.microsoft.com/office/drawing/2014/main" id="{055383E4-4C45-4769-AC79-40EE7BEF27F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15" name="Text Box 181">
          <a:extLst>
            <a:ext uri="{FF2B5EF4-FFF2-40B4-BE49-F238E27FC236}">
              <a16:creationId xmlns:a16="http://schemas.microsoft.com/office/drawing/2014/main" id="{BF4B193F-3210-4154-847F-9561B998736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16" name="Text Box 182">
          <a:extLst>
            <a:ext uri="{FF2B5EF4-FFF2-40B4-BE49-F238E27FC236}">
              <a16:creationId xmlns:a16="http://schemas.microsoft.com/office/drawing/2014/main" id="{6668D6CE-38E2-4630-9105-CAB14BF7A3D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17" name="Text Box 183">
          <a:extLst>
            <a:ext uri="{FF2B5EF4-FFF2-40B4-BE49-F238E27FC236}">
              <a16:creationId xmlns:a16="http://schemas.microsoft.com/office/drawing/2014/main" id="{42CA3C4E-5052-4A14-A67D-28D4EEDCCD9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18" name="Text Box 184">
          <a:extLst>
            <a:ext uri="{FF2B5EF4-FFF2-40B4-BE49-F238E27FC236}">
              <a16:creationId xmlns:a16="http://schemas.microsoft.com/office/drawing/2014/main" id="{75DC4EF8-D93D-4EF3-93A2-7A1F09805DD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19" name="Text Box 185">
          <a:extLst>
            <a:ext uri="{FF2B5EF4-FFF2-40B4-BE49-F238E27FC236}">
              <a16:creationId xmlns:a16="http://schemas.microsoft.com/office/drawing/2014/main" id="{AF8E23B9-0C98-4F42-A5CB-7056C51825F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0" name="Text Box 186">
          <a:extLst>
            <a:ext uri="{FF2B5EF4-FFF2-40B4-BE49-F238E27FC236}">
              <a16:creationId xmlns:a16="http://schemas.microsoft.com/office/drawing/2014/main" id="{2C16C1CE-4E36-4242-A9D3-CC79961FAFD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1" name="Text Box 187">
          <a:extLst>
            <a:ext uri="{FF2B5EF4-FFF2-40B4-BE49-F238E27FC236}">
              <a16:creationId xmlns:a16="http://schemas.microsoft.com/office/drawing/2014/main" id="{D590DD7A-6A22-44D1-B4EB-81F00A1CC79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2" name="Text Box 188">
          <a:extLst>
            <a:ext uri="{FF2B5EF4-FFF2-40B4-BE49-F238E27FC236}">
              <a16:creationId xmlns:a16="http://schemas.microsoft.com/office/drawing/2014/main" id="{038EBB94-5A4C-4050-BE16-B7120D25135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3" name="Text Box 189">
          <a:extLst>
            <a:ext uri="{FF2B5EF4-FFF2-40B4-BE49-F238E27FC236}">
              <a16:creationId xmlns:a16="http://schemas.microsoft.com/office/drawing/2014/main" id="{0D1AD827-EC8B-4CB8-B22D-2018AD8717E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4" name="Text Box 190">
          <a:extLst>
            <a:ext uri="{FF2B5EF4-FFF2-40B4-BE49-F238E27FC236}">
              <a16:creationId xmlns:a16="http://schemas.microsoft.com/office/drawing/2014/main" id="{42606DEC-B6B0-452D-B370-CA0A89E9B1D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5" name="Text Box 191">
          <a:extLst>
            <a:ext uri="{FF2B5EF4-FFF2-40B4-BE49-F238E27FC236}">
              <a16:creationId xmlns:a16="http://schemas.microsoft.com/office/drawing/2014/main" id="{9E4B21A8-48C7-426D-AF4D-3690DB2B901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6" name="Text Box 192">
          <a:extLst>
            <a:ext uri="{FF2B5EF4-FFF2-40B4-BE49-F238E27FC236}">
              <a16:creationId xmlns:a16="http://schemas.microsoft.com/office/drawing/2014/main" id="{1F96CA2B-39A6-4EB3-9668-BAC021AA994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7" name="Text Box 193">
          <a:extLst>
            <a:ext uri="{FF2B5EF4-FFF2-40B4-BE49-F238E27FC236}">
              <a16:creationId xmlns:a16="http://schemas.microsoft.com/office/drawing/2014/main" id="{F3C508C7-05D7-4AA3-864A-365AE2F9C3B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8" name="Text Box 194">
          <a:extLst>
            <a:ext uri="{FF2B5EF4-FFF2-40B4-BE49-F238E27FC236}">
              <a16:creationId xmlns:a16="http://schemas.microsoft.com/office/drawing/2014/main" id="{866E9C30-0C8E-4879-BB61-9C31B5B04EE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29" name="Text Box 195">
          <a:extLst>
            <a:ext uri="{FF2B5EF4-FFF2-40B4-BE49-F238E27FC236}">
              <a16:creationId xmlns:a16="http://schemas.microsoft.com/office/drawing/2014/main" id="{6635FD53-BB75-41BD-AFB1-9CDC56EAA19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30" name="Text Box 196">
          <a:extLst>
            <a:ext uri="{FF2B5EF4-FFF2-40B4-BE49-F238E27FC236}">
              <a16:creationId xmlns:a16="http://schemas.microsoft.com/office/drawing/2014/main" id="{05CDBF6A-553F-4A19-B8A1-B5B85A23034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31" name="Text Box 197">
          <a:extLst>
            <a:ext uri="{FF2B5EF4-FFF2-40B4-BE49-F238E27FC236}">
              <a16:creationId xmlns:a16="http://schemas.microsoft.com/office/drawing/2014/main" id="{BC96B8E7-47A0-44AE-AC70-74156325082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32" name="Text Box 198">
          <a:extLst>
            <a:ext uri="{FF2B5EF4-FFF2-40B4-BE49-F238E27FC236}">
              <a16:creationId xmlns:a16="http://schemas.microsoft.com/office/drawing/2014/main" id="{D5BCBC3A-4892-4616-B63B-76DC7809F33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33" name="Text Box 199">
          <a:extLst>
            <a:ext uri="{FF2B5EF4-FFF2-40B4-BE49-F238E27FC236}">
              <a16:creationId xmlns:a16="http://schemas.microsoft.com/office/drawing/2014/main" id="{102F653C-C546-4B54-B16E-6AF7EC8CC46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34" name="Text Box 200">
          <a:extLst>
            <a:ext uri="{FF2B5EF4-FFF2-40B4-BE49-F238E27FC236}">
              <a16:creationId xmlns:a16="http://schemas.microsoft.com/office/drawing/2014/main" id="{73121E69-085C-4429-B658-0050C38FF08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35" name="Text Box 201">
          <a:extLst>
            <a:ext uri="{FF2B5EF4-FFF2-40B4-BE49-F238E27FC236}">
              <a16:creationId xmlns:a16="http://schemas.microsoft.com/office/drawing/2014/main" id="{666E72DF-9B0D-4CF6-8CEA-34BAAF97CDC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36" name="Text Box 202">
          <a:extLst>
            <a:ext uri="{FF2B5EF4-FFF2-40B4-BE49-F238E27FC236}">
              <a16:creationId xmlns:a16="http://schemas.microsoft.com/office/drawing/2014/main" id="{9C647397-FE11-4E35-9A56-8068B2F905C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37" name="Text Box 203">
          <a:extLst>
            <a:ext uri="{FF2B5EF4-FFF2-40B4-BE49-F238E27FC236}">
              <a16:creationId xmlns:a16="http://schemas.microsoft.com/office/drawing/2014/main" id="{C0F46D1E-3F39-4EEA-A085-ED14BC98265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38" name="Text Box 204">
          <a:extLst>
            <a:ext uri="{FF2B5EF4-FFF2-40B4-BE49-F238E27FC236}">
              <a16:creationId xmlns:a16="http://schemas.microsoft.com/office/drawing/2014/main" id="{1D7AED0D-BA36-494F-A383-BA547E620C5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95250</xdr:colOff>
      <xdr:row>42</xdr:row>
      <xdr:rowOff>0</xdr:rowOff>
    </xdr:from>
    <xdr:to>
      <xdr:col>4</xdr:col>
      <xdr:colOff>161925</xdr:colOff>
      <xdr:row>43</xdr:row>
      <xdr:rowOff>28575</xdr:rowOff>
    </xdr:to>
    <xdr:sp macro="" textlink="">
      <xdr:nvSpPr>
        <xdr:cNvPr id="238439" name="Text Box 205">
          <a:extLst>
            <a:ext uri="{FF2B5EF4-FFF2-40B4-BE49-F238E27FC236}">
              <a16:creationId xmlns:a16="http://schemas.microsoft.com/office/drawing/2014/main" id="{A5B2E4BE-8F03-4434-BF56-17E1D39FD716}"/>
            </a:ext>
          </a:extLst>
        </xdr:cNvPr>
        <xdr:cNvSpPr txBox="1">
          <a:spLocks noChangeArrowheads="1"/>
        </xdr:cNvSpPr>
      </xdr:nvSpPr>
      <xdr:spPr bwMode="auto">
        <a:xfrm>
          <a:off x="6524625" y="8896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40" name="Text Box 206">
          <a:extLst>
            <a:ext uri="{FF2B5EF4-FFF2-40B4-BE49-F238E27FC236}">
              <a16:creationId xmlns:a16="http://schemas.microsoft.com/office/drawing/2014/main" id="{E5E22FF4-F269-4531-B845-D7EAE01CA39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41" name="Text Box 207">
          <a:extLst>
            <a:ext uri="{FF2B5EF4-FFF2-40B4-BE49-F238E27FC236}">
              <a16:creationId xmlns:a16="http://schemas.microsoft.com/office/drawing/2014/main" id="{6BEF86BD-9F73-424A-B7AA-5B5225A87B4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42" name="Text Box 208">
          <a:extLst>
            <a:ext uri="{FF2B5EF4-FFF2-40B4-BE49-F238E27FC236}">
              <a16:creationId xmlns:a16="http://schemas.microsoft.com/office/drawing/2014/main" id="{2B67FEE9-1630-4A95-8727-A3509176E20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43" name="Text Box 209">
          <a:extLst>
            <a:ext uri="{FF2B5EF4-FFF2-40B4-BE49-F238E27FC236}">
              <a16:creationId xmlns:a16="http://schemas.microsoft.com/office/drawing/2014/main" id="{B9E881C3-7CC3-41E0-B01B-1FB501BDD03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44" name="Text Box 210">
          <a:extLst>
            <a:ext uri="{FF2B5EF4-FFF2-40B4-BE49-F238E27FC236}">
              <a16:creationId xmlns:a16="http://schemas.microsoft.com/office/drawing/2014/main" id="{816B753D-FFB8-4526-BF17-9CFDFE37E3E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45" name="Text Box 211">
          <a:extLst>
            <a:ext uri="{FF2B5EF4-FFF2-40B4-BE49-F238E27FC236}">
              <a16:creationId xmlns:a16="http://schemas.microsoft.com/office/drawing/2014/main" id="{5C3FBF68-D12C-4999-99F5-1D26D9A615D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46" name="Text Box 212">
          <a:extLst>
            <a:ext uri="{FF2B5EF4-FFF2-40B4-BE49-F238E27FC236}">
              <a16:creationId xmlns:a16="http://schemas.microsoft.com/office/drawing/2014/main" id="{D9EDBA4B-09DC-471D-9E2D-B3F6F0DF403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47" name="Text Box 213">
          <a:extLst>
            <a:ext uri="{FF2B5EF4-FFF2-40B4-BE49-F238E27FC236}">
              <a16:creationId xmlns:a16="http://schemas.microsoft.com/office/drawing/2014/main" id="{1EEB5364-8D87-42A7-A632-00637E4099D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8448" name="Text Box 214">
          <a:extLst>
            <a:ext uri="{FF2B5EF4-FFF2-40B4-BE49-F238E27FC236}">
              <a16:creationId xmlns:a16="http://schemas.microsoft.com/office/drawing/2014/main" id="{098556AB-5A75-42A0-B150-0F658D145D9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95250</xdr:colOff>
      <xdr:row>42</xdr:row>
      <xdr:rowOff>0</xdr:rowOff>
    </xdr:from>
    <xdr:to>
      <xdr:col>4</xdr:col>
      <xdr:colOff>161925</xdr:colOff>
      <xdr:row>43</xdr:row>
      <xdr:rowOff>28575</xdr:rowOff>
    </xdr:to>
    <xdr:sp macro="" textlink="">
      <xdr:nvSpPr>
        <xdr:cNvPr id="238449" name="Text Box 215">
          <a:extLst>
            <a:ext uri="{FF2B5EF4-FFF2-40B4-BE49-F238E27FC236}">
              <a16:creationId xmlns:a16="http://schemas.microsoft.com/office/drawing/2014/main" id="{7F1A4A8D-E68D-4A95-8C99-7F78C32A55DE}"/>
            </a:ext>
          </a:extLst>
        </xdr:cNvPr>
        <xdr:cNvSpPr txBox="1">
          <a:spLocks noChangeArrowheads="1"/>
        </xdr:cNvSpPr>
      </xdr:nvSpPr>
      <xdr:spPr bwMode="auto">
        <a:xfrm>
          <a:off x="6524625" y="8896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0" name="Text Box 216">
          <a:extLst>
            <a:ext uri="{FF2B5EF4-FFF2-40B4-BE49-F238E27FC236}">
              <a16:creationId xmlns:a16="http://schemas.microsoft.com/office/drawing/2014/main" id="{B16A168D-C0B7-498A-ACAF-2E7C9606F70B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1" name="Text Box 217">
          <a:extLst>
            <a:ext uri="{FF2B5EF4-FFF2-40B4-BE49-F238E27FC236}">
              <a16:creationId xmlns:a16="http://schemas.microsoft.com/office/drawing/2014/main" id="{8E3CE022-8168-40A0-945B-24D7ADB7A2E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2" name="Text Box 218">
          <a:extLst>
            <a:ext uri="{FF2B5EF4-FFF2-40B4-BE49-F238E27FC236}">
              <a16:creationId xmlns:a16="http://schemas.microsoft.com/office/drawing/2014/main" id="{E2F59950-FDA2-432D-BE00-70A315DCB67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3" name="Text Box 219">
          <a:extLst>
            <a:ext uri="{FF2B5EF4-FFF2-40B4-BE49-F238E27FC236}">
              <a16:creationId xmlns:a16="http://schemas.microsoft.com/office/drawing/2014/main" id="{F00183DB-E765-4AC5-9EA6-4C688A3E0084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4" name="Text Box 220">
          <a:extLst>
            <a:ext uri="{FF2B5EF4-FFF2-40B4-BE49-F238E27FC236}">
              <a16:creationId xmlns:a16="http://schemas.microsoft.com/office/drawing/2014/main" id="{4D207CBE-B6A0-4067-B9C8-63F6313ED80E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5" name="Text Box 221">
          <a:extLst>
            <a:ext uri="{FF2B5EF4-FFF2-40B4-BE49-F238E27FC236}">
              <a16:creationId xmlns:a16="http://schemas.microsoft.com/office/drawing/2014/main" id="{69F86C6F-C09A-4E11-AC97-074DD438CC17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6" name="Text Box 222">
          <a:extLst>
            <a:ext uri="{FF2B5EF4-FFF2-40B4-BE49-F238E27FC236}">
              <a16:creationId xmlns:a16="http://schemas.microsoft.com/office/drawing/2014/main" id="{2B6511B4-1B42-4A41-B442-6C24BB608CB1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7" name="Text Box 223">
          <a:extLst>
            <a:ext uri="{FF2B5EF4-FFF2-40B4-BE49-F238E27FC236}">
              <a16:creationId xmlns:a16="http://schemas.microsoft.com/office/drawing/2014/main" id="{70F24DF7-E983-4663-AC4A-B3EF7349B313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8" name="Text Box 224">
          <a:extLst>
            <a:ext uri="{FF2B5EF4-FFF2-40B4-BE49-F238E27FC236}">
              <a16:creationId xmlns:a16="http://schemas.microsoft.com/office/drawing/2014/main" id="{A456B50B-9DDF-4535-98BB-55E1CF363A4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59" name="Text Box 225">
          <a:extLst>
            <a:ext uri="{FF2B5EF4-FFF2-40B4-BE49-F238E27FC236}">
              <a16:creationId xmlns:a16="http://schemas.microsoft.com/office/drawing/2014/main" id="{491BE202-0CAA-4DE6-9C87-B3B16C355C6A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0" name="Text Box 226">
          <a:extLst>
            <a:ext uri="{FF2B5EF4-FFF2-40B4-BE49-F238E27FC236}">
              <a16:creationId xmlns:a16="http://schemas.microsoft.com/office/drawing/2014/main" id="{264F7587-4715-4FB6-848C-E06E3BD71A7A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1" name="Text Box 227">
          <a:extLst>
            <a:ext uri="{FF2B5EF4-FFF2-40B4-BE49-F238E27FC236}">
              <a16:creationId xmlns:a16="http://schemas.microsoft.com/office/drawing/2014/main" id="{7FD58333-6B18-46C9-A3B4-BFA74F3A2975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2" name="Text Box 228">
          <a:extLst>
            <a:ext uri="{FF2B5EF4-FFF2-40B4-BE49-F238E27FC236}">
              <a16:creationId xmlns:a16="http://schemas.microsoft.com/office/drawing/2014/main" id="{E0050EA6-8880-484C-89DF-2E3768B9802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3" name="Text Box 229">
          <a:extLst>
            <a:ext uri="{FF2B5EF4-FFF2-40B4-BE49-F238E27FC236}">
              <a16:creationId xmlns:a16="http://schemas.microsoft.com/office/drawing/2014/main" id="{C33F4889-E727-4A66-8903-980DC29AD6E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4" name="Text Box 230">
          <a:extLst>
            <a:ext uri="{FF2B5EF4-FFF2-40B4-BE49-F238E27FC236}">
              <a16:creationId xmlns:a16="http://schemas.microsoft.com/office/drawing/2014/main" id="{F8E931D0-5012-4038-8519-3E8745E5DF3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5" name="Text Box 231">
          <a:extLst>
            <a:ext uri="{FF2B5EF4-FFF2-40B4-BE49-F238E27FC236}">
              <a16:creationId xmlns:a16="http://schemas.microsoft.com/office/drawing/2014/main" id="{8CDE13DA-CE2E-461C-97E8-D69B1D7A099E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6" name="Text Box 232">
          <a:extLst>
            <a:ext uri="{FF2B5EF4-FFF2-40B4-BE49-F238E27FC236}">
              <a16:creationId xmlns:a16="http://schemas.microsoft.com/office/drawing/2014/main" id="{95685BB4-50DD-47B5-8D23-1A7D3ADF5BA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7" name="Text Box 233">
          <a:extLst>
            <a:ext uri="{FF2B5EF4-FFF2-40B4-BE49-F238E27FC236}">
              <a16:creationId xmlns:a16="http://schemas.microsoft.com/office/drawing/2014/main" id="{98EA8C4C-568E-4ED6-84C3-D96EDBF874A4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8" name="Text Box 234">
          <a:extLst>
            <a:ext uri="{FF2B5EF4-FFF2-40B4-BE49-F238E27FC236}">
              <a16:creationId xmlns:a16="http://schemas.microsoft.com/office/drawing/2014/main" id="{C96D2982-9037-4230-B4C6-A47C6EFC8C55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69" name="Text Box 235">
          <a:extLst>
            <a:ext uri="{FF2B5EF4-FFF2-40B4-BE49-F238E27FC236}">
              <a16:creationId xmlns:a16="http://schemas.microsoft.com/office/drawing/2014/main" id="{08511B36-F3B3-4F34-A86D-1AB800AC0E23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95250</xdr:colOff>
      <xdr:row>36</xdr:row>
      <xdr:rowOff>0</xdr:rowOff>
    </xdr:from>
    <xdr:to>
      <xdr:col>4</xdr:col>
      <xdr:colOff>161925</xdr:colOff>
      <xdr:row>36</xdr:row>
      <xdr:rowOff>190500</xdr:rowOff>
    </xdr:to>
    <xdr:sp macro="" textlink="">
      <xdr:nvSpPr>
        <xdr:cNvPr id="238470" name="Text Box 236">
          <a:extLst>
            <a:ext uri="{FF2B5EF4-FFF2-40B4-BE49-F238E27FC236}">
              <a16:creationId xmlns:a16="http://schemas.microsoft.com/office/drawing/2014/main" id="{B462B0C5-40E5-42B4-B7E8-7AE1DA7F66D2}"/>
            </a:ext>
          </a:extLst>
        </xdr:cNvPr>
        <xdr:cNvSpPr txBox="1">
          <a:spLocks noChangeArrowheads="1"/>
        </xdr:cNvSpPr>
      </xdr:nvSpPr>
      <xdr:spPr bwMode="auto">
        <a:xfrm>
          <a:off x="6524625" y="76009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71" name="Text Box 237">
          <a:extLst>
            <a:ext uri="{FF2B5EF4-FFF2-40B4-BE49-F238E27FC236}">
              <a16:creationId xmlns:a16="http://schemas.microsoft.com/office/drawing/2014/main" id="{956E8FE8-A37E-4C38-8753-43972770567E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72" name="Text Box 238">
          <a:extLst>
            <a:ext uri="{FF2B5EF4-FFF2-40B4-BE49-F238E27FC236}">
              <a16:creationId xmlns:a16="http://schemas.microsoft.com/office/drawing/2014/main" id="{883BAC7E-EBD3-4608-B488-87DBC5F399A5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73" name="Text Box 239">
          <a:extLst>
            <a:ext uri="{FF2B5EF4-FFF2-40B4-BE49-F238E27FC236}">
              <a16:creationId xmlns:a16="http://schemas.microsoft.com/office/drawing/2014/main" id="{DF06FAC5-90C0-4180-852A-3AEB8BB1B56C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74" name="Text Box 240">
          <a:extLst>
            <a:ext uri="{FF2B5EF4-FFF2-40B4-BE49-F238E27FC236}">
              <a16:creationId xmlns:a16="http://schemas.microsoft.com/office/drawing/2014/main" id="{BB89510D-FCBD-476C-B9B0-3004CC7F811A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8475" name="Text Box 241">
          <a:extLst>
            <a:ext uri="{FF2B5EF4-FFF2-40B4-BE49-F238E27FC236}">
              <a16:creationId xmlns:a16="http://schemas.microsoft.com/office/drawing/2014/main" id="{3720B858-8DCF-45AF-9ABA-8E94B7149D7D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323850</xdr:colOff>
      <xdr:row>42</xdr:row>
      <xdr:rowOff>0</xdr:rowOff>
    </xdr:from>
    <xdr:to>
      <xdr:col>5</xdr:col>
      <xdr:colOff>66675</xdr:colOff>
      <xdr:row>43</xdr:row>
      <xdr:rowOff>28575</xdr:rowOff>
    </xdr:to>
    <xdr:sp macro="" textlink="">
      <xdr:nvSpPr>
        <xdr:cNvPr id="238476" name="Text Box 246">
          <a:extLst>
            <a:ext uri="{FF2B5EF4-FFF2-40B4-BE49-F238E27FC236}">
              <a16:creationId xmlns:a16="http://schemas.microsoft.com/office/drawing/2014/main" id="{B8E607AC-EB8E-41A0-BE11-5B17D2610E19}"/>
            </a:ext>
          </a:extLst>
        </xdr:cNvPr>
        <xdr:cNvSpPr txBox="1">
          <a:spLocks noChangeArrowheads="1"/>
        </xdr:cNvSpPr>
      </xdr:nvSpPr>
      <xdr:spPr bwMode="auto">
        <a:xfrm>
          <a:off x="6753225" y="8896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200025</xdr:rowOff>
    </xdr:to>
    <xdr:sp macro="" textlink="">
      <xdr:nvSpPr>
        <xdr:cNvPr id="238477" name="Text Box 187">
          <a:extLst>
            <a:ext uri="{FF2B5EF4-FFF2-40B4-BE49-F238E27FC236}">
              <a16:creationId xmlns:a16="http://schemas.microsoft.com/office/drawing/2014/main" id="{BBA44170-F348-4A80-B2FA-5E4BE442F797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35</xdr:row>
      <xdr:rowOff>0</xdr:rowOff>
    </xdr:from>
    <xdr:to>
      <xdr:col>5</xdr:col>
      <xdr:colOff>66675</xdr:colOff>
      <xdr:row>35</xdr:row>
      <xdr:rowOff>200025</xdr:rowOff>
    </xdr:to>
    <xdr:sp macro="" textlink="">
      <xdr:nvSpPr>
        <xdr:cNvPr id="238478" name="Text Box 188">
          <a:extLst>
            <a:ext uri="{FF2B5EF4-FFF2-40B4-BE49-F238E27FC236}">
              <a16:creationId xmlns:a16="http://schemas.microsoft.com/office/drawing/2014/main" id="{C0D68FE2-2830-45FD-BA81-AD8173D23073}"/>
            </a:ext>
          </a:extLst>
        </xdr:cNvPr>
        <xdr:cNvSpPr txBox="1">
          <a:spLocks noChangeArrowheads="1"/>
        </xdr:cNvSpPr>
      </xdr:nvSpPr>
      <xdr:spPr bwMode="auto">
        <a:xfrm>
          <a:off x="6743700" y="727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36</xdr:row>
      <xdr:rowOff>0</xdr:rowOff>
    </xdr:from>
    <xdr:to>
      <xdr:col>5</xdr:col>
      <xdr:colOff>66675</xdr:colOff>
      <xdr:row>36</xdr:row>
      <xdr:rowOff>200025</xdr:rowOff>
    </xdr:to>
    <xdr:sp macro="" textlink="">
      <xdr:nvSpPr>
        <xdr:cNvPr id="238479" name="Text Box 189">
          <a:extLst>
            <a:ext uri="{FF2B5EF4-FFF2-40B4-BE49-F238E27FC236}">
              <a16:creationId xmlns:a16="http://schemas.microsoft.com/office/drawing/2014/main" id="{24659D42-2EFF-46B3-9DDE-45B67EA91B84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36</xdr:row>
      <xdr:rowOff>0</xdr:rowOff>
    </xdr:from>
    <xdr:to>
      <xdr:col>5</xdr:col>
      <xdr:colOff>66675</xdr:colOff>
      <xdr:row>36</xdr:row>
      <xdr:rowOff>200025</xdr:rowOff>
    </xdr:to>
    <xdr:sp macro="" textlink="">
      <xdr:nvSpPr>
        <xdr:cNvPr id="238480" name="Text Box 190">
          <a:extLst>
            <a:ext uri="{FF2B5EF4-FFF2-40B4-BE49-F238E27FC236}">
              <a16:creationId xmlns:a16="http://schemas.microsoft.com/office/drawing/2014/main" id="{D0BE7A5B-B17A-4F72-8606-36A7CE1943D1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36</xdr:row>
      <xdr:rowOff>0</xdr:rowOff>
    </xdr:from>
    <xdr:to>
      <xdr:col>5</xdr:col>
      <xdr:colOff>66675</xdr:colOff>
      <xdr:row>36</xdr:row>
      <xdr:rowOff>200025</xdr:rowOff>
    </xdr:to>
    <xdr:sp macro="" textlink="">
      <xdr:nvSpPr>
        <xdr:cNvPr id="238481" name="Text Box 191">
          <a:extLst>
            <a:ext uri="{FF2B5EF4-FFF2-40B4-BE49-F238E27FC236}">
              <a16:creationId xmlns:a16="http://schemas.microsoft.com/office/drawing/2014/main" id="{45DF8254-2542-4A03-86DF-AB81D8E0E17D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36</xdr:row>
      <xdr:rowOff>0</xdr:rowOff>
    </xdr:from>
    <xdr:to>
      <xdr:col>5</xdr:col>
      <xdr:colOff>66675</xdr:colOff>
      <xdr:row>36</xdr:row>
      <xdr:rowOff>200025</xdr:rowOff>
    </xdr:to>
    <xdr:sp macro="" textlink="">
      <xdr:nvSpPr>
        <xdr:cNvPr id="238482" name="Text Box 192">
          <a:extLst>
            <a:ext uri="{FF2B5EF4-FFF2-40B4-BE49-F238E27FC236}">
              <a16:creationId xmlns:a16="http://schemas.microsoft.com/office/drawing/2014/main" id="{039EB3C9-AAB6-4C89-A921-C850DF668742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8483" name="Text Box 193">
          <a:extLst>
            <a:ext uri="{FF2B5EF4-FFF2-40B4-BE49-F238E27FC236}">
              <a16:creationId xmlns:a16="http://schemas.microsoft.com/office/drawing/2014/main" id="{81A04538-0CF9-4064-8A01-6EF68A5BFC8C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8484" name="Text Box 194">
          <a:extLst>
            <a:ext uri="{FF2B5EF4-FFF2-40B4-BE49-F238E27FC236}">
              <a16:creationId xmlns:a16="http://schemas.microsoft.com/office/drawing/2014/main" id="{C3DB0C07-C015-4748-9A6D-BA2812594B02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8485" name="Text Box 195">
          <a:extLst>
            <a:ext uri="{FF2B5EF4-FFF2-40B4-BE49-F238E27FC236}">
              <a16:creationId xmlns:a16="http://schemas.microsoft.com/office/drawing/2014/main" id="{22F2AB81-2DBD-4E4E-8619-C5977F761195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200025</xdr:rowOff>
    </xdr:to>
    <xdr:sp macro="" textlink="">
      <xdr:nvSpPr>
        <xdr:cNvPr id="238486" name="Text Box 193">
          <a:extLst>
            <a:ext uri="{FF2B5EF4-FFF2-40B4-BE49-F238E27FC236}">
              <a16:creationId xmlns:a16="http://schemas.microsoft.com/office/drawing/2014/main" id="{2508C7C2-4CAA-4E7F-B39E-98341E2B2E05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200025</xdr:rowOff>
    </xdr:to>
    <xdr:sp macro="" textlink="">
      <xdr:nvSpPr>
        <xdr:cNvPr id="238487" name="Text Box 194">
          <a:extLst>
            <a:ext uri="{FF2B5EF4-FFF2-40B4-BE49-F238E27FC236}">
              <a16:creationId xmlns:a16="http://schemas.microsoft.com/office/drawing/2014/main" id="{561300A9-4363-470B-BDD6-B15B7BD6C325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200025</xdr:rowOff>
    </xdr:to>
    <xdr:sp macro="" textlink="">
      <xdr:nvSpPr>
        <xdr:cNvPr id="238488" name="Text Box 195">
          <a:extLst>
            <a:ext uri="{FF2B5EF4-FFF2-40B4-BE49-F238E27FC236}">
              <a16:creationId xmlns:a16="http://schemas.microsoft.com/office/drawing/2014/main" id="{C16F5FBF-0FAA-4DEB-940C-51F457C52FCD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38100</xdr:rowOff>
    </xdr:to>
    <xdr:sp macro="" textlink="">
      <xdr:nvSpPr>
        <xdr:cNvPr id="238489" name="Text Box 193">
          <a:extLst>
            <a:ext uri="{FF2B5EF4-FFF2-40B4-BE49-F238E27FC236}">
              <a16:creationId xmlns:a16="http://schemas.microsoft.com/office/drawing/2014/main" id="{BF6597DD-4F7A-440B-B448-42A8D2302DD1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38100</xdr:rowOff>
    </xdr:to>
    <xdr:sp macro="" textlink="">
      <xdr:nvSpPr>
        <xdr:cNvPr id="238490" name="Text Box 194">
          <a:extLst>
            <a:ext uri="{FF2B5EF4-FFF2-40B4-BE49-F238E27FC236}">
              <a16:creationId xmlns:a16="http://schemas.microsoft.com/office/drawing/2014/main" id="{BA50CB63-C2A3-4259-BA99-DB7B40169EA7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38100</xdr:rowOff>
    </xdr:to>
    <xdr:sp macro="" textlink="">
      <xdr:nvSpPr>
        <xdr:cNvPr id="238491" name="Text Box 195">
          <a:extLst>
            <a:ext uri="{FF2B5EF4-FFF2-40B4-BE49-F238E27FC236}">
              <a16:creationId xmlns:a16="http://schemas.microsoft.com/office/drawing/2014/main" id="{B35A21F7-DFA8-4FDF-BD05-2249132EF88F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8492" name="Text Box 193">
          <a:extLst>
            <a:ext uri="{FF2B5EF4-FFF2-40B4-BE49-F238E27FC236}">
              <a16:creationId xmlns:a16="http://schemas.microsoft.com/office/drawing/2014/main" id="{95776899-3A77-419E-B853-D0A4B2BCEC24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8493" name="Text Box 194">
          <a:extLst>
            <a:ext uri="{FF2B5EF4-FFF2-40B4-BE49-F238E27FC236}">
              <a16:creationId xmlns:a16="http://schemas.microsoft.com/office/drawing/2014/main" id="{FB3344F1-4736-4DB7-A345-F2F3BE047294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8494" name="Text Box 195">
          <a:extLst>
            <a:ext uri="{FF2B5EF4-FFF2-40B4-BE49-F238E27FC236}">
              <a16:creationId xmlns:a16="http://schemas.microsoft.com/office/drawing/2014/main" id="{7521D731-D87F-4604-BC29-980D78F682A0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38</xdr:row>
      <xdr:rowOff>0</xdr:rowOff>
    </xdr:from>
    <xdr:to>
      <xdr:col>5</xdr:col>
      <xdr:colOff>66675</xdr:colOff>
      <xdr:row>40</xdr:row>
      <xdr:rowOff>66675</xdr:rowOff>
    </xdr:to>
    <xdr:sp macro="" textlink="">
      <xdr:nvSpPr>
        <xdr:cNvPr id="238495" name="Text Box 193">
          <a:extLst>
            <a:ext uri="{FF2B5EF4-FFF2-40B4-BE49-F238E27FC236}">
              <a16:creationId xmlns:a16="http://schemas.microsoft.com/office/drawing/2014/main" id="{E1AC3451-80D1-4E43-9789-60BBD1703A46}"/>
            </a:ext>
          </a:extLst>
        </xdr:cNvPr>
        <xdr:cNvSpPr txBox="1">
          <a:spLocks noChangeArrowheads="1"/>
        </xdr:cNvSpPr>
      </xdr:nvSpPr>
      <xdr:spPr bwMode="auto">
        <a:xfrm>
          <a:off x="6743700" y="8086725"/>
          <a:ext cx="76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38</xdr:row>
      <xdr:rowOff>0</xdr:rowOff>
    </xdr:from>
    <xdr:to>
      <xdr:col>5</xdr:col>
      <xdr:colOff>66675</xdr:colOff>
      <xdr:row>40</xdr:row>
      <xdr:rowOff>66675</xdr:rowOff>
    </xdr:to>
    <xdr:sp macro="" textlink="">
      <xdr:nvSpPr>
        <xdr:cNvPr id="238496" name="Text Box 194">
          <a:extLst>
            <a:ext uri="{FF2B5EF4-FFF2-40B4-BE49-F238E27FC236}">
              <a16:creationId xmlns:a16="http://schemas.microsoft.com/office/drawing/2014/main" id="{CB0A3C6B-97CC-4BA3-B615-CF062B4A2AF9}"/>
            </a:ext>
          </a:extLst>
        </xdr:cNvPr>
        <xdr:cNvSpPr txBox="1">
          <a:spLocks noChangeArrowheads="1"/>
        </xdr:cNvSpPr>
      </xdr:nvSpPr>
      <xdr:spPr bwMode="auto">
        <a:xfrm>
          <a:off x="6743700" y="8086725"/>
          <a:ext cx="76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38</xdr:row>
      <xdr:rowOff>0</xdr:rowOff>
    </xdr:from>
    <xdr:to>
      <xdr:col>5</xdr:col>
      <xdr:colOff>66675</xdr:colOff>
      <xdr:row>40</xdr:row>
      <xdr:rowOff>66675</xdr:rowOff>
    </xdr:to>
    <xdr:sp macro="" textlink="">
      <xdr:nvSpPr>
        <xdr:cNvPr id="238497" name="Text Box 195">
          <a:extLst>
            <a:ext uri="{FF2B5EF4-FFF2-40B4-BE49-F238E27FC236}">
              <a16:creationId xmlns:a16="http://schemas.microsoft.com/office/drawing/2014/main" id="{3DFB3D07-1629-4E27-971C-8AC0653231F1}"/>
            </a:ext>
          </a:extLst>
        </xdr:cNvPr>
        <xdr:cNvSpPr txBox="1">
          <a:spLocks noChangeArrowheads="1"/>
        </xdr:cNvSpPr>
      </xdr:nvSpPr>
      <xdr:spPr bwMode="auto">
        <a:xfrm>
          <a:off x="6743700" y="8086725"/>
          <a:ext cx="76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200025</xdr:rowOff>
    </xdr:to>
    <xdr:sp macro="" textlink="">
      <xdr:nvSpPr>
        <xdr:cNvPr id="238498" name="Text Box 187">
          <a:extLst>
            <a:ext uri="{FF2B5EF4-FFF2-40B4-BE49-F238E27FC236}">
              <a16:creationId xmlns:a16="http://schemas.microsoft.com/office/drawing/2014/main" id="{40DED409-ACCD-44B1-BAD0-6FA5234B2DAE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200025</xdr:rowOff>
    </xdr:to>
    <xdr:sp macro="" textlink="">
      <xdr:nvSpPr>
        <xdr:cNvPr id="238499" name="Text Box 193">
          <a:extLst>
            <a:ext uri="{FF2B5EF4-FFF2-40B4-BE49-F238E27FC236}">
              <a16:creationId xmlns:a16="http://schemas.microsoft.com/office/drawing/2014/main" id="{9F1F96F3-EC87-4BC1-8DAD-0BDFAF416912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200025</xdr:rowOff>
    </xdr:to>
    <xdr:sp macro="" textlink="">
      <xdr:nvSpPr>
        <xdr:cNvPr id="238500" name="Text Box 194">
          <a:extLst>
            <a:ext uri="{FF2B5EF4-FFF2-40B4-BE49-F238E27FC236}">
              <a16:creationId xmlns:a16="http://schemas.microsoft.com/office/drawing/2014/main" id="{A743222F-DAF2-41E6-847E-2274012062E8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200025</xdr:rowOff>
    </xdr:to>
    <xdr:sp macro="" textlink="">
      <xdr:nvSpPr>
        <xdr:cNvPr id="238501" name="Text Box 195">
          <a:extLst>
            <a:ext uri="{FF2B5EF4-FFF2-40B4-BE49-F238E27FC236}">
              <a16:creationId xmlns:a16="http://schemas.microsoft.com/office/drawing/2014/main" id="{BF49A5FC-7C67-4EA9-951A-AAF28953AB45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25</xdr:row>
      <xdr:rowOff>0</xdr:rowOff>
    </xdr:from>
    <xdr:to>
      <xdr:col>5</xdr:col>
      <xdr:colOff>66675</xdr:colOff>
      <xdr:row>25</xdr:row>
      <xdr:rowOff>200025</xdr:rowOff>
    </xdr:to>
    <xdr:sp macro="" textlink="">
      <xdr:nvSpPr>
        <xdr:cNvPr id="238502" name="Text Box 193">
          <a:extLst>
            <a:ext uri="{FF2B5EF4-FFF2-40B4-BE49-F238E27FC236}">
              <a16:creationId xmlns:a16="http://schemas.microsoft.com/office/drawing/2014/main" id="{DACEDBD6-FB97-4BC7-B43C-DEDA61668F35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25</xdr:row>
      <xdr:rowOff>0</xdr:rowOff>
    </xdr:from>
    <xdr:to>
      <xdr:col>5</xdr:col>
      <xdr:colOff>66675</xdr:colOff>
      <xdr:row>25</xdr:row>
      <xdr:rowOff>200025</xdr:rowOff>
    </xdr:to>
    <xdr:sp macro="" textlink="">
      <xdr:nvSpPr>
        <xdr:cNvPr id="238503" name="Text Box 194">
          <a:extLst>
            <a:ext uri="{FF2B5EF4-FFF2-40B4-BE49-F238E27FC236}">
              <a16:creationId xmlns:a16="http://schemas.microsoft.com/office/drawing/2014/main" id="{63F2109D-1E4C-494F-AA4D-377878EC82AA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25</xdr:row>
      <xdr:rowOff>0</xdr:rowOff>
    </xdr:from>
    <xdr:to>
      <xdr:col>5</xdr:col>
      <xdr:colOff>66675</xdr:colOff>
      <xdr:row>25</xdr:row>
      <xdr:rowOff>200025</xdr:rowOff>
    </xdr:to>
    <xdr:sp macro="" textlink="">
      <xdr:nvSpPr>
        <xdr:cNvPr id="238504" name="Text Box 195">
          <a:extLst>
            <a:ext uri="{FF2B5EF4-FFF2-40B4-BE49-F238E27FC236}">
              <a16:creationId xmlns:a16="http://schemas.microsoft.com/office/drawing/2014/main" id="{FEFBF918-5803-4F58-A9FA-B1177CEFC99A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76200</xdr:colOff>
      <xdr:row>38</xdr:row>
      <xdr:rowOff>9525</xdr:rowOff>
    </xdr:to>
    <xdr:sp macro="" textlink="">
      <xdr:nvSpPr>
        <xdr:cNvPr id="238554" name="Text Box 71">
          <a:extLst>
            <a:ext uri="{FF2B5EF4-FFF2-40B4-BE49-F238E27FC236}">
              <a16:creationId xmlns:a16="http://schemas.microsoft.com/office/drawing/2014/main" id="{3420FF10-3E4A-4273-A09C-8E800A697E4D}"/>
            </a:ext>
          </a:extLst>
        </xdr:cNvPr>
        <xdr:cNvSpPr txBox="1">
          <a:spLocks noChangeArrowheads="1"/>
        </xdr:cNvSpPr>
      </xdr:nvSpPr>
      <xdr:spPr bwMode="auto">
        <a:xfrm>
          <a:off x="6438900" y="7924800"/>
          <a:ext cx="666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76200</xdr:colOff>
      <xdr:row>38</xdr:row>
      <xdr:rowOff>9525</xdr:rowOff>
    </xdr:to>
    <xdr:sp macro="" textlink="">
      <xdr:nvSpPr>
        <xdr:cNvPr id="238634" name="Text Box 175">
          <a:extLst>
            <a:ext uri="{FF2B5EF4-FFF2-40B4-BE49-F238E27FC236}">
              <a16:creationId xmlns:a16="http://schemas.microsoft.com/office/drawing/2014/main" id="{87BE051A-4BF5-4C7D-9CD4-48850C7C1F9F}"/>
            </a:ext>
          </a:extLst>
        </xdr:cNvPr>
        <xdr:cNvSpPr txBox="1">
          <a:spLocks noChangeArrowheads="1"/>
        </xdr:cNvSpPr>
      </xdr:nvSpPr>
      <xdr:spPr bwMode="auto">
        <a:xfrm>
          <a:off x="6438900" y="7924800"/>
          <a:ext cx="666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76200</xdr:colOff>
      <xdr:row>38</xdr:row>
      <xdr:rowOff>19050</xdr:rowOff>
    </xdr:to>
    <xdr:sp macro="" textlink="">
      <xdr:nvSpPr>
        <xdr:cNvPr id="238716" name="Text Box 71">
          <a:extLst>
            <a:ext uri="{FF2B5EF4-FFF2-40B4-BE49-F238E27FC236}">
              <a16:creationId xmlns:a16="http://schemas.microsoft.com/office/drawing/2014/main" id="{7B9FBC21-FD16-496B-9FB9-2DC95E4FB9F6}"/>
            </a:ext>
          </a:extLst>
        </xdr:cNvPr>
        <xdr:cNvSpPr txBox="1">
          <a:spLocks noChangeArrowheads="1"/>
        </xdr:cNvSpPr>
      </xdr:nvSpPr>
      <xdr:spPr bwMode="auto">
        <a:xfrm>
          <a:off x="6438900" y="792480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76200</xdr:colOff>
      <xdr:row>38</xdr:row>
      <xdr:rowOff>19050</xdr:rowOff>
    </xdr:to>
    <xdr:sp macro="" textlink="">
      <xdr:nvSpPr>
        <xdr:cNvPr id="238717" name="Text Box 175">
          <a:extLst>
            <a:ext uri="{FF2B5EF4-FFF2-40B4-BE49-F238E27FC236}">
              <a16:creationId xmlns:a16="http://schemas.microsoft.com/office/drawing/2014/main" id="{114F4883-09E9-4CAA-A9C1-AAF8302B689E}"/>
            </a:ext>
          </a:extLst>
        </xdr:cNvPr>
        <xdr:cNvSpPr txBox="1">
          <a:spLocks noChangeArrowheads="1"/>
        </xdr:cNvSpPr>
      </xdr:nvSpPr>
      <xdr:spPr bwMode="auto">
        <a:xfrm>
          <a:off x="6438900" y="792480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29</xdr:row>
      <xdr:rowOff>57150</xdr:rowOff>
    </xdr:from>
    <xdr:to>
      <xdr:col>4</xdr:col>
      <xdr:colOff>28575</xdr:colOff>
      <xdr:row>30</xdr:row>
      <xdr:rowOff>57150</xdr:rowOff>
    </xdr:to>
    <xdr:sp macro="" textlink="">
      <xdr:nvSpPr>
        <xdr:cNvPr id="238718" name="Text Box 188">
          <a:extLst>
            <a:ext uri="{FF2B5EF4-FFF2-40B4-BE49-F238E27FC236}">
              <a16:creationId xmlns:a16="http://schemas.microsoft.com/office/drawing/2014/main" id="{2878725B-4061-4579-96BB-FF7BF1711DB4}"/>
            </a:ext>
          </a:extLst>
        </xdr:cNvPr>
        <xdr:cNvSpPr>
          <a:spLocks noChangeArrowheads="1"/>
        </xdr:cNvSpPr>
      </xdr:nvSpPr>
      <xdr:spPr bwMode="auto">
        <a:xfrm>
          <a:off x="5067300" y="5876925"/>
          <a:ext cx="13906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19" name="Text Box 1">
          <a:extLst>
            <a:ext uri="{FF2B5EF4-FFF2-40B4-BE49-F238E27FC236}">
              <a16:creationId xmlns:a16="http://schemas.microsoft.com/office/drawing/2014/main" id="{ED91BE8E-E833-4723-9A80-31F6A0DB3F9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0" name="Text Box 23">
          <a:extLst>
            <a:ext uri="{FF2B5EF4-FFF2-40B4-BE49-F238E27FC236}">
              <a16:creationId xmlns:a16="http://schemas.microsoft.com/office/drawing/2014/main" id="{DE7543DD-5A9D-4DCC-A469-F3A69F550DC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1" name="Text Box 24">
          <a:extLst>
            <a:ext uri="{FF2B5EF4-FFF2-40B4-BE49-F238E27FC236}">
              <a16:creationId xmlns:a16="http://schemas.microsoft.com/office/drawing/2014/main" id="{6B2E4B0F-52FE-4E51-AA07-7F1629B458F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2" name="Text Box 25">
          <a:extLst>
            <a:ext uri="{FF2B5EF4-FFF2-40B4-BE49-F238E27FC236}">
              <a16:creationId xmlns:a16="http://schemas.microsoft.com/office/drawing/2014/main" id="{8A49C1D6-68B4-4287-8B8B-84D9E92A8EA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3" name="Text Box 26">
          <a:extLst>
            <a:ext uri="{FF2B5EF4-FFF2-40B4-BE49-F238E27FC236}">
              <a16:creationId xmlns:a16="http://schemas.microsoft.com/office/drawing/2014/main" id="{04C693DB-38FD-4264-B41B-3B0C493AAD9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4" name="Text Box 27">
          <a:extLst>
            <a:ext uri="{FF2B5EF4-FFF2-40B4-BE49-F238E27FC236}">
              <a16:creationId xmlns:a16="http://schemas.microsoft.com/office/drawing/2014/main" id="{B0E1EACE-DECE-4341-8EBC-B2FE6CF7178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5" name="Text Box 28">
          <a:extLst>
            <a:ext uri="{FF2B5EF4-FFF2-40B4-BE49-F238E27FC236}">
              <a16:creationId xmlns:a16="http://schemas.microsoft.com/office/drawing/2014/main" id="{94C4FA92-6D10-4C44-8017-77A85249CAB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6" name="Text Box 29">
          <a:extLst>
            <a:ext uri="{FF2B5EF4-FFF2-40B4-BE49-F238E27FC236}">
              <a16:creationId xmlns:a16="http://schemas.microsoft.com/office/drawing/2014/main" id="{78C96E4D-EB11-411D-B2DE-B6463187B88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7" name="Text Box 30">
          <a:extLst>
            <a:ext uri="{FF2B5EF4-FFF2-40B4-BE49-F238E27FC236}">
              <a16:creationId xmlns:a16="http://schemas.microsoft.com/office/drawing/2014/main" id="{C2792270-6EA3-4FC5-A2A0-7279CF9BEBB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8" name="Text Box 31">
          <a:extLst>
            <a:ext uri="{FF2B5EF4-FFF2-40B4-BE49-F238E27FC236}">
              <a16:creationId xmlns:a16="http://schemas.microsoft.com/office/drawing/2014/main" id="{4AE040FF-E66F-4090-92DE-C30945656EE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29" name="Text Box 32">
          <a:extLst>
            <a:ext uri="{FF2B5EF4-FFF2-40B4-BE49-F238E27FC236}">
              <a16:creationId xmlns:a16="http://schemas.microsoft.com/office/drawing/2014/main" id="{F6A6E429-C01E-4134-AFA7-CB8F8482A80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0" name="Text Box 33">
          <a:extLst>
            <a:ext uri="{FF2B5EF4-FFF2-40B4-BE49-F238E27FC236}">
              <a16:creationId xmlns:a16="http://schemas.microsoft.com/office/drawing/2014/main" id="{25E3C739-9454-4DF5-9CEF-7EE7ABE4F41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1" name="Text Box 34">
          <a:extLst>
            <a:ext uri="{FF2B5EF4-FFF2-40B4-BE49-F238E27FC236}">
              <a16:creationId xmlns:a16="http://schemas.microsoft.com/office/drawing/2014/main" id="{082349F4-B735-4560-814B-66C8EA5DDC2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2" name="Text Box 35">
          <a:extLst>
            <a:ext uri="{FF2B5EF4-FFF2-40B4-BE49-F238E27FC236}">
              <a16:creationId xmlns:a16="http://schemas.microsoft.com/office/drawing/2014/main" id="{0ED231AF-71DF-4ACF-B774-430FBA7E3DD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3" name="Text Box 36">
          <a:extLst>
            <a:ext uri="{FF2B5EF4-FFF2-40B4-BE49-F238E27FC236}">
              <a16:creationId xmlns:a16="http://schemas.microsoft.com/office/drawing/2014/main" id="{77BA522D-0C81-451E-B420-A256E073B97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4" name="Text Box 37">
          <a:extLst>
            <a:ext uri="{FF2B5EF4-FFF2-40B4-BE49-F238E27FC236}">
              <a16:creationId xmlns:a16="http://schemas.microsoft.com/office/drawing/2014/main" id="{26BE7A70-49AC-46F7-9397-5BB1EE52FB5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5" name="Text Box 38">
          <a:extLst>
            <a:ext uri="{FF2B5EF4-FFF2-40B4-BE49-F238E27FC236}">
              <a16:creationId xmlns:a16="http://schemas.microsoft.com/office/drawing/2014/main" id="{F30C89E9-ED6B-43F1-B93A-BF7BD7677EE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6" name="Text Box 39">
          <a:extLst>
            <a:ext uri="{FF2B5EF4-FFF2-40B4-BE49-F238E27FC236}">
              <a16:creationId xmlns:a16="http://schemas.microsoft.com/office/drawing/2014/main" id="{4BE20C89-B9C4-4B42-86F8-64F1D424DD3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7" name="Text Box 40">
          <a:extLst>
            <a:ext uri="{FF2B5EF4-FFF2-40B4-BE49-F238E27FC236}">
              <a16:creationId xmlns:a16="http://schemas.microsoft.com/office/drawing/2014/main" id="{95E3AAE8-C9A1-4B91-AE9F-8AD8961A8B1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8" name="Text Box 41">
          <a:extLst>
            <a:ext uri="{FF2B5EF4-FFF2-40B4-BE49-F238E27FC236}">
              <a16:creationId xmlns:a16="http://schemas.microsoft.com/office/drawing/2014/main" id="{D5F15F5B-C9F4-4454-813A-1D1CCF4B443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39" name="Text Box 42">
          <a:extLst>
            <a:ext uri="{FF2B5EF4-FFF2-40B4-BE49-F238E27FC236}">
              <a16:creationId xmlns:a16="http://schemas.microsoft.com/office/drawing/2014/main" id="{E8DA2541-D3A0-4629-91F8-8A6D6F2664E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0" name="Text Box 43">
          <a:extLst>
            <a:ext uri="{FF2B5EF4-FFF2-40B4-BE49-F238E27FC236}">
              <a16:creationId xmlns:a16="http://schemas.microsoft.com/office/drawing/2014/main" id="{3764E375-BF91-4935-BAE4-3EDC3AFDE76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1" name="Text Box 44">
          <a:extLst>
            <a:ext uri="{FF2B5EF4-FFF2-40B4-BE49-F238E27FC236}">
              <a16:creationId xmlns:a16="http://schemas.microsoft.com/office/drawing/2014/main" id="{7724F2B7-C2D8-4D35-BCEB-5074CCE8E24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2" name="Text Box 45">
          <a:extLst>
            <a:ext uri="{FF2B5EF4-FFF2-40B4-BE49-F238E27FC236}">
              <a16:creationId xmlns:a16="http://schemas.microsoft.com/office/drawing/2014/main" id="{059EC4AE-B9B4-405B-AF4F-968AC07CD21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3" name="Text Box 46">
          <a:extLst>
            <a:ext uri="{FF2B5EF4-FFF2-40B4-BE49-F238E27FC236}">
              <a16:creationId xmlns:a16="http://schemas.microsoft.com/office/drawing/2014/main" id="{EB34A3CC-B4F1-40F6-9723-95E0C938EA4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4" name="Text Box 47">
          <a:extLst>
            <a:ext uri="{FF2B5EF4-FFF2-40B4-BE49-F238E27FC236}">
              <a16:creationId xmlns:a16="http://schemas.microsoft.com/office/drawing/2014/main" id="{4557E70A-8972-4515-A798-7B5616F5C11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5" name="Text Box 48">
          <a:extLst>
            <a:ext uri="{FF2B5EF4-FFF2-40B4-BE49-F238E27FC236}">
              <a16:creationId xmlns:a16="http://schemas.microsoft.com/office/drawing/2014/main" id="{C1157C3D-FA68-44AE-BB65-52F4BE6659E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6" name="Text Box 49">
          <a:extLst>
            <a:ext uri="{FF2B5EF4-FFF2-40B4-BE49-F238E27FC236}">
              <a16:creationId xmlns:a16="http://schemas.microsoft.com/office/drawing/2014/main" id="{388F5295-F9C4-4BFD-9B83-BF458FF1F45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7" name="Text Box 50">
          <a:extLst>
            <a:ext uri="{FF2B5EF4-FFF2-40B4-BE49-F238E27FC236}">
              <a16:creationId xmlns:a16="http://schemas.microsoft.com/office/drawing/2014/main" id="{87E0FE8F-E14D-487E-82D3-D230B3872ED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8" name="Text Box 51">
          <a:extLst>
            <a:ext uri="{FF2B5EF4-FFF2-40B4-BE49-F238E27FC236}">
              <a16:creationId xmlns:a16="http://schemas.microsoft.com/office/drawing/2014/main" id="{9598E5AA-3CE5-45EE-85C8-6B565006205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49" name="Text Box 52">
          <a:extLst>
            <a:ext uri="{FF2B5EF4-FFF2-40B4-BE49-F238E27FC236}">
              <a16:creationId xmlns:a16="http://schemas.microsoft.com/office/drawing/2014/main" id="{6CC56A57-5667-43E3-B83C-3C698BCF191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0" name="Text Box 53">
          <a:extLst>
            <a:ext uri="{FF2B5EF4-FFF2-40B4-BE49-F238E27FC236}">
              <a16:creationId xmlns:a16="http://schemas.microsoft.com/office/drawing/2014/main" id="{DEAE28EC-AA2F-4E1D-8453-B7A227190C7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1" name="Text Box 54">
          <a:extLst>
            <a:ext uri="{FF2B5EF4-FFF2-40B4-BE49-F238E27FC236}">
              <a16:creationId xmlns:a16="http://schemas.microsoft.com/office/drawing/2014/main" id="{DC4B51F4-0D5E-424D-9A7A-FC136D7E256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2" name="Text Box 55">
          <a:extLst>
            <a:ext uri="{FF2B5EF4-FFF2-40B4-BE49-F238E27FC236}">
              <a16:creationId xmlns:a16="http://schemas.microsoft.com/office/drawing/2014/main" id="{4BF49F92-81DC-4B49-B500-6E3AE33BF56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3" name="Text Box 56">
          <a:extLst>
            <a:ext uri="{FF2B5EF4-FFF2-40B4-BE49-F238E27FC236}">
              <a16:creationId xmlns:a16="http://schemas.microsoft.com/office/drawing/2014/main" id="{E2B0E815-0B69-46D0-83EB-FBD497E12FE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4" name="Text Box 57">
          <a:extLst>
            <a:ext uri="{FF2B5EF4-FFF2-40B4-BE49-F238E27FC236}">
              <a16:creationId xmlns:a16="http://schemas.microsoft.com/office/drawing/2014/main" id="{DBFFD96F-EA96-465A-B83C-E295B4A7DDA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5" name="Text Box 58">
          <a:extLst>
            <a:ext uri="{FF2B5EF4-FFF2-40B4-BE49-F238E27FC236}">
              <a16:creationId xmlns:a16="http://schemas.microsoft.com/office/drawing/2014/main" id="{A3DABEB8-9060-470E-BEF2-D5996646029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6" name="Text Box 59">
          <a:extLst>
            <a:ext uri="{FF2B5EF4-FFF2-40B4-BE49-F238E27FC236}">
              <a16:creationId xmlns:a16="http://schemas.microsoft.com/office/drawing/2014/main" id="{05B9E483-DE97-4857-88BB-EF26051EFB8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7" name="Text Box 60">
          <a:extLst>
            <a:ext uri="{FF2B5EF4-FFF2-40B4-BE49-F238E27FC236}">
              <a16:creationId xmlns:a16="http://schemas.microsoft.com/office/drawing/2014/main" id="{33E40184-7891-4D46-AA9D-303D8DBE725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8" name="Text Box 61">
          <a:extLst>
            <a:ext uri="{FF2B5EF4-FFF2-40B4-BE49-F238E27FC236}">
              <a16:creationId xmlns:a16="http://schemas.microsoft.com/office/drawing/2014/main" id="{EA13BB4E-5AE5-48BD-8951-DF04BD8973F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59" name="Text Box 62">
          <a:extLst>
            <a:ext uri="{FF2B5EF4-FFF2-40B4-BE49-F238E27FC236}">
              <a16:creationId xmlns:a16="http://schemas.microsoft.com/office/drawing/2014/main" id="{B6B09888-7476-42C5-AD65-D905641AB22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0" name="Text Box 63">
          <a:extLst>
            <a:ext uri="{FF2B5EF4-FFF2-40B4-BE49-F238E27FC236}">
              <a16:creationId xmlns:a16="http://schemas.microsoft.com/office/drawing/2014/main" id="{9CA291E2-92A3-430A-913B-2C80BA772DB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1" name="Text Box 64">
          <a:extLst>
            <a:ext uri="{FF2B5EF4-FFF2-40B4-BE49-F238E27FC236}">
              <a16:creationId xmlns:a16="http://schemas.microsoft.com/office/drawing/2014/main" id="{134B37AC-C979-4FCC-BB0F-FDC8FF13F34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2" name="Text Box 65">
          <a:extLst>
            <a:ext uri="{FF2B5EF4-FFF2-40B4-BE49-F238E27FC236}">
              <a16:creationId xmlns:a16="http://schemas.microsoft.com/office/drawing/2014/main" id="{DDECC922-BCCE-4E7F-AFE2-DEAE46CE4FA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3" name="Text Box 66">
          <a:extLst>
            <a:ext uri="{FF2B5EF4-FFF2-40B4-BE49-F238E27FC236}">
              <a16:creationId xmlns:a16="http://schemas.microsoft.com/office/drawing/2014/main" id="{4559A504-CA07-4DBB-B2E7-27B7403F82B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4" name="Text Box 67">
          <a:extLst>
            <a:ext uri="{FF2B5EF4-FFF2-40B4-BE49-F238E27FC236}">
              <a16:creationId xmlns:a16="http://schemas.microsoft.com/office/drawing/2014/main" id="{3DD9C9D9-BE7D-47B6-8F31-5DA926545A2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5" name="Text Box 68">
          <a:extLst>
            <a:ext uri="{FF2B5EF4-FFF2-40B4-BE49-F238E27FC236}">
              <a16:creationId xmlns:a16="http://schemas.microsoft.com/office/drawing/2014/main" id="{56B8433D-7785-4E23-8921-A65655DAF65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6" name="Text Box 69">
          <a:extLst>
            <a:ext uri="{FF2B5EF4-FFF2-40B4-BE49-F238E27FC236}">
              <a16:creationId xmlns:a16="http://schemas.microsoft.com/office/drawing/2014/main" id="{D284EDB0-078A-4C6E-A458-CCEE7C46481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7" name="Text Box 70">
          <a:extLst>
            <a:ext uri="{FF2B5EF4-FFF2-40B4-BE49-F238E27FC236}">
              <a16:creationId xmlns:a16="http://schemas.microsoft.com/office/drawing/2014/main" id="{BD2392DD-BEC3-49D2-ABBE-D7B480A9690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8" name="Text Box 72">
          <a:extLst>
            <a:ext uri="{FF2B5EF4-FFF2-40B4-BE49-F238E27FC236}">
              <a16:creationId xmlns:a16="http://schemas.microsoft.com/office/drawing/2014/main" id="{A74D1CD1-F27B-4EA1-B776-59979F98E8C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69" name="Text Box 73">
          <a:extLst>
            <a:ext uri="{FF2B5EF4-FFF2-40B4-BE49-F238E27FC236}">
              <a16:creationId xmlns:a16="http://schemas.microsoft.com/office/drawing/2014/main" id="{ABFDDBA2-EA19-4C9A-88A1-5FA5C9A05E5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0" name="Text Box 77">
          <a:extLst>
            <a:ext uri="{FF2B5EF4-FFF2-40B4-BE49-F238E27FC236}">
              <a16:creationId xmlns:a16="http://schemas.microsoft.com/office/drawing/2014/main" id="{B76548E7-3B26-4EEA-A37A-164BCDA3525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1" name="Text Box 78">
          <a:extLst>
            <a:ext uri="{FF2B5EF4-FFF2-40B4-BE49-F238E27FC236}">
              <a16:creationId xmlns:a16="http://schemas.microsoft.com/office/drawing/2014/main" id="{3D234C7E-A4E1-4CB3-A1A5-90390F91549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2" name="Text Box 79">
          <a:extLst>
            <a:ext uri="{FF2B5EF4-FFF2-40B4-BE49-F238E27FC236}">
              <a16:creationId xmlns:a16="http://schemas.microsoft.com/office/drawing/2014/main" id="{F146D007-0D6B-4988-ACEF-C0EC261BFFF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3" name="Text Box 80">
          <a:extLst>
            <a:ext uri="{FF2B5EF4-FFF2-40B4-BE49-F238E27FC236}">
              <a16:creationId xmlns:a16="http://schemas.microsoft.com/office/drawing/2014/main" id="{7A1E038E-BBF1-4844-BEC9-C9834F083ED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4" name="Text Box 81">
          <a:extLst>
            <a:ext uri="{FF2B5EF4-FFF2-40B4-BE49-F238E27FC236}">
              <a16:creationId xmlns:a16="http://schemas.microsoft.com/office/drawing/2014/main" id="{561CDA2B-A60E-435C-8A4F-C301A78763F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5" name="Text Box 82">
          <a:extLst>
            <a:ext uri="{FF2B5EF4-FFF2-40B4-BE49-F238E27FC236}">
              <a16:creationId xmlns:a16="http://schemas.microsoft.com/office/drawing/2014/main" id="{4E5AD463-8BEA-4FB2-A54E-1249B702FC2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6" name="Text Box 84">
          <a:extLst>
            <a:ext uri="{FF2B5EF4-FFF2-40B4-BE49-F238E27FC236}">
              <a16:creationId xmlns:a16="http://schemas.microsoft.com/office/drawing/2014/main" id="{64C4489D-E64D-41C2-A192-1961676A268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7" name="Text Box 85">
          <a:extLst>
            <a:ext uri="{FF2B5EF4-FFF2-40B4-BE49-F238E27FC236}">
              <a16:creationId xmlns:a16="http://schemas.microsoft.com/office/drawing/2014/main" id="{06D76499-075F-4483-9D17-E8903FB79A4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8" name="Text Box 89">
          <a:extLst>
            <a:ext uri="{FF2B5EF4-FFF2-40B4-BE49-F238E27FC236}">
              <a16:creationId xmlns:a16="http://schemas.microsoft.com/office/drawing/2014/main" id="{76F14FA2-34C2-4AEC-A9F9-1F87C56E93E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79" name="Text Box 90">
          <a:extLst>
            <a:ext uri="{FF2B5EF4-FFF2-40B4-BE49-F238E27FC236}">
              <a16:creationId xmlns:a16="http://schemas.microsoft.com/office/drawing/2014/main" id="{E2BB7DF2-893D-4E39-8D79-6CAB5A909A0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0" name="Text Box 91">
          <a:extLst>
            <a:ext uri="{FF2B5EF4-FFF2-40B4-BE49-F238E27FC236}">
              <a16:creationId xmlns:a16="http://schemas.microsoft.com/office/drawing/2014/main" id="{C70D8810-1AFF-4489-A923-4F455B3F127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1" name="Text Box 92">
          <a:extLst>
            <a:ext uri="{FF2B5EF4-FFF2-40B4-BE49-F238E27FC236}">
              <a16:creationId xmlns:a16="http://schemas.microsoft.com/office/drawing/2014/main" id="{814B1BE0-176D-4A21-B63A-9030DC199D5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2" name="Text Box 93">
          <a:extLst>
            <a:ext uri="{FF2B5EF4-FFF2-40B4-BE49-F238E27FC236}">
              <a16:creationId xmlns:a16="http://schemas.microsoft.com/office/drawing/2014/main" id="{B2D5E7E4-CC1D-4BFE-922A-B6880C9C188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3" name="Text Box 94">
          <a:extLst>
            <a:ext uri="{FF2B5EF4-FFF2-40B4-BE49-F238E27FC236}">
              <a16:creationId xmlns:a16="http://schemas.microsoft.com/office/drawing/2014/main" id="{10366647-6B0F-49DC-B5F5-619F454AD6D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4" name="Text Box 95">
          <a:extLst>
            <a:ext uri="{FF2B5EF4-FFF2-40B4-BE49-F238E27FC236}">
              <a16:creationId xmlns:a16="http://schemas.microsoft.com/office/drawing/2014/main" id="{25685142-9C6E-4BF7-8690-2044D8CD488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5" name="Text Box 96">
          <a:extLst>
            <a:ext uri="{FF2B5EF4-FFF2-40B4-BE49-F238E27FC236}">
              <a16:creationId xmlns:a16="http://schemas.microsoft.com/office/drawing/2014/main" id="{22207E14-74CB-4323-9B22-10B6AA569F3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6" name="Text Box 97">
          <a:extLst>
            <a:ext uri="{FF2B5EF4-FFF2-40B4-BE49-F238E27FC236}">
              <a16:creationId xmlns:a16="http://schemas.microsoft.com/office/drawing/2014/main" id="{85AD9D0F-52E3-4CE9-895A-7F98272BD9A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7" name="Text Box 101">
          <a:extLst>
            <a:ext uri="{FF2B5EF4-FFF2-40B4-BE49-F238E27FC236}">
              <a16:creationId xmlns:a16="http://schemas.microsoft.com/office/drawing/2014/main" id="{40DF3F83-620A-4327-B3F8-84C23BE9C28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8" name="Text Box 102">
          <a:extLst>
            <a:ext uri="{FF2B5EF4-FFF2-40B4-BE49-F238E27FC236}">
              <a16:creationId xmlns:a16="http://schemas.microsoft.com/office/drawing/2014/main" id="{DBD46E9F-3B56-407D-8F18-126635BFAE1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89" name="Text Box 103">
          <a:extLst>
            <a:ext uri="{FF2B5EF4-FFF2-40B4-BE49-F238E27FC236}">
              <a16:creationId xmlns:a16="http://schemas.microsoft.com/office/drawing/2014/main" id="{2C3B0C2E-31C2-437D-9419-4BC636123C9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0" name="Text Box 104">
          <a:extLst>
            <a:ext uri="{FF2B5EF4-FFF2-40B4-BE49-F238E27FC236}">
              <a16:creationId xmlns:a16="http://schemas.microsoft.com/office/drawing/2014/main" id="{AC6E52C7-379E-4ADD-8872-ADE41E6B233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1" name="Text Box 105">
          <a:extLst>
            <a:ext uri="{FF2B5EF4-FFF2-40B4-BE49-F238E27FC236}">
              <a16:creationId xmlns:a16="http://schemas.microsoft.com/office/drawing/2014/main" id="{AAA47957-5D3B-4334-BA31-0943A843764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2" name="Text Box 106">
          <a:extLst>
            <a:ext uri="{FF2B5EF4-FFF2-40B4-BE49-F238E27FC236}">
              <a16:creationId xmlns:a16="http://schemas.microsoft.com/office/drawing/2014/main" id="{468DBD5C-1CA9-426F-A948-0B7FB3433F1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3" name="Text Box 107">
          <a:extLst>
            <a:ext uri="{FF2B5EF4-FFF2-40B4-BE49-F238E27FC236}">
              <a16:creationId xmlns:a16="http://schemas.microsoft.com/office/drawing/2014/main" id="{B937FE0F-37D1-4C0D-94F5-F84960717A0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4" name="Text Box 108">
          <a:extLst>
            <a:ext uri="{FF2B5EF4-FFF2-40B4-BE49-F238E27FC236}">
              <a16:creationId xmlns:a16="http://schemas.microsoft.com/office/drawing/2014/main" id="{BE39FD45-531E-453F-9ECB-440D0BC7F43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5" name="Text Box 109">
          <a:extLst>
            <a:ext uri="{FF2B5EF4-FFF2-40B4-BE49-F238E27FC236}">
              <a16:creationId xmlns:a16="http://schemas.microsoft.com/office/drawing/2014/main" id="{4C3878B9-5CFE-439F-99B6-5AB46E1247D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6" name="Text Box 113">
          <a:extLst>
            <a:ext uri="{FF2B5EF4-FFF2-40B4-BE49-F238E27FC236}">
              <a16:creationId xmlns:a16="http://schemas.microsoft.com/office/drawing/2014/main" id="{27FEC947-8723-43EF-BC70-121C06AD81A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7" name="Text Box 114">
          <a:extLst>
            <a:ext uri="{FF2B5EF4-FFF2-40B4-BE49-F238E27FC236}">
              <a16:creationId xmlns:a16="http://schemas.microsoft.com/office/drawing/2014/main" id="{58633D48-1D35-4BE7-A14B-44C08891EFF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8" name="Text Box 115">
          <a:extLst>
            <a:ext uri="{FF2B5EF4-FFF2-40B4-BE49-F238E27FC236}">
              <a16:creationId xmlns:a16="http://schemas.microsoft.com/office/drawing/2014/main" id="{CBDE70C2-F15F-45E8-AACF-546A751379D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799" name="Text Box 116">
          <a:extLst>
            <a:ext uri="{FF2B5EF4-FFF2-40B4-BE49-F238E27FC236}">
              <a16:creationId xmlns:a16="http://schemas.microsoft.com/office/drawing/2014/main" id="{D24A4187-48FF-43DF-A006-FCBB9E90B69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0" name="Text Box 117">
          <a:extLst>
            <a:ext uri="{FF2B5EF4-FFF2-40B4-BE49-F238E27FC236}">
              <a16:creationId xmlns:a16="http://schemas.microsoft.com/office/drawing/2014/main" id="{7A8CB911-3416-4E40-AD82-038F4223BEC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1" name="Text Box 118">
          <a:extLst>
            <a:ext uri="{FF2B5EF4-FFF2-40B4-BE49-F238E27FC236}">
              <a16:creationId xmlns:a16="http://schemas.microsoft.com/office/drawing/2014/main" id="{B0B1CCA4-E8F4-4593-8F2C-847686F7026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2" name="Text Box 119">
          <a:extLst>
            <a:ext uri="{FF2B5EF4-FFF2-40B4-BE49-F238E27FC236}">
              <a16:creationId xmlns:a16="http://schemas.microsoft.com/office/drawing/2014/main" id="{D7D77C12-E924-4070-9104-413DF4BDE7E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3" name="Text Box 120">
          <a:extLst>
            <a:ext uri="{FF2B5EF4-FFF2-40B4-BE49-F238E27FC236}">
              <a16:creationId xmlns:a16="http://schemas.microsoft.com/office/drawing/2014/main" id="{2FC4130D-1AC7-4D7E-9272-291A0B2C932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4" name="Text Box 121">
          <a:extLst>
            <a:ext uri="{FF2B5EF4-FFF2-40B4-BE49-F238E27FC236}">
              <a16:creationId xmlns:a16="http://schemas.microsoft.com/office/drawing/2014/main" id="{72B55524-9F57-4510-BC16-C7B0B33D904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5" name="Text Box 125">
          <a:extLst>
            <a:ext uri="{FF2B5EF4-FFF2-40B4-BE49-F238E27FC236}">
              <a16:creationId xmlns:a16="http://schemas.microsoft.com/office/drawing/2014/main" id="{36B19A51-2117-4000-9296-C676C2FEE79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6" name="Text Box 126">
          <a:extLst>
            <a:ext uri="{FF2B5EF4-FFF2-40B4-BE49-F238E27FC236}">
              <a16:creationId xmlns:a16="http://schemas.microsoft.com/office/drawing/2014/main" id="{4607D00C-6D98-4D18-AE35-3A223FD5B4F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7" name="Text Box 127">
          <a:extLst>
            <a:ext uri="{FF2B5EF4-FFF2-40B4-BE49-F238E27FC236}">
              <a16:creationId xmlns:a16="http://schemas.microsoft.com/office/drawing/2014/main" id="{8D331296-F542-4B91-982D-8905927CF28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8" name="Text Box 128">
          <a:extLst>
            <a:ext uri="{FF2B5EF4-FFF2-40B4-BE49-F238E27FC236}">
              <a16:creationId xmlns:a16="http://schemas.microsoft.com/office/drawing/2014/main" id="{C843B0C3-ACF3-4B43-8A50-D566A72BF87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09" name="Text Box 129">
          <a:extLst>
            <a:ext uri="{FF2B5EF4-FFF2-40B4-BE49-F238E27FC236}">
              <a16:creationId xmlns:a16="http://schemas.microsoft.com/office/drawing/2014/main" id="{3617FA3E-0DD6-427E-9DEE-62B5EC67221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0" name="Text Box 130">
          <a:extLst>
            <a:ext uri="{FF2B5EF4-FFF2-40B4-BE49-F238E27FC236}">
              <a16:creationId xmlns:a16="http://schemas.microsoft.com/office/drawing/2014/main" id="{178F801D-2DB8-4E9A-81F3-E1EFDEE335C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1" name="Text Box 131">
          <a:extLst>
            <a:ext uri="{FF2B5EF4-FFF2-40B4-BE49-F238E27FC236}">
              <a16:creationId xmlns:a16="http://schemas.microsoft.com/office/drawing/2014/main" id="{DD24F0CE-AC15-4BD0-B9F0-1827EB653B6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2" name="Text Box 132">
          <a:extLst>
            <a:ext uri="{FF2B5EF4-FFF2-40B4-BE49-F238E27FC236}">
              <a16:creationId xmlns:a16="http://schemas.microsoft.com/office/drawing/2014/main" id="{927A2445-F9BF-40AB-833F-EE4760438C8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3" name="Text Box 133">
          <a:extLst>
            <a:ext uri="{FF2B5EF4-FFF2-40B4-BE49-F238E27FC236}">
              <a16:creationId xmlns:a16="http://schemas.microsoft.com/office/drawing/2014/main" id="{EC44E39B-694F-4A6C-A02A-4678B15C6DE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4" name="Text Box 137">
          <a:extLst>
            <a:ext uri="{FF2B5EF4-FFF2-40B4-BE49-F238E27FC236}">
              <a16:creationId xmlns:a16="http://schemas.microsoft.com/office/drawing/2014/main" id="{0FB7FAA4-6A4F-433E-B799-0E9CC8080D3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5" name="Text Box 138">
          <a:extLst>
            <a:ext uri="{FF2B5EF4-FFF2-40B4-BE49-F238E27FC236}">
              <a16:creationId xmlns:a16="http://schemas.microsoft.com/office/drawing/2014/main" id="{08D02CF9-AD13-46D0-B76C-4CCEE4EE4A6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6" name="Text Box 139">
          <a:extLst>
            <a:ext uri="{FF2B5EF4-FFF2-40B4-BE49-F238E27FC236}">
              <a16:creationId xmlns:a16="http://schemas.microsoft.com/office/drawing/2014/main" id="{CBA21EE8-5465-4820-879B-2E2B3013F2F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7" name="Text Box 140">
          <a:extLst>
            <a:ext uri="{FF2B5EF4-FFF2-40B4-BE49-F238E27FC236}">
              <a16:creationId xmlns:a16="http://schemas.microsoft.com/office/drawing/2014/main" id="{8797B243-C8FF-4769-9261-A3EE545C082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8" name="Text Box 141">
          <a:extLst>
            <a:ext uri="{FF2B5EF4-FFF2-40B4-BE49-F238E27FC236}">
              <a16:creationId xmlns:a16="http://schemas.microsoft.com/office/drawing/2014/main" id="{E1F81283-DC43-45D4-BE98-388B541B7BB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19" name="Text Box 142">
          <a:extLst>
            <a:ext uri="{FF2B5EF4-FFF2-40B4-BE49-F238E27FC236}">
              <a16:creationId xmlns:a16="http://schemas.microsoft.com/office/drawing/2014/main" id="{43E98182-F5C2-43DA-9AF9-8FE7C131DA4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0" name="Text Box 143">
          <a:extLst>
            <a:ext uri="{FF2B5EF4-FFF2-40B4-BE49-F238E27FC236}">
              <a16:creationId xmlns:a16="http://schemas.microsoft.com/office/drawing/2014/main" id="{38401961-4DB7-43E6-A2EC-1CD6481D6AA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1" name="Text Box 144">
          <a:extLst>
            <a:ext uri="{FF2B5EF4-FFF2-40B4-BE49-F238E27FC236}">
              <a16:creationId xmlns:a16="http://schemas.microsoft.com/office/drawing/2014/main" id="{79DFD3B2-6A2F-4454-A81C-20D5FCCE593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2" name="Text Box 145">
          <a:extLst>
            <a:ext uri="{FF2B5EF4-FFF2-40B4-BE49-F238E27FC236}">
              <a16:creationId xmlns:a16="http://schemas.microsoft.com/office/drawing/2014/main" id="{2926D1D2-E001-4A41-A688-88CA98239E6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3" name="Text Box 149">
          <a:extLst>
            <a:ext uri="{FF2B5EF4-FFF2-40B4-BE49-F238E27FC236}">
              <a16:creationId xmlns:a16="http://schemas.microsoft.com/office/drawing/2014/main" id="{F2F0E958-2B26-4BC2-A3C3-81EE7C6D227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4" name="Text Box 150">
          <a:extLst>
            <a:ext uri="{FF2B5EF4-FFF2-40B4-BE49-F238E27FC236}">
              <a16:creationId xmlns:a16="http://schemas.microsoft.com/office/drawing/2014/main" id="{93DBD1E5-0FA3-45BF-8844-642CA1B2E98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5" name="Text Box 151">
          <a:extLst>
            <a:ext uri="{FF2B5EF4-FFF2-40B4-BE49-F238E27FC236}">
              <a16:creationId xmlns:a16="http://schemas.microsoft.com/office/drawing/2014/main" id="{B299BDC2-4B3D-42B8-8C40-E11293CCD85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6" name="Text Box 152">
          <a:extLst>
            <a:ext uri="{FF2B5EF4-FFF2-40B4-BE49-F238E27FC236}">
              <a16:creationId xmlns:a16="http://schemas.microsoft.com/office/drawing/2014/main" id="{702BE2A6-6236-4C38-8377-C49884ABEFA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7" name="Text Box 153">
          <a:extLst>
            <a:ext uri="{FF2B5EF4-FFF2-40B4-BE49-F238E27FC236}">
              <a16:creationId xmlns:a16="http://schemas.microsoft.com/office/drawing/2014/main" id="{65E6EFD5-34D2-4171-8AF6-1311E3266B0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8" name="Text Box 154">
          <a:extLst>
            <a:ext uri="{FF2B5EF4-FFF2-40B4-BE49-F238E27FC236}">
              <a16:creationId xmlns:a16="http://schemas.microsoft.com/office/drawing/2014/main" id="{8A139CAE-D65C-4652-AF1C-6E8A56570B1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29" name="Text Box 155">
          <a:extLst>
            <a:ext uri="{FF2B5EF4-FFF2-40B4-BE49-F238E27FC236}">
              <a16:creationId xmlns:a16="http://schemas.microsoft.com/office/drawing/2014/main" id="{978F98B5-BF5B-42E7-B922-F7459B5A424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0" name="Text Box 156">
          <a:extLst>
            <a:ext uri="{FF2B5EF4-FFF2-40B4-BE49-F238E27FC236}">
              <a16:creationId xmlns:a16="http://schemas.microsoft.com/office/drawing/2014/main" id="{7B19E1AB-F422-493B-BE89-D40D0A1609D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1" name="Text Box 157">
          <a:extLst>
            <a:ext uri="{FF2B5EF4-FFF2-40B4-BE49-F238E27FC236}">
              <a16:creationId xmlns:a16="http://schemas.microsoft.com/office/drawing/2014/main" id="{3A494FC7-9813-47C8-9128-A7122D21C69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2" name="Text Box 161">
          <a:extLst>
            <a:ext uri="{FF2B5EF4-FFF2-40B4-BE49-F238E27FC236}">
              <a16:creationId xmlns:a16="http://schemas.microsoft.com/office/drawing/2014/main" id="{8E04C69F-6B60-4D88-961A-478AA87ED88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3" name="Text Box 162">
          <a:extLst>
            <a:ext uri="{FF2B5EF4-FFF2-40B4-BE49-F238E27FC236}">
              <a16:creationId xmlns:a16="http://schemas.microsoft.com/office/drawing/2014/main" id="{923E4600-9ECE-45B1-8C19-C57F9043DB5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4" name="Text Box 163">
          <a:extLst>
            <a:ext uri="{FF2B5EF4-FFF2-40B4-BE49-F238E27FC236}">
              <a16:creationId xmlns:a16="http://schemas.microsoft.com/office/drawing/2014/main" id="{58C9BA69-6FF9-4F47-A2EA-834504FDCF2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5" name="Text Box 164">
          <a:extLst>
            <a:ext uri="{FF2B5EF4-FFF2-40B4-BE49-F238E27FC236}">
              <a16:creationId xmlns:a16="http://schemas.microsoft.com/office/drawing/2014/main" id="{4745A3CB-693B-4E3F-9A50-331254E43B3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6" name="Text Box 165">
          <a:extLst>
            <a:ext uri="{FF2B5EF4-FFF2-40B4-BE49-F238E27FC236}">
              <a16:creationId xmlns:a16="http://schemas.microsoft.com/office/drawing/2014/main" id="{307274EB-182A-4211-98DD-D399CB4E8E3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7" name="Text Box 166">
          <a:extLst>
            <a:ext uri="{FF2B5EF4-FFF2-40B4-BE49-F238E27FC236}">
              <a16:creationId xmlns:a16="http://schemas.microsoft.com/office/drawing/2014/main" id="{0AF6714F-50BB-47A4-9E46-582F2CC678F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8" name="Text Box 167">
          <a:extLst>
            <a:ext uri="{FF2B5EF4-FFF2-40B4-BE49-F238E27FC236}">
              <a16:creationId xmlns:a16="http://schemas.microsoft.com/office/drawing/2014/main" id="{47043901-2964-495B-A123-25E68E9E8B51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39" name="Text Box 168">
          <a:extLst>
            <a:ext uri="{FF2B5EF4-FFF2-40B4-BE49-F238E27FC236}">
              <a16:creationId xmlns:a16="http://schemas.microsoft.com/office/drawing/2014/main" id="{FDD16B4A-1C47-45A6-88DE-B5498CAF7DA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0" name="Text Box 169">
          <a:extLst>
            <a:ext uri="{FF2B5EF4-FFF2-40B4-BE49-F238E27FC236}">
              <a16:creationId xmlns:a16="http://schemas.microsoft.com/office/drawing/2014/main" id="{2CA65A33-F0A4-4575-9FC6-64AAD8CD51B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1" name="Text Box 170">
          <a:extLst>
            <a:ext uri="{FF2B5EF4-FFF2-40B4-BE49-F238E27FC236}">
              <a16:creationId xmlns:a16="http://schemas.microsoft.com/office/drawing/2014/main" id="{277E3A0E-E391-40EF-A28C-EB5D68BDD06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2" name="Text Box 171">
          <a:extLst>
            <a:ext uri="{FF2B5EF4-FFF2-40B4-BE49-F238E27FC236}">
              <a16:creationId xmlns:a16="http://schemas.microsoft.com/office/drawing/2014/main" id="{475FA656-2D2E-41D3-BCD2-D8372E239EA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3" name="Text Box 172">
          <a:extLst>
            <a:ext uri="{FF2B5EF4-FFF2-40B4-BE49-F238E27FC236}">
              <a16:creationId xmlns:a16="http://schemas.microsoft.com/office/drawing/2014/main" id="{65632A2C-36BC-4987-8028-5E175894E4A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4" name="Text Box 173">
          <a:extLst>
            <a:ext uri="{FF2B5EF4-FFF2-40B4-BE49-F238E27FC236}">
              <a16:creationId xmlns:a16="http://schemas.microsoft.com/office/drawing/2014/main" id="{0DFDBED6-3329-4B64-90EF-1F2F4AA94EC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5" name="Text Box 174">
          <a:extLst>
            <a:ext uri="{FF2B5EF4-FFF2-40B4-BE49-F238E27FC236}">
              <a16:creationId xmlns:a16="http://schemas.microsoft.com/office/drawing/2014/main" id="{04DD7331-40A4-419A-9BA8-B7A225E6DCE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6" name="Text Box 176">
          <a:extLst>
            <a:ext uri="{FF2B5EF4-FFF2-40B4-BE49-F238E27FC236}">
              <a16:creationId xmlns:a16="http://schemas.microsoft.com/office/drawing/2014/main" id="{C6201E1F-5E00-437B-BAF9-F7392FE4138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7" name="Text Box 178">
          <a:extLst>
            <a:ext uri="{FF2B5EF4-FFF2-40B4-BE49-F238E27FC236}">
              <a16:creationId xmlns:a16="http://schemas.microsoft.com/office/drawing/2014/main" id="{D131C32A-0796-44A2-B08A-2582AB18035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8" name="Text Box 179">
          <a:extLst>
            <a:ext uri="{FF2B5EF4-FFF2-40B4-BE49-F238E27FC236}">
              <a16:creationId xmlns:a16="http://schemas.microsoft.com/office/drawing/2014/main" id="{1570A837-EDD5-4415-8742-37F88DB3C51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49" name="Text Box 180">
          <a:extLst>
            <a:ext uri="{FF2B5EF4-FFF2-40B4-BE49-F238E27FC236}">
              <a16:creationId xmlns:a16="http://schemas.microsoft.com/office/drawing/2014/main" id="{A655970D-ABBB-4420-9566-D4E624F3E14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0" name="Text Box 181">
          <a:extLst>
            <a:ext uri="{FF2B5EF4-FFF2-40B4-BE49-F238E27FC236}">
              <a16:creationId xmlns:a16="http://schemas.microsoft.com/office/drawing/2014/main" id="{2A92061A-4FC6-428D-A614-BF237443616D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1" name="Text Box 182">
          <a:extLst>
            <a:ext uri="{FF2B5EF4-FFF2-40B4-BE49-F238E27FC236}">
              <a16:creationId xmlns:a16="http://schemas.microsoft.com/office/drawing/2014/main" id="{037CCEE7-EE4E-4DC7-9CBE-504ABA58B67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2" name="Text Box 183">
          <a:extLst>
            <a:ext uri="{FF2B5EF4-FFF2-40B4-BE49-F238E27FC236}">
              <a16:creationId xmlns:a16="http://schemas.microsoft.com/office/drawing/2014/main" id="{F0B76FF9-030A-43BC-8442-97AF02B8312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3" name="Text Box 184">
          <a:extLst>
            <a:ext uri="{FF2B5EF4-FFF2-40B4-BE49-F238E27FC236}">
              <a16:creationId xmlns:a16="http://schemas.microsoft.com/office/drawing/2014/main" id="{96F84C7B-1810-455D-9D35-7C854EE6CB5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4" name="Text Box 185">
          <a:extLst>
            <a:ext uri="{FF2B5EF4-FFF2-40B4-BE49-F238E27FC236}">
              <a16:creationId xmlns:a16="http://schemas.microsoft.com/office/drawing/2014/main" id="{C76E193E-CB61-466B-91AA-E81A408D513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5" name="Text Box 186">
          <a:extLst>
            <a:ext uri="{FF2B5EF4-FFF2-40B4-BE49-F238E27FC236}">
              <a16:creationId xmlns:a16="http://schemas.microsoft.com/office/drawing/2014/main" id="{B2D2BE13-9D21-4614-8695-33956695DA1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6" name="Text Box 187">
          <a:extLst>
            <a:ext uri="{FF2B5EF4-FFF2-40B4-BE49-F238E27FC236}">
              <a16:creationId xmlns:a16="http://schemas.microsoft.com/office/drawing/2014/main" id="{922AE2E0-6064-4B5D-AA48-DB7FDD1F83FB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7" name="Text Box 188">
          <a:extLst>
            <a:ext uri="{FF2B5EF4-FFF2-40B4-BE49-F238E27FC236}">
              <a16:creationId xmlns:a16="http://schemas.microsoft.com/office/drawing/2014/main" id="{3F1F4609-89C4-4A51-B3E6-9EE2CBD0255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8" name="Text Box 189">
          <a:extLst>
            <a:ext uri="{FF2B5EF4-FFF2-40B4-BE49-F238E27FC236}">
              <a16:creationId xmlns:a16="http://schemas.microsoft.com/office/drawing/2014/main" id="{4536DD04-B532-45D4-B1A8-48C680C9A64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59" name="Text Box 190">
          <a:extLst>
            <a:ext uri="{FF2B5EF4-FFF2-40B4-BE49-F238E27FC236}">
              <a16:creationId xmlns:a16="http://schemas.microsoft.com/office/drawing/2014/main" id="{6C610FB0-949C-47F7-854B-44EDBCFB8AF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0" name="Text Box 191">
          <a:extLst>
            <a:ext uri="{FF2B5EF4-FFF2-40B4-BE49-F238E27FC236}">
              <a16:creationId xmlns:a16="http://schemas.microsoft.com/office/drawing/2014/main" id="{D5C73B6E-CF0D-430F-A455-8F729908466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1" name="Text Box 192">
          <a:extLst>
            <a:ext uri="{FF2B5EF4-FFF2-40B4-BE49-F238E27FC236}">
              <a16:creationId xmlns:a16="http://schemas.microsoft.com/office/drawing/2014/main" id="{3663ED42-E801-48AB-B606-53E8942AF54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2" name="Text Box 193">
          <a:extLst>
            <a:ext uri="{FF2B5EF4-FFF2-40B4-BE49-F238E27FC236}">
              <a16:creationId xmlns:a16="http://schemas.microsoft.com/office/drawing/2014/main" id="{5A187EBD-AADF-4E20-AE50-B7D61C581B2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3" name="Text Box 194">
          <a:extLst>
            <a:ext uri="{FF2B5EF4-FFF2-40B4-BE49-F238E27FC236}">
              <a16:creationId xmlns:a16="http://schemas.microsoft.com/office/drawing/2014/main" id="{DA8EE816-4855-4B61-B57F-C6C65AF2561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4" name="Text Box 195">
          <a:extLst>
            <a:ext uri="{FF2B5EF4-FFF2-40B4-BE49-F238E27FC236}">
              <a16:creationId xmlns:a16="http://schemas.microsoft.com/office/drawing/2014/main" id="{FDD0550E-A5A3-4C5A-9F28-376C5C6FBF7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5" name="Text Box 196">
          <a:extLst>
            <a:ext uri="{FF2B5EF4-FFF2-40B4-BE49-F238E27FC236}">
              <a16:creationId xmlns:a16="http://schemas.microsoft.com/office/drawing/2014/main" id="{4183024C-65EA-44F8-83A3-ECB727995AC6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6" name="Text Box 197">
          <a:extLst>
            <a:ext uri="{FF2B5EF4-FFF2-40B4-BE49-F238E27FC236}">
              <a16:creationId xmlns:a16="http://schemas.microsoft.com/office/drawing/2014/main" id="{42D73DC8-F8E0-4751-BD1C-D78CE4ED934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7" name="Text Box 198">
          <a:extLst>
            <a:ext uri="{FF2B5EF4-FFF2-40B4-BE49-F238E27FC236}">
              <a16:creationId xmlns:a16="http://schemas.microsoft.com/office/drawing/2014/main" id="{046F9154-F304-4159-B0BC-FAD68980C75E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8" name="Text Box 199">
          <a:extLst>
            <a:ext uri="{FF2B5EF4-FFF2-40B4-BE49-F238E27FC236}">
              <a16:creationId xmlns:a16="http://schemas.microsoft.com/office/drawing/2014/main" id="{686F4A6D-A56D-4B29-ACD3-3E8A2008DC3A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69" name="Text Box 200">
          <a:extLst>
            <a:ext uri="{FF2B5EF4-FFF2-40B4-BE49-F238E27FC236}">
              <a16:creationId xmlns:a16="http://schemas.microsoft.com/office/drawing/2014/main" id="{39A33537-C428-4611-ACAB-3D8E38D14F1C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0" name="Text Box 201">
          <a:extLst>
            <a:ext uri="{FF2B5EF4-FFF2-40B4-BE49-F238E27FC236}">
              <a16:creationId xmlns:a16="http://schemas.microsoft.com/office/drawing/2014/main" id="{74ED8EE6-FC0C-4BC0-8069-123BC047475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1" name="Text Box 202">
          <a:extLst>
            <a:ext uri="{FF2B5EF4-FFF2-40B4-BE49-F238E27FC236}">
              <a16:creationId xmlns:a16="http://schemas.microsoft.com/office/drawing/2014/main" id="{2610C245-0D8B-4E18-98C8-9093386CC762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2" name="Text Box 203">
          <a:extLst>
            <a:ext uri="{FF2B5EF4-FFF2-40B4-BE49-F238E27FC236}">
              <a16:creationId xmlns:a16="http://schemas.microsoft.com/office/drawing/2014/main" id="{734B687B-5F5F-4A25-9E1F-C37CC0263200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3" name="Text Box 204">
          <a:extLst>
            <a:ext uri="{FF2B5EF4-FFF2-40B4-BE49-F238E27FC236}">
              <a16:creationId xmlns:a16="http://schemas.microsoft.com/office/drawing/2014/main" id="{42BC4501-15A2-4D17-A83A-FE6BDC3AE503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4" name="Text Box 206">
          <a:extLst>
            <a:ext uri="{FF2B5EF4-FFF2-40B4-BE49-F238E27FC236}">
              <a16:creationId xmlns:a16="http://schemas.microsoft.com/office/drawing/2014/main" id="{4C588D0E-77F4-4829-9947-05BF6AF3EAA5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5" name="Text Box 207">
          <a:extLst>
            <a:ext uri="{FF2B5EF4-FFF2-40B4-BE49-F238E27FC236}">
              <a16:creationId xmlns:a16="http://schemas.microsoft.com/office/drawing/2014/main" id="{1F337FDA-0E70-4023-8A70-2F27725A469F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6" name="Text Box 208">
          <a:extLst>
            <a:ext uri="{FF2B5EF4-FFF2-40B4-BE49-F238E27FC236}">
              <a16:creationId xmlns:a16="http://schemas.microsoft.com/office/drawing/2014/main" id="{9960DA1E-D511-4D8F-88ED-68DD2FCB52C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7" name="Text Box 209">
          <a:extLst>
            <a:ext uri="{FF2B5EF4-FFF2-40B4-BE49-F238E27FC236}">
              <a16:creationId xmlns:a16="http://schemas.microsoft.com/office/drawing/2014/main" id="{C67F86C5-306C-4A44-95FD-D68DF8E26C2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8" name="Text Box 210">
          <a:extLst>
            <a:ext uri="{FF2B5EF4-FFF2-40B4-BE49-F238E27FC236}">
              <a16:creationId xmlns:a16="http://schemas.microsoft.com/office/drawing/2014/main" id="{485CD429-E32E-4E6F-A9C1-E2FBE91EAC84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79" name="Text Box 211">
          <a:extLst>
            <a:ext uri="{FF2B5EF4-FFF2-40B4-BE49-F238E27FC236}">
              <a16:creationId xmlns:a16="http://schemas.microsoft.com/office/drawing/2014/main" id="{6D9448C5-1F09-403A-A17D-9AAC0BE2860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80" name="Text Box 212">
          <a:extLst>
            <a:ext uri="{FF2B5EF4-FFF2-40B4-BE49-F238E27FC236}">
              <a16:creationId xmlns:a16="http://schemas.microsoft.com/office/drawing/2014/main" id="{08021266-4A95-420E-8BD7-7E3CEDE47ED7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81" name="Text Box 213">
          <a:extLst>
            <a:ext uri="{FF2B5EF4-FFF2-40B4-BE49-F238E27FC236}">
              <a16:creationId xmlns:a16="http://schemas.microsoft.com/office/drawing/2014/main" id="{DFC7434A-6E71-401B-8303-F540D3466688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76200</xdr:rowOff>
    </xdr:from>
    <xdr:to>
      <xdr:col>4</xdr:col>
      <xdr:colOff>323850</xdr:colOff>
      <xdr:row>49</xdr:row>
      <xdr:rowOff>0</xdr:rowOff>
    </xdr:to>
    <xdr:sp macro="" textlink="">
      <xdr:nvSpPr>
        <xdr:cNvPr id="238882" name="Text Box 214">
          <a:extLst>
            <a:ext uri="{FF2B5EF4-FFF2-40B4-BE49-F238E27FC236}">
              <a16:creationId xmlns:a16="http://schemas.microsoft.com/office/drawing/2014/main" id="{80E6868A-6F88-49EC-BA00-8060CF23B859}"/>
            </a:ext>
          </a:extLst>
        </xdr:cNvPr>
        <xdr:cNvSpPr txBox="1">
          <a:spLocks noChangeArrowheads="1"/>
        </xdr:cNvSpPr>
      </xdr:nvSpPr>
      <xdr:spPr bwMode="auto">
        <a:xfrm>
          <a:off x="6734175" y="9134475"/>
          <a:ext cx="1905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83" name="Text Box 216">
          <a:extLst>
            <a:ext uri="{FF2B5EF4-FFF2-40B4-BE49-F238E27FC236}">
              <a16:creationId xmlns:a16="http://schemas.microsoft.com/office/drawing/2014/main" id="{9329F377-8E34-4E1B-979A-8F5B0497719C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84" name="Text Box 217">
          <a:extLst>
            <a:ext uri="{FF2B5EF4-FFF2-40B4-BE49-F238E27FC236}">
              <a16:creationId xmlns:a16="http://schemas.microsoft.com/office/drawing/2014/main" id="{3B5194B4-D3D3-40E0-BD99-407BB3DCE4CE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85" name="Text Box 218">
          <a:extLst>
            <a:ext uri="{FF2B5EF4-FFF2-40B4-BE49-F238E27FC236}">
              <a16:creationId xmlns:a16="http://schemas.microsoft.com/office/drawing/2014/main" id="{62EC6EFE-5CD0-4CA6-AD50-015A6E6B64F4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86" name="Text Box 219">
          <a:extLst>
            <a:ext uri="{FF2B5EF4-FFF2-40B4-BE49-F238E27FC236}">
              <a16:creationId xmlns:a16="http://schemas.microsoft.com/office/drawing/2014/main" id="{0FD1AC6E-C395-41E4-82AE-F88E47973B62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87" name="Text Box 220">
          <a:extLst>
            <a:ext uri="{FF2B5EF4-FFF2-40B4-BE49-F238E27FC236}">
              <a16:creationId xmlns:a16="http://schemas.microsoft.com/office/drawing/2014/main" id="{0B4067C1-E780-45E1-B730-159BE2EAC1AA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88" name="Text Box 221">
          <a:extLst>
            <a:ext uri="{FF2B5EF4-FFF2-40B4-BE49-F238E27FC236}">
              <a16:creationId xmlns:a16="http://schemas.microsoft.com/office/drawing/2014/main" id="{33B7F1EC-41E9-40E0-86B3-E117A5B091CA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89" name="Text Box 222">
          <a:extLst>
            <a:ext uri="{FF2B5EF4-FFF2-40B4-BE49-F238E27FC236}">
              <a16:creationId xmlns:a16="http://schemas.microsoft.com/office/drawing/2014/main" id="{C3806540-F828-4557-872F-720A4AC76A76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0" name="Text Box 223">
          <a:extLst>
            <a:ext uri="{FF2B5EF4-FFF2-40B4-BE49-F238E27FC236}">
              <a16:creationId xmlns:a16="http://schemas.microsoft.com/office/drawing/2014/main" id="{50887A6B-D9E0-4C0A-9262-B3285CB22556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1" name="Text Box 224">
          <a:extLst>
            <a:ext uri="{FF2B5EF4-FFF2-40B4-BE49-F238E27FC236}">
              <a16:creationId xmlns:a16="http://schemas.microsoft.com/office/drawing/2014/main" id="{21623979-C5AD-40AF-8CF1-59FDE92132FE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2" name="Text Box 225">
          <a:extLst>
            <a:ext uri="{FF2B5EF4-FFF2-40B4-BE49-F238E27FC236}">
              <a16:creationId xmlns:a16="http://schemas.microsoft.com/office/drawing/2014/main" id="{DEE7A6B8-1D47-4DD0-BA38-889F70C51597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3" name="Text Box 226">
          <a:extLst>
            <a:ext uri="{FF2B5EF4-FFF2-40B4-BE49-F238E27FC236}">
              <a16:creationId xmlns:a16="http://schemas.microsoft.com/office/drawing/2014/main" id="{CECDACD3-B591-4C8D-9252-BAE7EE8C702A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4" name="Text Box 227">
          <a:extLst>
            <a:ext uri="{FF2B5EF4-FFF2-40B4-BE49-F238E27FC236}">
              <a16:creationId xmlns:a16="http://schemas.microsoft.com/office/drawing/2014/main" id="{61F2EFBE-20BB-4FB4-BB5A-0CD2FCD85700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5" name="Text Box 228">
          <a:extLst>
            <a:ext uri="{FF2B5EF4-FFF2-40B4-BE49-F238E27FC236}">
              <a16:creationId xmlns:a16="http://schemas.microsoft.com/office/drawing/2014/main" id="{F7781C97-2C91-4AA7-9173-BBE337836163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6" name="Text Box 229">
          <a:extLst>
            <a:ext uri="{FF2B5EF4-FFF2-40B4-BE49-F238E27FC236}">
              <a16:creationId xmlns:a16="http://schemas.microsoft.com/office/drawing/2014/main" id="{0921C9B7-15C9-47FB-994E-674AA6A91D2D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7" name="Text Box 230">
          <a:extLst>
            <a:ext uri="{FF2B5EF4-FFF2-40B4-BE49-F238E27FC236}">
              <a16:creationId xmlns:a16="http://schemas.microsoft.com/office/drawing/2014/main" id="{8259B9E1-D115-4339-A208-C671CDF30880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8" name="Text Box 231">
          <a:extLst>
            <a:ext uri="{FF2B5EF4-FFF2-40B4-BE49-F238E27FC236}">
              <a16:creationId xmlns:a16="http://schemas.microsoft.com/office/drawing/2014/main" id="{4C9819CB-28D6-456E-B5AB-2B09AA4FF4CB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899" name="Text Box 232">
          <a:extLst>
            <a:ext uri="{FF2B5EF4-FFF2-40B4-BE49-F238E27FC236}">
              <a16:creationId xmlns:a16="http://schemas.microsoft.com/office/drawing/2014/main" id="{1D367117-7AD9-4116-AB22-8FCC4BA54B32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900" name="Text Box 233">
          <a:extLst>
            <a:ext uri="{FF2B5EF4-FFF2-40B4-BE49-F238E27FC236}">
              <a16:creationId xmlns:a16="http://schemas.microsoft.com/office/drawing/2014/main" id="{1C4DA483-3959-446E-AD42-C1C216FEC426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901" name="Text Box 234">
          <a:extLst>
            <a:ext uri="{FF2B5EF4-FFF2-40B4-BE49-F238E27FC236}">
              <a16:creationId xmlns:a16="http://schemas.microsoft.com/office/drawing/2014/main" id="{FB87D991-3532-4645-B4E9-F2513AC0BA70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902" name="Text Box 235">
          <a:extLst>
            <a:ext uri="{FF2B5EF4-FFF2-40B4-BE49-F238E27FC236}">
              <a16:creationId xmlns:a16="http://schemas.microsoft.com/office/drawing/2014/main" id="{F0CDDB8D-5B1B-4166-96B2-07CDCFF8484E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37</xdr:row>
      <xdr:rowOff>19050</xdr:rowOff>
    </xdr:from>
    <xdr:to>
      <xdr:col>4</xdr:col>
      <xdr:colOff>161925</xdr:colOff>
      <xdr:row>38</xdr:row>
      <xdr:rowOff>28575</xdr:rowOff>
    </xdr:to>
    <xdr:sp macro="" textlink="">
      <xdr:nvSpPr>
        <xdr:cNvPr id="238903" name="Text Box 236">
          <a:extLst>
            <a:ext uri="{FF2B5EF4-FFF2-40B4-BE49-F238E27FC236}">
              <a16:creationId xmlns:a16="http://schemas.microsoft.com/office/drawing/2014/main" id="{A1B80A3D-90DD-4C5A-A476-F975366E0C3C}"/>
            </a:ext>
          </a:extLst>
        </xdr:cNvPr>
        <xdr:cNvSpPr txBox="1">
          <a:spLocks noChangeArrowheads="1"/>
        </xdr:cNvSpPr>
      </xdr:nvSpPr>
      <xdr:spPr bwMode="auto">
        <a:xfrm>
          <a:off x="6524625" y="7943850"/>
          <a:ext cx="666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904" name="Text Box 237">
          <a:extLst>
            <a:ext uri="{FF2B5EF4-FFF2-40B4-BE49-F238E27FC236}">
              <a16:creationId xmlns:a16="http://schemas.microsoft.com/office/drawing/2014/main" id="{6F870AA2-7D58-468F-8587-E661E5EB58B1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905" name="Text Box 238">
          <a:extLst>
            <a:ext uri="{FF2B5EF4-FFF2-40B4-BE49-F238E27FC236}">
              <a16:creationId xmlns:a16="http://schemas.microsoft.com/office/drawing/2014/main" id="{FD80544B-1750-4F89-9A1E-7FC3784D1073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906" name="Text Box 239">
          <a:extLst>
            <a:ext uri="{FF2B5EF4-FFF2-40B4-BE49-F238E27FC236}">
              <a16:creationId xmlns:a16="http://schemas.microsoft.com/office/drawing/2014/main" id="{5F50D8B5-1CBA-4097-AF5D-8AEE8F5EA589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907" name="Text Box 240">
          <a:extLst>
            <a:ext uri="{FF2B5EF4-FFF2-40B4-BE49-F238E27FC236}">
              <a16:creationId xmlns:a16="http://schemas.microsoft.com/office/drawing/2014/main" id="{B3C56AB4-D020-4EDE-9188-F59FAF8260E5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19050</xdr:rowOff>
    </xdr:from>
    <xdr:to>
      <xdr:col>4</xdr:col>
      <xdr:colOff>323850</xdr:colOff>
      <xdr:row>38</xdr:row>
      <xdr:rowOff>28575</xdr:rowOff>
    </xdr:to>
    <xdr:sp macro="" textlink="">
      <xdr:nvSpPr>
        <xdr:cNvPr id="238908" name="Text Box 241">
          <a:extLst>
            <a:ext uri="{FF2B5EF4-FFF2-40B4-BE49-F238E27FC236}">
              <a16:creationId xmlns:a16="http://schemas.microsoft.com/office/drawing/2014/main" id="{4C5E901D-6D43-40C8-9219-F05D34991A95}"/>
            </a:ext>
          </a:extLst>
        </xdr:cNvPr>
        <xdr:cNvSpPr txBox="1">
          <a:spLocks noChangeArrowheads="1"/>
        </xdr:cNvSpPr>
      </xdr:nvSpPr>
      <xdr:spPr bwMode="auto">
        <a:xfrm>
          <a:off x="6734175" y="7943850"/>
          <a:ext cx="190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28</xdr:row>
      <xdr:rowOff>0</xdr:rowOff>
    </xdr:from>
    <xdr:to>
      <xdr:col>5</xdr:col>
      <xdr:colOff>9525</xdr:colOff>
      <xdr:row>30</xdr:row>
      <xdr:rowOff>28575</xdr:rowOff>
    </xdr:to>
    <xdr:sp macro="" textlink="">
      <xdr:nvSpPr>
        <xdr:cNvPr id="238909" name="Text Box 187">
          <a:extLst>
            <a:ext uri="{FF2B5EF4-FFF2-40B4-BE49-F238E27FC236}">
              <a16:creationId xmlns:a16="http://schemas.microsoft.com/office/drawing/2014/main" id="{6D36754E-1518-4C62-96F0-7E1FB78105EB}"/>
            </a:ext>
          </a:extLst>
        </xdr:cNvPr>
        <xdr:cNvSpPr txBox="1">
          <a:spLocks noChangeArrowheads="1"/>
        </xdr:cNvSpPr>
      </xdr:nvSpPr>
      <xdr:spPr bwMode="auto">
        <a:xfrm>
          <a:off x="6743700" y="563880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9525</xdr:colOff>
      <xdr:row>37</xdr:row>
      <xdr:rowOff>66675</xdr:rowOff>
    </xdr:to>
    <xdr:sp macro="" textlink="">
      <xdr:nvSpPr>
        <xdr:cNvPr id="238910" name="Text Box 188">
          <a:extLst>
            <a:ext uri="{FF2B5EF4-FFF2-40B4-BE49-F238E27FC236}">
              <a16:creationId xmlns:a16="http://schemas.microsoft.com/office/drawing/2014/main" id="{72EE83FF-7627-4446-B450-0CB7600B9A7C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1905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9525</xdr:colOff>
      <xdr:row>38</xdr:row>
      <xdr:rowOff>47625</xdr:rowOff>
    </xdr:to>
    <xdr:sp macro="" textlink="">
      <xdr:nvSpPr>
        <xdr:cNvPr id="238911" name="Text Box 189">
          <a:extLst>
            <a:ext uri="{FF2B5EF4-FFF2-40B4-BE49-F238E27FC236}">
              <a16:creationId xmlns:a16="http://schemas.microsoft.com/office/drawing/2014/main" id="{7273A114-A7EF-4EE7-8C09-86F4885C4792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19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9525</xdr:colOff>
      <xdr:row>38</xdr:row>
      <xdr:rowOff>47625</xdr:rowOff>
    </xdr:to>
    <xdr:sp macro="" textlink="">
      <xdr:nvSpPr>
        <xdr:cNvPr id="238912" name="Text Box 190">
          <a:extLst>
            <a:ext uri="{FF2B5EF4-FFF2-40B4-BE49-F238E27FC236}">
              <a16:creationId xmlns:a16="http://schemas.microsoft.com/office/drawing/2014/main" id="{24003C25-16E3-4333-BA7D-CCC74F26EFF6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19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9525</xdr:colOff>
      <xdr:row>38</xdr:row>
      <xdr:rowOff>47625</xdr:rowOff>
    </xdr:to>
    <xdr:sp macro="" textlink="">
      <xdr:nvSpPr>
        <xdr:cNvPr id="238913" name="Text Box 191">
          <a:extLst>
            <a:ext uri="{FF2B5EF4-FFF2-40B4-BE49-F238E27FC236}">
              <a16:creationId xmlns:a16="http://schemas.microsoft.com/office/drawing/2014/main" id="{C7C60DE0-4583-4D27-A5B6-76F6C577EFFC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19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9525</xdr:colOff>
      <xdr:row>38</xdr:row>
      <xdr:rowOff>47625</xdr:rowOff>
    </xdr:to>
    <xdr:sp macro="" textlink="">
      <xdr:nvSpPr>
        <xdr:cNvPr id="238914" name="Text Box 192">
          <a:extLst>
            <a:ext uri="{FF2B5EF4-FFF2-40B4-BE49-F238E27FC236}">
              <a16:creationId xmlns:a16="http://schemas.microsoft.com/office/drawing/2014/main" id="{14093D47-3DF8-419D-A3D7-761335F159F7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19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915" name="Text Box 193">
          <a:extLst>
            <a:ext uri="{FF2B5EF4-FFF2-40B4-BE49-F238E27FC236}">
              <a16:creationId xmlns:a16="http://schemas.microsoft.com/office/drawing/2014/main" id="{7CFCA1D8-D921-4476-B791-3E190D273F68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916" name="Text Box 194">
          <a:extLst>
            <a:ext uri="{FF2B5EF4-FFF2-40B4-BE49-F238E27FC236}">
              <a16:creationId xmlns:a16="http://schemas.microsoft.com/office/drawing/2014/main" id="{2E547FB4-FAFE-4C91-8F95-ECA0629DD81C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917" name="Text Box 195">
          <a:extLst>
            <a:ext uri="{FF2B5EF4-FFF2-40B4-BE49-F238E27FC236}">
              <a16:creationId xmlns:a16="http://schemas.microsoft.com/office/drawing/2014/main" id="{FE339AE1-DF4C-4FF5-9959-297AD6D13B1B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28</xdr:row>
      <xdr:rowOff>0</xdr:rowOff>
    </xdr:from>
    <xdr:to>
      <xdr:col>5</xdr:col>
      <xdr:colOff>9525</xdr:colOff>
      <xdr:row>30</xdr:row>
      <xdr:rowOff>28575</xdr:rowOff>
    </xdr:to>
    <xdr:sp macro="" textlink="">
      <xdr:nvSpPr>
        <xdr:cNvPr id="238918" name="Text Box 193">
          <a:extLst>
            <a:ext uri="{FF2B5EF4-FFF2-40B4-BE49-F238E27FC236}">
              <a16:creationId xmlns:a16="http://schemas.microsoft.com/office/drawing/2014/main" id="{877E75E6-D055-40A6-997B-A3503233ADE7}"/>
            </a:ext>
          </a:extLst>
        </xdr:cNvPr>
        <xdr:cNvSpPr txBox="1">
          <a:spLocks noChangeArrowheads="1"/>
        </xdr:cNvSpPr>
      </xdr:nvSpPr>
      <xdr:spPr bwMode="auto">
        <a:xfrm>
          <a:off x="6743700" y="563880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28</xdr:row>
      <xdr:rowOff>0</xdr:rowOff>
    </xdr:from>
    <xdr:to>
      <xdr:col>5</xdr:col>
      <xdr:colOff>9525</xdr:colOff>
      <xdr:row>30</xdr:row>
      <xdr:rowOff>28575</xdr:rowOff>
    </xdr:to>
    <xdr:sp macro="" textlink="">
      <xdr:nvSpPr>
        <xdr:cNvPr id="238919" name="Text Box 194">
          <a:extLst>
            <a:ext uri="{FF2B5EF4-FFF2-40B4-BE49-F238E27FC236}">
              <a16:creationId xmlns:a16="http://schemas.microsoft.com/office/drawing/2014/main" id="{05972C0B-7DCE-484F-93C6-28F026081E4E}"/>
            </a:ext>
          </a:extLst>
        </xdr:cNvPr>
        <xdr:cNvSpPr txBox="1">
          <a:spLocks noChangeArrowheads="1"/>
        </xdr:cNvSpPr>
      </xdr:nvSpPr>
      <xdr:spPr bwMode="auto">
        <a:xfrm>
          <a:off x="6743700" y="563880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28</xdr:row>
      <xdr:rowOff>0</xdr:rowOff>
    </xdr:from>
    <xdr:to>
      <xdr:col>5</xdr:col>
      <xdr:colOff>9525</xdr:colOff>
      <xdr:row>30</xdr:row>
      <xdr:rowOff>28575</xdr:rowOff>
    </xdr:to>
    <xdr:sp macro="" textlink="">
      <xdr:nvSpPr>
        <xdr:cNvPr id="238920" name="Text Box 195">
          <a:extLst>
            <a:ext uri="{FF2B5EF4-FFF2-40B4-BE49-F238E27FC236}">
              <a16:creationId xmlns:a16="http://schemas.microsoft.com/office/drawing/2014/main" id="{B184C8C9-F800-4355-AA43-A1C7B70EA99D}"/>
            </a:ext>
          </a:extLst>
        </xdr:cNvPr>
        <xdr:cNvSpPr txBox="1">
          <a:spLocks noChangeArrowheads="1"/>
        </xdr:cNvSpPr>
      </xdr:nvSpPr>
      <xdr:spPr bwMode="auto">
        <a:xfrm>
          <a:off x="6743700" y="563880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9525</xdr:colOff>
      <xdr:row>26</xdr:row>
      <xdr:rowOff>95250</xdr:rowOff>
    </xdr:to>
    <xdr:sp macro="" textlink="">
      <xdr:nvSpPr>
        <xdr:cNvPr id="238921" name="Text Box 193">
          <a:extLst>
            <a:ext uri="{FF2B5EF4-FFF2-40B4-BE49-F238E27FC236}">
              <a16:creationId xmlns:a16="http://schemas.microsoft.com/office/drawing/2014/main" id="{C771B782-FD68-4369-ABE3-F4CFA8B4DE9A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190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9525</xdr:colOff>
      <xdr:row>26</xdr:row>
      <xdr:rowOff>95250</xdr:rowOff>
    </xdr:to>
    <xdr:sp macro="" textlink="">
      <xdr:nvSpPr>
        <xdr:cNvPr id="238922" name="Text Box 194">
          <a:extLst>
            <a:ext uri="{FF2B5EF4-FFF2-40B4-BE49-F238E27FC236}">
              <a16:creationId xmlns:a16="http://schemas.microsoft.com/office/drawing/2014/main" id="{0FEA5C78-1610-46E7-A90A-BAAA79E0B125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190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9525</xdr:colOff>
      <xdr:row>26</xdr:row>
      <xdr:rowOff>95250</xdr:rowOff>
    </xdr:to>
    <xdr:sp macro="" textlink="">
      <xdr:nvSpPr>
        <xdr:cNvPr id="238923" name="Text Box 195">
          <a:extLst>
            <a:ext uri="{FF2B5EF4-FFF2-40B4-BE49-F238E27FC236}">
              <a16:creationId xmlns:a16="http://schemas.microsoft.com/office/drawing/2014/main" id="{0929A79A-FFF0-420C-BD3D-4C653C4EB5EC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190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924" name="Text Box 193">
          <a:extLst>
            <a:ext uri="{FF2B5EF4-FFF2-40B4-BE49-F238E27FC236}">
              <a16:creationId xmlns:a16="http://schemas.microsoft.com/office/drawing/2014/main" id="{7E4D77EA-D0EF-49E6-86A6-59F2C6E884E9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925" name="Text Box 194">
          <a:extLst>
            <a:ext uri="{FF2B5EF4-FFF2-40B4-BE49-F238E27FC236}">
              <a16:creationId xmlns:a16="http://schemas.microsoft.com/office/drawing/2014/main" id="{E2B44CE3-509F-4223-9D0F-59F21C3D432D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9525</xdr:colOff>
      <xdr:row>39</xdr:row>
      <xdr:rowOff>285750</xdr:rowOff>
    </xdr:to>
    <xdr:sp macro="" textlink="">
      <xdr:nvSpPr>
        <xdr:cNvPr id="238926" name="Text Box 195">
          <a:extLst>
            <a:ext uri="{FF2B5EF4-FFF2-40B4-BE49-F238E27FC236}">
              <a16:creationId xmlns:a16="http://schemas.microsoft.com/office/drawing/2014/main" id="{31F0DABC-A6E8-456B-97F8-0FB0EC03C9E7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190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39</xdr:row>
      <xdr:rowOff>219075</xdr:rowOff>
    </xdr:from>
    <xdr:to>
      <xdr:col>5</xdr:col>
      <xdr:colOff>9525</xdr:colOff>
      <xdr:row>41</xdr:row>
      <xdr:rowOff>19050</xdr:rowOff>
    </xdr:to>
    <xdr:sp macro="" textlink="">
      <xdr:nvSpPr>
        <xdr:cNvPr id="238927" name="Text Box 193">
          <a:extLst>
            <a:ext uri="{FF2B5EF4-FFF2-40B4-BE49-F238E27FC236}">
              <a16:creationId xmlns:a16="http://schemas.microsoft.com/office/drawing/2014/main" id="{1C2BBF79-CA88-44E7-8D2D-CD59DE15071A}"/>
            </a:ext>
          </a:extLst>
        </xdr:cNvPr>
        <xdr:cNvSpPr txBox="1">
          <a:spLocks noChangeArrowheads="1"/>
        </xdr:cNvSpPr>
      </xdr:nvSpPr>
      <xdr:spPr bwMode="auto">
        <a:xfrm>
          <a:off x="6743700" y="8410575"/>
          <a:ext cx="190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39</xdr:row>
      <xdr:rowOff>219075</xdr:rowOff>
    </xdr:from>
    <xdr:to>
      <xdr:col>5</xdr:col>
      <xdr:colOff>9525</xdr:colOff>
      <xdr:row>41</xdr:row>
      <xdr:rowOff>19050</xdr:rowOff>
    </xdr:to>
    <xdr:sp macro="" textlink="">
      <xdr:nvSpPr>
        <xdr:cNvPr id="238928" name="Text Box 194">
          <a:extLst>
            <a:ext uri="{FF2B5EF4-FFF2-40B4-BE49-F238E27FC236}">
              <a16:creationId xmlns:a16="http://schemas.microsoft.com/office/drawing/2014/main" id="{34CAA2BD-F3E5-418D-A861-194BF79A2266}"/>
            </a:ext>
          </a:extLst>
        </xdr:cNvPr>
        <xdr:cNvSpPr txBox="1">
          <a:spLocks noChangeArrowheads="1"/>
        </xdr:cNvSpPr>
      </xdr:nvSpPr>
      <xdr:spPr bwMode="auto">
        <a:xfrm>
          <a:off x="6743700" y="8410575"/>
          <a:ext cx="190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39</xdr:row>
      <xdr:rowOff>219075</xdr:rowOff>
    </xdr:from>
    <xdr:to>
      <xdr:col>5</xdr:col>
      <xdr:colOff>9525</xdr:colOff>
      <xdr:row>41</xdr:row>
      <xdr:rowOff>19050</xdr:rowOff>
    </xdr:to>
    <xdr:sp macro="" textlink="">
      <xdr:nvSpPr>
        <xdr:cNvPr id="238929" name="Text Box 195">
          <a:extLst>
            <a:ext uri="{FF2B5EF4-FFF2-40B4-BE49-F238E27FC236}">
              <a16:creationId xmlns:a16="http://schemas.microsoft.com/office/drawing/2014/main" id="{31AB015E-FC0B-437E-857C-DD8DFFFDD102}"/>
            </a:ext>
          </a:extLst>
        </xdr:cNvPr>
        <xdr:cNvSpPr txBox="1">
          <a:spLocks noChangeArrowheads="1"/>
        </xdr:cNvSpPr>
      </xdr:nvSpPr>
      <xdr:spPr bwMode="auto">
        <a:xfrm>
          <a:off x="6743700" y="8410575"/>
          <a:ext cx="190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9525</xdr:colOff>
      <xdr:row>29</xdr:row>
      <xdr:rowOff>28575</xdr:rowOff>
    </xdr:to>
    <xdr:sp macro="" textlink="">
      <xdr:nvSpPr>
        <xdr:cNvPr id="238930" name="Text Box 187">
          <a:extLst>
            <a:ext uri="{FF2B5EF4-FFF2-40B4-BE49-F238E27FC236}">
              <a16:creationId xmlns:a16="http://schemas.microsoft.com/office/drawing/2014/main" id="{3BCBC1C3-3541-4B03-A9E4-817868AA370B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9525</xdr:colOff>
      <xdr:row>29</xdr:row>
      <xdr:rowOff>28575</xdr:rowOff>
    </xdr:to>
    <xdr:sp macro="" textlink="">
      <xdr:nvSpPr>
        <xdr:cNvPr id="238931" name="Text Box 193">
          <a:extLst>
            <a:ext uri="{FF2B5EF4-FFF2-40B4-BE49-F238E27FC236}">
              <a16:creationId xmlns:a16="http://schemas.microsoft.com/office/drawing/2014/main" id="{DCB0483F-2232-4344-A26B-0685F374BAE1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9525</xdr:colOff>
      <xdr:row>29</xdr:row>
      <xdr:rowOff>28575</xdr:rowOff>
    </xdr:to>
    <xdr:sp macro="" textlink="">
      <xdr:nvSpPr>
        <xdr:cNvPr id="238932" name="Text Box 194">
          <a:extLst>
            <a:ext uri="{FF2B5EF4-FFF2-40B4-BE49-F238E27FC236}">
              <a16:creationId xmlns:a16="http://schemas.microsoft.com/office/drawing/2014/main" id="{0C63DFF4-DC93-4563-932A-68A8202AD2B7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9525</xdr:colOff>
      <xdr:row>29</xdr:row>
      <xdr:rowOff>28575</xdr:rowOff>
    </xdr:to>
    <xdr:sp macro="" textlink="">
      <xdr:nvSpPr>
        <xdr:cNvPr id="238933" name="Text Box 195">
          <a:extLst>
            <a:ext uri="{FF2B5EF4-FFF2-40B4-BE49-F238E27FC236}">
              <a16:creationId xmlns:a16="http://schemas.microsoft.com/office/drawing/2014/main" id="{645F871B-BB54-4E2B-849C-6AD5E7258D36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19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9525</xdr:colOff>
      <xdr:row>26</xdr:row>
      <xdr:rowOff>285750</xdr:rowOff>
    </xdr:to>
    <xdr:sp macro="" textlink="">
      <xdr:nvSpPr>
        <xdr:cNvPr id="238934" name="Text Box 193">
          <a:extLst>
            <a:ext uri="{FF2B5EF4-FFF2-40B4-BE49-F238E27FC236}">
              <a16:creationId xmlns:a16="http://schemas.microsoft.com/office/drawing/2014/main" id="{39117AB6-52B5-4A9B-AF58-C5B97B7DD3F7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9525</xdr:colOff>
      <xdr:row>26</xdr:row>
      <xdr:rowOff>285750</xdr:rowOff>
    </xdr:to>
    <xdr:sp macro="" textlink="">
      <xdr:nvSpPr>
        <xdr:cNvPr id="238935" name="Text Box 194">
          <a:extLst>
            <a:ext uri="{FF2B5EF4-FFF2-40B4-BE49-F238E27FC236}">
              <a16:creationId xmlns:a16="http://schemas.microsoft.com/office/drawing/2014/main" id="{52358E1E-DC81-4D8C-902B-994C303AE8C0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9525</xdr:colOff>
      <xdr:row>26</xdr:row>
      <xdr:rowOff>285750</xdr:rowOff>
    </xdr:to>
    <xdr:sp macro="" textlink="">
      <xdr:nvSpPr>
        <xdr:cNvPr id="238936" name="Text Box 195">
          <a:extLst>
            <a:ext uri="{FF2B5EF4-FFF2-40B4-BE49-F238E27FC236}">
              <a16:creationId xmlns:a16="http://schemas.microsoft.com/office/drawing/2014/main" id="{D406830A-FD80-4D81-88CA-986405C5169E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190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57150</xdr:colOff>
      <xdr:row>18</xdr:row>
      <xdr:rowOff>285750</xdr:rowOff>
    </xdr:to>
    <xdr:sp macro="" textlink="">
      <xdr:nvSpPr>
        <xdr:cNvPr id="238937" name="Text Box 215">
          <a:extLst>
            <a:ext uri="{FF2B5EF4-FFF2-40B4-BE49-F238E27FC236}">
              <a16:creationId xmlns:a16="http://schemas.microsoft.com/office/drawing/2014/main" id="{6BA6FB07-7235-478D-A1F9-86908102A628}"/>
            </a:ext>
          </a:extLst>
        </xdr:cNvPr>
        <xdr:cNvSpPr txBox="1">
          <a:spLocks noChangeArrowheads="1"/>
        </xdr:cNvSpPr>
      </xdr:nvSpPr>
      <xdr:spPr bwMode="auto">
        <a:xfrm>
          <a:off x="6429375" y="3286125"/>
          <a:ext cx="5715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38" name="Text Box 1">
          <a:extLst>
            <a:ext uri="{FF2B5EF4-FFF2-40B4-BE49-F238E27FC236}">
              <a16:creationId xmlns:a16="http://schemas.microsoft.com/office/drawing/2014/main" id="{BBD5DD27-B58C-4C06-85D5-E4AED2AA4EB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39" name="Text Box 23">
          <a:extLst>
            <a:ext uri="{FF2B5EF4-FFF2-40B4-BE49-F238E27FC236}">
              <a16:creationId xmlns:a16="http://schemas.microsoft.com/office/drawing/2014/main" id="{F8A1430A-DD7A-454F-B54B-F6952803BF4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0" name="Text Box 24">
          <a:extLst>
            <a:ext uri="{FF2B5EF4-FFF2-40B4-BE49-F238E27FC236}">
              <a16:creationId xmlns:a16="http://schemas.microsoft.com/office/drawing/2014/main" id="{AB4CACF9-71BB-4EFF-910B-F19111AC955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1" name="Text Box 25">
          <a:extLst>
            <a:ext uri="{FF2B5EF4-FFF2-40B4-BE49-F238E27FC236}">
              <a16:creationId xmlns:a16="http://schemas.microsoft.com/office/drawing/2014/main" id="{A98E4D09-7C4A-4182-A9D8-613F9E4F536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2" name="Text Box 26">
          <a:extLst>
            <a:ext uri="{FF2B5EF4-FFF2-40B4-BE49-F238E27FC236}">
              <a16:creationId xmlns:a16="http://schemas.microsoft.com/office/drawing/2014/main" id="{E266D451-1F8E-4611-BF34-C4BCACA753A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3" name="Text Box 27">
          <a:extLst>
            <a:ext uri="{FF2B5EF4-FFF2-40B4-BE49-F238E27FC236}">
              <a16:creationId xmlns:a16="http://schemas.microsoft.com/office/drawing/2014/main" id="{4B0D7237-ABE4-4D32-BB3B-CCFCB7F6A9E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4" name="Text Box 28">
          <a:extLst>
            <a:ext uri="{FF2B5EF4-FFF2-40B4-BE49-F238E27FC236}">
              <a16:creationId xmlns:a16="http://schemas.microsoft.com/office/drawing/2014/main" id="{B71543CD-46E6-4458-876C-6F0F54E5A00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5" name="Text Box 29">
          <a:extLst>
            <a:ext uri="{FF2B5EF4-FFF2-40B4-BE49-F238E27FC236}">
              <a16:creationId xmlns:a16="http://schemas.microsoft.com/office/drawing/2014/main" id="{1DF26F65-A7EF-44DF-805C-BEF80CD6987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6" name="Text Box 30">
          <a:extLst>
            <a:ext uri="{FF2B5EF4-FFF2-40B4-BE49-F238E27FC236}">
              <a16:creationId xmlns:a16="http://schemas.microsoft.com/office/drawing/2014/main" id="{8ED3DBF2-7EA2-46A0-9AFC-BA3EE5291E6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7" name="Text Box 31">
          <a:extLst>
            <a:ext uri="{FF2B5EF4-FFF2-40B4-BE49-F238E27FC236}">
              <a16:creationId xmlns:a16="http://schemas.microsoft.com/office/drawing/2014/main" id="{8F5F4DD5-5A4E-48C7-B3F7-BBB1399CED9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8" name="Text Box 32">
          <a:extLst>
            <a:ext uri="{FF2B5EF4-FFF2-40B4-BE49-F238E27FC236}">
              <a16:creationId xmlns:a16="http://schemas.microsoft.com/office/drawing/2014/main" id="{167BEE4C-1D9E-4F48-B53E-05277E10F3D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49" name="Text Box 33">
          <a:extLst>
            <a:ext uri="{FF2B5EF4-FFF2-40B4-BE49-F238E27FC236}">
              <a16:creationId xmlns:a16="http://schemas.microsoft.com/office/drawing/2014/main" id="{3F37E9D9-0611-47CF-99CC-DE9C190ECDF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0" name="Text Box 34">
          <a:extLst>
            <a:ext uri="{FF2B5EF4-FFF2-40B4-BE49-F238E27FC236}">
              <a16:creationId xmlns:a16="http://schemas.microsoft.com/office/drawing/2014/main" id="{76EEC5DA-69D6-4F5F-9642-584867BF422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1" name="Text Box 35">
          <a:extLst>
            <a:ext uri="{FF2B5EF4-FFF2-40B4-BE49-F238E27FC236}">
              <a16:creationId xmlns:a16="http://schemas.microsoft.com/office/drawing/2014/main" id="{D9AB7359-E424-446A-A373-AB698CEDDCB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2" name="Text Box 36">
          <a:extLst>
            <a:ext uri="{FF2B5EF4-FFF2-40B4-BE49-F238E27FC236}">
              <a16:creationId xmlns:a16="http://schemas.microsoft.com/office/drawing/2014/main" id="{E1A8888A-4AB1-4C9E-9C14-308F161C51B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3" name="Text Box 37">
          <a:extLst>
            <a:ext uri="{FF2B5EF4-FFF2-40B4-BE49-F238E27FC236}">
              <a16:creationId xmlns:a16="http://schemas.microsoft.com/office/drawing/2014/main" id="{44BF049B-9CAD-427B-BB9F-E8DEC8842BF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4" name="Text Box 38">
          <a:extLst>
            <a:ext uri="{FF2B5EF4-FFF2-40B4-BE49-F238E27FC236}">
              <a16:creationId xmlns:a16="http://schemas.microsoft.com/office/drawing/2014/main" id="{0772BABB-E07B-45FD-BC99-D7E355441A3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5" name="Text Box 39">
          <a:extLst>
            <a:ext uri="{FF2B5EF4-FFF2-40B4-BE49-F238E27FC236}">
              <a16:creationId xmlns:a16="http://schemas.microsoft.com/office/drawing/2014/main" id="{D58D485C-C494-4419-AFE8-7D53DE578B7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6" name="Text Box 40">
          <a:extLst>
            <a:ext uri="{FF2B5EF4-FFF2-40B4-BE49-F238E27FC236}">
              <a16:creationId xmlns:a16="http://schemas.microsoft.com/office/drawing/2014/main" id="{CA92D8CD-41B7-465C-948E-4FE7BC726FF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7" name="Text Box 41">
          <a:extLst>
            <a:ext uri="{FF2B5EF4-FFF2-40B4-BE49-F238E27FC236}">
              <a16:creationId xmlns:a16="http://schemas.microsoft.com/office/drawing/2014/main" id="{F4774848-D8D3-4419-AB8B-912529C540A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8" name="Text Box 42">
          <a:extLst>
            <a:ext uri="{FF2B5EF4-FFF2-40B4-BE49-F238E27FC236}">
              <a16:creationId xmlns:a16="http://schemas.microsoft.com/office/drawing/2014/main" id="{A4EF6453-BD65-4CE1-B067-AD6FC4E6C9B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59" name="Text Box 43">
          <a:extLst>
            <a:ext uri="{FF2B5EF4-FFF2-40B4-BE49-F238E27FC236}">
              <a16:creationId xmlns:a16="http://schemas.microsoft.com/office/drawing/2014/main" id="{0461554E-1190-4590-83C9-C0CCB6C59B4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0" name="Text Box 44">
          <a:extLst>
            <a:ext uri="{FF2B5EF4-FFF2-40B4-BE49-F238E27FC236}">
              <a16:creationId xmlns:a16="http://schemas.microsoft.com/office/drawing/2014/main" id="{DE6B14E7-0A3D-4249-97DD-DE4E7BEEBEA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1" name="Text Box 45">
          <a:extLst>
            <a:ext uri="{FF2B5EF4-FFF2-40B4-BE49-F238E27FC236}">
              <a16:creationId xmlns:a16="http://schemas.microsoft.com/office/drawing/2014/main" id="{F171BD73-2799-47F1-AE1C-038BF953E32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2" name="Text Box 46">
          <a:extLst>
            <a:ext uri="{FF2B5EF4-FFF2-40B4-BE49-F238E27FC236}">
              <a16:creationId xmlns:a16="http://schemas.microsoft.com/office/drawing/2014/main" id="{A60619A2-06FA-4E7A-8CF3-35E31AEDCC7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3" name="Text Box 47">
          <a:extLst>
            <a:ext uri="{FF2B5EF4-FFF2-40B4-BE49-F238E27FC236}">
              <a16:creationId xmlns:a16="http://schemas.microsoft.com/office/drawing/2014/main" id="{9A73AAAE-2D89-4354-B1AC-80B4EE4CA71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4" name="Text Box 48">
          <a:extLst>
            <a:ext uri="{FF2B5EF4-FFF2-40B4-BE49-F238E27FC236}">
              <a16:creationId xmlns:a16="http://schemas.microsoft.com/office/drawing/2014/main" id="{340C3D9E-84CB-44FB-AB47-F573148BEDF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5" name="Text Box 49">
          <a:extLst>
            <a:ext uri="{FF2B5EF4-FFF2-40B4-BE49-F238E27FC236}">
              <a16:creationId xmlns:a16="http://schemas.microsoft.com/office/drawing/2014/main" id="{B8F8C26F-9F5D-46E5-AC2F-6518F944BFD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6" name="Text Box 50">
          <a:extLst>
            <a:ext uri="{FF2B5EF4-FFF2-40B4-BE49-F238E27FC236}">
              <a16:creationId xmlns:a16="http://schemas.microsoft.com/office/drawing/2014/main" id="{D43BE461-83B1-4970-B768-F0FA79A7CD7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7" name="Text Box 51">
          <a:extLst>
            <a:ext uri="{FF2B5EF4-FFF2-40B4-BE49-F238E27FC236}">
              <a16:creationId xmlns:a16="http://schemas.microsoft.com/office/drawing/2014/main" id="{325DB254-BEA4-4ED0-BF4C-4BF089D6F4B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8" name="Text Box 52">
          <a:extLst>
            <a:ext uri="{FF2B5EF4-FFF2-40B4-BE49-F238E27FC236}">
              <a16:creationId xmlns:a16="http://schemas.microsoft.com/office/drawing/2014/main" id="{F92E8E34-5496-49C0-8EE8-BB656EE3ABD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69" name="Text Box 53">
          <a:extLst>
            <a:ext uri="{FF2B5EF4-FFF2-40B4-BE49-F238E27FC236}">
              <a16:creationId xmlns:a16="http://schemas.microsoft.com/office/drawing/2014/main" id="{23B668C8-1AA8-4A36-816D-B944D639DAE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0" name="Text Box 54">
          <a:extLst>
            <a:ext uri="{FF2B5EF4-FFF2-40B4-BE49-F238E27FC236}">
              <a16:creationId xmlns:a16="http://schemas.microsoft.com/office/drawing/2014/main" id="{ECEEA968-2A99-44AF-95D3-489968C35DE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1" name="Text Box 55">
          <a:extLst>
            <a:ext uri="{FF2B5EF4-FFF2-40B4-BE49-F238E27FC236}">
              <a16:creationId xmlns:a16="http://schemas.microsoft.com/office/drawing/2014/main" id="{DA3603D9-DEDC-4947-BA89-B46FD6FF8B4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2" name="Text Box 56">
          <a:extLst>
            <a:ext uri="{FF2B5EF4-FFF2-40B4-BE49-F238E27FC236}">
              <a16:creationId xmlns:a16="http://schemas.microsoft.com/office/drawing/2014/main" id="{15A4D567-6356-4CDB-B6DA-38833441E47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3" name="Text Box 57">
          <a:extLst>
            <a:ext uri="{FF2B5EF4-FFF2-40B4-BE49-F238E27FC236}">
              <a16:creationId xmlns:a16="http://schemas.microsoft.com/office/drawing/2014/main" id="{6DB9167F-FD9B-4376-BAC9-2EF65C9BCCB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4" name="Text Box 58">
          <a:extLst>
            <a:ext uri="{FF2B5EF4-FFF2-40B4-BE49-F238E27FC236}">
              <a16:creationId xmlns:a16="http://schemas.microsoft.com/office/drawing/2014/main" id="{049CCD57-3F9D-4066-958B-DFF427645BB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5" name="Text Box 59">
          <a:extLst>
            <a:ext uri="{FF2B5EF4-FFF2-40B4-BE49-F238E27FC236}">
              <a16:creationId xmlns:a16="http://schemas.microsoft.com/office/drawing/2014/main" id="{639AE551-A5E8-47A5-B268-F3E2882B57F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6" name="Text Box 60">
          <a:extLst>
            <a:ext uri="{FF2B5EF4-FFF2-40B4-BE49-F238E27FC236}">
              <a16:creationId xmlns:a16="http://schemas.microsoft.com/office/drawing/2014/main" id="{E9020D98-F658-4BEB-A3F9-8AC26E6FF25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7" name="Text Box 61">
          <a:extLst>
            <a:ext uri="{FF2B5EF4-FFF2-40B4-BE49-F238E27FC236}">
              <a16:creationId xmlns:a16="http://schemas.microsoft.com/office/drawing/2014/main" id="{33F3C9D8-BF6D-4EC6-ABF7-89B50018B09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8" name="Text Box 62">
          <a:extLst>
            <a:ext uri="{FF2B5EF4-FFF2-40B4-BE49-F238E27FC236}">
              <a16:creationId xmlns:a16="http://schemas.microsoft.com/office/drawing/2014/main" id="{9E7220B9-B292-4BEF-B42F-C1B19684453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79" name="Text Box 63">
          <a:extLst>
            <a:ext uri="{FF2B5EF4-FFF2-40B4-BE49-F238E27FC236}">
              <a16:creationId xmlns:a16="http://schemas.microsoft.com/office/drawing/2014/main" id="{2A262869-B486-4C64-87B1-F791A49EE3A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80" name="Text Box 64">
          <a:extLst>
            <a:ext uri="{FF2B5EF4-FFF2-40B4-BE49-F238E27FC236}">
              <a16:creationId xmlns:a16="http://schemas.microsoft.com/office/drawing/2014/main" id="{802F4C8B-4946-43B9-BC7D-93E5842C5F3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81" name="Text Box 65">
          <a:extLst>
            <a:ext uri="{FF2B5EF4-FFF2-40B4-BE49-F238E27FC236}">
              <a16:creationId xmlns:a16="http://schemas.microsoft.com/office/drawing/2014/main" id="{D28E4BA5-71C1-4D23-AB2C-E76D8AFA7E3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82" name="Text Box 66">
          <a:extLst>
            <a:ext uri="{FF2B5EF4-FFF2-40B4-BE49-F238E27FC236}">
              <a16:creationId xmlns:a16="http://schemas.microsoft.com/office/drawing/2014/main" id="{3668E52E-A343-49C8-ACC0-03DAAAC96FC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83" name="Text Box 67">
          <a:extLst>
            <a:ext uri="{FF2B5EF4-FFF2-40B4-BE49-F238E27FC236}">
              <a16:creationId xmlns:a16="http://schemas.microsoft.com/office/drawing/2014/main" id="{39801B4B-ACE8-4EA1-BD2D-6D2E23CDF47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84" name="Text Box 68">
          <a:extLst>
            <a:ext uri="{FF2B5EF4-FFF2-40B4-BE49-F238E27FC236}">
              <a16:creationId xmlns:a16="http://schemas.microsoft.com/office/drawing/2014/main" id="{46629F82-2C49-4738-947B-B2046B4CC31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85" name="Text Box 69">
          <a:extLst>
            <a:ext uri="{FF2B5EF4-FFF2-40B4-BE49-F238E27FC236}">
              <a16:creationId xmlns:a16="http://schemas.microsoft.com/office/drawing/2014/main" id="{82030808-0A35-422E-BCCC-3E748112768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86" name="Text Box 70">
          <a:extLst>
            <a:ext uri="{FF2B5EF4-FFF2-40B4-BE49-F238E27FC236}">
              <a16:creationId xmlns:a16="http://schemas.microsoft.com/office/drawing/2014/main" id="{DDBCBA5F-5DED-42B1-BB67-9633AAE6EFC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42</xdr:row>
      <xdr:rowOff>85725</xdr:rowOff>
    </xdr:from>
    <xdr:to>
      <xdr:col>5</xdr:col>
      <xdr:colOff>85725</xdr:colOff>
      <xdr:row>43</xdr:row>
      <xdr:rowOff>85725</xdr:rowOff>
    </xdr:to>
    <xdr:sp macro="" textlink="">
      <xdr:nvSpPr>
        <xdr:cNvPr id="238987" name="Text Box 71">
          <a:extLst>
            <a:ext uri="{FF2B5EF4-FFF2-40B4-BE49-F238E27FC236}">
              <a16:creationId xmlns:a16="http://schemas.microsoft.com/office/drawing/2014/main" id="{8A15D76C-8F46-4965-8332-2C63F92CCB2D}"/>
            </a:ext>
          </a:extLst>
        </xdr:cNvPr>
        <xdr:cNvSpPr txBox="1">
          <a:spLocks noChangeArrowheads="1"/>
        </xdr:cNvSpPr>
      </xdr:nvSpPr>
      <xdr:spPr bwMode="auto">
        <a:xfrm>
          <a:off x="6762750" y="8982075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88" name="Text Box 72">
          <a:extLst>
            <a:ext uri="{FF2B5EF4-FFF2-40B4-BE49-F238E27FC236}">
              <a16:creationId xmlns:a16="http://schemas.microsoft.com/office/drawing/2014/main" id="{9F2D752D-F6E9-47DE-9388-E9C4C072501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89" name="Text Box 73">
          <a:extLst>
            <a:ext uri="{FF2B5EF4-FFF2-40B4-BE49-F238E27FC236}">
              <a16:creationId xmlns:a16="http://schemas.microsoft.com/office/drawing/2014/main" id="{66B09DB9-0EEC-452D-9CBB-50B9B9E441A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90" name="Text Box 77">
          <a:extLst>
            <a:ext uri="{FF2B5EF4-FFF2-40B4-BE49-F238E27FC236}">
              <a16:creationId xmlns:a16="http://schemas.microsoft.com/office/drawing/2014/main" id="{9E464124-B789-4093-8166-B9F8B3E6501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91" name="Text Box 78">
          <a:extLst>
            <a:ext uri="{FF2B5EF4-FFF2-40B4-BE49-F238E27FC236}">
              <a16:creationId xmlns:a16="http://schemas.microsoft.com/office/drawing/2014/main" id="{78D0AB40-6963-453F-AEC2-CB21014870C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92" name="Text Box 79">
          <a:extLst>
            <a:ext uri="{FF2B5EF4-FFF2-40B4-BE49-F238E27FC236}">
              <a16:creationId xmlns:a16="http://schemas.microsoft.com/office/drawing/2014/main" id="{6E4D434E-75E1-49E1-9DBD-B0A772D5840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93" name="Text Box 80">
          <a:extLst>
            <a:ext uri="{FF2B5EF4-FFF2-40B4-BE49-F238E27FC236}">
              <a16:creationId xmlns:a16="http://schemas.microsoft.com/office/drawing/2014/main" id="{9931EC1E-EC97-4B1C-8416-DE0A87324A4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94" name="Text Box 81">
          <a:extLst>
            <a:ext uri="{FF2B5EF4-FFF2-40B4-BE49-F238E27FC236}">
              <a16:creationId xmlns:a16="http://schemas.microsoft.com/office/drawing/2014/main" id="{B1ACBC1B-79EF-4BFD-8D9A-A4B318D0609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95" name="Text Box 82">
          <a:extLst>
            <a:ext uri="{FF2B5EF4-FFF2-40B4-BE49-F238E27FC236}">
              <a16:creationId xmlns:a16="http://schemas.microsoft.com/office/drawing/2014/main" id="{4B2D7E57-A9A0-499E-8FA8-8C2AAA34373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42</xdr:row>
      <xdr:rowOff>85725</xdr:rowOff>
    </xdr:from>
    <xdr:to>
      <xdr:col>4</xdr:col>
      <xdr:colOff>295275</xdr:colOff>
      <xdr:row>43</xdr:row>
      <xdr:rowOff>85725</xdr:rowOff>
    </xdr:to>
    <xdr:sp macro="" textlink="">
      <xdr:nvSpPr>
        <xdr:cNvPr id="238996" name="Text Box 83">
          <a:extLst>
            <a:ext uri="{FF2B5EF4-FFF2-40B4-BE49-F238E27FC236}">
              <a16:creationId xmlns:a16="http://schemas.microsoft.com/office/drawing/2014/main" id="{9261A79F-FD71-4D43-9358-3C61AC80DDE2}"/>
            </a:ext>
          </a:extLst>
        </xdr:cNvPr>
        <xdr:cNvSpPr txBox="1">
          <a:spLocks noChangeArrowheads="1"/>
        </xdr:cNvSpPr>
      </xdr:nvSpPr>
      <xdr:spPr bwMode="auto">
        <a:xfrm>
          <a:off x="6686550" y="8982075"/>
          <a:ext cx="381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97" name="Text Box 84">
          <a:extLst>
            <a:ext uri="{FF2B5EF4-FFF2-40B4-BE49-F238E27FC236}">
              <a16:creationId xmlns:a16="http://schemas.microsoft.com/office/drawing/2014/main" id="{D1EA9F12-1B3B-47B9-B92C-FF64311CC17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98" name="Text Box 85">
          <a:extLst>
            <a:ext uri="{FF2B5EF4-FFF2-40B4-BE49-F238E27FC236}">
              <a16:creationId xmlns:a16="http://schemas.microsoft.com/office/drawing/2014/main" id="{DE14EB02-C8FC-4E87-B4DA-FD729CA9212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8999" name="Text Box 89">
          <a:extLst>
            <a:ext uri="{FF2B5EF4-FFF2-40B4-BE49-F238E27FC236}">
              <a16:creationId xmlns:a16="http://schemas.microsoft.com/office/drawing/2014/main" id="{A23DA631-3ED7-42AE-B8AD-234CD20FA66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0" name="Text Box 90">
          <a:extLst>
            <a:ext uri="{FF2B5EF4-FFF2-40B4-BE49-F238E27FC236}">
              <a16:creationId xmlns:a16="http://schemas.microsoft.com/office/drawing/2014/main" id="{8ABFB145-264A-421E-BBCC-5B0A5A71079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1" name="Text Box 91">
          <a:extLst>
            <a:ext uri="{FF2B5EF4-FFF2-40B4-BE49-F238E27FC236}">
              <a16:creationId xmlns:a16="http://schemas.microsoft.com/office/drawing/2014/main" id="{D3829D75-14A4-422E-AF4E-59990794462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2" name="Text Box 92">
          <a:extLst>
            <a:ext uri="{FF2B5EF4-FFF2-40B4-BE49-F238E27FC236}">
              <a16:creationId xmlns:a16="http://schemas.microsoft.com/office/drawing/2014/main" id="{705BF6E9-0C98-4AF9-8B47-53A6306333C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3" name="Text Box 93">
          <a:extLst>
            <a:ext uri="{FF2B5EF4-FFF2-40B4-BE49-F238E27FC236}">
              <a16:creationId xmlns:a16="http://schemas.microsoft.com/office/drawing/2014/main" id="{78BB00DB-3B69-4806-816E-9B8A382AFA1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4" name="Text Box 94">
          <a:extLst>
            <a:ext uri="{FF2B5EF4-FFF2-40B4-BE49-F238E27FC236}">
              <a16:creationId xmlns:a16="http://schemas.microsoft.com/office/drawing/2014/main" id="{8C8875D2-AD15-4007-93C6-48299EEFA40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5" name="Text Box 95">
          <a:extLst>
            <a:ext uri="{FF2B5EF4-FFF2-40B4-BE49-F238E27FC236}">
              <a16:creationId xmlns:a16="http://schemas.microsoft.com/office/drawing/2014/main" id="{058D71F5-8B46-409F-B724-0AF485C91A5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6" name="Text Box 96">
          <a:extLst>
            <a:ext uri="{FF2B5EF4-FFF2-40B4-BE49-F238E27FC236}">
              <a16:creationId xmlns:a16="http://schemas.microsoft.com/office/drawing/2014/main" id="{5FA757E7-B33A-4EA0-B9FD-A2A7B5468B6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7" name="Text Box 97">
          <a:extLst>
            <a:ext uri="{FF2B5EF4-FFF2-40B4-BE49-F238E27FC236}">
              <a16:creationId xmlns:a16="http://schemas.microsoft.com/office/drawing/2014/main" id="{21D576D9-99DC-4256-AF05-BC6FCD93571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8" name="Text Box 101">
          <a:extLst>
            <a:ext uri="{FF2B5EF4-FFF2-40B4-BE49-F238E27FC236}">
              <a16:creationId xmlns:a16="http://schemas.microsoft.com/office/drawing/2014/main" id="{8F0CB745-7F10-4EF2-BF15-F0A6E13EB59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09" name="Text Box 102">
          <a:extLst>
            <a:ext uri="{FF2B5EF4-FFF2-40B4-BE49-F238E27FC236}">
              <a16:creationId xmlns:a16="http://schemas.microsoft.com/office/drawing/2014/main" id="{123F06F2-A5A3-45B6-A2E1-BABFD52A6DB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0" name="Text Box 103">
          <a:extLst>
            <a:ext uri="{FF2B5EF4-FFF2-40B4-BE49-F238E27FC236}">
              <a16:creationId xmlns:a16="http://schemas.microsoft.com/office/drawing/2014/main" id="{0C57B818-34EB-4BD2-9E78-931D817D9AE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1" name="Text Box 104">
          <a:extLst>
            <a:ext uri="{FF2B5EF4-FFF2-40B4-BE49-F238E27FC236}">
              <a16:creationId xmlns:a16="http://schemas.microsoft.com/office/drawing/2014/main" id="{35CB9F6C-C362-4471-B57C-76344CA2F15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2" name="Text Box 105">
          <a:extLst>
            <a:ext uri="{FF2B5EF4-FFF2-40B4-BE49-F238E27FC236}">
              <a16:creationId xmlns:a16="http://schemas.microsoft.com/office/drawing/2014/main" id="{8772DE5A-D797-4D31-9727-BADBC323C3C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3" name="Text Box 106">
          <a:extLst>
            <a:ext uri="{FF2B5EF4-FFF2-40B4-BE49-F238E27FC236}">
              <a16:creationId xmlns:a16="http://schemas.microsoft.com/office/drawing/2014/main" id="{62931BDA-04EB-41B6-A66D-C6FDB110017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4" name="Text Box 107">
          <a:extLst>
            <a:ext uri="{FF2B5EF4-FFF2-40B4-BE49-F238E27FC236}">
              <a16:creationId xmlns:a16="http://schemas.microsoft.com/office/drawing/2014/main" id="{D726F712-BA2F-4553-AD44-77FF61F423F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5" name="Text Box 108">
          <a:extLst>
            <a:ext uri="{FF2B5EF4-FFF2-40B4-BE49-F238E27FC236}">
              <a16:creationId xmlns:a16="http://schemas.microsoft.com/office/drawing/2014/main" id="{0738CABA-867B-4D51-9D24-12B6FA0868E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6" name="Text Box 109">
          <a:extLst>
            <a:ext uri="{FF2B5EF4-FFF2-40B4-BE49-F238E27FC236}">
              <a16:creationId xmlns:a16="http://schemas.microsoft.com/office/drawing/2014/main" id="{0B7545FD-8944-4BF4-A0C0-EAA669E8A26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7" name="Text Box 113">
          <a:extLst>
            <a:ext uri="{FF2B5EF4-FFF2-40B4-BE49-F238E27FC236}">
              <a16:creationId xmlns:a16="http://schemas.microsoft.com/office/drawing/2014/main" id="{20D751B9-AD32-4585-BFB2-DFE29CBA169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8" name="Text Box 114">
          <a:extLst>
            <a:ext uri="{FF2B5EF4-FFF2-40B4-BE49-F238E27FC236}">
              <a16:creationId xmlns:a16="http://schemas.microsoft.com/office/drawing/2014/main" id="{51F7925F-4CDB-4D70-9D79-3BC6BAC887C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19" name="Text Box 115">
          <a:extLst>
            <a:ext uri="{FF2B5EF4-FFF2-40B4-BE49-F238E27FC236}">
              <a16:creationId xmlns:a16="http://schemas.microsoft.com/office/drawing/2014/main" id="{293F6F7F-49E9-4834-BED7-8926373F36A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0" name="Text Box 116">
          <a:extLst>
            <a:ext uri="{FF2B5EF4-FFF2-40B4-BE49-F238E27FC236}">
              <a16:creationId xmlns:a16="http://schemas.microsoft.com/office/drawing/2014/main" id="{D604874D-C574-4F90-8CAE-98560AA4B52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1" name="Text Box 117">
          <a:extLst>
            <a:ext uri="{FF2B5EF4-FFF2-40B4-BE49-F238E27FC236}">
              <a16:creationId xmlns:a16="http://schemas.microsoft.com/office/drawing/2014/main" id="{167B710B-7305-4DC3-8D1D-5FBBF27BD0C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2" name="Text Box 118">
          <a:extLst>
            <a:ext uri="{FF2B5EF4-FFF2-40B4-BE49-F238E27FC236}">
              <a16:creationId xmlns:a16="http://schemas.microsoft.com/office/drawing/2014/main" id="{1F2C3B36-E534-4638-9793-790E37F5556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3" name="Text Box 119">
          <a:extLst>
            <a:ext uri="{FF2B5EF4-FFF2-40B4-BE49-F238E27FC236}">
              <a16:creationId xmlns:a16="http://schemas.microsoft.com/office/drawing/2014/main" id="{4C2D224B-8F61-4FD7-99D4-18641D2B430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4" name="Text Box 120">
          <a:extLst>
            <a:ext uri="{FF2B5EF4-FFF2-40B4-BE49-F238E27FC236}">
              <a16:creationId xmlns:a16="http://schemas.microsoft.com/office/drawing/2014/main" id="{EB751655-81A5-48C3-A501-1CE86876CCB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5" name="Text Box 121">
          <a:extLst>
            <a:ext uri="{FF2B5EF4-FFF2-40B4-BE49-F238E27FC236}">
              <a16:creationId xmlns:a16="http://schemas.microsoft.com/office/drawing/2014/main" id="{AB19084A-EA7D-474B-96D3-40C4406AFE1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6" name="Text Box 125">
          <a:extLst>
            <a:ext uri="{FF2B5EF4-FFF2-40B4-BE49-F238E27FC236}">
              <a16:creationId xmlns:a16="http://schemas.microsoft.com/office/drawing/2014/main" id="{AC89A7EC-8621-4C83-BCB6-CA03CDBE363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7" name="Text Box 126">
          <a:extLst>
            <a:ext uri="{FF2B5EF4-FFF2-40B4-BE49-F238E27FC236}">
              <a16:creationId xmlns:a16="http://schemas.microsoft.com/office/drawing/2014/main" id="{F3CE4923-AE43-470D-A7E7-8EBCDB0C3A6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8" name="Text Box 127">
          <a:extLst>
            <a:ext uri="{FF2B5EF4-FFF2-40B4-BE49-F238E27FC236}">
              <a16:creationId xmlns:a16="http://schemas.microsoft.com/office/drawing/2014/main" id="{83B3A522-8B90-4C93-82D4-FE538C51530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29" name="Text Box 128">
          <a:extLst>
            <a:ext uri="{FF2B5EF4-FFF2-40B4-BE49-F238E27FC236}">
              <a16:creationId xmlns:a16="http://schemas.microsoft.com/office/drawing/2014/main" id="{7A25FD8E-C01F-4F50-ADF7-A77E7C6C32D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0" name="Text Box 129">
          <a:extLst>
            <a:ext uri="{FF2B5EF4-FFF2-40B4-BE49-F238E27FC236}">
              <a16:creationId xmlns:a16="http://schemas.microsoft.com/office/drawing/2014/main" id="{BF0C1512-B1C6-4963-A4BB-EFFF0CF790A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1" name="Text Box 130">
          <a:extLst>
            <a:ext uri="{FF2B5EF4-FFF2-40B4-BE49-F238E27FC236}">
              <a16:creationId xmlns:a16="http://schemas.microsoft.com/office/drawing/2014/main" id="{E8F29DB9-30E9-4C58-A3B4-E506714848E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2" name="Text Box 131">
          <a:extLst>
            <a:ext uri="{FF2B5EF4-FFF2-40B4-BE49-F238E27FC236}">
              <a16:creationId xmlns:a16="http://schemas.microsoft.com/office/drawing/2014/main" id="{926B2C1D-07DA-4FE4-9A9E-7289545499B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3" name="Text Box 132">
          <a:extLst>
            <a:ext uri="{FF2B5EF4-FFF2-40B4-BE49-F238E27FC236}">
              <a16:creationId xmlns:a16="http://schemas.microsoft.com/office/drawing/2014/main" id="{0FB463A4-130F-4D9B-8674-F9EE305E878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4" name="Text Box 133">
          <a:extLst>
            <a:ext uri="{FF2B5EF4-FFF2-40B4-BE49-F238E27FC236}">
              <a16:creationId xmlns:a16="http://schemas.microsoft.com/office/drawing/2014/main" id="{711D4386-F106-4D4D-9A22-2FDC447A289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5" name="Text Box 137">
          <a:extLst>
            <a:ext uri="{FF2B5EF4-FFF2-40B4-BE49-F238E27FC236}">
              <a16:creationId xmlns:a16="http://schemas.microsoft.com/office/drawing/2014/main" id="{CF8AF092-D00A-408D-A430-932AAC1C76A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6" name="Text Box 138">
          <a:extLst>
            <a:ext uri="{FF2B5EF4-FFF2-40B4-BE49-F238E27FC236}">
              <a16:creationId xmlns:a16="http://schemas.microsoft.com/office/drawing/2014/main" id="{09088F07-80CE-473B-8E6A-5EB83D31B23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7" name="Text Box 139">
          <a:extLst>
            <a:ext uri="{FF2B5EF4-FFF2-40B4-BE49-F238E27FC236}">
              <a16:creationId xmlns:a16="http://schemas.microsoft.com/office/drawing/2014/main" id="{E9E11459-CB6A-4B1D-8C3E-4396ADB25B1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8" name="Text Box 140">
          <a:extLst>
            <a:ext uri="{FF2B5EF4-FFF2-40B4-BE49-F238E27FC236}">
              <a16:creationId xmlns:a16="http://schemas.microsoft.com/office/drawing/2014/main" id="{C5A12778-1D87-4FFE-B3AC-F3D321A85C2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39" name="Text Box 141">
          <a:extLst>
            <a:ext uri="{FF2B5EF4-FFF2-40B4-BE49-F238E27FC236}">
              <a16:creationId xmlns:a16="http://schemas.microsoft.com/office/drawing/2014/main" id="{025E99F9-1B5A-4C08-A769-4D40102F5ED1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0" name="Text Box 142">
          <a:extLst>
            <a:ext uri="{FF2B5EF4-FFF2-40B4-BE49-F238E27FC236}">
              <a16:creationId xmlns:a16="http://schemas.microsoft.com/office/drawing/2014/main" id="{BE40D8D6-8A39-4FD6-B10D-05ECF2B363C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1" name="Text Box 143">
          <a:extLst>
            <a:ext uri="{FF2B5EF4-FFF2-40B4-BE49-F238E27FC236}">
              <a16:creationId xmlns:a16="http://schemas.microsoft.com/office/drawing/2014/main" id="{E04D032D-A8EE-4194-970E-ECE21E65954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2" name="Text Box 144">
          <a:extLst>
            <a:ext uri="{FF2B5EF4-FFF2-40B4-BE49-F238E27FC236}">
              <a16:creationId xmlns:a16="http://schemas.microsoft.com/office/drawing/2014/main" id="{8B183076-5FFA-408A-B5D8-BB02526BF5C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3" name="Text Box 145">
          <a:extLst>
            <a:ext uri="{FF2B5EF4-FFF2-40B4-BE49-F238E27FC236}">
              <a16:creationId xmlns:a16="http://schemas.microsoft.com/office/drawing/2014/main" id="{1C79D547-E105-4703-B045-BBF447C5007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4" name="Text Box 149">
          <a:extLst>
            <a:ext uri="{FF2B5EF4-FFF2-40B4-BE49-F238E27FC236}">
              <a16:creationId xmlns:a16="http://schemas.microsoft.com/office/drawing/2014/main" id="{D754E7AD-500D-40E7-8EAC-1DB0C8B23A5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5" name="Text Box 150">
          <a:extLst>
            <a:ext uri="{FF2B5EF4-FFF2-40B4-BE49-F238E27FC236}">
              <a16:creationId xmlns:a16="http://schemas.microsoft.com/office/drawing/2014/main" id="{6B75F8F5-110B-46D2-9638-23F0E645650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6" name="Text Box 151">
          <a:extLst>
            <a:ext uri="{FF2B5EF4-FFF2-40B4-BE49-F238E27FC236}">
              <a16:creationId xmlns:a16="http://schemas.microsoft.com/office/drawing/2014/main" id="{306BEB84-F195-4AA2-A8EF-7C349674B26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7" name="Text Box 152">
          <a:extLst>
            <a:ext uri="{FF2B5EF4-FFF2-40B4-BE49-F238E27FC236}">
              <a16:creationId xmlns:a16="http://schemas.microsoft.com/office/drawing/2014/main" id="{F3734819-255E-4081-A3ED-4A57212FA9D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8" name="Text Box 153">
          <a:extLst>
            <a:ext uri="{FF2B5EF4-FFF2-40B4-BE49-F238E27FC236}">
              <a16:creationId xmlns:a16="http://schemas.microsoft.com/office/drawing/2014/main" id="{7CC8EEED-D917-4F1A-AF74-7E641330790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49" name="Text Box 154">
          <a:extLst>
            <a:ext uri="{FF2B5EF4-FFF2-40B4-BE49-F238E27FC236}">
              <a16:creationId xmlns:a16="http://schemas.microsoft.com/office/drawing/2014/main" id="{9DAF3336-863E-419F-A64C-161DA7EC83B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0" name="Text Box 155">
          <a:extLst>
            <a:ext uri="{FF2B5EF4-FFF2-40B4-BE49-F238E27FC236}">
              <a16:creationId xmlns:a16="http://schemas.microsoft.com/office/drawing/2014/main" id="{55E8C262-5EC5-4C75-8EA8-8D373F78EA9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1" name="Text Box 156">
          <a:extLst>
            <a:ext uri="{FF2B5EF4-FFF2-40B4-BE49-F238E27FC236}">
              <a16:creationId xmlns:a16="http://schemas.microsoft.com/office/drawing/2014/main" id="{3EDECDE2-138D-4A92-8DB7-DB09EB5988A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2" name="Text Box 157">
          <a:extLst>
            <a:ext uri="{FF2B5EF4-FFF2-40B4-BE49-F238E27FC236}">
              <a16:creationId xmlns:a16="http://schemas.microsoft.com/office/drawing/2014/main" id="{52C145A4-DDEA-408A-BA46-C3912262438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3" name="Text Box 161">
          <a:extLst>
            <a:ext uri="{FF2B5EF4-FFF2-40B4-BE49-F238E27FC236}">
              <a16:creationId xmlns:a16="http://schemas.microsoft.com/office/drawing/2014/main" id="{B92669E9-85A3-439B-8CF4-3BF75AC9163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4" name="Text Box 162">
          <a:extLst>
            <a:ext uri="{FF2B5EF4-FFF2-40B4-BE49-F238E27FC236}">
              <a16:creationId xmlns:a16="http://schemas.microsoft.com/office/drawing/2014/main" id="{DA1EDF67-9288-48CF-9A80-9C26847815B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5" name="Text Box 163">
          <a:extLst>
            <a:ext uri="{FF2B5EF4-FFF2-40B4-BE49-F238E27FC236}">
              <a16:creationId xmlns:a16="http://schemas.microsoft.com/office/drawing/2014/main" id="{BB90326A-BBD3-4AD7-8FED-0D9FD8DEDDD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6" name="Text Box 164">
          <a:extLst>
            <a:ext uri="{FF2B5EF4-FFF2-40B4-BE49-F238E27FC236}">
              <a16:creationId xmlns:a16="http://schemas.microsoft.com/office/drawing/2014/main" id="{6AC44C46-E609-4C24-9B9A-783F3C97741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7" name="Text Box 165">
          <a:extLst>
            <a:ext uri="{FF2B5EF4-FFF2-40B4-BE49-F238E27FC236}">
              <a16:creationId xmlns:a16="http://schemas.microsoft.com/office/drawing/2014/main" id="{340FC948-23E2-4CCC-B8D6-F296597E2E3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8" name="Text Box 166">
          <a:extLst>
            <a:ext uri="{FF2B5EF4-FFF2-40B4-BE49-F238E27FC236}">
              <a16:creationId xmlns:a16="http://schemas.microsoft.com/office/drawing/2014/main" id="{8B8476EF-918E-4723-A93E-390923CF4ED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59" name="Text Box 167">
          <a:extLst>
            <a:ext uri="{FF2B5EF4-FFF2-40B4-BE49-F238E27FC236}">
              <a16:creationId xmlns:a16="http://schemas.microsoft.com/office/drawing/2014/main" id="{D51B98D3-F6F6-4295-A013-0BC8519B164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60" name="Text Box 168">
          <a:extLst>
            <a:ext uri="{FF2B5EF4-FFF2-40B4-BE49-F238E27FC236}">
              <a16:creationId xmlns:a16="http://schemas.microsoft.com/office/drawing/2014/main" id="{FC28C431-8692-46A1-A5A8-DB472762655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61" name="Text Box 169">
          <a:extLst>
            <a:ext uri="{FF2B5EF4-FFF2-40B4-BE49-F238E27FC236}">
              <a16:creationId xmlns:a16="http://schemas.microsoft.com/office/drawing/2014/main" id="{C73152C5-B89C-4A31-BFA4-B0191E9D01A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62" name="Text Box 170">
          <a:extLst>
            <a:ext uri="{FF2B5EF4-FFF2-40B4-BE49-F238E27FC236}">
              <a16:creationId xmlns:a16="http://schemas.microsoft.com/office/drawing/2014/main" id="{7855ECB6-F9A2-4FE5-A609-6104D839E55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63" name="Text Box 171">
          <a:extLst>
            <a:ext uri="{FF2B5EF4-FFF2-40B4-BE49-F238E27FC236}">
              <a16:creationId xmlns:a16="http://schemas.microsoft.com/office/drawing/2014/main" id="{D5104D07-3487-40D8-BE61-2AAA6E6077A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64" name="Text Box 172">
          <a:extLst>
            <a:ext uri="{FF2B5EF4-FFF2-40B4-BE49-F238E27FC236}">
              <a16:creationId xmlns:a16="http://schemas.microsoft.com/office/drawing/2014/main" id="{95E35968-AC6E-4CB8-B6D3-2523CE1B69D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65" name="Text Box 173">
          <a:extLst>
            <a:ext uri="{FF2B5EF4-FFF2-40B4-BE49-F238E27FC236}">
              <a16:creationId xmlns:a16="http://schemas.microsoft.com/office/drawing/2014/main" id="{A2F8DC1D-E794-4584-8C83-265CF900B7B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66" name="Text Box 174">
          <a:extLst>
            <a:ext uri="{FF2B5EF4-FFF2-40B4-BE49-F238E27FC236}">
              <a16:creationId xmlns:a16="http://schemas.microsoft.com/office/drawing/2014/main" id="{C334FE35-CFA9-4589-AB72-F349C30DD49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42</xdr:row>
      <xdr:rowOff>85725</xdr:rowOff>
    </xdr:from>
    <xdr:to>
      <xdr:col>5</xdr:col>
      <xdr:colOff>85725</xdr:colOff>
      <xdr:row>43</xdr:row>
      <xdr:rowOff>85725</xdr:rowOff>
    </xdr:to>
    <xdr:sp macro="" textlink="">
      <xdr:nvSpPr>
        <xdr:cNvPr id="239067" name="Text Box 175">
          <a:extLst>
            <a:ext uri="{FF2B5EF4-FFF2-40B4-BE49-F238E27FC236}">
              <a16:creationId xmlns:a16="http://schemas.microsoft.com/office/drawing/2014/main" id="{90728F58-99CE-4974-8706-0A9D81DA19C7}"/>
            </a:ext>
          </a:extLst>
        </xdr:cNvPr>
        <xdr:cNvSpPr txBox="1">
          <a:spLocks noChangeArrowheads="1"/>
        </xdr:cNvSpPr>
      </xdr:nvSpPr>
      <xdr:spPr bwMode="auto">
        <a:xfrm>
          <a:off x="6762750" y="8982075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68" name="Text Box 176">
          <a:extLst>
            <a:ext uri="{FF2B5EF4-FFF2-40B4-BE49-F238E27FC236}">
              <a16:creationId xmlns:a16="http://schemas.microsoft.com/office/drawing/2014/main" id="{D9DF25DC-9F6D-4432-90A7-9B84D7F2669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42</xdr:row>
      <xdr:rowOff>85725</xdr:rowOff>
    </xdr:from>
    <xdr:to>
      <xdr:col>4</xdr:col>
      <xdr:colOff>295275</xdr:colOff>
      <xdr:row>43</xdr:row>
      <xdr:rowOff>85725</xdr:rowOff>
    </xdr:to>
    <xdr:sp macro="" textlink="">
      <xdr:nvSpPr>
        <xdr:cNvPr id="239069" name="Text Box 177">
          <a:extLst>
            <a:ext uri="{FF2B5EF4-FFF2-40B4-BE49-F238E27FC236}">
              <a16:creationId xmlns:a16="http://schemas.microsoft.com/office/drawing/2014/main" id="{5CFE7B44-27B4-41C5-BB4C-B3F286E12788}"/>
            </a:ext>
          </a:extLst>
        </xdr:cNvPr>
        <xdr:cNvSpPr txBox="1">
          <a:spLocks noChangeArrowheads="1"/>
        </xdr:cNvSpPr>
      </xdr:nvSpPr>
      <xdr:spPr bwMode="auto">
        <a:xfrm>
          <a:off x="6686550" y="8982075"/>
          <a:ext cx="381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0" name="Text Box 178">
          <a:extLst>
            <a:ext uri="{FF2B5EF4-FFF2-40B4-BE49-F238E27FC236}">
              <a16:creationId xmlns:a16="http://schemas.microsoft.com/office/drawing/2014/main" id="{C03C0CB7-370C-495C-815C-2AEBB3F8FE1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1" name="Text Box 179">
          <a:extLst>
            <a:ext uri="{FF2B5EF4-FFF2-40B4-BE49-F238E27FC236}">
              <a16:creationId xmlns:a16="http://schemas.microsoft.com/office/drawing/2014/main" id="{5A192804-5161-44C2-9A84-D4617013759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2" name="Text Box 180">
          <a:extLst>
            <a:ext uri="{FF2B5EF4-FFF2-40B4-BE49-F238E27FC236}">
              <a16:creationId xmlns:a16="http://schemas.microsoft.com/office/drawing/2014/main" id="{36F5A0D7-9617-42D8-B9A8-20C9D44F2C2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3" name="Text Box 181">
          <a:extLst>
            <a:ext uri="{FF2B5EF4-FFF2-40B4-BE49-F238E27FC236}">
              <a16:creationId xmlns:a16="http://schemas.microsoft.com/office/drawing/2014/main" id="{71EE7348-E4A4-40C6-BDA9-D4EBE493E40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4" name="Text Box 182">
          <a:extLst>
            <a:ext uri="{FF2B5EF4-FFF2-40B4-BE49-F238E27FC236}">
              <a16:creationId xmlns:a16="http://schemas.microsoft.com/office/drawing/2014/main" id="{218228E6-EC4F-4A82-8EEB-6CED680E2E73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5" name="Text Box 183">
          <a:extLst>
            <a:ext uri="{FF2B5EF4-FFF2-40B4-BE49-F238E27FC236}">
              <a16:creationId xmlns:a16="http://schemas.microsoft.com/office/drawing/2014/main" id="{78E95F2D-9A8A-48F9-9BE0-7582A86C0C9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6" name="Text Box 184">
          <a:extLst>
            <a:ext uri="{FF2B5EF4-FFF2-40B4-BE49-F238E27FC236}">
              <a16:creationId xmlns:a16="http://schemas.microsoft.com/office/drawing/2014/main" id="{7EE24B23-F690-4204-98A3-43806D56500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7" name="Text Box 185">
          <a:extLst>
            <a:ext uri="{FF2B5EF4-FFF2-40B4-BE49-F238E27FC236}">
              <a16:creationId xmlns:a16="http://schemas.microsoft.com/office/drawing/2014/main" id="{6114A72B-48A7-4B68-B646-9218187B26A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8" name="Text Box 186">
          <a:extLst>
            <a:ext uri="{FF2B5EF4-FFF2-40B4-BE49-F238E27FC236}">
              <a16:creationId xmlns:a16="http://schemas.microsoft.com/office/drawing/2014/main" id="{8244C831-3332-42AE-965D-05D31C2CDD1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79" name="Text Box 187">
          <a:extLst>
            <a:ext uri="{FF2B5EF4-FFF2-40B4-BE49-F238E27FC236}">
              <a16:creationId xmlns:a16="http://schemas.microsoft.com/office/drawing/2014/main" id="{16676B01-8C9B-4DFA-890B-EA7CD24E6EF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0" name="Text Box 188">
          <a:extLst>
            <a:ext uri="{FF2B5EF4-FFF2-40B4-BE49-F238E27FC236}">
              <a16:creationId xmlns:a16="http://schemas.microsoft.com/office/drawing/2014/main" id="{36AC17F6-2DA5-4414-B611-4C6DF6AD70E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1" name="Text Box 189">
          <a:extLst>
            <a:ext uri="{FF2B5EF4-FFF2-40B4-BE49-F238E27FC236}">
              <a16:creationId xmlns:a16="http://schemas.microsoft.com/office/drawing/2014/main" id="{A86A7FAE-5AEC-47B8-B4D9-0716661C8E5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2" name="Text Box 190">
          <a:extLst>
            <a:ext uri="{FF2B5EF4-FFF2-40B4-BE49-F238E27FC236}">
              <a16:creationId xmlns:a16="http://schemas.microsoft.com/office/drawing/2014/main" id="{D7138C80-76BA-4E83-8CB8-6238C02FF9A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3" name="Text Box 191">
          <a:extLst>
            <a:ext uri="{FF2B5EF4-FFF2-40B4-BE49-F238E27FC236}">
              <a16:creationId xmlns:a16="http://schemas.microsoft.com/office/drawing/2014/main" id="{E33A6DBF-F77D-452A-9438-6E9BA6A21AD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4" name="Text Box 192">
          <a:extLst>
            <a:ext uri="{FF2B5EF4-FFF2-40B4-BE49-F238E27FC236}">
              <a16:creationId xmlns:a16="http://schemas.microsoft.com/office/drawing/2014/main" id="{BCB33C93-0AC2-4FBA-99CA-3B268DE4D5A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5" name="Text Box 193">
          <a:extLst>
            <a:ext uri="{FF2B5EF4-FFF2-40B4-BE49-F238E27FC236}">
              <a16:creationId xmlns:a16="http://schemas.microsoft.com/office/drawing/2014/main" id="{E5D627B1-FB56-42CB-A570-C04CBDF8D15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6" name="Text Box 194">
          <a:extLst>
            <a:ext uri="{FF2B5EF4-FFF2-40B4-BE49-F238E27FC236}">
              <a16:creationId xmlns:a16="http://schemas.microsoft.com/office/drawing/2014/main" id="{A76E44D2-A25A-4F08-87C5-D2F1A5DE653D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7" name="Text Box 195">
          <a:extLst>
            <a:ext uri="{FF2B5EF4-FFF2-40B4-BE49-F238E27FC236}">
              <a16:creationId xmlns:a16="http://schemas.microsoft.com/office/drawing/2014/main" id="{261709D2-3808-45D0-B09A-00FC4DEDCEBC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8" name="Text Box 196">
          <a:extLst>
            <a:ext uri="{FF2B5EF4-FFF2-40B4-BE49-F238E27FC236}">
              <a16:creationId xmlns:a16="http://schemas.microsoft.com/office/drawing/2014/main" id="{9A7A5E96-4A86-4DEF-ADB2-E701B29FF2A5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89" name="Text Box 197">
          <a:extLst>
            <a:ext uri="{FF2B5EF4-FFF2-40B4-BE49-F238E27FC236}">
              <a16:creationId xmlns:a16="http://schemas.microsoft.com/office/drawing/2014/main" id="{A353FF65-925D-45C5-BEFE-178A8805C97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90" name="Text Box 198">
          <a:extLst>
            <a:ext uri="{FF2B5EF4-FFF2-40B4-BE49-F238E27FC236}">
              <a16:creationId xmlns:a16="http://schemas.microsoft.com/office/drawing/2014/main" id="{C88EE2D0-E47C-4590-AC60-F93C1A4490D8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91" name="Text Box 199">
          <a:extLst>
            <a:ext uri="{FF2B5EF4-FFF2-40B4-BE49-F238E27FC236}">
              <a16:creationId xmlns:a16="http://schemas.microsoft.com/office/drawing/2014/main" id="{AF682BBF-B8C3-4E66-94EE-CFD0D98618AA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92" name="Text Box 200">
          <a:extLst>
            <a:ext uri="{FF2B5EF4-FFF2-40B4-BE49-F238E27FC236}">
              <a16:creationId xmlns:a16="http://schemas.microsoft.com/office/drawing/2014/main" id="{8301BE66-D913-4147-9F01-E9FF54E457D9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93" name="Text Box 201">
          <a:extLst>
            <a:ext uri="{FF2B5EF4-FFF2-40B4-BE49-F238E27FC236}">
              <a16:creationId xmlns:a16="http://schemas.microsoft.com/office/drawing/2014/main" id="{9683BDC0-E165-4A3D-A57E-877A9863F32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94" name="Text Box 202">
          <a:extLst>
            <a:ext uri="{FF2B5EF4-FFF2-40B4-BE49-F238E27FC236}">
              <a16:creationId xmlns:a16="http://schemas.microsoft.com/office/drawing/2014/main" id="{ED97021D-2644-45AF-9376-F305E950641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95" name="Text Box 203">
          <a:extLst>
            <a:ext uri="{FF2B5EF4-FFF2-40B4-BE49-F238E27FC236}">
              <a16:creationId xmlns:a16="http://schemas.microsoft.com/office/drawing/2014/main" id="{8276AD93-C510-4861-B893-F647AFDAD947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96" name="Text Box 204">
          <a:extLst>
            <a:ext uri="{FF2B5EF4-FFF2-40B4-BE49-F238E27FC236}">
              <a16:creationId xmlns:a16="http://schemas.microsoft.com/office/drawing/2014/main" id="{56542A18-9D34-4DA0-8EED-5223BA01F1F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42</xdr:row>
      <xdr:rowOff>85725</xdr:rowOff>
    </xdr:from>
    <xdr:to>
      <xdr:col>4</xdr:col>
      <xdr:colOff>161925</xdr:colOff>
      <xdr:row>43</xdr:row>
      <xdr:rowOff>85725</xdr:rowOff>
    </xdr:to>
    <xdr:sp macro="" textlink="">
      <xdr:nvSpPr>
        <xdr:cNvPr id="239097" name="Text Box 205">
          <a:extLst>
            <a:ext uri="{FF2B5EF4-FFF2-40B4-BE49-F238E27FC236}">
              <a16:creationId xmlns:a16="http://schemas.microsoft.com/office/drawing/2014/main" id="{8E513F67-712E-4F63-AF71-5883EB905C76}"/>
            </a:ext>
          </a:extLst>
        </xdr:cNvPr>
        <xdr:cNvSpPr txBox="1">
          <a:spLocks noChangeArrowheads="1"/>
        </xdr:cNvSpPr>
      </xdr:nvSpPr>
      <xdr:spPr bwMode="auto">
        <a:xfrm>
          <a:off x="652462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98" name="Text Box 206">
          <a:extLst>
            <a:ext uri="{FF2B5EF4-FFF2-40B4-BE49-F238E27FC236}">
              <a16:creationId xmlns:a16="http://schemas.microsoft.com/office/drawing/2014/main" id="{5D8C5BF6-E0DA-4C98-BFA3-BD5DFFFDD65E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099" name="Text Box 207">
          <a:extLst>
            <a:ext uri="{FF2B5EF4-FFF2-40B4-BE49-F238E27FC236}">
              <a16:creationId xmlns:a16="http://schemas.microsoft.com/office/drawing/2014/main" id="{7AF3F059-0306-4656-AD70-4AB4956E684F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100" name="Text Box 208">
          <a:extLst>
            <a:ext uri="{FF2B5EF4-FFF2-40B4-BE49-F238E27FC236}">
              <a16:creationId xmlns:a16="http://schemas.microsoft.com/office/drawing/2014/main" id="{669CB33F-0F5B-4929-9F9B-6D9956AD6842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101" name="Text Box 209">
          <a:extLst>
            <a:ext uri="{FF2B5EF4-FFF2-40B4-BE49-F238E27FC236}">
              <a16:creationId xmlns:a16="http://schemas.microsoft.com/office/drawing/2014/main" id="{BCB2223C-8D4A-4863-822B-0167F11911FB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102" name="Text Box 210">
          <a:extLst>
            <a:ext uri="{FF2B5EF4-FFF2-40B4-BE49-F238E27FC236}">
              <a16:creationId xmlns:a16="http://schemas.microsoft.com/office/drawing/2014/main" id="{26532DD5-79BD-4C67-B352-0A064673114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103" name="Text Box 211">
          <a:extLst>
            <a:ext uri="{FF2B5EF4-FFF2-40B4-BE49-F238E27FC236}">
              <a16:creationId xmlns:a16="http://schemas.microsoft.com/office/drawing/2014/main" id="{7D3C4B31-0C31-4129-9120-F1840F451D40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104" name="Text Box 212">
          <a:extLst>
            <a:ext uri="{FF2B5EF4-FFF2-40B4-BE49-F238E27FC236}">
              <a16:creationId xmlns:a16="http://schemas.microsoft.com/office/drawing/2014/main" id="{A5C23217-F6AD-42C5-8E32-0351A6C5746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105" name="Text Box 213">
          <a:extLst>
            <a:ext uri="{FF2B5EF4-FFF2-40B4-BE49-F238E27FC236}">
              <a16:creationId xmlns:a16="http://schemas.microsoft.com/office/drawing/2014/main" id="{E18A594E-7AEC-4A3D-AB03-152FC7B0B904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42</xdr:row>
      <xdr:rowOff>85725</xdr:rowOff>
    </xdr:from>
    <xdr:to>
      <xdr:col>5</xdr:col>
      <xdr:colOff>47625</xdr:colOff>
      <xdr:row>43</xdr:row>
      <xdr:rowOff>85725</xdr:rowOff>
    </xdr:to>
    <xdr:sp macro="" textlink="">
      <xdr:nvSpPr>
        <xdr:cNvPr id="239106" name="Text Box 214">
          <a:extLst>
            <a:ext uri="{FF2B5EF4-FFF2-40B4-BE49-F238E27FC236}">
              <a16:creationId xmlns:a16="http://schemas.microsoft.com/office/drawing/2014/main" id="{3F2F1C6C-929E-4CF0-B489-F78A995A6AD6}"/>
            </a:ext>
          </a:extLst>
        </xdr:cNvPr>
        <xdr:cNvSpPr txBox="1">
          <a:spLocks noChangeArrowheads="1"/>
        </xdr:cNvSpPr>
      </xdr:nvSpPr>
      <xdr:spPr bwMode="auto">
        <a:xfrm>
          <a:off x="673417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42</xdr:row>
      <xdr:rowOff>85725</xdr:rowOff>
    </xdr:from>
    <xdr:to>
      <xdr:col>4</xdr:col>
      <xdr:colOff>161925</xdr:colOff>
      <xdr:row>43</xdr:row>
      <xdr:rowOff>85725</xdr:rowOff>
    </xdr:to>
    <xdr:sp macro="" textlink="">
      <xdr:nvSpPr>
        <xdr:cNvPr id="239107" name="Text Box 215">
          <a:extLst>
            <a:ext uri="{FF2B5EF4-FFF2-40B4-BE49-F238E27FC236}">
              <a16:creationId xmlns:a16="http://schemas.microsoft.com/office/drawing/2014/main" id="{433DE7C6-F50F-44F4-A9AD-390622D5907F}"/>
            </a:ext>
          </a:extLst>
        </xdr:cNvPr>
        <xdr:cNvSpPr txBox="1">
          <a:spLocks noChangeArrowheads="1"/>
        </xdr:cNvSpPr>
      </xdr:nvSpPr>
      <xdr:spPr bwMode="auto">
        <a:xfrm>
          <a:off x="652462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08" name="Text Box 216">
          <a:extLst>
            <a:ext uri="{FF2B5EF4-FFF2-40B4-BE49-F238E27FC236}">
              <a16:creationId xmlns:a16="http://schemas.microsoft.com/office/drawing/2014/main" id="{3D48D26D-A93D-4823-A221-F20E8B977D0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09" name="Text Box 217">
          <a:extLst>
            <a:ext uri="{FF2B5EF4-FFF2-40B4-BE49-F238E27FC236}">
              <a16:creationId xmlns:a16="http://schemas.microsoft.com/office/drawing/2014/main" id="{C9884F85-19B0-487F-8687-341625AE147C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0" name="Text Box 218">
          <a:extLst>
            <a:ext uri="{FF2B5EF4-FFF2-40B4-BE49-F238E27FC236}">
              <a16:creationId xmlns:a16="http://schemas.microsoft.com/office/drawing/2014/main" id="{1BD7C33D-5CE5-4E38-A6BB-AF0576E72B71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1" name="Text Box 219">
          <a:extLst>
            <a:ext uri="{FF2B5EF4-FFF2-40B4-BE49-F238E27FC236}">
              <a16:creationId xmlns:a16="http://schemas.microsoft.com/office/drawing/2014/main" id="{97454CE6-B3C8-4A7A-B9A4-204D6415F15F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2" name="Text Box 220">
          <a:extLst>
            <a:ext uri="{FF2B5EF4-FFF2-40B4-BE49-F238E27FC236}">
              <a16:creationId xmlns:a16="http://schemas.microsoft.com/office/drawing/2014/main" id="{82E30403-1A1D-439D-9D5E-99E1F58BE769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3" name="Text Box 221">
          <a:extLst>
            <a:ext uri="{FF2B5EF4-FFF2-40B4-BE49-F238E27FC236}">
              <a16:creationId xmlns:a16="http://schemas.microsoft.com/office/drawing/2014/main" id="{EADF5B0A-DC39-42BB-8BB0-8CAFA38101E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4" name="Text Box 222">
          <a:extLst>
            <a:ext uri="{FF2B5EF4-FFF2-40B4-BE49-F238E27FC236}">
              <a16:creationId xmlns:a16="http://schemas.microsoft.com/office/drawing/2014/main" id="{7980D2D3-B59F-4DBF-9D48-385328635567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5" name="Text Box 223">
          <a:extLst>
            <a:ext uri="{FF2B5EF4-FFF2-40B4-BE49-F238E27FC236}">
              <a16:creationId xmlns:a16="http://schemas.microsoft.com/office/drawing/2014/main" id="{A1A0D9C3-004D-4891-82E2-A0E676E1B86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6" name="Text Box 224">
          <a:extLst>
            <a:ext uri="{FF2B5EF4-FFF2-40B4-BE49-F238E27FC236}">
              <a16:creationId xmlns:a16="http://schemas.microsoft.com/office/drawing/2014/main" id="{49930EA6-CDA7-4AFB-B68F-BB7A9C60B00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7" name="Text Box 225">
          <a:extLst>
            <a:ext uri="{FF2B5EF4-FFF2-40B4-BE49-F238E27FC236}">
              <a16:creationId xmlns:a16="http://schemas.microsoft.com/office/drawing/2014/main" id="{86576BEE-33B5-4BA4-896A-01DCB1FB4D2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8" name="Text Box 226">
          <a:extLst>
            <a:ext uri="{FF2B5EF4-FFF2-40B4-BE49-F238E27FC236}">
              <a16:creationId xmlns:a16="http://schemas.microsoft.com/office/drawing/2014/main" id="{38263BC0-B5CE-442F-9907-6A9B70748DAB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19" name="Text Box 227">
          <a:extLst>
            <a:ext uri="{FF2B5EF4-FFF2-40B4-BE49-F238E27FC236}">
              <a16:creationId xmlns:a16="http://schemas.microsoft.com/office/drawing/2014/main" id="{A0B73511-E7CC-420C-846C-07AB64911F6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20" name="Text Box 228">
          <a:extLst>
            <a:ext uri="{FF2B5EF4-FFF2-40B4-BE49-F238E27FC236}">
              <a16:creationId xmlns:a16="http://schemas.microsoft.com/office/drawing/2014/main" id="{2EC105DF-FAC5-413B-B7EF-27650170DFBA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21" name="Text Box 229">
          <a:extLst>
            <a:ext uri="{FF2B5EF4-FFF2-40B4-BE49-F238E27FC236}">
              <a16:creationId xmlns:a16="http://schemas.microsoft.com/office/drawing/2014/main" id="{4EBCDE9F-410A-4026-B9C5-E0175BCE265E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22" name="Text Box 230">
          <a:extLst>
            <a:ext uri="{FF2B5EF4-FFF2-40B4-BE49-F238E27FC236}">
              <a16:creationId xmlns:a16="http://schemas.microsoft.com/office/drawing/2014/main" id="{24027724-E3C3-4D92-AE9E-D8FC121BC07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23" name="Text Box 231">
          <a:extLst>
            <a:ext uri="{FF2B5EF4-FFF2-40B4-BE49-F238E27FC236}">
              <a16:creationId xmlns:a16="http://schemas.microsoft.com/office/drawing/2014/main" id="{36C38005-9AAA-4844-8E88-DC4A279B81F5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24" name="Text Box 232">
          <a:extLst>
            <a:ext uri="{FF2B5EF4-FFF2-40B4-BE49-F238E27FC236}">
              <a16:creationId xmlns:a16="http://schemas.microsoft.com/office/drawing/2014/main" id="{B1FED70E-B21C-4156-B709-5F5C5C901277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25" name="Text Box 233">
          <a:extLst>
            <a:ext uri="{FF2B5EF4-FFF2-40B4-BE49-F238E27FC236}">
              <a16:creationId xmlns:a16="http://schemas.microsoft.com/office/drawing/2014/main" id="{380434A3-44F9-4336-81D5-7EA2CCE764AD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26" name="Text Box 234">
          <a:extLst>
            <a:ext uri="{FF2B5EF4-FFF2-40B4-BE49-F238E27FC236}">
              <a16:creationId xmlns:a16="http://schemas.microsoft.com/office/drawing/2014/main" id="{9D87DF7B-A188-4EA8-89FA-091776E65B9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27" name="Text Box 235">
          <a:extLst>
            <a:ext uri="{FF2B5EF4-FFF2-40B4-BE49-F238E27FC236}">
              <a16:creationId xmlns:a16="http://schemas.microsoft.com/office/drawing/2014/main" id="{ABDF2176-E320-4D98-ABA2-ABCA244C631C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36</xdr:row>
      <xdr:rowOff>0</xdr:rowOff>
    </xdr:from>
    <xdr:to>
      <xdr:col>4</xdr:col>
      <xdr:colOff>161925</xdr:colOff>
      <xdr:row>37</xdr:row>
      <xdr:rowOff>19050</xdr:rowOff>
    </xdr:to>
    <xdr:sp macro="" textlink="">
      <xdr:nvSpPr>
        <xdr:cNvPr id="239128" name="Text Box 236">
          <a:extLst>
            <a:ext uri="{FF2B5EF4-FFF2-40B4-BE49-F238E27FC236}">
              <a16:creationId xmlns:a16="http://schemas.microsoft.com/office/drawing/2014/main" id="{803C2758-64F4-4F3B-A8CA-F97CCAE18322}"/>
            </a:ext>
          </a:extLst>
        </xdr:cNvPr>
        <xdr:cNvSpPr txBox="1">
          <a:spLocks noChangeArrowheads="1"/>
        </xdr:cNvSpPr>
      </xdr:nvSpPr>
      <xdr:spPr bwMode="auto">
        <a:xfrm>
          <a:off x="652462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29" name="Text Box 237">
          <a:extLst>
            <a:ext uri="{FF2B5EF4-FFF2-40B4-BE49-F238E27FC236}">
              <a16:creationId xmlns:a16="http://schemas.microsoft.com/office/drawing/2014/main" id="{E43F4739-DE0E-4093-B9F6-C58AAB528F74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30" name="Text Box 238">
          <a:extLst>
            <a:ext uri="{FF2B5EF4-FFF2-40B4-BE49-F238E27FC236}">
              <a16:creationId xmlns:a16="http://schemas.microsoft.com/office/drawing/2014/main" id="{96DD8774-A3D5-4449-A8CB-7725B350CCA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31" name="Text Box 239">
          <a:extLst>
            <a:ext uri="{FF2B5EF4-FFF2-40B4-BE49-F238E27FC236}">
              <a16:creationId xmlns:a16="http://schemas.microsoft.com/office/drawing/2014/main" id="{663EBB36-E924-4507-AD8F-34C9CE5CD284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32" name="Text Box 240">
          <a:extLst>
            <a:ext uri="{FF2B5EF4-FFF2-40B4-BE49-F238E27FC236}">
              <a16:creationId xmlns:a16="http://schemas.microsoft.com/office/drawing/2014/main" id="{2246A36D-9350-41EC-BF91-6898A17EAED8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5</xdr:col>
      <xdr:colOff>47625</xdr:colOff>
      <xdr:row>37</xdr:row>
      <xdr:rowOff>19050</xdr:rowOff>
    </xdr:to>
    <xdr:sp macro="" textlink="">
      <xdr:nvSpPr>
        <xdr:cNvPr id="239133" name="Text Box 241">
          <a:extLst>
            <a:ext uri="{FF2B5EF4-FFF2-40B4-BE49-F238E27FC236}">
              <a16:creationId xmlns:a16="http://schemas.microsoft.com/office/drawing/2014/main" id="{C0452C0D-EEFC-401B-8D46-908CFC9A8CBC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666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66675</xdr:colOff>
      <xdr:row>18</xdr:row>
      <xdr:rowOff>47625</xdr:rowOff>
    </xdr:to>
    <xdr:sp macro="" textlink="">
      <xdr:nvSpPr>
        <xdr:cNvPr id="239134" name="Text Box 242">
          <a:extLst>
            <a:ext uri="{FF2B5EF4-FFF2-40B4-BE49-F238E27FC236}">
              <a16:creationId xmlns:a16="http://schemas.microsoft.com/office/drawing/2014/main" id="{D5D794E1-94F5-41B5-9550-CD323821A163}"/>
            </a:ext>
          </a:extLst>
        </xdr:cNvPr>
        <xdr:cNvSpPr txBox="1">
          <a:spLocks noChangeArrowheads="1"/>
        </xdr:cNvSpPr>
      </xdr:nvSpPr>
      <xdr:spPr bwMode="auto">
        <a:xfrm>
          <a:off x="6753225" y="2714625"/>
          <a:ext cx="6667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42</xdr:row>
      <xdr:rowOff>85725</xdr:rowOff>
    </xdr:from>
    <xdr:to>
      <xdr:col>5</xdr:col>
      <xdr:colOff>66675</xdr:colOff>
      <xdr:row>43</xdr:row>
      <xdr:rowOff>85725</xdr:rowOff>
    </xdr:to>
    <xdr:sp macro="" textlink="">
      <xdr:nvSpPr>
        <xdr:cNvPr id="239135" name="Text Box 246">
          <a:extLst>
            <a:ext uri="{FF2B5EF4-FFF2-40B4-BE49-F238E27FC236}">
              <a16:creationId xmlns:a16="http://schemas.microsoft.com/office/drawing/2014/main" id="{F41EE8C6-5B18-479A-9366-35248FDC2C6E}"/>
            </a:ext>
          </a:extLst>
        </xdr:cNvPr>
        <xdr:cNvSpPr txBox="1">
          <a:spLocks noChangeArrowheads="1"/>
        </xdr:cNvSpPr>
      </xdr:nvSpPr>
      <xdr:spPr bwMode="auto">
        <a:xfrm>
          <a:off x="6753225" y="8982075"/>
          <a:ext cx="666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285750</xdr:rowOff>
    </xdr:to>
    <xdr:sp macro="" textlink="">
      <xdr:nvSpPr>
        <xdr:cNvPr id="239136" name="Text Box 187">
          <a:extLst>
            <a:ext uri="{FF2B5EF4-FFF2-40B4-BE49-F238E27FC236}">
              <a16:creationId xmlns:a16="http://schemas.microsoft.com/office/drawing/2014/main" id="{3320F874-9721-46DD-A758-A13CDABA01A3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35</xdr:row>
      <xdr:rowOff>19050</xdr:rowOff>
    </xdr:from>
    <xdr:to>
      <xdr:col>5</xdr:col>
      <xdr:colOff>66675</xdr:colOff>
      <xdr:row>36</xdr:row>
      <xdr:rowOff>38100</xdr:rowOff>
    </xdr:to>
    <xdr:sp macro="" textlink="">
      <xdr:nvSpPr>
        <xdr:cNvPr id="239137" name="Text Box 188">
          <a:extLst>
            <a:ext uri="{FF2B5EF4-FFF2-40B4-BE49-F238E27FC236}">
              <a16:creationId xmlns:a16="http://schemas.microsoft.com/office/drawing/2014/main" id="{BBDF6FD2-5D44-4B5D-84F9-29233252DFA1}"/>
            </a:ext>
          </a:extLst>
        </xdr:cNvPr>
        <xdr:cNvSpPr txBox="1">
          <a:spLocks noChangeArrowheads="1"/>
        </xdr:cNvSpPr>
      </xdr:nvSpPr>
      <xdr:spPr bwMode="auto">
        <a:xfrm>
          <a:off x="6743700" y="7296150"/>
          <a:ext cx="762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66675</xdr:colOff>
      <xdr:row>37</xdr:row>
      <xdr:rowOff>38100</xdr:rowOff>
    </xdr:to>
    <xdr:sp macro="" textlink="">
      <xdr:nvSpPr>
        <xdr:cNvPr id="239138" name="Text Box 189">
          <a:extLst>
            <a:ext uri="{FF2B5EF4-FFF2-40B4-BE49-F238E27FC236}">
              <a16:creationId xmlns:a16="http://schemas.microsoft.com/office/drawing/2014/main" id="{C1696621-69F8-4B56-A325-6D056BFF2043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66675</xdr:colOff>
      <xdr:row>37</xdr:row>
      <xdr:rowOff>38100</xdr:rowOff>
    </xdr:to>
    <xdr:sp macro="" textlink="">
      <xdr:nvSpPr>
        <xdr:cNvPr id="239139" name="Text Box 190">
          <a:extLst>
            <a:ext uri="{FF2B5EF4-FFF2-40B4-BE49-F238E27FC236}">
              <a16:creationId xmlns:a16="http://schemas.microsoft.com/office/drawing/2014/main" id="{D1D52C3E-C7A8-4C41-B724-577E2DB549D0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66675</xdr:colOff>
      <xdr:row>37</xdr:row>
      <xdr:rowOff>38100</xdr:rowOff>
    </xdr:to>
    <xdr:sp macro="" textlink="">
      <xdr:nvSpPr>
        <xdr:cNvPr id="239140" name="Text Box 191">
          <a:extLst>
            <a:ext uri="{FF2B5EF4-FFF2-40B4-BE49-F238E27FC236}">
              <a16:creationId xmlns:a16="http://schemas.microsoft.com/office/drawing/2014/main" id="{CEF6C8DF-2F2D-4EF2-822E-36B1E95D77F0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36</xdr:row>
      <xdr:rowOff>0</xdr:rowOff>
    </xdr:from>
    <xdr:to>
      <xdr:col>5</xdr:col>
      <xdr:colOff>66675</xdr:colOff>
      <xdr:row>37</xdr:row>
      <xdr:rowOff>38100</xdr:rowOff>
    </xdr:to>
    <xdr:sp macro="" textlink="">
      <xdr:nvSpPr>
        <xdr:cNvPr id="239141" name="Text Box 192">
          <a:extLst>
            <a:ext uri="{FF2B5EF4-FFF2-40B4-BE49-F238E27FC236}">
              <a16:creationId xmlns:a16="http://schemas.microsoft.com/office/drawing/2014/main" id="{55E5786E-2EC6-4B4C-B303-1175F7E97CCA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9142" name="Text Box 193">
          <a:extLst>
            <a:ext uri="{FF2B5EF4-FFF2-40B4-BE49-F238E27FC236}">
              <a16:creationId xmlns:a16="http://schemas.microsoft.com/office/drawing/2014/main" id="{C4031442-C768-4745-9C1D-5DE91F96243B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9143" name="Text Box 194">
          <a:extLst>
            <a:ext uri="{FF2B5EF4-FFF2-40B4-BE49-F238E27FC236}">
              <a16:creationId xmlns:a16="http://schemas.microsoft.com/office/drawing/2014/main" id="{86291878-BCC9-41CF-AC1C-DAEA6D6293E3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9144" name="Text Box 195">
          <a:extLst>
            <a:ext uri="{FF2B5EF4-FFF2-40B4-BE49-F238E27FC236}">
              <a16:creationId xmlns:a16="http://schemas.microsoft.com/office/drawing/2014/main" id="{B1A721F0-35E5-4DD2-AD72-931A6BFBB2F2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285750</xdr:rowOff>
    </xdr:to>
    <xdr:sp macro="" textlink="">
      <xdr:nvSpPr>
        <xdr:cNvPr id="239145" name="Text Box 193">
          <a:extLst>
            <a:ext uri="{FF2B5EF4-FFF2-40B4-BE49-F238E27FC236}">
              <a16:creationId xmlns:a16="http://schemas.microsoft.com/office/drawing/2014/main" id="{200007E4-2457-462A-839E-594637EBD06F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285750</xdr:rowOff>
    </xdr:to>
    <xdr:sp macro="" textlink="">
      <xdr:nvSpPr>
        <xdr:cNvPr id="239146" name="Text Box 194">
          <a:extLst>
            <a:ext uri="{FF2B5EF4-FFF2-40B4-BE49-F238E27FC236}">
              <a16:creationId xmlns:a16="http://schemas.microsoft.com/office/drawing/2014/main" id="{ACA25CC8-E903-4AA8-971F-BC8C2B40290F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285750</xdr:rowOff>
    </xdr:to>
    <xdr:sp macro="" textlink="">
      <xdr:nvSpPr>
        <xdr:cNvPr id="239147" name="Text Box 195">
          <a:extLst>
            <a:ext uri="{FF2B5EF4-FFF2-40B4-BE49-F238E27FC236}">
              <a16:creationId xmlns:a16="http://schemas.microsoft.com/office/drawing/2014/main" id="{88F676BA-D766-4F6F-9D57-D3288AEDAB83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57150</xdr:rowOff>
    </xdr:to>
    <xdr:sp macro="" textlink="">
      <xdr:nvSpPr>
        <xdr:cNvPr id="239148" name="Text Box 193">
          <a:extLst>
            <a:ext uri="{FF2B5EF4-FFF2-40B4-BE49-F238E27FC236}">
              <a16:creationId xmlns:a16="http://schemas.microsoft.com/office/drawing/2014/main" id="{24619A39-47C2-41AF-BA13-387F27C90DBF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57150</xdr:rowOff>
    </xdr:to>
    <xdr:sp macro="" textlink="">
      <xdr:nvSpPr>
        <xdr:cNvPr id="239149" name="Text Box 194">
          <a:extLst>
            <a:ext uri="{FF2B5EF4-FFF2-40B4-BE49-F238E27FC236}">
              <a16:creationId xmlns:a16="http://schemas.microsoft.com/office/drawing/2014/main" id="{871A83F8-448A-456B-AD8A-8D67B48D6100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57150</xdr:rowOff>
    </xdr:to>
    <xdr:sp macro="" textlink="">
      <xdr:nvSpPr>
        <xdr:cNvPr id="239150" name="Text Box 195">
          <a:extLst>
            <a:ext uri="{FF2B5EF4-FFF2-40B4-BE49-F238E27FC236}">
              <a16:creationId xmlns:a16="http://schemas.microsoft.com/office/drawing/2014/main" id="{C36DB13F-BA6C-4B5D-8541-89C24A9130A0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9151" name="Text Box 193">
          <a:extLst>
            <a:ext uri="{FF2B5EF4-FFF2-40B4-BE49-F238E27FC236}">
              <a16:creationId xmlns:a16="http://schemas.microsoft.com/office/drawing/2014/main" id="{CF2036AA-A3D8-431E-8D48-D45BC38DEF4D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9152" name="Text Box 194">
          <a:extLst>
            <a:ext uri="{FF2B5EF4-FFF2-40B4-BE49-F238E27FC236}">
              <a16:creationId xmlns:a16="http://schemas.microsoft.com/office/drawing/2014/main" id="{DD0FAC9C-B09E-45E2-873B-EAF4F81C06A1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37</xdr:row>
      <xdr:rowOff>19050</xdr:rowOff>
    </xdr:from>
    <xdr:to>
      <xdr:col>5</xdr:col>
      <xdr:colOff>66675</xdr:colOff>
      <xdr:row>38</xdr:row>
      <xdr:rowOff>19050</xdr:rowOff>
    </xdr:to>
    <xdr:sp macro="" textlink="">
      <xdr:nvSpPr>
        <xdr:cNvPr id="239153" name="Text Box 195">
          <a:extLst>
            <a:ext uri="{FF2B5EF4-FFF2-40B4-BE49-F238E27FC236}">
              <a16:creationId xmlns:a16="http://schemas.microsoft.com/office/drawing/2014/main" id="{FAA76703-A61B-4575-8196-D6ECF03246CE}"/>
            </a:ext>
          </a:extLst>
        </xdr:cNvPr>
        <xdr:cNvSpPr txBox="1">
          <a:spLocks noChangeArrowheads="1"/>
        </xdr:cNvSpPr>
      </xdr:nvSpPr>
      <xdr:spPr bwMode="auto">
        <a:xfrm>
          <a:off x="6743700" y="7943850"/>
          <a:ext cx="76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66675</xdr:colOff>
      <xdr:row>39</xdr:row>
      <xdr:rowOff>285750</xdr:rowOff>
    </xdr:to>
    <xdr:sp macro="" textlink="">
      <xdr:nvSpPr>
        <xdr:cNvPr id="239154" name="Text Box 193">
          <a:extLst>
            <a:ext uri="{FF2B5EF4-FFF2-40B4-BE49-F238E27FC236}">
              <a16:creationId xmlns:a16="http://schemas.microsoft.com/office/drawing/2014/main" id="{FC4D3D34-3CDC-4579-8E36-25865FBCF3C8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762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66675</xdr:colOff>
      <xdr:row>39</xdr:row>
      <xdr:rowOff>285750</xdr:rowOff>
    </xdr:to>
    <xdr:sp macro="" textlink="">
      <xdr:nvSpPr>
        <xdr:cNvPr id="239155" name="Text Box 194">
          <a:extLst>
            <a:ext uri="{FF2B5EF4-FFF2-40B4-BE49-F238E27FC236}">
              <a16:creationId xmlns:a16="http://schemas.microsoft.com/office/drawing/2014/main" id="{4FFE48BA-AD21-42C8-A6A4-8CB077845151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762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38</xdr:row>
      <xdr:rowOff>9525</xdr:rowOff>
    </xdr:from>
    <xdr:to>
      <xdr:col>5</xdr:col>
      <xdr:colOff>66675</xdr:colOff>
      <xdr:row>39</xdr:row>
      <xdr:rowOff>285750</xdr:rowOff>
    </xdr:to>
    <xdr:sp macro="" textlink="">
      <xdr:nvSpPr>
        <xdr:cNvPr id="239156" name="Text Box 195">
          <a:extLst>
            <a:ext uri="{FF2B5EF4-FFF2-40B4-BE49-F238E27FC236}">
              <a16:creationId xmlns:a16="http://schemas.microsoft.com/office/drawing/2014/main" id="{5712BBDB-C98B-470D-8FBB-F98AED61FC8E}"/>
            </a:ext>
          </a:extLst>
        </xdr:cNvPr>
        <xdr:cNvSpPr txBox="1">
          <a:spLocks noChangeArrowheads="1"/>
        </xdr:cNvSpPr>
      </xdr:nvSpPr>
      <xdr:spPr bwMode="auto">
        <a:xfrm>
          <a:off x="6743700" y="8096250"/>
          <a:ext cx="762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285750</xdr:rowOff>
    </xdr:to>
    <xdr:sp macro="" textlink="">
      <xdr:nvSpPr>
        <xdr:cNvPr id="239157" name="Text Box 187">
          <a:extLst>
            <a:ext uri="{FF2B5EF4-FFF2-40B4-BE49-F238E27FC236}">
              <a16:creationId xmlns:a16="http://schemas.microsoft.com/office/drawing/2014/main" id="{4C8F230D-369B-4E47-A162-23A7B495E836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285750</xdr:rowOff>
    </xdr:to>
    <xdr:sp macro="" textlink="">
      <xdr:nvSpPr>
        <xdr:cNvPr id="239158" name="Text Box 193">
          <a:extLst>
            <a:ext uri="{FF2B5EF4-FFF2-40B4-BE49-F238E27FC236}">
              <a16:creationId xmlns:a16="http://schemas.microsoft.com/office/drawing/2014/main" id="{597BA3A8-56D7-4CE3-81F5-C7074E0BBFF0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285750</xdr:rowOff>
    </xdr:to>
    <xdr:sp macro="" textlink="">
      <xdr:nvSpPr>
        <xdr:cNvPr id="239159" name="Text Box 194">
          <a:extLst>
            <a:ext uri="{FF2B5EF4-FFF2-40B4-BE49-F238E27FC236}">
              <a16:creationId xmlns:a16="http://schemas.microsoft.com/office/drawing/2014/main" id="{8F23E36C-7DD4-4264-A052-569680FA143C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285750</xdr:rowOff>
    </xdr:to>
    <xdr:sp macro="" textlink="">
      <xdr:nvSpPr>
        <xdr:cNvPr id="239160" name="Text Box 195">
          <a:extLst>
            <a:ext uri="{FF2B5EF4-FFF2-40B4-BE49-F238E27FC236}">
              <a16:creationId xmlns:a16="http://schemas.microsoft.com/office/drawing/2014/main" id="{15D8096E-C4F1-4CE3-B1DD-F25B8BD0C328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66675</xdr:colOff>
      <xdr:row>26</xdr:row>
      <xdr:rowOff>57150</xdr:rowOff>
    </xdr:to>
    <xdr:sp macro="" textlink="">
      <xdr:nvSpPr>
        <xdr:cNvPr id="239161" name="Text Box 193">
          <a:extLst>
            <a:ext uri="{FF2B5EF4-FFF2-40B4-BE49-F238E27FC236}">
              <a16:creationId xmlns:a16="http://schemas.microsoft.com/office/drawing/2014/main" id="{39A6B26E-53DD-40DE-97C2-326A26724074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66675</xdr:colOff>
      <xdr:row>26</xdr:row>
      <xdr:rowOff>57150</xdr:rowOff>
    </xdr:to>
    <xdr:sp macro="" textlink="">
      <xdr:nvSpPr>
        <xdr:cNvPr id="239162" name="Text Box 194">
          <a:extLst>
            <a:ext uri="{FF2B5EF4-FFF2-40B4-BE49-F238E27FC236}">
              <a16:creationId xmlns:a16="http://schemas.microsoft.com/office/drawing/2014/main" id="{F5381AFB-F645-4FF6-A9E1-FF6BB44880F2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5</xdr:col>
      <xdr:colOff>66675</xdr:colOff>
      <xdr:row>26</xdr:row>
      <xdr:rowOff>57150</xdr:rowOff>
    </xdr:to>
    <xdr:sp macro="" textlink="">
      <xdr:nvSpPr>
        <xdr:cNvPr id="239163" name="Text Box 195">
          <a:extLst>
            <a:ext uri="{FF2B5EF4-FFF2-40B4-BE49-F238E27FC236}">
              <a16:creationId xmlns:a16="http://schemas.microsoft.com/office/drawing/2014/main" id="{5DA8AD45-26C7-43C9-9ACB-52FA72D54DF4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28575</xdr:rowOff>
    </xdr:to>
    <xdr:sp macro="" textlink="">
      <xdr:nvSpPr>
        <xdr:cNvPr id="239164" name="Text Box 71">
          <a:extLst>
            <a:ext uri="{FF2B5EF4-FFF2-40B4-BE49-F238E27FC236}">
              <a16:creationId xmlns:a16="http://schemas.microsoft.com/office/drawing/2014/main" id="{49B1B231-CEEC-40B0-9BD1-536418A8F3B0}"/>
            </a:ext>
          </a:extLst>
        </xdr:cNvPr>
        <xdr:cNvSpPr txBox="1">
          <a:spLocks noChangeArrowheads="1"/>
        </xdr:cNvSpPr>
      </xdr:nvSpPr>
      <xdr:spPr bwMode="auto">
        <a:xfrm>
          <a:off x="6762750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28575</xdr:rowOff>
    </xdr:to>
    <xdr:sp macro="" textlink="">
      <xdr:nvSpPr>
        <xdr:cNvPr id="239165" name="Text Box 175">
          <a:extLst>
            <a:ext uri="{FF2B5EF4-FFF2-40B4-BE49-F238E27FC236}">
              <a16:creationId xmlns:a16="http://schemas.microsoft.com/office/drawing/2014/main" id="{0A12549D-511A-4682-B8D5-FF779C3E4EC1}"/>
            </a:ext>
          </a:extLst>
        </xdr:cNvPr>
        <xdr:cNvSpPr txBox="1">
          <a:spLocks noChangeArrowheads="1"/>
        </xdr:cNvSpPr>
      </xdr:nvSpPr>
      <xdr:spPr bwMode="auto">
        <a:xfrm>
          <a:off x="6762750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66" name="Text Box 1">
          <a:extLst>
            <a:ext uri="{FF2B5EF4-FFF2-40B4-BE49-F238E27FC236}">
              <a16:creationId xmlns:a16="http://schemas.microsoft.com/office/drawing/2014/main" id="{087469A0-1318-4BFE-A19C-CECD38D6189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67" name="Text Box 23">
          <a:extLst>
            <a:ext uri="{FF2B5EF4-FFF2-40B4-BE49-F238E27FC236}">
              <a16:creationId xmlns:a16="http://schemas.microsoft.com/office/drawing/2014/main" id="{90D1D616-B0D9-4EF2-8803-88CBF95688B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68" name="Text Box 24">
          <a:extLst>
            <a:ext uri="{FF2B5EF4-FFF2-40B4-BE49-F238E27FC236}">
              <a16:creationId xmlns:a16="http://schemas.microsoft.com/office/drawing/2014/main" id="{F6901C5E-E74A-4345-B842-9DA6E2868D5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69" name="Text Box 25">
          <a:extLst>
            <a:ext uri="{FF2B5EF4-FFF2-40B4-BE49-F238E27FC236}">
              <a16:creationId xmlns:a16="http://schemas.microsoft.com/office/drawing/2014/main" id="{AEBF69F7-2AE4-48EA-BAD3-414E07C237F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0" name="Text Box 26">
          <a:extLst>
            <a:ext uri="{FF2B5EF4-FFF2-40B4-BE49-F238E27FC236}">
              <a16:creationId xmlns:a16="http://schemas.microsoft.com/office/drawing/2014/main" id="{B4986F39-2577-4794-9AE1-C12F4EF36DB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1" name="Text Box 27">
          <a:extLst>
            <a:ext uri="{FF2B5EF4-FFF2-40B4-BE49-F238E27FC236}">
              <a16:creationId xmlns:a16="http://schemas.microsoft.com/office/drawing/2014/main" id="{C835B619-C478-4037-9307-FE20DF8761F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2" name="Text Box 28">
          <a:extLst>
            <a:ext uri="{FF2B5EF4-FFF2-40B4-BE49-F238E27FC236}">
              <a16:creationId xmlns:a16="http://schemas.microsoft.com/office/drawing/2014/main" id="{508766CE-6138-4B35-B28C-0A64FFFFBC4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3" name="Text Box 29">
          <a:extLst>
            <a:ext uri="{FF2B5EF4-FFF2-40B4-BE49-F238E27FC236}">
              <a16:creationId xmlns:a16="http://schemas.microsoft.com/office/drawing/2014/main" id="{DCE53C8A-4541-4757-B760-0E96409EB12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4" name="Text Box 30">
          <a:extLst>
            <a:ext uri="{FF2B5EF4-FFF2-40B4-BE49-F238E27FC236}">
              <a16:creationId xmlns:a16="http://schemas.microsoft.com/office/drawing/2014/main" id="{297D94D9-E06A-41BD-9D7F-7CD56C40370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5" name="Text Box 31">
          <a:extLst>
            <a:ext uri="{FF2B5EF4-FFF2-40B4-BE49-F238E27FC236}">
              <a16:creationId xmlns:a16="http://schemas.microsoft.com/office/drawing/2014/main" id="{BADAD10E-D060-4625-9FE1-019D0520C37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6" name="Text Box 32">
          <a:extLst>
            <a:ext uri="{FF2B5EF4-FFF2-40B4-BE49-F238E27FC236}">
              <a16:creationId xmlns:a16="http://schemas.microsoft.com/office/drawing/2014/main" id="{2655CB0A-DBB2-4E04-BE62-C1BDE8DF66C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7" name="Text Box 33">
          <a:extLst>
            <a:ext uri="{FF2B5EF4-FFF2-40B4-BE49-F238E27FC236}">
              <a16:creationId xmlns:a16="http://schemas.microsoft.com/office/drawing/2014/main" id="{4A85A4E7-FCBB-4A7C-BA3F-8B010B38004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8" name="Text Box 34">
          <a:extLst>
            <a:ext uri="{FF2B5EF4-FFF2-40B4-BE49-F238E27FC236}">
              <a16:creationId xmlns:a16="http://schemas.microsoft.com/office/drawing/2014/main" id="{44C56A3E-DF13-4F1E-879F-4DCB795FC7F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79" name="Text Box 35">
          <a:extLst>
            <a:ext uri="{FF2B5EF4-FFF2-40B4-BE49-F238E27FC236}">
              <a16:creationId xmlns:a16="http://schemas.microsoft.com/office/drawing/2014/main" id="{411145D5-C735-4832-99C3-0EE176B56C3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0" name="Text Box 36">
          <a:extLst>
            <a:ext uri="{FF2B5EF4-FFF2-40B4-BE49-F238E27FC236}">
              <a16:creationId xmlns:a16="http://schemas.microsoft.com/office/drawing/2014/main" id="{74F87DEA-FA57-4BF7-9EDA-AB1CE6DE98B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1" name="Text Box 37">
          <a:extLst>
            <a:ext uri="{FF2B5EF4-FFF2-40B4-BE49-F238E27FC236}">
              <a16:creationId xmlns:a16="http://schemas.microsoft.com/office/drawing/2014/main" id="{1F4C3953-04D9-45FF-AF1E-26640C9A335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2" name="Text Box 38">
          <a:extLst>
            <a:ext uri="{FF2B5EF4-FFF2-40B4-BE49-F238E27FC236}">
              <a16:creationId xmlns:a16="http://schemas.microsoft.com/office/drawing/2014/main" id="{8367C835-72FB-4748-962D-5B28BAD9D7A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3" name="Text Box 39">
          <a:extLst>
            <a:ext uri="{FF2B5EF4-FFF2-40B4-BE49-F238E27FC236}">
              <a16:creationId xmlns:a16="http://schemas.microsoft.com/office/drawing/2014/main" id="{829BA66E-BA67-4D3C-8D27-B49569803E2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4" name="Text Box 40">
          <a:extLst>
            <a:ext uri="{FF2B5EF4-FFF2-40B4-BE49-F238E27FC236}">
              <a16:creationId xmlns:a16="http://schemas.microsoft.com/office/drawing/2014/main" id="{C2106024-1AB2-449D-A398-B5683F5CA09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5" name="Text Box 41">
          <a:extLst>
            <a:ext uri="{FF2B5EF4-FFF2-40B4-BE49-F238E27FC236}">
              <a16:creationId xmlns:a16="http://schemas.microsoft.com/office/drawing/2014/main" id="{91BAF0BF-52E3-4381-A011-C5368F0254F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6" name="Text Box 42">
          <a:extLst>
            <a:ext uri="{FF2B5EF4-FFF2-40B4-BE49-F238E27FC236}">
              <a16:creationId xmlns:a16="http://schemas.microsoft.com/office/drawing/2014/main" id="{781A9210-E160-44CC-91BB-E92FE26F76A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7" name="Text Box 43">
          <a:extLst>
            <a:ext uri="{FF2B5EF4-FFF2-40B4-BE49-F238E27FC236}">
              <a16:creationId xmlns:a16="http://schemas.microsoft.com/office/drawing/2014/main" id="{F00CDC30-63D5-4EAA-983D-454C16AFDAB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8" name="Text Box 44">
          <a:extLst>
            <a:ext uri="{FF2B5EF4-FFF2-40B4-BE49-F238E27FC236}">
              <a16:creationId xmlns:a16="http://schemas.microsoft.com/office/drawing/2014/main" id="{BE17B0D0-4A77-42CC-B73F-4624C94D723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89" name="Text Box 45">
          <a:extLst>
            <a:ext uri="{FF2B5EF4-FFF2-40B4-BE49-F238E27FC236}">
              <a16:creationId xmlns:a16="http://schemas.microsoft.com/office/drawing/2014/main" id="{569E55BE-9A88-4425-AE85-ADD16FF9815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0" name="Text Box 46">
          <a:extLst>
            <a:ext uri="{FF2B5EF4-FFF2-40B4-BE49-F238E27FC236}">
              <a16:creationId xmlns:a16="http://schemas.microsoft.com/office/drawing/2014/main" id="{59668072-423B-4A2E-8951-530547B2D18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1" name="Text Box 47">
          <a:extLst>
            <a:ext uri="{FF2B5EF4-FFF2-40B4-BE49-F238E27FC236}">
              <a16:creationId xmlns:a16="http://schemas.microsoft.com/office/drawing/2014/main" id="{F17D2661-C338-40EB-B8E6-6215B8C710B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2" name="Text Box 48">
          <a:extLst>
            <a:ext uri="{FF2B5EF4-FFF2-40B4-BE49-F238E27FC236}">
              <a16:creationId xmlns:a16="http://schemas.microsoft.com/office/drawing/2014/main" id="{FAB05CD1-31D9-4659-812C-7258B9EBADD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3" name="Text Box 49">
          <a:extLst>
            <a:ext uri="{FF2B5EF4-FFF2-40B4-BE49-F238E27FC236}">
              <a16:creationId xmlns:a16="http://schemas.microsoft.com/office/drawing/2014/main" id="{FCEA8648-E4A8-4D04-BD82-A48BEB3D1C5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4" name="Text Box 50">
          <a:extLst>
            <a:ext uri="{FF2B5EF4-FFF2-40B4-BE49-F238E27FC236}">
              <a16:creationId xmlns:a16="http://schemas.microsoft.com/office/drawing/2014/main" id="{B46A7190-930F-471A-BDD7-403FD028D8B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5" name="Text Box 51">
          <a:extLst>
            <a:ext uri="{FF2B5EF4-FFF2-40B4-BE49-F238E27FC236}">
              <a16:creationId xmlns:a16="http://schemas.microsoft.com/office/drawing/2014/main" id="{144870F8-6976-4BE4-BA41-BB98EB9D052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6" name="Text Box 52">
          <a:extLst>
            <a:ext uri="{FF2B5EF4-FFF2-40B4-BE49-F238E27FC236}">
              <a16:creationId xmlns:a16="http://schemas.microsoft.com/office/drawing/2014/main" id="{D449553F-FF3D-4BDE-BCBC-2486574C7EC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7" name="Text Box 53">
          <a:extLst>
            <a:ext uri="{FF2B5EF4-FFF2-40B4-BE49-F238E27FC236}">
              <a16:creationId xmlns:a16="http://schemas.microsoft.com/office/drawing/2014/main" id="{570E02F6-E0C4-43E8-8CFA-1DEEFF0E27D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8" name="Text Box 54">
          <a:extLst>
            <a:ext uri="{FF2B5EF4-FFF2-40B4-BE49-F238E27FC236}">
              <a16:creationId xmlns:a16="http://schemas.microsoft.com/office/drawing/2014/main" id="{52BE1191-1F45-4D2C-8932-7D47E8AB0D3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199" name="Text Box 55">
          <a:extLst>
            <a:ext uri="{FF2B5EF4-FFF2-40B4-BE49-F238E27FC236}">
              <a16:creationId xmlns:a16="http://schemas.microsoft.com/office/drawing/2014/main" id="{233D6593-2446-46EA-BF98-19DD7CF4103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0" name="Text Box 56">
          <a:extLst>
            <a:ext uri="{FF2B5EF4-FFF2-40B4-BE49-F238E27FC236}">
              <a16:creationId xmlns:a16="http://schemas.microsoft.com/office/drawing/2014/main" id="{A40D6EEC-DCDB-4BCD-A651-C2DD173D77F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1" name="Text Box 57">
          <a:extLst>
            <a:ext uri="{FF2B5EF4-FFF2-40B4-BE49-F238E27FC236}">
              <a16:creationId xmlns:a16="http://schemas.microsoft.com/office/drawing/2014/main" id="{29137519-2476-4713-A6A2-4F0C4A659FD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2" name="Text Box 58">
          <a:extLst>
            <a:ext uri="{FF2B5EF4-FFF2-40B4-BE49-F238E27FC236}">
              <a16:creationId xmlns:a16="http://schemas.microsoft.com/office/drawing/2014/main" id="{58EF7315-33E1-4204-BB88-63F2AC0ECBB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3" name="Text Box 59">
          <a:extLst>
            <a:ext uri="{FF2B5EF4-FFF2-40B4-BE49-F238E27FC236}">
              <a16:creationId xmlns:a16="http://schemas.microsoft.com/office/drawing/2014/main" id="{EADB557B-FAEC-4B62-ADA4-97F34361D5E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4" name="Text Box 60">
          <a:extLst>
            <a:ext uri="{FF2B5EF4-FFF2-40B4-BE49-F238E27FC236}">
              <a16:creationId xmlns:a16="http://schemas.microsoft.com/office/drawing/2014/main" id="{EC81674D-B6FA-4D5C-AA68-C3C73A14574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5" name="Text Box 61">
          <a:extLst>
            <a:ext uri="{FF2B5EF4-FFF2-40B4-BE49-F238E27FC236}">
              <a16:creationId xmlns:a16="http://schemas.microsoft.com/office/drawing/2014/main" id="{7C1B0B6D-A95C-4C0F-BEF0-AE3C363C416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6" name="Text Box 62">
          <a:extLst>
            <a:ext uri="{FF2B5EF4-FFF2-40B4-BE49-F238E27FC236}">
              <a16:creationId xmlns:a16="http://schemas.microsoft.com/office/drawing/2014/main" id="{53B27661-B8F2-4661-866F-6B8939B3235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7" name="Text Box 63">
          <a:extLst>
            <a:ext uri="{FF2B5EF4-FFF2-40B4-BE49-F238E27FC236}">
              <a16:creationId xmlns:a16="http://schemas.microsoft.com/office/drawing/2014/main" id="{CECA3620-7568-4E23-8709-B8AC376502C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8" name="Text Box 64">
          <a:extLst>
            <a:ext uri="{FF2B5EF4-FFF2-40B4-BE49-F238E27FC236}">
              <a16:creationId xmlns:a16="http://schemas.microsoft.com/office/drawing/2014/main" id="{F5B2F940-A525-4506-909B-20B3553E7DC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09" name="Text Box 65">
          <a:extLst>
            <a:ext uri="{FF2B5EF4-FFF2-40B4-BE49-F238E27FC236}">
              <a16:creationId xmlns:a16="http://schemas.microsoft.com/office/drawing/2014/main" id="{9A9B60F6-644E-4764-AF23-9A40569998D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0" name="Text Box 66">
          <a:extLst>
            <a:ext uri="{FF2B5EF4-FFF2-40B4-BE49-F238E27FC236}">
              <a16:creationId xmlns:a16="http://schemas.microsoft.com/office/drawing/2014/main" id="{49CCCC59-0004-41E8-A558-C85B8E72CAA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1" name="Text Box 67">
          <a:extLst>
            <a:ext uri="{FF2B5EF4-FFF2-40B4-BE49-F238E27FC236}">
              <a16:creationId xmlns:a16="http://schemas.microsoft.com/office/drawing/2014/main" id="{61F3EF80-603A-42FD-ABCB-146EFA3FD8E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2" name="Text Box 68">
          <a:extLst>
            <a:ext uri="{FF2B5EF4-FFF2-40B4-BE49-F238E27FC236}">
              <a16:creationId xmlns:a16="http://schemas.microsoft.com/office/drawing/2014/main" id="{6A4B3BC8-0A8D-4C3F-977D-07E923CE507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3" name="Text Box 69">
          <a:extLst>
            <a:ext uri="{FF2B5EF4-FFF2-40B4-BE49-F238E27FC236}">
              <a16:creationId xmlns:a16="http://schemas.microsoft.com/office/drawing/2014/main" id="{44431E0E-7A6D-4A67-98FA-0587E57320E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4" name="Text Box 70">
          <a:extLst>
            <a:ext uri="{FF2B5EF4-FFF2-40B4-BE49-F238E27FC236}">
              <a16:creationId xmlns:a16="http://schemas.microsoft.com/office/drawing/2014/main" id="{9258B6DE-DD4F-4F01-84B6-B9AE48B0DDD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5" name="Text Box 72">
          <a:extLst>
            <a:ext uri="{FF2B5EF4-FFF2-40B4-BE49-F238E27FC236}">
              <a16:creationId xmlns:a16="http://schemas.microsoft.com/office/drawing/2014/main" id="{0B8E0DC9-A093-4EB5-A034-1435F44FDBD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6" name="Text Box 73">
          <a:extLst>
            <a:ext uri="{FF2B5EF4-FFF2-40B4-BE49-F238E27FC236}">
              <a16:creationId xmlns:a16="http://schemas.microsoft.com/office/drawing/2014/main" id="{3E22E2A9-153E-4C39-B807-0ED07FF33D4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7" name="Text Box 77">
          <a:extLst>
            <a:ext uri="{FF2B5EF4-FFF2-40B4-BE49-F238E27FC236}">
              <a16:creationId xmlns:a16="http://schemas.microsoft.com/office/drawing/2014/main" id="{D7AFF933-56B5-4548-88D8-54A5B21DBD7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8" name="Text Box 78">
          <a:extLst>
            <a:ext uri="{FF2B5EF4-FFF2-40B4-BE49-F238E27FC236}">
              <a16:creationId xmlns:a16="http://schemas.microsoft.com/office/drawing/2014/main" id="{E964EDE6-721E-4D85-BDED-0463A5BA019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19" name="Text Box 79">
          <a:extLst>
            <a:ext uri="{FF2B5EF4-FFF2-40B4-BE49-F238E27FC236}">
              <a16:creationId xmlns:a16="http://schemas.microsoft.com/office/drawing/2014/main" id="{55FCE2A8-0FFC-48E9-BBCD-C9979F22AA4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20" name="Text Box 80">
          <a:extLst>
            <a:ext uri="{FF2B5EF4-FFF2-40B4-BE49-F238E27FC236}">
              <a16:creationId xmlns:a16="http://schemas.microsoft.com/office/drawing/2014/main" id="{89A03255-F8C6-4BCA-93AD-68D9327A0D0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21" name="Text Box 81">
          <a:extLst>
            <a:ext uri="{FF2B5EF4-FFF2-40B4-BE49-F238E27FC236}">
              <a16:creationId xmlns:a16="http://schemas.microsoft.com/office/drawing/2014/main" id="{0EE1A952-A955-45B8-8523-3C0915A693F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22" name="Text Box 82">
          <a:extLst>
            <a:ext uri="{FF2B5EF4-FFF2-40B4-BE49-F238E27FC236}">
              <a16:creationId xmlns:a16="http://schemas.microsoft.com/office/drawing/2014/main" id="{619936F5-F667-4D93-9940-44D45B92E9A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42</xdr:row>
      <xdr:rowOff>0</xdr:rowOff>
    </xdr:from>
    <xdr:to>
      <xdr:col>4</xdr:col>
      <xdr:colOff>304800</xdr:colOff>
      <xdr:row>43</xdr:row>
      <xdr:rowOff>28575</xdr:rowOff>
    </xdr:to>
    <xdr:sp macro="" textlink="">
      <xdr:nvSpPr>
        <xdr:cNvPr id="239223" name="Text Box 83">
          <a:extLst>
            <a:ext uri="{FF2B5EF4-FFF2-40B4-BE49-F238E27FC236}">
              <a16:creationId xmlns:a16="http://schemas.microsoft.com/office/drawing/2014/main" id="{5737F144-725B-4740-9C1C-2127AF9CC2F7}"/>
            </a:ext>
          </a:extLst>
        </xdr:cNvPr>
        <xdr:cNvSpPr txBox="1">
          <a:spLocks noChangeArrowheads="1"/>
        </xdr:cNvSpPr>
      </xdr:nvSpPr>
      <xdr:spPr bwMode="auto">
        <a:xfrm>
          <a:off x="6677025" y="8896350"/>
          <a:ext cx="57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24" name="Text Box 84">
          <a:extLst>
            <a:ext uri="{FF2B5EF4-FFF2-40B4-BE49-F238E27FC236}">
              <a16:creationId xmlns:a16="http://schemas.microsoft.com/office/drawing/2014/main" id="{C3792B8F-02E0-4499-874B-61BF9F23DCE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25" name="Text Box 85">
          <a:extLst>
            <a:ext uri="{FF2B5EF4-FFF2-40B4-BE49-F238E27FC236}">
              <a16:creationId xmlns:a16="http://schemas.microsoft.com/office/drawing/2014/main" id="{FBF7C45C-B89E-47E1-BA1E-254F1E152F4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26" name="Text Box 89">
          <a:extLst>
            <a:ext uri="{FF2B5EF4-FFF2-40B4-BE49-F238E27FC236}">
              <a16:creationId xmlns:a16="http://schemas.microsoft.com/office/drawing/2014/main" id="{44796680-5F43-4DC5-B369-AF124A57990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27" name="Text Box 90">
          <a:extLst>
            <a:ext uri="{FF2B5EF4-FFF2-40B4-BE49-F238E27FC236}">
              <a16:creationId xmlns:a16="http://schemas.microsoft.com/office/drawing/2014/main" id="{D577A937-2216-46C5-BF7A-8ED7EFD4F4F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28" name="Text Box 91">
          <a:extLst>
            <a:ext uri="{FF2B5EF4-FFF2-40B4-BE49-F238E27FC236}">
              <a16:creationId xmlns:a16="http://schemas.microsoft.com/office/drawing/2014/main" id="{4A258C0C-1483-458B-BFC5-D6490CCADC0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29" name="Text Box 92">
          <a:extLst>
            <a:ext uri="{FF2B5EF4-FFF2-40B4-BE49-F238E27FC236}">
              <a16:creationId xmlns:a16="http://schemas.microsoft.com/office/drawing/2014/main" id="{492F4592-F556-4711-9048-AAD066278D3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0" name="Text Box 93">
          <a:extLst>
            <a:ext uri="{FF2B5EF4-FFF2-40B4-BE49-F238E27FC236}">
              <a16:creationId xmlns:a16="http://schemas.microsoft.com/office/drawing/2014/main" id="{A0DF1498-0828-4251-832C-3629E2FB9E8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1" name="Text Box 94">
          <a:extLst>
            <a:ext uri="{FF2B5EF4-FFF2-40B4-BE49-F238E27FC236}">
              <a16:creationId xmlns:a16="http://schemas.microsoft.com/office/drawing/2014/main" id="{A646E4BD-A3B6-4C8E-95BC-12CC1F7D1D4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2" name="Text Box 95">
          <a:extLst>
            <a:ext uri="{FF2B5EF4-FFF2-40B4-BE49-F238E27FC236}">
              <a16:creationId xmlns:a16="http://schemas.microsoft.com/office/drawing/2014/main" id="{23EDDF72-8C64-49C0-98B0-26C4B8BA7F0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3" name="Text Box 96">
          <a:extLst>
            <a:ext uri="{FF2B5EF4-FFF2-40B4-BE49-F238E27FC236}">
              <a16:creationId xmlns:a16="http://schemas.microsoft.com/office/drawing/2014/main" id="{E1DE4F41-17D7-4F97-B7A0-19D35CA5D7E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4" name="Text Box 97">
          <a:extLst>
            <a:ext uri="{FF2B5EF4-FFF2-40B4-BE49-F238E27FC236}">
              <a16:creationId xmlns:a16="http://schemas.microsoft.com/office/drawing/2014/main" id="{47E05C2E-D2CA-42E5-957A-C90A0473D3E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5" name="Text Box 101">
          <a:extLst>
            <a:ext uri="{FF2B5EF4-FFF2-40B4-BE49-F238E27FC236}">
              <a16:creationId xmlns:a16="http://schemas.microsoft.com/office/drawing/2014/main" id="{9A68F74C-BF5B-4B3F-88B1-682C6B6FA6E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6" name="Text Box 102">
          <a:extLst>
            <a:ext uri="{FF2B5EF4-FFF2-40B4-BE49-F238E27FC236}">
              <a16:creationId xmlns:a16="http://schemas.microsoft.com/office/drawing/2014/main" id="{EB9F646B-A295-4F11-8E99-16244944CE2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7" name="Text Box 103">
          <a:extLst>
            <a:ext uri="{FF2B5EF4-FFF2-40B4-BE49-F238E27FC236}">
              <a16:creationId xmlns:a16="http://schemas.microsoft.com/office/drawing/2014/main" id="{32F17D3F-F70A-47EC-AD40-8CECC5D37A6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8" name="Text Box 104">
          <a:extLst>
            <a:ext uri="{FF2B5EF4-FFF2-40B4-BE49-F238E27FC236}">
              <a16:creationId xmlns:a16="http://schemas.microsoft.com/office/drawing/2014/main" id="{C6592F8D-BAEA-4C84-A75E-F63F34CDCA0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39" name="Text Box 105">
          <a:extLst>
            <a:ext uri="{FF2B5EF4-FFF2-40B4-BE49-F238E27FC236}">
              <a16:creationId xmlns:a16="http://schemas.microsoft.com/office/drawing/2014/main" id="{C6B512A9-A022-43FF-B609-75DE5F16028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0" name="Text Box 106">
          <a:extLst>
            <a:ext uri="{FF2B5EF4-FFF2-40B4-BE49-F238E27FC236}">
              <a16:creationId xmlns:a16="http://schemas.microsoft.com/office/drawing/2014/main" id="{15D6FA95-94DE-498B-87EA-309BACCA988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1" name="Text Box 107">
          <a:extLst>
            <a:ext uri="{FF2B5EF4-FFF2-40B4-BE49-F238E27FC236}">
              <a16:creationId xmlns:a16="http://schemas.microsoft.com/office/drawing/2014/main" id="{6090A4E9-B611-49B8-B594-08E5A9E6696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2" name="Text Box 108">
          <a:extLst>
            <a:ext uri="{FF2B5EF4-FFF2-40B4-BE49-F238E27FC236}">
              <a16:creationId xmlns:a16="http://schemas.microsoft.com/office/drawing/2014/main" id="{C8A49EB5-1095-4B18-AB58-1CAB5BBD060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3" name="Text Box 109">
          <a:extLst>
            <a:ext uri="{FF2B5EF4-FFF2-40B4-BE49-F238E27FC236}">
              <a16:creationId xmlns:a16="http://schemas.microsoft.com/office/drawing/2014/main" id="{AAE6F5E0-B89A-469D-87D7-DBAF014C816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4" name="Text Box 113">
          <a:extLst>
            <a:ext uri="{FF2B5EF4-FFF2-40B4-BE49-F238E27FC236}">
              <a16:creationId xmlns:a16="http://schemas.microsoft.com/office/drawing/2014/main" id="{81B9FF9C-F4A5-4E9F-99D1-DDB0D565262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5" name="Text Box 114">
          <a:extLst>
            <a:ext uri="{FF2B5EF4-FFF2-40B4-BE49-F238E27FC236}">
              <a16:creationId xmlns:a16="http://schemas.microsoft.com/office/drawing/2014/main" id="{7CEEFEBD-7C6C-4173-A132-8661E62A0F8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6" name="Text Box 115">
          <a:extLst>
            <a:ext uri="{FF2B5EF4-FFF2-40B4-BE49-F238E27FC236}">
              <a16:creationId xmlns:a16="http://schemas.microsoft.com/office/drawing/2014/main" id="{99968231-BC51-478D-B8C5-3DCF9C0B975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7" name="Text Box 116">
          <a:extLst>
            <a:ext uri="{FF2B5EF4-FFF2-40B4-BE49-F238E27FC236}">
              <a16:creationId xmlns:a16="http://schemas.microsoft.com/office/drawing/2014/main" id="{15F3FEBC-B527-4F4B-8374-651AFBA46B4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8" name="Text Box 117">
          <a:extLst>
            <a:ext uri="{FF2B5EF4-FFF2-40B4-BE49-F238E27FC236}">
              <a16:creationId xmlns:a16="http://schemas.microsoft.com/office/drawing/2014/main" id="{FBFD1B9A-5E80-4E0A-A51C-31B6E2A3356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49" name="Text Box 118">
          <a:extLst>
            <a:ext uri="{FF2B5EF4-FFF2-40B4-BE49-F238E27FC236}">
              <a16:creationId xmlns:a16="http://schemas.microsoft.com/office/drawing/2014/main" id="{74DF9387-2977-4947-89F0-F6FC98BBDA7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0" name="Text Box 119">
          <a:extLst>
            <a:ext uri="{FF2B5EF4-FFF2-40B4-BE49-F238E27FC236}">
              <a16:creationId xmlns:a16="http://schemas.microsoft.com/office/drawing/2014/main" id="{DF8DD3BD-190C-484E-9A6B-D04F9F1C609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1" name="Text Box 120">
          <a:extLst>
            <a:ext uri="{FF2B5EF4-FFF2-40B4-BE49-F238E27FC236}">
              <a16:creationId xmlns:a16="http://schemas.microsoft.com/office/drawing/2014/main" id="{8F515885-DC91-488B-AE3C-A4C0C42834E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2" name="Text Box 121">
          <a:extLst>
            <a:ext uri="{FF2B5EF4-FFF2-40B4-BE49-F238E27FC236}">
              <a16:creationId xmlns:a16="http://schemas.microsoft.com/office/drawing/2014/main" id="{76EB628B-879D-44D5-AB8D-96B0B496F66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3" name="Text Box 125">
          <a:extLst>
            <a:ext uri="{FF2B5EF4-FFF2-40B4-BE49-F238E27FC236}">
              <a16:creationId xmlns:a16="http://schemas.microsoft.com/office/drawing/2014/main" id="{93D52882-AC4D-4A12-9F20-E3C5E8AD8FF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4" name="Text Box 126">
          <a:extLst>
            <a:ext uri="{FF2B5EF4-FFF2-40B4-BE49-F238E27FC236}">
              <a16:creationId xmlns:a16="http://schemas.microsoft.com/office/drawing/2014/main" id="{078A001B-0A6D-458E-935D-2294C1F675C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5" name="Text Box 127">
          <a:extLst>
            <a:ext uri="{FF2B5EF4-FFF2-40B4-BE49-F238E27FC236}">
              <a16:creationId xmlns:a16="http://schemas.microsoft.com/office/drawing/2014/main" id="{1BFA2AF6-36AE-4001-B745-D3881558E83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6" name="Text Box 128">
          <a:extLst>
            <a:ext uri="{FF2B5EF4-FFF2-40B4-BE49-F238E27FC236}">
              <a16:creationId xmlns:a16="http://schemas.microsoft.com/office/drawing/2014/main" id="{0C789681-F8EE-4481-B707-04208E13A96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7" name="Text Box 129">
          <a:extLst>
            <a:ext uri="{FF2B5EF4-FFF2-40B4-BE49-F238E27FC236}">
              <a16:creationId xmlns:a16="http://schemas.microsoft.com/office/drawing/2014/main" id="{E1508A8F-ADD0-4B60-BC15-CD299F5DA51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8" name="Text Box 130">
          <a:extLst>
            <a:ext uri="{FF2B5EF4-FFF2-40B4-BE49-F238E27FC236}">
              <a16:creationId xmlns:a16="http://schemas.microsoft.com/office/drawing/2014/main" id="{6D699619-C665-4CC8-B84F-5141FDECEE3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59" name="Text Box 131">
          <a:extLst>
            <a:ext uri="{FF2B5EF4-FFF2-40B4-BE49-F238E27FC236}">
              <a16:creationId xmlns:a16="http://schemas.microsoft.com/office/drawing/2014/main" id="{DE121A17-5A95-43BD-83AD-A1C28EEB485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0" name="Text Box 132">
          <a:extLst>
            <a:ext uri="{FF2B5EF4-FFF2-40B4-BE49-F238E27FC236}">
              <a16:creationId xmlns:a16="http://schemas.microsoft.com/office/drawing/2014/main" id="{47DF0E14-48BF-4C25-9142-CF1139F92E5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1" name="Text Box 133">
          <a:extLst>
            <a:ext uri="{FF2B5EF4-FFF2-40B4-BE49-F238E27FC236}">
              <a16:creationId xmlns:a16="http://schemas.microsoft.com/office/drawing/2014/main" id="{16458AC7-AF56-446B-B29E-B0F3094C7F1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2" name="Text Box 137">
          <a:extLst>
            <a:ext uri="{FF2B5EF4-FFF2-40B4-BE49-F238E27FC236}">
              <a16:creationId xmlns:a16="http://schemas.microsoft.com/office/drawing/2014/main" id="{F3008186-D5FD-4C01-A835-EA96BCAF733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3" name="Text Box 138">
          <a:extLst>
            <a:ext uri="{FF2B5EF4-FFF2-40B4-BE49-F238E27FC236}">
              <a16:creationId xmlns:a16="http://schemas.microsoft.com/office/drawing/2014/main" id="{A7BB7D10-04D8-42F7-BD0A-E6B5F46AF69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4" name="Text Box 139">
          <a:extLst>
            <a:ext uri="{FF2B5EF4-FFF2-40B4-BE49-F238E27FC236}">
              <a16:creationId xmlns:a16="http://schemas.microsoft.com/office/drawing/2014/main" id="{7FD89502-835A-4EA5-A8ED-E545B343372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5" name="Text Box 140">
          <a:extLst>
            <a:ext uri="{FF2B5EF4-FFF2-40B4-BE49-F238E27FC236}">
              <a16:creationId xmlns:a16="http://schemas.microsoft.com/office/drawing/2014/main" id="{0FF8B88F-70BB-410E-9EDE-DCB32FB6DE1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6" name="Text Box 141">
          <a:extLst>
            <a:ext uri="{FF2B5EF4-FFF2-40B4-BE49-F238E27FC236}">
              <a16:creationId xmlns:a16="http://schemas.microsoft.com/office/drawing/2014/main" id="{D2EC0696-60DA-498F-A83F-5872BD1E998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7" name="Text Box 142">
          <a:extLst>
            <a:ext uri="{FF2B5EF4-FFF2-40B4-BE49-F238E27FC236}">
              <a16:creationId xmlns:a16="http://schemas.microsoft.com/office/drawing/2014/main" id="{46BC18C5-C840-46E7-A0DC-FB43E0ABED2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8" name="Text Box 143">
          <a:extLst>
            <a:ext uri="{FF2B5EF4-FFF2-40B4-BE49-F238E27FC236}">
              <a16:creationId xmlns:a16="http://schemas.microsoft.com/office/drawing/2014/main" id="{362AE35B-4F06-45AE-8E34-709B16435E7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69" name="Text Box 144">
          <a:extLst>
            <a:ext uri="{FF2B5EF4-FFF2-40B4-BE49-F238E27FC236}">
              <a16:creationId xmlns:a16="http://schemas.microsoft.com/office/drawing/2014/main" id="{6CC45FDB-0EAC-4C3D-9C1F-8CC670EC443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0" name="Text Box 145">
          <a:extLst>
            <a:ext uri="{FF2B5EF4-FFF2-40B4-BE49-F238E27FC236}">
              <a16:creationId xmlns:a16="http://schemas.microsoft.com/office/drawing/2014/main" id="{EA1D48FA-33A3-450E-96BD-9F08442CF87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1" name="Text Box 149">
          <a:extLst>
            <a:ext uri="{FF2B5EF4-FFF2-40B4-BE49-F238E27FC236}">
              <a16:creationId xmlns:a16="http://schemas.microsoft.com/office/drawing/2014/main" id="{CA6A402C-17D8-4B8C-A027-9CE7B056C8B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2" name="Text Box 150">
          <a:extLst>
            <a:ext uri="{FF2B5EF4-FFF2-40B4-BE49-F238E27FC236}">
              <a16:creationId xmlns:a16="http://schemas.microsoft.com/office/drawing/2014/main" id="{70BF85D5-9E22-41CE-A854-005DF7562A1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3" name="Text Box 151">
          <a:extLst>
            <a:ext uri="{FF2B5EF4-FFF2-40B4-BE49-F238E27FC236}">
              <a16:creationId xmlns:a16="http://schemas.microsoft.com/office/drawing/2014/main" id="{E6921D53-69C4-48D7-B484-A89918851E1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4" name="Text Box 152">
          <a:extLst>
            <a:ext uri="{FF2B5EF4-FFF2-40B4-BE49-F238E27FC236}">
              <a16:creationId xmlns:a16="http://schemas.microsoft.com/office/drawing/2014/main" id="{D8AD963E-0FDB-400B-A6D1-668C8962CB5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5" name="Text Box 153">
          <a:extLst>
            <a:ext uri="{FF2B5EF4-FFF2-40B4-BE49-F238E27FC236}">
              <a16:creationId xmlns:a16="http://schemas.microsoft.com/office/drawing/2014/main" id="{8F1D9788-3518-4379-8C66-C15EADF14AE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6" name="Text Box 154">
          <a:extLst>
            <a:ext uri="{FF2B5EF4-FFF2-40B4-BE49-F238E27FC236}">
              <a16:creationId xmlns:a16="http://schemas.microsoft.com/office/drawing/2014/main" id="{ABC38BC5-2BFE-4D94-8401-D4D638F1FFA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7" name="Text Box 155">
          <a:extLst>
            <a:ext uri="{FF2B5EF4-FFF2-40B4-BE49-F238E27FC236}">
              <a16:creationId xmlns:a16="http://schemas.microsoft.com/office/drawing/2014/main" id="{481A81DF-0090-41BC-A69D-B764921C75C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8" name="Text Box 156">
          <a:extLst>
            <a:ext uri="{FF2B5EF4-FFF2-40B4-BE49-F238E27FC236}">
              <a16:creationId xmlns:a16="http://schemas.microsoft.com/office/drawing/2014/main" id="{A5525ACD-FAFB-4F04-B7B8-FF67955871C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79" name="Text Box 157">
          <a:extLst>
            <a:ext uri="{FF2B5EF4-FFF2-40B4-BE49-F238E27FC236}">
              <a16:creationId xmlns:a16="http://schemas.microsoft.com/office/drawing/2014/main" id="{5D1DAA22-B003-4D19-A373-0237EC0FA1F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0" name="Text Box 161">
          <a:extLst>
            <a:ext uri="{FF2B5EF4-FFF2-40B4-BE49-F238E27FC236}">
              <a16:creationId xmlns:a16="http://schemas.microsoft.com/office/drawing/2014/main" id="{AAFFBB2C-0527-4FBD-BEA9-2229163B46B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1" name="Text Box 162">
          <a:extLst>
            <a:ext uri="{FF2B5EF4-FFF2-40B4-BE49-F238E27FC236}">
              <a16:creationId xmlns:a16="http://schemas.microsoft.com/office/drawing/2014/main" id="{6AEF086E-9FB7-4F5E-94A8-06927CA01E62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2" name="Text Box 163">
          <a:extLst>
            <a:ext uri="{FF2B5EF4-FFF2-40B4-BE49-F238E27FC236}">
              <a16:creationId xmlns:a16="http://schemas.microsoft.com/office/drawing/2014/main" id="{28FD2C31-5F0C-4439-9B45-E329A22AF2B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3" name="Text Box 164">
          <a:extLst>
            <a:ext uri="{FF2B5EF4-FFF2-40B4-BE49-F238E27FC236}">
              <a16:creationId xmlns:a16="http://schemas.microsoft.com/office/drawing/2014/main" id="{DC330171-D6EC-4835-884F-F048D924515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4" name="Text Box 165">
          <a:extLst>
            <a:ext uri="{FF2B5EF4-FFF2-40B4-BE49-F238E27FC236}">
              <a16:creationId xmlns:a16="http://schemas.microsoft.com/office/drawing/2014/main" id="{D813B661-4C57-41B8-B309-1156A1B1818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5" name="Text Box 166">
          <a:extLst>
            <a:ext uri="{FF2B5EF4-FFF2-40B4-BE49-F238E27FC236}">
              <a16:creationId xmlns:a16="http://schemas.microsoft.com/office/drawing/2014/main" id="{F124947C-F714-4953-8166-2F55ACA1888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6" name="Text Box 167">
          <a:extLst>
            <a:ext uri="{FF2B5EF4-FFF2-40B4-BE49-F238E27FC236}">
              <a16:creationId xmlns:a16="http://schemas.microsoft.com/office/drawing/2014/main" id="{6544175A-CAC6-4CB4-BEE5-AF439FA5220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7" name="Text Box 168">
          <a:extLst>
            <a:ext uri="{FF2B5EF4-FFF2-40B4-BE49-F238E27FC236}">
              <a16:creationId xmlns:a16="http://schemas.microsoft.com/office/drawing/2014/main" id="{1F1CAC63-ACB8-471C-8F12-94BCD182063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8" name="Text Box 169">
          <a:extLst>
            <a:ext uri="{FF2B5EF4-FFF2-40B4-BE49-F238E27FC236}">
              <a16:creationId xmlns:a16="http://schemas.microsoft.com/office/drawing/2014/main" id="{EAB823E2-7CA7-42AF-BA3C-EABB9ADE1D8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89" name="Text Box 170">
          <a:extLst>
            <a:ext uri="{FF2B5EF4-FFF2-40B4-BE49-F238E27FC236}">
              <a16:creationId xmlns:a16="http://schemas.microsoft.com/office/drawing/2014/main" id="{2F1F26C8-32C7-4657-A3D3-A46ECC7A51C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90" name="Text Box 171">
          <a:extLst>
            <a:ext uri="{FF2B5EF4-FFF2-40B4-BE49-F238E27FC236}">
              <a16:creationId xmlns:a16="http://schemas.microsoft.com/office/drawing/2014/main" id="{E6D2AE27-1C80-420B-92D7-DE9642B5815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91" name="Text Box 172">
          <a:extLst>
            <a:ext uri="{FF2B5EF4-FFF2-40B4-BE49-F238E27FC236}">
              <a16:creationId xmlns:a16="http://schemas.microsoft.com/office/drawing/2014/main" id="{C277070F-F61C-42DC-9E03-EF44C7FEB9C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92" name="Text Box 173">
          <a:extLst>
            <a:ext uri="{FF2B5EF4-FFF2-40B4-BE49-F238E27FC236}">
              <a16:creationId xmlns:a16="http://schemas.microsoft.com/office/drawing/2014/main" id="{A5305410-9BA4-411E-9E24-E6589067230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93" name="Text Box 174">
          <a:extLst>
            <a:ext uri="{FF2B5EF4-FFF2-40B4-BE49-F238E27FC236}">
              <a16:creationId xmlns:a16="http://schemas.microsoft.com/office/drawing/2014/main" id="{280A2586-B881-4953-98C5-99DD822076B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94" name="Text Box 176">
          <a:extLst>
            <a:ext uri="{FF2B5EF4-FFF2-40B4-BE49-F238E27FC236}">
              <a16:creationId xmlns:a16="http://schemas.microsoft.com/office/drawing/2014/main" id="{2D2ED140-55A2-4A39-B50F-D709DC4178A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42</xdr:row>
      <xdr:rowOff>0</xdr:rowOff>
    </xdr:from>
    <xdr:to>
      <xdr:col>4</xdr:col>
      <xdr:colOff>304800</xdr:colOff>
      <xdr:row>43</xdr:row>
      <xdr:rowOff>28575</xdr:rowOff>
    </xdr:to>
    <xdr:sp macro="" textlink="">
      <xdr:nvSpPr>
        <xdr:cNvPr id="239295" name="Text Box 177">
          <a:extLst>
            <a:ext uri="{FF2B5EF4-FFF2-40B4-BE49-F238E27FC236}">
              <a16:creationId xmlns:a16="http://schemas.microsoft.com/office/drawing/2014/main" id="{BD27DD79-C251-4B7E-B330-1F2C9D8A0503}"/>
            </a:ext>
          </a:extLst>
        </xdr:cNvPr>
        <xdr:cNvSpPr txBox="1">
          <a:spLocks noChangeArrowheads="1"/>
        </xdr:cNvSpPr>
      </xdr:nvSpPr>
      <xdr:spPr bwMode="auto">
        <a:xfrm>
          <a:off x="6677025" y="8896350"/>
          <a:ext cx="57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96" name="Text Box 178">
          <a:extLst>
            <a:ext uri="{FF2B5EF4-FFF2-40B4-BE49-F238E27FC236}">
              <a16:creationId xmlns:a16="http://schemas.microsoft.com/office/drawing/2014/main" id="{14980B56-CFAF-4F76-B106-47C6F0FF72A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97" name="Text Box 179">
          <a:extLst>
            <a:ext uri="{FF2B5EF4-FFF2-40B4-BE49-F238E27FC236}">
              <a16:creationId xmlns:a16="http://schemas.microsoft.com/office/drawing/2014/main" id="{34CDFA2A-E99F-45D7-93AA-845A2F02C47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98" name="Text Box 180">
          <a:extLst>
            <a:ext uri="{FF2B5EF4-FFF2-40B4-BE49-F238E27FC236}">
              <a16:creationId xmlns:a16="http://schemas.microsoft.com/office/drawing/2014/main" id="{6665D4DB-EDAE-43E4-835B-12CA39A2DA40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299" name="Text Box 181">
          <a:extLst>
            <a:ext uri="{FF2B5EF4-FFF2-40B4-BE49-F238E27FC236}">
              <a16:creationId xmlns:a16="http://schemas.microsoft.com/office/drawing/2014/main" id="{490FB9B0-4D4F-46AC-980E-8B8E79401F57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0" name="Text Box 182">
          <a:extLst>
            <a:ext uri="{FF2B5EF4-FFF2-40B4-BE49-F238E27FC236}">
              <a16:creationId xmlns:a16="http://schemas.microsoft.com/office/drawing/2014/main" id="{85BC347A-694C-42B1-9C99-1FB79E0F00F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1" name="Text Box 183">
          <a:extLst>
            <a:ext uri="{FF2B5EF4-FFF2-40B4-BE49-F238E27FC236}">
              <a16:creationId xmlns:a16="http://schemas.microsoft.com/office/drawing/2014/main" id="{26AE6F7A-C62C-4472-A360-A1D163F13F5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2" name="Text Box 184">
          <a:extLst>
            <a:ext uri="{FF2B5EF4-FFF2-40B4-BE49-F238E27FC236}">
              <a16:creationId xmlns:a16="http://schemas.microsoft.com/office/drawing/2014/main" id="{C6E1CD67-427C-4500-B740-3CFCCF58DC6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3" name="Text Box 185">
          <a:extLst>
            <a:ext uri="{FF2B5EF4-FFF2-40B4-BE49-F238E27FC236}">
              <a16:creationId xmlns:a16="http://schemas.microsoft.com/office/drawing/2014/main" id="{3BEBCBED-B755-4C68-B8BF-05625FE48A0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4" name="Text Box 186">
          <a:extLst>
            <a:ext uri="{FF2B5EF4-FFF2-40B4-BE49-F238E27FC236}">
              <a16:creationId xmlns:a16="http://schemas.microsoft.com/office/drawing/2014/main" id="{486CAF54-6F63-4282-B91F-BDC1818C872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5" name="Text Box 187">
          <a:extLst>
            <a:ext uri="{FF2B5EF4-FFF2-40B4-BE49-F238E27FC236}">
              <a16:creationId xmlns:a16="http://schemas.microsoft.com/office/drawing/2014/main" id="{16E1BCDF-9C8D-43D2-8750-A597592AF0F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6" name="Text Box 188">
          <a:extLst>
            <a:ext uri="{FF2B5EF4-FFF2-40B4-BE49-F238E27FC236}">
              <a16:creationId xmlns:a16="http://schemas.microsoft.com/office/drawing/2014/main" id="{E38741ED-3141-4D56-B1D7-1615E0BC1C7F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7" name="Text Box 189">
          <a:extLst>
            <a:ext uri="{FF2B5EF4-FFF2-40B4-BE49-F238E27FC236}">
              <a16:creationId xmlns:a16="http://schemas.microsoft.com/office/drawing/2014/main" id="{1E97B933-1AD2-41E7-A8AF-F2AFEF61102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8" name="Text Box 190">
          <a:extLst>
            <a:ext uri="{FF2B5EF4-FFF2-40B4-BE49-F238E27FC236}">
              <a16:creationId xmlns:a16="http://schemas.microsoft.com/office/drawing/2014/main" id="{C808183B-C93F-4DEA-BD89-C1DA11BB97E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09" name="Text Box 191">
          <a:extLst>
            <a:ext uri="{FF2B5EF4-FFF2-40B4-BE49-F238E27FC236}">
              <a16:creationId xmlns:a16="http://schemas.microsoft.com/office/drawing/2014/main" id="{CA48AA99-41C4-4DE7-880D-274EFC8BF1D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0" name="Text Box 192">
          <a:extLst>
            <a:ext uri="{FF2B5EF4-FFF2-40B4-BE49-F238E27FC236}">
              <a16:creationId xmlns:a16="http://schemas.microsoft.com/office/drawing/2014/main" id="{EF9B8BA6-5040-48F8-A419-EC0E083FC6BD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1" name="Text Box 193">
          <a:extLst>
            <a:ext uri="{FF2B5EF4-FFF2-40B4-BE49-F238E27FC236}">
              <a16:creationId xmlns:a16="http://schemas.microsoft.com/office/drawing/2014/main" id="{8B6E4619-69BB-4E20-9514-C5E09F2452B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2" name="Text Box 194">
          <a:extLst>
            <a:ext uri="{FF2B5EF4-FFF2-40B4-BE49-F238E27FC236}">
              <a16:creationId xmlns:a16="http://schemas.microsoft.com/office/drawing/2014/main" id="{D01FB99E-DF77-4E43-B6E7-F23C80FB926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3" name="Text Box 195">
          <a:extLst>
            <a:ext uri="{FF2B5EF4-FFF2-40B4-BE49-F238E27FC236}">
              <a16:creationId xmlns:a16="http://schemas.microsoft.com/office/drawing/2014/main" id="{A864C1E4-6527-4DDE-B838-B1F6A0BDC6C3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4" name="Text Box 196">
          <a:extLst>
            <a:ext uri="{FF2B5EF4-FFF2-40B4-BE49-F238E27FC236}">
              <a16:creationId xmlns:a16="http://schemas.microsoft.com/office/drawing/2014/main" id="{F14CDA5B-48BF-442C-B62A-2D402DBF9B3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5" name="Text Box 197">
          <a:extLst>
            <a:ext uri="{FF2B5EF4-FFF2-40B4-BE49-F238E27FC236}">
              <a16:creationId xmlns:a16="http://schemas.microsoft.com/office/drawing/2014/main" id="{09522A59-3D1D-4FBA-A01F-EF2B99A8B2A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6" name="Text Box 198">
          <a:extLst>
            <a:ext uri="{FF2B5EF4-FFF2-40B4-BE49-F238E27FC236}">
              <a16:creationId xmlns:a16="http://schemas.microsoft.com/office/drawing/2014/main" id="{0CA1938D-6ACD-4854-9310-08EA478FEF9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7" name="Text Box 199">
          <a:extLst>
            <a:ext uri="{FF2B5EF4-FFF2-40B4-BE49-F238E27FC236}">
              <a16:creationId xmlns:a16="http://schemas.microsoft.com/office/drawing/2014/main" id="{84938EA2-E067-44D2-8AF7-348D68F44E9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8" name="Text Box 200">
          <a:extLst>
            <a:ext uri="{FF2B5EF4-FFF2-40B4-BE49-F238E27FC236}">
              <a16:creationId xmlns:a16="http://schemas.microsoft.com/office/drawing/2014/main" id="{9FD5BBAD-1D8B-4FE0-A4FA-98CC42CA526C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19" name="Text Box 201">
          <a:extLst>
            <a:ext uri="{FF2B5EF4-FFF2-40B4-BE49-F238E27FC236}">
              <a16:creationId xmlns:a16="http://schemas.microsoft.com/office/drawing/2014/main" id="{1C35DA8D-FAE8-46F6-8ED5-E6DB3331C64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20" name="Text Box 202">
          <a:extLst>
            <a:ext uri="{FF2B5EF4-FFF2-40B4-BE49-F238E27FC236}">
              <a16:creationId xmlns:a16="http://schemas.microsoft.com/office/drawing/2014/main" id="{CBBEFC7D-010A-4B4E-B1C1-5C8F566F370A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21" name="Text Box 203">
          <a:extLst>
            <a:ext uri="{FF2B5EF4-FFF2-40B4-BE49-F238E27FC236}">
              <a16:creationId xmlns:a16="http://schemas.microsoft.com/office/drawing/2014/main" id="{7A2399EE-CD46-4877-A57B-EB5D0813CF71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22" name="Text Box 204">
          <a:extLst>
            <a:ext uri="{FF2B5EF4-FFF2-40B4-BE49-F238E27FC236}">
              <a16:creationId xmlns:a16="http://schemas.microsoft.com/office/drawing/2014/main" id="{ECA25128-A19B-4668-8F18-0CA2841A1B95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95250</xdr:colOff>
      <xdr:row>42</xdr:row>
      <xdr:rowOff>0</xdr:rowOff>
    </xdr:from>
    <xdr:to>
      <xdr:col>4</xdr:col>
      <xdr:colOff>161925</xdr:colOff>
      <xdr:row>43</xdr:row>
      <xdr:rowOff>28575</xdr:rowOff>
    </xdr:to>
    <xdr:sp macro="" textlink="">
      <xdr:nvSpPr>
        <xdr:cNvPr id="239323" name="Text Box 205">
          <a:extLst>
            <a:ext uri="{FF2B5EF4-FFF2-40B4-BE49-F238E27FC236}">
              <a16:creationId xmlns:a16="http://schemas.microsoft.com/office/drawing/2014/main" id="{6435E252-C105-47B0-8A21-7C970AC7F8E7}"/>
            </a:ext>
          </a:extLst>
        </xdr:cNvPr>
        <xdr:cNvSpPr txBox="1">
          <a:spLocks noChangeArrowheads="1"/>
        </xdr:cNvSpPr>
      </xdr:nvSpPr>
      <xdr:spPr bwMode="auto">
        <a:xfrm>
          <a:off x="6524625" y="8896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24" name="Text Box 206">
          <a:extLst>
            <a:ext uri="{FF2B5EF4-FFF2-40B4-BE49-F238E27FC236}">
              <a16:creationId xmlns:a16="http://schemas.microsoft.com/office/drawing/2014/main" id="{61368E74-C2DA-4A4E-9442-D50DCF791A7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25" name="Text Box 207">
          <a:extLst>
            <a:ext uri="{FF2B5EF4-FFF2-40B4-BE49-F238E27FC236}">
              <a16:creationId xmlns:a16="http://schemas.microsoft.com/office/drawing/2014/main" id="{89A5B0D7-1ECB-4E45-81B3-12782886455E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26" name="Text Box 208">
          <a:extLst>
            <a:ext uri="{FF2B5EF4-FFF2-40B4-BE49-F238E27FC236}">
              <a16:creationId xmlns:a16="http://schemas.microsoft.com/office/drawing/2014/main" id="{9EA6572C-A5B8-4BA3-9BCD-17E3AC982CC8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27" name="Text Box 209">
          <a:extLst>
            <a:ext uri="{FF2B5EF4-FFF2-40B4-BE49-F238E27FC236}">
              <a16:creationId xmlns:a16="http://schemas.microsoft.com/office/drawing/2014/main" id="{7AAA4877-B03B-4BCD-B1F3-426705807B64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28" name="Text Box 210">
          <a:extLst>
            <a:ext uri="{FF2B5EF4-FFF2-40B4-BE49-F238E27FC236}">
              <a16:creationId xmlns:a16="http://schemas.microsoft.com/office/drawing/2014/main" id="{783B276F-E601-4ADF-B9EE-338BAF4C115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29" name="Text Box 211">
          <a:extLst>
            <a:ext uri="{FF2B5EF4-FFF2-40B4-BE49-F238E27FC236}">
              <a16:creationId xmlns:a16="http://schemas.microsoft.com/office/drawing/2014/main" id="{3D25FB6C-803D-4807-BD87-95EFDE3ED54B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30" name="Text Box 212">
          <a:extLst>
            <a:ext uri="{FF2B5EF4-FFF2-40B4-BE49-F238E27FC236}">
              <a16:creationId xmlns:a16="http://schemas.microsoft.com/office/drawing/2014/main" id="{5E04D0F5-D224-4A35-A79B-90911C6EE9D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31" name="Text Box 213">
          <a:extLst>
            <a:ext uri="{FF2B5EF4-FFF2-40B4-BE49-F238E27FC236}">
              <a16:creationId xmlns:a16="http://schemas.microsoft.com/office/drawing/2014/main" id="{7376A90B-FF0F-4798-9B39-571C894AF756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42</xdr:row>
      <xdr:rowOff>0</xdr:rowOff>
    </xdr:from>
    <xdr:to>
      <xdr:col>5</xdr:col>
      <xdr:colOff>57150</xdr:colOff>
      <xdr:row>43</xdr:row>
      <xdr:rowOff>28575</xdr:rowOff>
    </xdr:to>
    <xdr:sp macro="" textlink="">
      <xdr:nvSpPr>
        <xdr:cNvPr id="239332" name="Text Box 214">
          <a:extLst>
            <a:ext uri="{FF2B5EF4-FFF2-40B4-BE49-F238E27FC236}">
              <a16:creationId xmlns:a16="http://schemas.microsoft.com/office/drawing/2014/main" id="{B558E707-D715-4D4D-936A-C8ACDBF44029}"/>
            </a:ext>
          </a:extLst>
        </xdr:cNvPr>
        <xdr:cNvSpPr txBox="1">
          <a:spLocks noChangeArrowheads="1"/>
        </xdr:cNvSpPr>
      </xdr:nvSpPr>
      <xdr:spPr bwMode="auto">
        <a:xfrm>
          <a:off x="6734175" y="889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95250</xdr:colOff>
      <xdr:row>42</xdr:row>
      <xdr:rowOff>0</xdr:rowOff>
    </xdr:from>
    <xdr:to>
      <xdr:col>4</xdr:col>
      <xdr:colOff>161925</xdr:colOff>
      <xdr:row>43</xdr:row>
      <xdr:rowOff>28575</xdr:rowOff>
    </xdr:to>
    <xdr:sp macro="" textlink="">
      <xdr:nvSpPr>
        <xdr:cNvPr id="239333" name="Text Box 215">
          <a:extLst>
            <a:ext uri="{FF2B5EF4-FFF2-40B4-BE49-F238E27FC236}">
              <a16:creationId xmlns:a16="http://schemas.microsoft.com/office/drawing/2014/main" id="{CFB5FA2B-B8C3-4EAB-9B7B-5141EB91020D}"/>
            </a:ext>
          </a:extLst>
        </xdr:cNvPr>
        <xdr:cNvSpPr txBox="1">
          <a:spLocks noChangeArrowheads="1"/>
        </xdr:cNvSpPr>
      </xdr:nvSpPr>
      <xdr:spPr bwMode="auto">
        <a:xfrm>
          <a:off x="6524625" y="8896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34" name="Text Box 216">
          <a:extLst>
            <a:ext uri="{FF2B5EF4-FFF2-40B4-BE49-F238E27FC236}">
              <a16:creationId xmlns:a16="http://schemas.microsoft.com/office/drawing/2014/main" id="{0CC4A0A6-04B6-4C45-9C28-5821302F5001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35" name="Text Box 217">
          <a:extLst>
            <a:ext uri="{FF2B5EF4-FFF2-40B4-BE49-F238E27FC236}">
              <a16:creationId xmlns:a16="http://schemas.microsoft.com/office/drawing/2014/main" id="{74AB9CD5-99A1-481F-BDCA-F666E4E89C9E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36" name="Text Box 218">
          <a:extLst>
            <a:ext uri="{FF2B5EF4-FFF2-40B4-BE49-F238E27FC236}">
              <a16:creationId xmlns:a16="http://schemas.microsoft.com/office/drawing/2014/main" id="{C0D9835A-464C-4DF5-B7DC-09DC96ADCF6D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37" name="Text Box 219">
          <a:extLst>
            <a:ext uri="{FF2B5EF4-FFF2-40B4-BE49-F238E27FC236}">
              <a16:creationId xmlns:a16="http://schemas.microsoft.com/office/drawing/2014/main" id="{2BA5D205-DCF4-40FE-9B20-44825882494F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38" name="Text Box 220">
          <a:extLst>
            <a:ext uri="{FF2B5EF4-FFF2-40B4-BE49-F238E27FC236}">
              <a16:creationId xmlns:a16="http://schemas.microsoft.com/office/drawing/2014/main" id="{B1C53B04-CEA8-4DE4-91C9-35B8020EA4F9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39" name="Text Box 221">
          <a:extLst>
            <a:ext uri="{FF2B5EF4-FFF2-40B4-BE49-F238E27FC236}">
              <a16:creationId xmlns:a16="http://schemas.microsoft.com/office/drawing/2014/main" id="{9E05DD3E-C624-4108-874B-8BE5ED3253DF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0" name="Text Box 222">
          <a:extLst>
            <a:ext uri="{FF2B5EF4-FFF2-40B4-BE49-F238E27FC236}">
              <a16:creationId xmlns:a16="http://schemas.microsoft.com/office/drawing/2014/main" id="{E6D079D5-A469-4D08-BDEC-721BD2136028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1" name="Text Box 223">
          <a:extLst>
            <a:ext uri="{FF2B5EF4-FFF2-40B4-BE49-F238E27FC236}">
              <a16:creationId xmlns:a16="http://schemas.microsoft.com/office/drawing/2014/main" id="{DB99D068-C1A4-4A0A-A90D-17DACC18C1F4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2" name="Text Box 224">
          <a:extLst>
            <a:ext uri="{FF2B5EF4-FFF2-40B4-BE49-F238E27FC236}">
              <a16:creationId xmlns:a16="http://schemas.microsoft.com/office/drawing/2014/main" id="{E3BFF498-44C8-4FE8-9E43-BDD66D0850C0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3" name="Text Box 225">
          <a:extLst>
            <a:ext uri="{FF2B5EF4-FFF2-40B4-BE49-F238E27FC236}">
              <a16:creationId xmlns:a16="http://schemas.microsoft.com/office/drawing/2014/main" id="{89297002-374A-4A52-91A1-8DF252476CCB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4" name="Text Box 226">
          <a:extLst>
            <a:ext uri="{FF2B5EF4-FFF2-40B4-BE49-F238E27FC236}">
              <a16:creationId xmlns:a16="http://schemas.microsoft.com/office/drawing/2014/main" id="{945B8755-AD8D-488B-A52F-0FFA8A68AE8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5" name="Text Box 227">
          <a:extLst>
            <a:ext uri="{FF2B5EF4-FFF2-40B4-BE49-F238E27FC236}">
              <a16:creationId xmlns:a16="http://schemas.microsoft.com/office/drawing/2014/main" id="{6CABB8C6-641F-4B31-A96A-23948B3B73E7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6" name="Text Box 228">
          <a:extLst>
            <a:ext uri="{FF2B5EF4-FFF2-40B4-BE49-F238E27FC236}">
              <a16:creationId xmlns:a16="http://schemas.microsoft.com/office/drawing/2014/main" id="{D46E4D5D-2984-4AB5-A0D2-9C2476483B44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7" name="Text Box 229">
          <a:extLst>
            <a:ext uri="{FF2B5EF4-FFF2-40B4-BE49-F238E27FC236}">
              <a16:creationId xmlns:a16="http://schemas.microsoft.com/office/drawing/2014/main" id="{6F484D1A-20B9-4AB4-9179-1DE3A722F38D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8" name="Text Box 230">
          <a:extLst>
            <a:ext uri="{FF2B5EF4-FFF2-40B4-BE49-F238E27FC236}">
              <a16:creationId xmlns:a16="http://schemas.microsoft.com/office/drawing/2014/main" id="{BF6F07FA-9983-4554-9F03-7354FA5B638C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49" name="Text Box 231">
          <a:extLst>
            <a:ext uri="{FF2B5EF4-FFF2-40B4-BE49-F238E27FC236}">
              <a16:creationId xmlns:a16="http://schemas.microsoft.com/office/drawing/2014/main" id="{8DE8B177-7848-4AF8-A975-2068E3E24018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50" name="Text Box 232">
          <a:extLst>
            <a:ext uri="{FF2B5EF4-FFF2-40B4-BE49-F238E27FC236}">
              <a16:creationId xmlns:a16="http://schemas.microsoft.com/office/drawing/2014/main" id="{7D0F9E43-FCB3-4085-86FF-0DB5BEACE444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51" name="Text Box 233">
          <a:extLst>
            <a:ext uri="{FF2B5EF4-FFF2-40B4-BE49-F238E27FC236}">
              <a16:creationId xmlns:a16="http://schemas.microsoft.com/office/drawing/2014/main" id="{055DAB7C-FD46-40A1-9F32-3106494528D3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52" name="Text Box 234">
          <a:extLst>
            <a:ext uri="{FF2B5EF4-FFF2-40B4-BE49-F238E27FC236}">
              <a16:creationId xmlns:a16="http://schemas.microsoft.com/office/drawing/2014/main" id="{7066414D-DBFF-490D-B3BA-156C23B4EAFD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53" name="Text Box 235">
          <a:extLst>
            <a:ext uri="{FF2B5EF4-FFF2-40B4-BE49-F238E27FC236}">
              <a16:creationId xmlns:a16="http://schemas.microsoft.com/office/drawing/2014/main" id="{D9237666-99CB-44E3-BD32-7C12E14D5A8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95250</xdr:colOff>
      <xdr:row>36</xdr:row>
      <xdr:rowOff>0</xdr:rowOff>
    </xdr:from>
    <xdr:to>
      <xdr:col>4</xdr:col>
      <xdr:colOff>161925</xdr:colOff>
      <xdr:row>36</xdr:row>
      <xdr:rowOff>190500</xdr:rowOff>
    </xdr:to>
    <xdr:sp macro="" textlink="">
      <xdr:nvSpPr>
        <xdr:cNvPr id="239354" name="Text Box 236">
          <a:extLst>
            <a:ext uri="{FF2B5EF4-FFF2-40B4-BE49-F238E27FC236}">
              <a16:creationId xmlns:a16="http://schemas.microsoft.com/office/drawing/2014/main" id="{0117CA53-3A3E-488F-A822-031342A93759}"/>
            </a:ext>
          </a:extLst>
        </xdr:cNvPr>
        <xdr:cNvSpPr txBox="1">
          <a:spLocks noChangeArrowheads="1"/>
        </xdr:cNvSpPr>
      </xdr:nvSpPr>
      <xdr:spPr bwMode="auto">
        <a:xfrm>
          <a:off x="6524625" y="76009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55" name="Text Box 237">
          <a:extLst>
            <a:ext uri="{FF2B5EF4-FFF2-40B4-BE49-F238E27FC236}">
              <a16:creationId xmlns:a16="http://schemas.microsoft.com/office/drawing/2014/main" id="{AAFF94C3-8BEB-4D50-94A1-1BCCC774238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56" name="Text Box 238">
          <a:extLst>
            <a:ext uri="{FF2B5EF4-FFF2-40B4-BE49-F238E27FC236}">
              <a16:creationId xmlns:a16="http://schemas.microsoft.com/office/drawing/2014/main" id="{9E7CDB58-B484-4677-8B2F-DA1E700DEC76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57" name="Text Box 239">
          <a:extLst>
            <a:ext uri="{FF2B5EF4-FFF2-40B4-BE49-F238E27FC236}">
              <a16:creationId xmlns:a16="http://schemas.microsoft.com/office/drawing/2014/main" id="{B1B8EBFF-6624-4C5D-8EA3-E99D69D4B292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58" name="Text Box 240">
          <a:extLst>
            <a:ext uri="{FF2B5EF4-FFF2-40B4-BE49-F238E27FC236}">
              <a16:creationId xmlns:a16="http://schemas.microsoft.com/office/drawing/2014/main" id="{9112641B-148C-4699-8C33-71945EB0AF7E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304800</xdr:colOff>
      <xdr:row>36</xdr:row>
      <xdr:rowOff>0</xdr:rowOff>
    </xdr:from>
    <xdr:to>
      <xdr:col>5</xdr:col>
      <xdr:colOff>57150</xdr:colOff>
      <xdr:row>36</xdr:row>
      <xdr:rowOff>190500</xdr:rowOff>
    </xdr:to>
    <xdr:sp macro="" textlink="">
      <xdr:nvSpPr>
        <xdr:cNvPr id="239359" name="Text Box 241">
          <a:extLst>
            <a:ext uri="{FF2B5EF4-FFF2-40B4-BE49-F238E27FC236}">
              <a16:creationId xmlns:a16="http://schemas.microsoft.com/office/drawing/2014/main" id="{DF06EABF-6C65-4C55-92A5-9F7854BC3525}"/>
            </a:ext>
          </a:extLst>
        </xdr:cNvPr>
        <xdr:cNvSpPr txBox="1">
          <a:spLocks noChangeArrowheads="1"/>
        </xdr:cNvSpPr>
      </xdr:nvSpPr>
      <xdr:spPr bwMode="auto">
        <a:xfrm>
          <a:off x="6734175" y="760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323850</xdr:colOff>
      <xdr:row>42</xdr:row>
      <xdr:rowOff>0</xdr:rowOff>
    </xdr:from>
    <xdr:to>
      <xdr:col>5</xdr:col>
      <xdr:colOff>66675</xdr:colOff>
      <xdr:row>43</xdr:row>
      <xdr:rowOff>28575</xdr:rowOff>
    </xdr:to>
    <xdr:sp macro="" textlink="">
      <xdr:nvSpPr>
        <xdr:cNvPr id="239360" name="Text Box 246">
          <a:extLst>
            <a:ext uri="{FF2B5EF4-FFF2-40B4-BE49-F238E27FC236}">
              <a16:creationId xmlns:a16="http://schemas.microsoft.com/office/drawing/2014/main" id="{23270576-E80E-44FF-A45F-06C6358E9C91}"/>
            </a:ext>
          </a:extLst>
        </xdr:cNvPr>
        <xdr:cNvSpPr txBox="1">
          <a:spLocks noChangeArrowheads="1"/>
        </xdr:cNvSpPr>
      </xdr:nvSpPr>
      <xdr:spPr bwMode="auto">
        <a:xfrm>
          <a:off x="6753225" y="8896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200025</xdr:rowOff>
    </xdr:to>
    <xdr:sp macro="" textlink="">
      <xdr:nvSpPr>
        <xdr:cNvPr id="239361" name="Text Box 187">
          <a:extLst>
            <a:ext uri="{FF2B5EF4-FFF2-40B4-BE49-F238E27FC236}">
              <a16:creationId xmlns:a16="http://schemas.microsoft.com/office/drawing/2014/main" id="{7BF4999F-AD5C-456A-A838-3E0CC4500812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35</xdr:row>
      <xdr:rowOff>0</xdr:rowOff>
    </xdr:from>
    <xdr:to>
      <xdr:col>5</xdr:col>
      <xdr:colOff>66675</xdr:colOff>
      <xdr:row>35</xdr:row>
      <xdr:rowOff>200025</xdr:rowOff>
    </xdr:to>
    <xdr:sp macro="" textlink="">
      <xdr:nvSpPr>
        <xdr:cNvPr id="239362" name="Text Box 188">
          <a:extLst>
            <a:ext uri="{FF2B5EF4-FFF2-40B4-BE49-F238E27FC236}">
              <a16:creationId xmlns:a16="http://schemas.microsoft.com/office/drawing/2014/main" id="{5B65401C-0D4C-43C2-A781-001BD514DD74}"/>
            </a:ext>
          </a:extLst>
        </xdr:cNvPr>
        <xdr:cNvSpPr txBox="1">
          <a:spLocks noChangeArrowheads="1"/>
        </xdr:cNvSpPr>
      </xdr:nvSpPr>
      <xdr:spPr bwMode="auto">
        <a:xfrm>
          <a:off x="6743700" y="727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36</xdr:row>
      <xdr:rowOff>0</xdr:rowOff>
    </xdr:from>
    <xdr:to>
      <xdr:col>5</xdr:col>
      <xdr:colOff>66675</xdr:colOff>
      <xdr:row>36</xdr:row>
      <xdr:rowOff>200025</xdr:rowOff>
    </xdr:to>
    <xdr:sp macro="" textlink="">
      <xdr:nvSpPr>
        <xdr:cNvPr id="239363" name="Text Box 189">
          <a:extLst>
            <a:ext uri="{FF2B5EF4-FFF2-40B4-BE49-F238E27FC236}">
              <a16:creationId xmlns:a16="http://schemas.microsoft.com/office/drawing/2014/main" id="{09AB694F-7B80-4D55-9007-F4DF356747DD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36</xdr:row>
      <xdr:rowOff>0</xdr:rowOff>
    </xdr:from>
    <xdr:to>
      <xdr:col>5</xdr:col>
      <xdr:colOff>66675</xdr:colOff>
      <xdr:row>36</xdr:row>
      <xdr:rowOff>200025</xdr:rowOff>
    </xdr:to>
    <xdr:sp macro="" textlink="">
      <xdr:nvSpPr>
        <xdr:cNvPr id="239364" name="Text Box 190">
          <a:extLst>
            <a:ext uri="{FF2B5EF4-FFF2-40B4-BE49-F238E27FC236}">
              <a16:creationId xmlns:a16="http://schemas.microsoft.com/office/drawing/2014/main" id="{03AAE935-AD72-44D5-AEB5-9882BDAFFC10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36</xdr:row>
      <xdr:rowOff>0</xdr:rowOff>
    </xdr:from>
    <xdr:to>
      <xdr:col>5</xdr:col>
      <xdr:colOff>66675</xdr:colOff>
      <xdr:row>36</xdr:row>
      <xdr:rowOff>200025</xdr:rowOff>
    </xdr:to>
    <xdr:sp macro="" textlink="">
      <xdr:nvSpPr>
        <xdr:cNvPr id="239365" name="Text Box 191">
          <a:extLst>
            <a:ext uri="{FF2B5EF4-FFF2-40B4-BE49-F238E27FC236}">
              <a16:creationId xmlns:a16="http://schemas.microsoft.com/office/drawing/2014/main" id="{8C30B39C-AC0A-4B84-9F79-00BD313BF99F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36</xdr:row>
      <xdr:rowOff>0</xdr:rowOff>
    </xdr:from>
    <xdr:to>
      <xdr:col>5</xdr:col>
      <xdr:colOff>66675</xdr:colOff>
      <xdr:row>36</xdr:row>
      <xdr:rowOff>200025</xdr:rowOff>
    </xdr:to>
    <xdr:sp macro="" textlink="">
      <xdr:nvSpPr>
        <xdr:cNvPr id="239366" name="Text Box 192">
          <a:extLst>
            <a:ext uri="{FF2B5EF4-FFF2-40B4-BE49-F238E27FC236}">
              <a16:creationId xmlns:a16="http://schemas.microsoft.com/office/drawing/2014/main" id="{1F56FB37-C78B-498A-8BBD-4AF26C0D4E2E}"/>
            </a:ext>
          </a:extLst>
        </xdr:cNvPr>
        <xdr:cNvSpPr txBox="1">
          <a:spLocks noChangeArrowheads="1"/>
        </xdr:cNvSpPr>
      </xdr:nvSpPr>
      <xdr:spPr bwMode="auto">
        <a:xfrm>
          <a:off x="6743700" y="7600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9367" name="Text Box 193">
          <a:extLst>
            <a:ext uri="{FF2B5EF4-FFF2-40B4-BE49-F238E27FC236}">
              <a16:creationId xmlns:a16="http://schemas.microsoft.com/office/drawing/2014/main" id="{D957BF11-9028-4EB0-95A5-F2277FC86BE9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9368" name="Text Box 194">
          <a:extLst>
            <a:ext uri="{FF2B5EF4-FFF2-40B4-BE49-F238E27FC236}">
              <a16:creationId xmlns:a16="http://schemas.microsoft.com/office/drawing/2014/main" id="{8F049DE9-BF92-4150-907E-84ADA5647A86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9369" name="Text Box 195">
          <a:extLst>
            <a:ext uri="{FF2B5EF4-FFF2-40B4-BE49-F238E27FC236}">
              <a16:creationId xmlns:a16="http://schemas.microsoft.com/office/drawing/2014/main" id="{47547422-14C8-4CB4-A548-BFC538286BE9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200025</xdr:rowOff>
    </xdr:to>
    <xdr:sp macro="" textlink="">
      <xdr:nvSpPr>
        <xdr:cNvPr id="239370" name="Text Box 193">
          <a:extLst>
            <a:ext uri="{FF2B5EF4-FFF2-40B4-BE49-F238E27FC236}">
              <a16:creationId xmlns:a16="http://schemas.microsoft.com/office/drawing/2014/main" id="{DB4DDAF9-F651-41D1-A20A-261656016850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200025</xdr:rowOff>
    </xdr:to>
    <xdr:sp macro="" textlink="">
      <xdr:nvSpPr>
        <xdr:cNvPr id="239371" name="Text Box 194">
          <a:extLst>
            <a:ext uri="{FF2B5EF4-FFF2-40B4-BE49-F238E27FC236}">
              <a16:creationId xmlns:a16="http://schemas.microsoft.com/office/drawing/2014/main" id="{DA377551-73CD-424A-B4AC-828573DFB0D5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27</xdr:row>
      <xdr:rowOff>0</xdr:rowOff>
    </xdr:from>
    <xdr:to>
      <xdr:col>5</xdr:col>
      <xdr:colOff>66675</xdr:colOff>
      <xdr:row>27</xdr:row>
      <xdr:rowOff>200025</xdr:rowOff>
    </xdr:to>
    <xdr:sp macro="" textlink="">
      <xdr:nvSpPr>
        <xdr:cNvPr id="239372" name="Text Box 195">
          <a:extLst>
            <a:ext uri="{FF2B5EF4-FFF2-40B4-BE49-F238E27FC236}">
              <a16:creationId xmlns:a16="http://schemas.microsoft.com/office/drawing/2014/main" id="{CFD689C3-AAC7-4DFF-9956-DEF6043D0AE9}"/>
            </a:ext>
          </a:extLst>
        </xdr:cNvPr>
        <xdr:cNvSpPr txBox="1">
          <a:spLocks noChangeArrowheads="1"/>
        </xdr:cNvSpPr>
      </xdr:nvSpPr>
      <xdr:spPr bwMode="auto">
        <a:xfrm>
          <a:off x="6743700" y="531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38100</xdr:rowOff>
    </xdr:to>
    <xdr:sp macro="" textlink="">
      <xdr:nvSpPr>
        <xdr:cNvPr id="239373" name="Text Box 193">
          <a:extLst>
            <a:ext uri="{FF2B5EF4-FFF2-40B4-BE49-F238E27FC236}">
              <a16:creationId xmlns:a16="http://schemas.microsoft.com/office/drawing/2014/main" id="{8FE577F7-D1B0-41F6-ABD7-D6FAC13672B3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38100</xdr:rowOff>
    </xdr:to>
    <xdr:sp macro="" textlink="">
      <xdr:nvSpPr>
        <xdr:cNvPr id="239374" name="Text Box 194">
          <a:extLst>
            <a:ext uri="{FF2B5EF4-FFF2-40B4-BE49-F238E27FC236}">
              <a16:creationId xmlns:a16="http://schemas.microsoft.com/office/drawing/2014/main" id="{BB71B26F-F6D0-4382-B088-9CFC8408F0D5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24</xdr:row>
      <xdr:rowOff>0</xdr:rowOff>
    </xdr:from>
    <xdr:to>
      <xdr:col>5</xdr:col>
      <xdr:colOff>66675</xdr:colOff>
      <xdr:row>25</xdr:row>
      <xdr:rowOff>38100</xdr:rowOff>
    </xdr:to>
    <xdr:sp macro="" textlink="">
      <xdr:nvSpPr>
        <xdr:cNvPr id="239375" name="Text Box 195">
          <a:extLst>
            <a:ext uri="{FF2B5EF4-FFF2-40B4-BE49-F238E27FC236}">
              <a16:creationId xmlns:a16="http://schemas.microsoft.com/office/drawing/2014/main" id="{07E7A6C4-FEDA-4ECB-9CBA-E7B23DF5295D}"/>
            </a:ext>
          </a:extLst>
        </xdr:cNvPr>
        <xdr:cNvSpPr txBox="1">
          <a:spLocks noChangeArrowheads="1"/>
        </xdr:cNvSpPr>
      </xdr:nvSpPr>
      <xdr:spPr bwMode="auto">
        <a:xfrm>
          <a:off x="6743700" y="450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9376" name="Text Box 193">
          <a:extLst>
            <a:ext uri="{FF2B5EF4-FFF2-40B4-BE49-F238E27FC236}">
              <a16:creationId xmlns:a16="http://schemas.microsoft.com/office/drawing/2014/main" id="{EE713C7B-620F-4A5C-86A3-5234CA8E3CA9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9377" name="Text Box 194">
          <a:extLst>
            <a:ext uri="{FF2B5EF4-FFF2-40B4-BE49-F238E27FC236}">
              <a16:creationId xmlns:a16="http://schemas.microsoft.com/office/drawing/2014/main" id="{5F8E3A0B-7DC8-4954-BDF5-A171B07A5EE5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37</xdr:row>
      <xdr:rowOff>0</xdr:rowOff>
    </xdr:from>
    <xdr:to>
      <xdr:col>5</xdr:col>
      <xdr:colOff>66675</xdr:colOff>
      <xdr:row>38</xdr:row>
      <xdr:rowOff>38100</xdr:rowOff>
    </xdr:to>
    <xdr:sp macro="" textlink="">
      <xdr:nvSpPr>
        <xdr:cNvPr id="239378" name="Text Box 195">
          <a:extLst>
            <a:ext uri="{FF2B5EF4-FFF2-40B4-BE49-F238E27FC236}">
              <a16:creationId xmlns:a16="http://schemas.microsoft.com/office/drawing/2014/main" id="{8D9D0D8B-F39D-4C44-9ADE-00E28D91CB04}"/>
            </a:ext>
          </a:extLst>
        </xdr:cNvPr>
        <xdr:cNvSpPr txBox="1">
          <a:spLocks noChangeArrowheads="1"/>
        </xdr:cNvSpPr>
      </xdr:nvSpPr>
      <xdr:spPr bwMode="auto">
        <a:xfrm>
          <a:off x="6743700" y="7924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38</xdr:row>
      <xdr:rowOff>0</xdr:rowOff>
    </xdr:from>
    <xdr:to>
      <xdr:col>5</xdr:col>
      <xdr:colOff>66675</xdr:colOff>
      <xdr:row>40</xdr:row>
      <xdr:rowOff>66675</xdr:rowOff>
    </xdr:to>
    <xdr:sp macro="" textlink="">
      <xdr:nvSpPr>
        <xdr:cNvPr id="239379" name="Text Box 193">
          <a:extLst>
            <a:ext uri="{FF2B5EF4-FFF2-40B4-BE49-F238E27FC236}">
              <a16:creationId xmlns:a16="http://schemas.microsoft.com/office/drawing/2014/main" id="{FC54DA09-DE87-4B80-A24C-CB529E2ACF66}"/>
            </a:ext>
          </a:extLst>
        </xdr:cNvPr>
        <xdr:cNvSpPr txBox="1">
          <a:spLocks noChangeArrowheads="1"/>
        </xdr:cNvSpPr>
      </xdr:nvSpPr>
      <xdr:spPr bwMode="auto">
        <a:xfrm>
          <a:off x="6743700" y="8086725"/>
          <a:ext cx="76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38</xdr:row>
      <xdr:rowOff>0</xdr:rowOff>
    </xdr:from>
    <xdr:to>
      <xdr:col>5</xdr:col>
      <xdr:colOff>66675</xdr:colOff>
      <xdr:row>40</xdr:row>
      <xdr:rowOff>66675</xdr:rowOff>
    </xdr:to>
    <xdr:sp macro="" textlink="">
      <xdr:nvSpPr>
        <xdr:cNvPr id="239380" name="Text Box 194">
          <a:extLst>
            <a:ext uri="{FF2B5EF4-FFF2-40B4-BE49-F238E27FC236}">
              <a16:creationId xmlns:a16="http://schemas.microsoft.com/office/drawing/2014/main" id="{27C1EAC0-5C66-4582-AD3D-5753A5814461}"/>
            </a:ext>
          </a:extLst>
        </xdr:cNvPr>
        <xdr:cNvSpPr txBox="1">
          <a:spLocks noChangeArrowheads="1"/>
        </xdr:cNvSpPr>
      </xdr:nvSpPr>
      <xdr:spPr bwMode="auto">
        <a:xfrm>
          <a:off x="6743700" y="8086725"/>
          <a:ext cx="76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38</xdr:row>
      <xdr:rowOff>0</xdr:rowOff>
    </xdr:from>
    <xdr:to>
      <xdr:col>5</xdr:col>
      <xdr:colOff>66675</xdr:colOff>
      <xdr:row>40</xdr:row>
      <xdr:rowOff>66675</xdr:rowOff>
    </xdr:to>
    <xdr:sp macro="" textlink="">
      <xdr:nvSpPr>
        <xdr:cNvPr id="239381" name="Text Box 195">
          <a:extLst>
            <a:ext uri="{FF2B5EF4-FFF2-40B4-BE49-F238E27FC236}">
              <a16:creationId xmlns:a16="http://schemas.microsoft.com/office/drawing/2014/main" id="{CE636887-2310-4D97-9F90-83C545F4C10B}"/>
            </a:ext>
          </a:extLst>
        </xdr:cNvPr>
        <xdr:cNvSpPr txBox="1">
          <a:spLocks noChangeArrowheads="1"/>
        </xdr:cNvSpPr>
      </xdr:nvSpPr>
      <xdr:spPr bwMode="auto">
        <a:xfrm>
          <a:off x="6743700" y="8086725"/>
          <a:ext cx="76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200025</xdr:rowOff>
    </xdr:to>
    <xdr:sp macro="" textlink="">
      <xdr:nvSpPr>
        <xdr:cNvPr id="239382" name="Text Box 187">
          <a:extLst>
            <a:ext uri="{FF2B5EF4-FFF2-40B4-BE49-F238E27FC236}">
              <a16:creationId xmlns:a16="http://schemas.microsoft.com/office/drawing/2014/main" id="{5C608EE6-A963-47FB-9C0C-49AE96F4573B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200025</xdr:rowOff>
    </xdr:to>
    <xdr:sp macro="" textlink="">
      <xdr:nvSpPr>
        <xdr:cNvPr id="239383" name="Text Box 193">
          <a:extLst>
            <a:ext uri="{FF2B5EF4-FFF2-40B4-BE49-F238E27FC236}">
              <a16:creationId xmlns:a16="http://schemas.microsoft.com/office/drawing/2014/main" id="{98176428-6340-4FD0-9B20-9A6AF033CC78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200025</xdr:rowOff>
    </xdr:to>
    <xdr:sp macro="" textlink="">
      <xdr:nvSpPr>
        <xdr:cNvPr id="239384" name="Text Box 194">
          <a:extLst>
            <a:ext uri="{FF2B5EF4-FFF2-40B4-BE49-F238E27FC236}">
              <a16:creationId xmlns:a16="http://schemas.microsoft.com/office/drawing/2014/main" id="{09F44E6B-F8FC-4EFE-AC66-35AAFD53B796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26</xdr:row>
      <xdr:rowOff>0</xdr:rowOff>
    </xdr:from>
    <xdr:to>
      <xdr:col>5</xdr:col>
      <xdr:colOff>66675</xdr:colOff>
      <xdr:row>26</xdr:row>
      <xdr:rowOff>200025</xdr:rowOff>
    </xdr:to>
    <xdr:sp macro="" textlink="">
      <xdr:nvSpPr>
        <xdr:cNvPr id="239385" name="Text Box 195">
          <a:extLst>
            <a:ext uri="{FF2B5EF4-FFF2-40B4-BE49-F238E27FC236}">
              <a16:creationId xmlns:a16="http://schemas.microsoft.com/office/drawing/2014/main" id="{FA779260-FFB2-4F8F-9CCA-4A96EC28C0B7}"/>
            </a:ext>
          </a:extLst>
        </xdr:cNvPr>
        <xdr:cNvSpPr txBox="1">
          <a:spLocks noChangeArrowheads="1"/>
        </xdr:cNvSpPr>
      </xdr:nvSpPr>
      <xdr:spPr bwMode="auto">
        <a:xfrm>
          <a:off x="6743700" y="499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25</xdr:row>
      <xdr:rowOff>0</xdr:rowOff>
    </xdr:from>
    <xdr:to>
      <xdr:col>5</xdr:col>
      <xdr:colOff>66675</xdr:colOff>
      <xdr:row>25</xdr:row>
      <xdr:rowOff>200025</xdr:rowOff>
    </xdr:to>
    <xdr:sp macro="" textlink="">
      <xdr:nvSpPr>
        <xdr:cNvPr id="239386" name="Text Box 193">
          <a:extLst>
            <a:ext uri="{FF2B5EF4-FFF2-40B4-BE49-F238E27FC236}">
              <a16:creationId xmlns:a16="http://schemas.microsoft.com/office/drawing/2014/main" id="{EDFF4161-3E13-4DB2-850A-A26396D3AEDC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25</xdr:row>
      <xdr:rowOff>0</xdr:rowOff>
    </xdr:from>
    <xdr:to>
      <xdr:col>5</xdr:col>
      <xdr:colOff>66675</xdr:colOff>
      <xdr:row>25</xdr:row>
      <xdr:rowOff>200025</xdr:rowOff>
    </xdr:to>
    <xdr:sp macro="" textlink="">
      <xdr:nvSpPr>
        <xdr:cNvPr id="239387" name="Text Box 194">
          <a:extLst>
            <a:ext uri="{FF2B5EF4-FFF2-40B4-BE49-F238E27FC236}">
              <a16:creationId xmlns:a16="http://schemas.microsoft.com/office/drawing/2014/main" id="{A443DBB8-90FF-43EC-81E1-80D970E301DB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314325</xdr:colOff>
      <xdr:row>25</xdr:row>
      <xdr:rowOff>0</xdr:rowOff>
    </xdr:from>
    <xdr:to>
      <xdr:col>5</xdr:col>
      <xdr:colOff>66675</xdr:colOff>
      <xdr:row>25</xdr:row>
      <xdr:rowOff>200025</xdr:rowOff>
    </xdr:to>
    <xdr:sp macro="" textlink="">
      <xdr:nvSpPr>
        <xdr:cNvPr id="239388" name="Text Box 195">
          <a:extLst>
            <a:ext uri="{FF2B5EF4-FFF2-40B4-BE49-F238E27FC236}">
              <a16:creationId xmlns:a16="http://schemas.microsoft.com/office/drawing/2014/main" id="{966C8610-692F-4D3C-B3DF-61011350EDA5}"/>
            </a:ext>
          </a:extLst>
        </xdr:cNvPr>
        <xdr:cNvSpPr txBox="1">
          <a:spLocks noChangeArrowheads="1"/>
        </xdr:cNvSpPr>
      </xdr:nvSpPr>
      <xdr:spPr bwMode="auto">
        <a:xfrm>
          <a:off x="6743700" y="4667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wsnas16%20kopejiedati%20_LNA%20dz&#299;vojam&#257;s%20m&#257;jas%20_M.Kempes%2022%20UK%20M.Kempes22%20UK_MKempes22_19.06.dwg.dw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gaidu%20dokumenti/Renov&#257;cija_iepirkums/Altum_iepirkumi/44_M_Kempes_22/DA%20M.Kempes%2018.10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KPDV"/>
      <sheetName val="AR"/>
      <sheetName val="Logi"/>
      <sheetName val="apjoms"/>
      <sheetName val="cokols"/>
      <sheetName val="pagrabs"/>
      <sheetName val="bēniņi"/>
      <sheetName val="jumts"/>
      <sheetName val="Ieeja"/>
      <sheetName val="lodzijas"/>
      <sheetName val="AVK"/>
      <sheetName val="U1"/>
      <sheetName val="GA"/>
    </sheetNames>
    <sheetDataSet>
      <sheetData sheetId="0" refreshError="1"/>
      <sheetData sheetId="1" refreshError="1">
        <row r="7">
          <cell r="A7" t="str">
            <v>Pasūtījuma Nr.WS-77-16</v>
          </cell>
        </row>
        <row r="22">
          <cell r="A22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KPDV"/>
      <sheetName val="AR"/>
      <sheetName val="Logi"/>
      <sheetName val="apjoms"/>
      <sheetName val="cokols"/>
      <sheetName val="pagrabs"/>
      <sheetName val="bēniņi"/>
      <sheetName val="jumts"/>
      <sheetName val="Ieeja"/>
      <sheetName val="lodzijas"/>
      <sheetName val="AVK"/>
      <sheetName val="U1"/>
      <sheetName val="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DG22"/>
  <sheetViews>
    <sheetView view="pageBreakPreview" zoomScale="110" zoomScaleSheetLayoutView="110" workbookViewId="0">
      <selection activeCell="A18" sqref="A18"/>
    </sheetView>
  </sheetViews>
  <sheetFormatPr defaultColWidth="9.42578125" defaultRowHeight="11.25" x14ac:dyDescent="0.25"/>
  <cols>
    <col min="1" max="1" width="9.85546875" style="1" customWidth="1"/>
    <col min="2" max="2" width="60.85546875" style="1" customWidth="1"/>
    <col min="3" max="3" width="4" style="2" bestFit="1" customWidth="1"/>
    <col min="4" max="4" width="16.28515625" style="1" customWidth="1"/>
    <col min="5" max="16384" width="9.42578125" style="1"/>
  </cols>
  <sheetData>
    <row r="1" spans="1:111" s="3" customFormat="1" x14ac:dyDescent="0.2">
      <c r="A1" s="715" t="s">
        <v>0</v>
      </c>
      <c r="B1" s="715"/>
      <c r="C1" s="715"/>
      <c r="D1" s="71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</row>
    <row r="2" spans="1:111" s="3" customFormat="1" x14ac:dyDescent="0.2">
      <c r="A2" s="4"/>
      <c r="B2" s="5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</row>
    <row r="3" spans="1:111" s="3" customFormat="1" x14ac:dyDescent="0.2">
      <c r="A3" s="237" t="s">
        <v>677</v>
      </c>
      <c r="B3" s="4"/>
      <c r="C3" s="7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</row>
    <row r="4" spans="1:111" s="3" customFormat="1" x14ac:dyDescent="0.2">
      <c r="A4" s="6" t="str">
        <f>KPDV!A5</f>
        <v>Būves nosaukums: Daudzdzīvokļu dzīvojamā ēka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</row>
    <row r="5" spans="1:111" s="3" customFormat="1" x14ac:dyDescent="0.2">
      <c r="A5" s="6" t="str">
        <f>KPDV!A6</f>
        <v>Objekta adrese: Mirdzas Ķempes iela 22, Liepāja</v>
      </c>
      <c r="B5" s="10"/>
      <c r="C5" s="11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</row>
    <row r="6" spans="1:111" s="3" customFormat="1" x14ac:dyDescent="0.2">
      <c r="A6" s="6" t="str">
        <f>KPDV!A7</f>
        <v>Pasūtījuma Nr.WS-77-16</v>
      </c>
      <c r="B6" s="12"/>
      <c r="C6" s="13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</row>
    <row r="7" spans="1:111" s="3" customFormat="1" x14ac:dyDescent="0.2">
      <c r="A7" s="6"/>
      <c r="B7" s="12"/>
      <c r="C7" s="13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</row>
    <row r="8" spans="1:111" s="3" customFormat="1" x14ac:dyDescent="0.2">
      <c r="A8" s="6"/>
      <c r="B8" s="5"/>
      <c r="C8" s="5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</row>
    <row r="9" spans="1:111" s="3" customFormat="1" x14ac:dyDescent="0.2">
      <c r="A9" s="14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</row>
    <row r="10" spans="1:111" s="3" customFormat="1" x14ac:dyDescent="0.2">
      <c r="A10" s="14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</row>
    <row r="11" spans="1:111" s="3" customFormat="1" x14ac:dyDescent="0.2">
      <c r="A11" s="1"/>
      <c r="B11" s="15" t="s">
        <v>678</v>
      </c>
      <c r="C11" s="16"/>
      <c r="D11" s="1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</row>
    <row r="13" spans="1:111" s="3" customFormat="1" x14ac:dyDescent="0.2">
      <c r="A13" s="17" t="s">
        <v>1</v>
      </c>
      <c r="B13" s="670" t="s">
        <v>2</v>
      </c>
      <c r="C13" s="670"/>
      <c r="D13" s="669" t="s">
        <v>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</row>
    <row r="14" spans="1:111" s="3" customFormat="1" ht="10.5" customHeight="1" x14ac:dyDescent="0.2">
      <c r="A14" s="18">
        <v>1</v>
      </c>
      <c r="B14" s="672" t="s">
        <v>679</v>
      </c>
      <c r="C14" s="671"/>
      <c r="D14" s="1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</row>
    <row r="15" spans="1:111" s="3" customFormat="1" x14ac:dyDescent="0.2">
      <c r="A15" s="20"/>
      <c r="B15" s="21" t="s">
        <v>4</v>
      </c>
      <c r="C15" s="22"/>
      <c r="D15" s="22">
        <f>SUM(D14:D14)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</row>
    <row r="16" spans="1:111" s="3" customFormat="1" x14ac:dyDescent="0.2">
      <c r="A16" s="20"/>
      <c r="B16" s="23" t="s">
        <v>5</v>
      </c>
      <c r="C16" s="24">
        <v>0.21</v>
      </c>
      <c r="D16" s="22">
        <f>D15*C16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</row>
    <row r="17" spans="1:111" s="3" customFormat="1" x14ac:dyDescent="0.2">
      <c r="A17" s="20"/>
      <c r="B17" s="23" t="s">
        <v>6</v>
      </c>
      <c r="C17" s="22"/>
      <c r="D17" s="22">
        <f>SUM(D15:D16)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</row>
    <row r="18" spans="1:111" s="3" customFormat="1" x14ac:dyDescent="0.2">
      <c r="A18" s="1"/>
      <c r="B18" s="676" t="s">
        <v>680</v>
      </c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</row>
    <row r="19" spans="1:111" s="3" customFormat="1" x14ac:dyDescent="0.2">
      <c r="A19" s="1"/>
      <c r="B19" s="677" t="s">
        <v>678</v>
      </c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</row>
    <row r="20" spans="1:111" s="3" customFormat="1" ht="15" x14ac:dyDescent="0.25">
      <c r="A20" s="1"/>
      <c r="B20" s="678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</row>
    <row r="21" spans="1:111" s="3" customFormat="1" x14ac:dyDescent="0.2">
      <c r="A21" s="1"/>
      <c r="B21" s="676" t="s">
        <v>7</v>
      </c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</row>
    <row r="22" spans="1:111" s="3" customFormat="1" x14ac:dyDescent="0.2">
      <c r="A22" s="1"/>
      <c r="B22" s="676" t="s">
        <v>681</v>
      </c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</row>
  </sheetData>
  <sheetProtection selectLockedCells="1" selectUnlockedCells="1"/>
  <mergeCells count="1">
    <mergeCell ref="A1:D1"/>
  </mergeCells>
  <pageMargins left="0.2361111111111111" right="0.2361111111111111" top="0.74791666666666667" bottom="0.74861111111111112" header="0.51180555555555551" footer="0.31527777777777777"/>
  <pageSetup paperSize="9" firstPageNumber="0" fitToHeight="0" orientation="landscape" horizontalDpi="300" verticalDpi="300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1:R38"/>
  <sheetViews>
    <sheetView view="pageBreakPreview" topLeftCell="A11" zoomScale="115" zoomScaleNormal="115" zoomScaleSheetLayoutView="115" workbookViewId="0">
      <selection activeCell="C34" sqref="C34:R37"/>
    </sheetView>
  </sheetViews>
  <sheetFormatPr defaultColWidth="8.7109375" defaultRowHeight="11.25" x14ac:dyDescent="0.25"/>
  <cols>
    <col min="1" max="1" width="3.7109375" style="282" customWidth="1"/>
    <col min="2" max="2" width="4.42578125" style="39" customWidth="1"/>
    <col min="3" max="3" width="55.28515625" style="283" customWidth="1"/>
    <col min="4" max="4" width="5.85546875" style="284" customWidth="1"/>
    <col min="5" max="5" width="5.42578125" style="284" customWidth="1"/>
    <col min="6" max="6" width="4.42578125" style="39" hidden="1" customWidth="1"/>
    <col min="7" max="7" width="5.42578125" style="39" customWidth="1"/>
    <col min="8" max="9" width="7.5703125" style="39" customWidth="1"/>
    <col min="10" max="10" width="6" style="39" customWidth="1"/>
    <col min="11" max="12" width="7.5703125" style="39" customWidth="1"/>
    <col min="13" max="16" width="7" style="39" customWidth="1"/>
    <col min="17" max="17" width="7.5703125" style="39" customWidth="1"/>
    <col min="18" max="16384" width="8.7109375" style="39"/>
  </cols>
  <sheetData>
    <row r="1" spans="1:17" s="287" customFormat="1" x14ac:dyDescent="0.25">
      <c r="A1" s="753" t="s">
        <v>27</v>
      </c>
      <c r="B1" s="753"/>
      <c r="C1" s="753"/>
      <c r="D1" s="753"/>
      <c r="E1" s="753"/>
      <c r="F1" s="753"/>
      <c r="G1" s="753"/>
      <c r="H1" s="233">
        <f>KPDV!B19</f>
        <v>7</v>
      </c>
      <c r="I1" s="286"/>
      <c r="J1" s="286"/>
      <c r="K1" s="286"/>
      <c r="L1" s="286"/>
      <c r="M1" s="286"/>
      <c r="N1" s="286"/>
      <c r="O1" s="286"/>
      <c r="P1" s="286"/>
      <c r="Q1" s="286"/>
    </row>
    <row r="2" spans="1:17" s="287" customFormat="1" x14ac:dyDescent="0.25">
      <c r="A2" s="285"/>
      <c r="B2" s="285"/>
      <c r="C2" s="288" t="s">
        <v>357</v>
      </c>
      <c r="D2" s="285"/>
      <c r="E2" s="285"/>
      <c r="F2" s="285"/>
      <c r="G2" s="285"/>
      <c r="H2" s="233"/>
      <c r="I2" s="286"/>
      <c r="J2" s="286"/>
      <c r="K2" s="286"/>
      <c r="L2" s="286"/>
      <c r="M2" s="286"/>
      <c r="N2" s="286"/>
      <c r="O2" s="286"/>
      <c r="P2" s="286"/>
      <c r="Q2" s="286"/>
    </row>
    <row r="3" spans="1:17" s="287" customFormat="1" x14ac:dyDescent="0.25">
      <c r="A3" s="6" t="str">
        <f>obj</f>
        <v>Objekta nosaukums: Dzīvojamās ēkas fasādes vienkāršota atjaunošana</v>
      </c>
      <c r="B3" s="289"/>
      <c r="C3" s="290"/>
      <c r="D3" s="291"/>
      <c r="E3" s="291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</row>
    <row r="4" spans="1:17" s="287" customFormat="1" x14ac:dyDescent="0.25">
      <c r="A4" s="33" t="str">
        <f>nos</f>
        <v>Būves nosaukums: Daudzdzīvokļu dzīvojamā ēka</v>
      </c>
      <c r="B4" s="289"/>
      <c r="C4" s="290"/>
      <c r="D4" s="291"/>
      <c r="E4" s="291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</row>
    <row r="5" spans="1:17" s="287" customFormat="1" x14ac:dyDescent="0.25">
      <c r="A5" s="6" t="str">
        <f>adres</f>
        <v>Objekta adrese: Mirdzas Ķempes iela 22, Liepāja</v>
      </c>
      <c r="B5" s="289"/>
      <c r="C5" s="290"/>
      <c r="D5" s="291"/>
      <c r="E5" s="291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</row>
    <row r="6" spans="1:17" s="287" customFormat="1" x14ac:dyDescent="0.25">
      <c r="A6" s="6" t="str">
        <f>nr</f>
        <v>Pasūtījuma Nr.WS-77-16</v>
      </c>
      <c r="B6" s="289"/>
      <c r="C6" s="290"/>
      <c r="D6" s="291"/>
      <c r="E6" s="291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</row>
    <row r="7" spans="1:17" s="287" customFormat="1" x14ac:dyDescent="0.2">
      <c r="A7" s="9"/>
      <c r="B7" s="32"/>
      <c r="C7" s="121" t="s">
        <v>689</v>
      </c>
      <c r="D7" s="9"/>
      <c r="E7" s="232" t="s">
        <v>29</v>
      </c>
      <c r="F7" s="32" t="s">
        <v>30</v>
      </c>
      <c r="G7" s="687" t="s">
        <v>690</v>
      </c>
      <c r="H7" s="32"/>
      <c r="I7" s="32"/>
      <c r="J7" s="32"/>
      <c r="K7" s="32"/>
      <c r="L7" s="32"/>
      <c r="M7" s="32"/>
      <c r="N7" s="32"/>
      <c r="O7" s="32"/>
      <c r="P7" s="68" t="s">
        <v>31</v>
      </c>
      <c r="Q7" s="235">
        <f>Q26</f>
        <v>0</v>
      </c>
    </row>
    <row r="8" spans="1:17" s="287" customFormat="1" x14ac:dyDescent="0.25">
      <c r="A8" s="14"/>
      <c r="B8" s="14"/>
      <c r="C8" s="34"/>
      <c r="D8" s="14"/>
      <c r="E8" s="14"/>
      <c r="F8" s="14"/>
      <c r="G8" s="14"/>
      <c r="H8" s="14"/>
      <c r="I8" s="14"/>
      <c r="J8" s="14"/>
      <c r="K8" s="14"/>
      <c r="L8" s="14"/>
      <c r="M8" s="14"/>
      <c r="N8" s="9"/>
      <c r="O8" s="70"/>
      <c r="P8" s="71" t="str">
        <f>KPDV!C33</f>
        <v>Tāme sastādīta</v>
      </c>
      <c r="Q8" s="286"/>
    </row>
    <row r="9" spans="1:17" s="292" customFormat="1" ht="10.15" customHeight="1" x14ac:dyDescent="0.25">
      <c r="A9" s="732" t="s">
        <v>1</v>
      </c>
      <c r="B9" s="732" t="s">
        <v>32</v>
      </c>
      <c r="C9" s="749" t="s">
        <v>33</v>
      </c>
      <c r="D9" s="734" t="s">
        <v>34</v>
      </c>
      <c r="E9" s="732" t="s">
        <v>35</v>
      </c>
      <c r="F9" s="72"/>
      <c r="G9" s="754" t="s">
        <v>36</v>
      </c>
      <c r="H9" s="754"/>
      <c r="I9" s="754"/>
      <c r="J9" s="754"/>
      <c r="K9" s="754"/>
      <c r="L9" s="754"/>
      <c r="M9" s="729" t="s">
        <v>37</v>
      </c>
      <c r="N9" s="729"/>
      <c r="O9" s="729"/>
      <c r="P9" s="729"/>
      <c r="Q9" s="729"/>
    </row>
    <row r="10" spans="1:17" s="292" customFormat="1" ht="74.25" customHeight="1" x14ac:dyDescent="0.25">
      <c r="A10" s="732"/>
      <c r="B10" s="732"/>
      <c r="C10" s="749"/>
      <c r="D10" s="734"/>
      <c r="E10" s="732"/>
      <c r="F10" s="72"/>
      <c r="G10" s="75" t="s">
        <v>38</v>
      </c>
      <c r="H10" s="75" t="s">
        <v>660</v>
      </c>
      <c r="I10" s="75" t="s">
        <v>20</v>
      </c>
      <c r="J10" s="75" t="s">
        <v>657</v>
      </c>
      <c r="K10" s="75" t="s">
        <v>21</v>
      </c>
      <c r="L10" s="75" t="s">
        <v>658</v>
      </c>
      <c r="M10" s="75" t="s">
        <v>39</v>
      </c>
      <c r="N10" s="75" t="s">
        <v>20</v>
      </c>
      <c r="O10" s="75" t="s">
        <v>657</v>
      </c>
      <c r="P10" s="75" t="s">
        <v>21</v>
      </c>
      <c r="Q10" s="75" t="s">
        <v>659</v>
      </c>
    </row>
    <row r="11" spans="1:17" s="295" customFormat="1" x14ac:dyDescent="0.25">
      <c r="A11" s="293">
        <v>1</v>
      </c>
      <c r="B11" s="293">
        <f>A11+1</f>
        <v>2</v>
      </c>
      <c r="C11" s="277">
        <f>B11+1</f>
        <v>3</v>
      </c>
      <c r="D11" s="293">
        <f>C11+1</f>
        <v>4</v>
      </c>
      <c r="E11" s="293">
        <f>D11+1</f>
        <v>5</v>
      </c>
      <c r="F11" s="293">
        <v>1</v>
      </c>
      <c r="G11" s="293">
        <f>E11+1</f>
        <v>6</v>
      </c>
      <c r="H11" s="293">
        <f t="shared" ref="H11:Q11" si="0">G11+1</f>
        <v>7</v>
      </c>
      <c r="I11" s="293">
        <f t="shared" si="0"/>
        <v>8</v>
      </c>
      <c r="J11" s="293">
        <f t="shared" si="0"/>
        <v>9</v>
      </c>
      <c r="K11" s="293">
        <f t="shared" si="0"/>
        <v>10</v>
      </c>
      <c r="L11" s="294">
        <f t="shared" si="0"/>
        <v>11</v>
      </c>
      <c r="M11" s="293">
        <f t="shared" si="0"/>
        <v>12</v>
      </c>
      <c r="N11" s="293">
        <f t="shared" si="0"/>
        <v>13</v>
      </c>
      <c r="O11" s="293">
        <f t="shared" si="0"/>
        <v>14</v>
      </c>
      <c r="P11" s="293">
        <f t="shared" si="0"/>
        <v>15</v>
      </c>
      <c r="Q11" s="293">
        <f t="shared" si="0"/>
        <v>16</v>
      </c>
    </row>
    <row r="12" spans="1:17" x14ac:dyDescent="0.25">
      <c r="B12" s="35"/>
      <c r="C12" s="296" t="s">
        <v>358</v>
      </c>
      <c r="D12" s="35"/>
      <c r="E12" s="35"/>
      <c r="M12" s="297"/>
      <c r="N12" s="297"/>
      <c r="O12" s="297"/>
      <c r="P12" s="297"/>
      <c r="Q12" s="297"/>
    </row>
    <row r="13" spans="1:17" ht="22.5" x14ac:dyDescent="0.25">
      <c r="A13" s="85">
        <f>IF(COUNTBLANK(B13)=1," ",COUNTA(B13:B$13))</f>
        <v>1</v>
      </c>
      <c r="B13" s="83" t="s">
        <v>40</v>
      </c>
      <c r="C13" s="84" t="s">
        <v>359</v>
      </c>
      <c r="D13" s="90" t="s">
        <v>47</v>
      </c>
      <c r="E13" s="90">
        <v>12</v>
      </c>
      <c r="G13" s="278"/>
      <c r="H13" s="210"/>
      <c r="I13" s="278"/>
      <c r="J13" s="278"/>
      <c r="K13" s="278"/>
      <c r="L13" s="298"/>
      <c r="M13" s="82"/>
      <c r="N13" s="82"/>
      <c r="O13" s="82"/>
      <c r="P13" s="82"/>
      <c r="Q13" s="82"/>
    </row>
    <row r="14" spans="1:17" s="234" customFormat="1" ht="22.5" x14ac:dyDescent="0.25">
      <c r="A14" s="85">
        <f t="shared" ref="A14:A25" si="1">IF(COUNTBLANK(B14)=1," ",COUNTA(B$13:B14))</f>
        <v>2</v>
      </c>
      <c r="B14" s="83" t="s">
        <v>40</v>
      </c>
      <c r="C14" s="84" t="s">
        <v>360</v>
      </c>
      <c r="D14" s="90" t="s">
        <v>47</v>
      </c>
      <c r="E14" s="90">
        <v>12</v>
      </c>
      <c r="F14" s="299"/>
      <c r="G14" s="87"/>
      <c r="H14" s="210"/>
      <c r="I14" s="210"/>
      <c r="J14" s="278"/>
      <c r="K14" s="278"/>
      <c r="L14" s="298"/>
      <c r="M14" s="82"/>
      <c r="N14" s="82"/>
      <c r="O14" s="82"/>
      <c r="P14" s="82"/>
      <c r="Q14" s="82"/>
    </row>
    <row r="15" spans="1:17" s="32" customFormat="1" x14ac:dyDescent="0.25">
      <c r="A15" s="85" t="str">
        <f t="shared" si="1"/>
        <v xml:space="preserve"> </v>
      </c>
      <c r="B15" s="300"/>
      <c r="C15" s="73" t="s">
        <v>361</v>
      </c>
      <c r="D15" s="90" t="s">
        <v>88</v>
      </c>
      <c r="E15" s="106">
        <f>E14*F15</f>
        <v>0.36</v>
      </c>
      <c r="F15" s="299">
        <v>0.03</v>
      </c>
      <c r="G15" s="301"/>
      <c r="H15" s="301"/>
      <c r="I15" s="302"/>
      <c r="J15" s="301"/>
      <c r="K15" s="303"/>
      <c r="L15" s="298"/>
      <c r="M15" s="82"/>
      <c r="N15" s="82"/>
      <c r="O15" s="82"/>
      <c r="P15" s="82"/>
      <c r="Q15" s="82"/>
    </row>
    <row r="16" spans="1:17" s="234" customFormat="1" ht="22.5" x14ac:dyDescent="0.25">
      <c r="A16" s="85">
        <f t="shared" si="1"/>
        <v>3</v>
      </c>
      <c r="B16" s="83" t="s">
        <v>40</v>
      </c>
      <c r="C16" s="84" t="s">
        <v>362</v>
      </c>
      <c r="D16" s="90" t="s">
        <v>47</v>
      </c>
      <c r="E16" s="105">
        <v>18.8</v>
      </c>
      <c r="F16" s="299"/>
      <c r="G16" s="87"/>
      <c r="H16" s="210"/>
      <c r="I16" s="210"/>
      <c r="J16" s="278"/>
      <c r="K16" s="278"/>
      <c r="L16" s="298"/>
      <c r="M16" s="82"/>
      <c r="N16" s="82"/>
      <c r="O16" s="82"/>
      <c r="P16" s="82"/>
      <c r="Q16" s="82"/>
    </row>
    <row r="17" spans="1:17" s="32" customFormat="1" x14ac:dyDescent="0.25">
      <c r="A17" s="85" t="str">
        <f t="shared" si="1"/>
        <v xml:space="preserve"> </v>
      </c>
      <c r="B17" s="300"/>
      <c r="C17" s="73" t="s">
        <v>361</v>
      </c>
      <c r="D17" s="90" t="s">
        <v>88</v>
      </c>
      <c r="E17" s="106">
        <f>E16*F17</f>
        <v>0.56399999999999995</v>
      </c>
      <c r="F17" s="299">
        <v>0.03</v>
      </c>
      <c r="G17" s="301"/>
      <c r="H17" s="301"/>
      <c r="I17" s="302"/>
      <c r="J17" s="301"/>
      <c r="K17" s="303"/>
      <c r="L17" s="298"/>
      <c r="M17" s="82"/>
      <c r="N17" s="82"/>
      <c r="O17" s="82"/>
      <c r="P17" s="82"/>
      <c r="Q17" s="82"/>
    </row>
    <row r="18" spans="1:17" ht="22.5" x14ac:dyDescent="0.25">
      <c r="A18" s="85">
        <f t="shared" si="1"/>
        <v>4</v>
      </c>
      <c r="B18" s="83" t="s">
        <v>40</v>
      </c>
      <c r="C18" s="84" t="s">
        <v>363</v>
      </c>
      <c r="D18" s="90" t="s">
        <v>88</v>
      </c>
      <c r="E18" s="105">
        <v>4</v>
      </c>
      <c r="G18" s="87"/>
      <c r="H18" s="210"/>
      <c r="I18" s="87"/>
      <c r="J18" s="87"/>
      <c r="K18" s="87"/>
      <c r="L18" s="298"/>
      <c r="M18" s="82"/>
      <c r="N18" s="82"/>
      <c r="O18" s="82"/>
      <c r="P18" s="82"/>
      <c r="Q18" s="82"/>
    </row>
    <row r="19" spans="1:17" s="110" customFormat="1" ht="22.5" x14ac:dyDescent="0.25">
      <c r="A19" s="85">
        <f t="shared" si="1"/>
        <v>5</v>
      </c>
      <c r="B19" s="83" t="s">
        <v>40</v>
      </c>
      <c r="C19" s="84" t="s">
        <v>364</v>
      </c>
      <c r="D19" s="90" t="s">
        <v>88</v>
      </c>
      <c r="E19" s="105">
        <v>2</v>
      </c>
      <c r="F19" s="304"/>
      <c r="G19" s="87"/>
      <c r="H19" s="210"/>
      <c r="I19" s="87"/>
      <c r="J19" s="88"/>
      <c r="K19" s="87"/>
      <c r="L19" s="298"/>
      <c r="M19" s="82"/>
      <c r="N19" s="82"/>
      <c r="O19" s="82"/>
      <c r="P19" s="82"/>
      <c r="Q19" s="82"/>
    </row>
    <row r="20" spans="1:17" s="110" customFormat="1" x14ac:dyDescent="0.25">
      <c r="A20" s="85" t="str">
        <f t="shared" si="1"/>
        <v xml:space="preserve"> </v>
      </c>
      <c r="B20" s="123"/>
      <c r="C20" s="73" t="s">
        <v>190</v>
      </c>
      <c r="D20" s="123" t="s">
        <v>275</v>
      </c>
      <c r="E20" s="106">
        <f>E19*F20</f>
        <v>2.2000000000000002</v>
      </c>
      <c r="F20" s="106">
        <v>1.1000000000000001</v>
      </c>
      <c r="G20" s="87"/>
      <c r="H20" s="87"/>
      <c r="I20" s="87"/>
      <c r="J20" s="87"/>
      <c r="K20" s="87"/>
      <c r="L20" s="298"/>
      <c r="M20" s="82"/>
      <c r="N20" s="82"/>
      <c r="O20" s="82"/>
      <c r="P20" s="82"/>
      <c r="Q20" s="82"/>
    </row>
    <row r="21" spans="1:17" x14ac:dyDescent="0.25">
      <c r="A21" s="85">
        <f t="shared" si="1"/>
        <v>6</v>
      </c>
      <c r="B21" s="83" t="s">
        <v>40</v>
      </c>
      <c r="C21" s="84" t="s">
        <v>365</v>
      </c>
      <c r="D21" s="90" t="s">
        <v>88</v>
      </c>
      <c r="E21" s="105">
        <v>2</v>
      </c>
      <c r="G21" s="87"/>
      <c r="H21" s="210"/>
      <c r="I21" s="87"/>
      <c r="J21" s="87"/>
      <c r="K21" s="87"/>
      <c r="L21" s="298"/>
      <c r="M21" s="82"/>
      <c r="N21" s="82"/>
      <c r="O21" s="82"/>
      <c r="P21" s="82"/>
      <c r="Q21" s="82"/>
    </row>
    <row r="22" spans="1:17" ht="22.5" x14ac:dyDescent="0.25">
      <c r="A22" s="85">
        <f t="shared" si="1"/>
        <v>7</v>
      </c>
      <c r="B22" s="83" t="s">
        <v>40</v>
      </c>
      <c r="C22" s="84" t="s">
        <v>366</v>
      </c>
      <c r="D22" s="90" t="s">
        <v>44</v>
      </c>
      <c r="E22" s="91">
        <v>4</v>
      </c>
      <c r="G22" s="88"/>
      <c r="H22" s="210"/>
      <c r="I22" s="88"/>
      <c r="J22" s="88"/>
      <c r="K22" s="88"/>
      <c r="L22" s="298"/>
      <c r="M22" s="82"/>
      <c r="N22" s="82"/>
      <c r="O22" s="82"/>
      <c r="P22" s="82"/>
      <c r="Q22" s="82"/>
    </row>
    <row r="23" spans="1:17" x14ac:dyDescent="0.25">
      <c r="A23" s="85">
        <f t="shared" si="1"/>
        <v>8</v>
      </c>
      <c r="B23" s="83" t="s">
        <v>40</v>
      </c>
      <c r="C23" s="84" t="s">
        <v>367</v>
      </c>
      <c r="D23" s="90" t="s">
        <v>44</v>
      </c>
      <c r="E23" s="91">
        <v>4</v>
      </c>
      <c r="G23" s="88"/>
      <c r="H23" s="210"/>
      <c r="I23" s="88"/>
      <c r="J23" s="88"/>
      <c r="K23" s="88"/>
      <c r="L23" s="298"/>
      <c r="M23" s="82"/>
      <c r="N23" s="82"/>
      <c r="O23" s="82"/>
      <c r="P23" s="82"/>
      <c r="Q23" s="82"/>
    </row>
    <row r="24" spans="1:17" s="26" customFormat="1" ht="22.5" x14ac:dyDescent="0.25">
      <c r="A24" s="85">
        <f t="shared" si="1"/>
        <v>9</v>
      </c>
      <c r="B24" s="83" t="s">
        <v>40</v>
      </c>
      <c r="C24" s="84" t="s">
        <v>368</v>
      </c>
      <c r="D24" s="90" t="s">
        <v>47</v>
      </c>
      <c r="E24" s="105">
        <v>52.2</v>
      </c>
      <c r="F24" s="106"/>
      <c r="G24" s="88"/>
      <c r="H24" s="210"/>
      <c r="I24" s="88"/>
      <c r="J24" s="88"/>
      <c r="K24" s="88"/>
      <c r="L24" s="298"/>
      <c r="M24" s="82"/>
      <c r="N24" s="82"/>
      <c r="O24" s="82"/>
      <c r="P24" s="82"/>
      <c r="Q24" s="82"/>
    </row>
    <row r="25" spans="1:17" s="35" customFormat="1" x14ac:dyDescent="0.25">
      <c r="A25" s="85" t="str">
        <f t="shared" si="1"/>
        <v xml:space="preserve"> </v>
      </c>
      <c r="B25" s="123"/>
      <c r="C25" s="73" t="s">
        <v>216</v>
      </c>
      <c r="D25" s="123" t="s">
        <v>58</v>
      </c>
      <c r="E25" s="98">
        <f>ROUNDUP(E24*F25,2)</f>
        <v>20.88</v>
      </c>
      <c r="F25" s="106">
        <v>0.4</v>
      </c>
      <c r="G25" s="88"/>
      <c r="H25" s="88"/>
      <c r="I25" s="88"/>
      <c r="J25" s="88"/>
      <c r="K25" s="88"/>
      <c r="L25" s="298"/>
      <c r="M25" s="82"/>
      <c r="N25" s="82"/>
      <c r="O25" s="82"/>
      <c r="P25" s="82"/>
      <c r="Q25" s="82"/>
    </row>
    <row r="26" spans="1:17" s="35" customFormat="1" x14ac:dyDescent="0.25">
      <c r="A26" s="96" t="str">
        <f>IF(COUNTBLANK(I26)=1," ",COUNTA($I$25:I26))</f>
        <v xml:space="preserve"> </v>
      </c>
      <c r="B26" s="110"/>
      <c r="C26" s="113" t="s">
        <v>77</v>
      </c>
      <c r="D26" s="115"/>
      <c r="E26" s="9"/>
      <c r="F26" s="9"/>
      <c r="G26" s="96"/>
      <c r="H26" s="9"/>
      <c r="I26" s="96"/>
      <c r="J26" s="96"/>
      <c r="K26" s="96"/>
      <c r="L26" s="96"/>
      <c r="M26" s="114">
        <f>SUM(M13:M25)</f>
        <v>0</v>
      </c>
      <c r="N26" s="114">
        <f>SUM(N13:N25)</f>
        <v>0</v>
      </c>
      <c r="O26" s="114">
        <f>SUM(O13:O25)</f>
        <v>0</v>
      </c>
      <c r="P26" s="114">
        <f>SUM(P13:P25)</f>
        <v>0</v>
      </c>
      <c r="Q26" s="114">
        <f>SUM(Q13:Q25)</f>
        <v>0</v>
      </c>
    </row>
    <row r="27" spans="1:17" s="35" customFormat="1" x14ac:dyDescent="0.25">
      <c r="A27" s="96"/>
      <c r="B27" s="110"/>
      <c r="C27" s="230"/>
      <c r="D27" s="115"/>
      <c r="E27" s="9"/>
      <c r="F27" s="9"/>
      <c r="G27" s="96"/>
      <c r="H27" s="9"/>
      <c r="I27" s="96"/>
      <c r="J27" s="96"/>
      <c r="K27" s="96"/>
      <c r="L27" s="96"/>
      <c r="M27" s="116"/>
      <c r="N27" s="96"/>
      <c r="O27" s="116"/>
      <c r="P27" s="116"/>
      <c r="Q27" s="116"/>
    </row>
    <row r="28" spans="1:17" s="35" customFormat="1" x14ac:dyDescent="0.25">
      <c r="A28" s="96"/>
      <c r="B28" s="110"/>
      <c r="C28" s="673" t="s">
        <v>680</v>
      </c>
      <c r="D28" s="115"/>
      <c r="E28" s="9"/>
      <c r="F28" s="9"/>
      <c r="G28" s="96"/>
      <c r="H28" s="9"/>
      <c r="I28" s="96"/>
      <c r="J28" s="96"/>
      <c r="K28" s="96"/>
      <c r="L28" s="96"/>
      <c r="M28" s="116"/>
      <c r="N28" s="96"/>
      <c r="O28" s="116"/>
      <c r="P28" s="116"/>
      <c r="Q28" s="116"/>
    </row>
    <row r="29" spans="1:17" s="35" customFormat="1" x14ac:dyDescent="0.25">
      <c r="A29" s="96"/>
      <c r="B29" s="110"/>
      <c r="C29" s="674" t="s">
        <v>678</v>
      </c>
      <c r="D29" s="115"/>
      <c r="E29" s="9"/>
      <c r="F29" s="9"/>
      <c r="G29" s="96"/>
      <c r="H29" s="9"/>
      <c r="I29" s="96"/>
      <c r="J29" s="96"/>
      <c r="K29" s="96"/>
      <c r="L29" s="96"/>
      <c r="M29" s="116"/>
      <c r="N29" s="96"/>
      <c r="O29" s="116"/>
      <c r="P29" s="116"/>
      <c r="Q29" s="116"/>
    </row>
    <row r="30" spans="1:17" s="35" customFormat="1" ht="15" x14ac:dyDescent="0.25">
      <c r="C30" s="675"/>
      <c r="M30" s="118"/>
      <c r="N30" s="118"/>
      <c r="O30" s="118"/>
      <c r="P30" s="118"/>
      <c r="Q30" s="118"/>
    </row>
    <row r="31" spans="1:17" s="35" customFormat="1" x14ac:dyDescent="0.25">
      <c r="B31" s="57"/>
      <c r="C31" s="673" t="s">
        <v>7</v>
      </c>
    </row>
    <row r="32" spans="1:17" s="35" customFormat="1" x14ac:dyDescent="0.25">
      <c r="B32" s="57"/>
      <c r="C32" s="673" t="s">
        <v>681</v>
      </c>
    </row>
    <row r="33" spans="2:18" s="35" customFormat="1" x14ac:dyDescent="0.25">
      <c r="B33" s="1"/>
      <c r="C33" s="1"/>
    </row>
    <row r="34" spans="2:18" s="35" customFormat="1" ht="12.75" x14ac:dyDescent="0.2">
      <c r="C34" s="781" t="s">
        <v>838</v>
      </c>
      <c r="D34" s="782"/>
      <c r="E34" s="783"/>
      <c r="F34" s="783"/>
      <c r="G34" s="783"/>
      <c r="H34" s="783"/>
      <c r="I34" s="783"/>
      <c r="J34" s="783"/>
      <c r="K34" s="783"/>
      <c r="L34" s="783"/>
      <c r="M34" s="783"/>
      <c r="N34" s="783"/>
      <c r="O34" s="783"/>
      <c r="P34" s="783"/>
      <c r="Q34" s="783"/>
      <c r="R34" s="783"/>
    </row>
    <row r="35" spans="2:18" s="35" customFormat="1" x14ac:dyDescent="0.25">
      <c r="B35" s="1"/>
      <c r="C35" s="784" t="s">
        <v>839</v>
      </c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</row>
    <row r="36" spans="2:18" s="35" customFormat="1" x14ac:dyDescent="0.25">
      <c r="B36" s="57"/>
      <c r="C36" s="784"/>
      <c r="D36" s="784"/>
      <c r="E36" s="784"/>
      <c r="F36" s="784"/>
      <c r="G36" s="784"/>
      <c r="H36" s="784"/>
      <c r="I36" s="784"/>
      <c r="J36" s="784"/>
      <c r="K36" s="784"/>
      <c r="L36" s="784"/>
      <c r="M36" s="784"/>
      <c r="N36" s="784"/>
      <c r="O36" s="784"/>
      <c r="P36" s="784"/>
      <c r="Q36" s="784"/>
      <c r="R36" s="784"/>
    </row>
    <row r="37" spans="2:18" s="35" customFormat="1" ht="24" customHeight="1" x14ac:dyDescent="0.25">
      <c r="B37" s="57"/>
      <c r="C37" s="784"/>
      <c r="D37" s="784"/>
      <c r="E37" s="784"/>
      <c r="F37" s="784"/>
      <c r="G37" s="784"/>
      <c r="H37" s="784"/>
      <c r="I37" s="784"/>
      <c r="J37" s="784"/>
      <c r="K37" s="784"/>
      <c r="L37" s="784"/>
      <c r="M37" s="784"/>
      <c r="N37" s="784"/>
      <c r="O37" s="784"/>
      <c r="P37" s="784"/>
      <c r="Q37" s="784"/>
      <c r="R37" s="784"/>
    </row>
    <row r="38" spans="2:18" s="35" customFormat="1" x14ac:dyDescent="0.25">
      <c r="B38" s="1"/>
      <c r="C38" s="57"/>
      <c r="D38" s="63"/>
      <c r="E38" s="63"/>
      <c r="F38" s="63"/>
    </row>
  </sheetData>
  <sheetProtection selectLockedCells="1" selectUnlockedCells="1"/>
  <mergeCells count="9">
    <mergeCell ref="C35:R37"/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1111111111111" right="0.2361111111111111" top="0.74791666666666667" bottom="0.74861111111111112" header="0.51180555555555551" footer="0.31527777777777777"/>
  <pageSetup paperSize="9" scale="94" firstPageNumber="0" fitToHeight="0" orientation="landscape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1:R83"/>
  <sheetViews>
    <sheetView view="pageBreakPreview" topLeftCell="A49" zoomScale="110" zoomScaleNormal="115" zoomScaleSheetLayoutView="110" workbookViewId="0">
      <selection activeCell="C78" sqref="C78:R81"/>
    </sheetView>
  </sheetViews>
  <sheetFormatPr defaultColWidth="8.7109375" defaultRowHeight="11.25" x14ac:dyDescent="0.25"/>
  <cols>
    <col min="1" max="1" width="3.7109375" style="282" customWidth="1"/>
    <col min="2" max="2" width="4.42578125" style="39" customWidth="1"/>
    <col min="3" max="3" width="55.28515625" style="283" customWidth="1"/>
    <col min="4" max="4" width="8.140625" style="283" customWidth="1"/>
    <col min="5" max="5" width="6.7109375" style="283" customWidth="1"/>
    <col min="6" max="6" width="5" style="283" hidden="1" customWidth="1"/>
    <col min="7" max="7" width="5.42578125" style="39" customWidth="1"/>
    <col min="8" max="8" width="7.42578125" style="39" customWidth="1"/>
    <col min="9" max="12" width="5.28515625" style="39" customWidth="1"/>
    <col min="13" max="13" width="7" style="39" customWidth="1"/>
    <col min="14" max="15" width="7.85546875" style="39" customWidth="1"/>
    <col min="16" max="16" width="7" style="39" customWidth="1"/>
    <col min="17" max="17" width="8.85546875" style="39" customWidth="1"/>
    <col min="18" max="16384" width="8.7109375" style="39"/>
  </cols>
  <sheetData>
    <row r="1" spans="1:17" s="287" customFormat="1" x14ac:dyDescent="0.25">
      <c r="A1" s="753" t="s">
        <v>27</v>
      </c>
      <c r="B1" s="753"/>
      <c r="C1" s="753"/>
      <c r="D1" s="753"/>
      <c r="E1" s="753"/>
      <c r="F1" s="753"/>
      <c r="G1" s="753"/>
      <c r="H1" s="233">
        <f>KPDV!B20</f>
        <v>8</v>
      </c>
      <c r="I1" s="286"/>
      <c r="J1" s="286"/>
      <c r="K1" s="286"/>
      <c r="L1" s="286"/>
      <c r="M1" s="286"/>
      <c r="N1" s="286"/>
      <c r="O1" s="286"/>
      <c r="P1" s="286"/>
      <c r="Q1" s="286"/>
    </row>
    <row r="2" spans="1:17" s="287" customFormat="1" x14ac:dyDescent="0.25">
      <c r="A2" s="285"/>
      <c r="B2" s="285"/>
      <c r="C2" s="65" t="s">
        <v>369</v>
      </c>
      <c r="D2" s="65"/>
      <c r="E2" s="65"/>
      <c r="F2" s="65"/>
      <c r="G2" s="285"/>
      <c r="H2" s="233"/>
      <c r="I2" s="286"/>
      <c r="J2" s="286"/>
      <c r="K2" s="286"/>
      <c r="L2" s="286"/>
      <c r="M2" s="286"/>
      <c r="N2" s="286"/>
      <c r="O2" s="286"/>
      <c r="P2" s="286"/>
      <c r="Q2" s="286"/>
    </row>
    <row r="3" spans="1:17" s="287" customFormat="1" x14ac:dyDescent="0.25">
      <c r="A3" s="6" t="str">
        <f>obj</f>
        <v>Objekta nosaukums: Dzīvojamās ēkas fasādes vienkāršota atjaunošana</v>
      </c>
      <c r="B3" s="289"/>
      <c r="C3" s="290"/>
      <c r="D3" s="290"/>
      <c r="E3" s="290"/>
      <c r="F3" s="290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</row>
    <row r="4" spans="1:17" s="287" customFormat="1" x14ac:dyDescent="0.25">
      <c r="A4" s="33" t="str">
        <f>nos</f>
        <v>Būves nosaukums: Daudzdzīvokļu dzīvojamā ēka</v>
      </c>
      <c r="B4" s="289"/>
      <c r="C4" s="290"/>
      <c r="D4" s="290"/>
      <c r="E4" s="290"/>
      <c r="F4" s="290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</row>
    <row r="5" spans="1:17" s="287" customFormat="1" x14ac:dyDescent="0.25">
      <c r="A5" s="6" t="str">
        <f>adres</f>
        <v>Objekta adrese: Mirdzas Ķempes iela 22, Liepāja</v>
      </c>
      <c r="B5" s="289"/>
      <c r="C5" s="290"/>
      <c r="D5" s="290"/>
      <c r="E5" s="290"/>
      <c r="F5" s="290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</row>
    <row r="6" spans="1:17" s="287" customFormat="1" x14ac:dyDescent="0.25">
      <c r="A6" s="6" t="str">
        <f>nr</f>
        <v>Pasūtījuma Nr.WS-77-16</v>
      </c>
      <c r="B6" s="289"/>
      <c r="C6" s="290"/>
      <c r="D6" s="290"/>
      <c r="E6" s="290"/>
      <c r="F6" s="290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</row>
    <row r="7" spans="1:17" s="287" customFormat="1" x14ac:dyDescent="0.2">
      <c r="A7" s="9"/>
      <c r="B7" s="32"/>
      <c r="C7" s="121" t="s">
        <v>689</v>
      </c>
      <c r="D7" s="71" t="s">
        <v>691</v>
      </c>
      <c r="E7" s="687" t="s">
        <v>690</v>
      </c>
      <c r="F7" s="121"/>
      <c r="G7" s="32"/>
      <c r="H7" s="32"/>
      <c r="I7" s="32"/>
      <c r="J7" s="32"/>
      <c r="K7" s="32"/>
      <c r="L7" s="32"/>
      <c r="M7" s="32"/>
      <c r="N7" s="32"/>
      <c r="O7" s="32"/>
      <c r="P7" s="68" t="s">
        <v>31</v>
      </c>
      <c r="Q7" s="235">
        <f>Q70</f>
        <v>0</v>
      </c>
    </row>
    <row r="8" spans="1:17" s="287" customFormat="1" x14ac:dyDescent="0.25">
      <c r="A8" s="14"/>
      <c r="B8" s="14"/>
      <c r="C8" s="34"/>
      <c r="D8" s="34"/>
      <c r="E8" s="34"/>
      <c r="F8" s="34"/>
      <c r="G8" s="14"/>
      <c r="H8" s="14"/>
      <c r="I8" s="14"/>
      <c r="J8" s="14"/>
      <c r="K8" s="14"/>
      <c r="L8" s="14"/>
      <c r="M8" s="14"/>
      <c r="N8" s="9"/>
      <c r="O8" s="70"/>
      <c r="P8" s="71" t="str">
        <f>KPDV!C33</f>
        <v>Tāme sastādīta</v>
      </c>
      <c r="Q8" s="286"/>
    </row>
    <row r="9" spans="1:17" s="292" customFormat="1" ht="10.15" customHeight="1" x14ac:dyDescent="0.25">
      <c r="A9" s="732" t="s">
        <v>1</v>
      </c>
      <c r="B9" s="732" t="s">
        <v>32</v>
      </c>
      <c r="C9" s="749" t="s">
        <v>33</v>
      </c>
      <c r="D9" s="734" t="s">
        <v>34</v>
      </c>
      <c r="E9" s="732" t="s">
        <v>35</v>
      </c>
      <c r="F9" s="72"/>
      <c r="G9" s="754" t="s">
        <v>36</v>
      </c>
      <c r="H9" s="754"/>
      <c r="I9" s="754"/>
      <c r="J9" s="754"/>
      <c r="K9" s="754"/>
      <c r="L9" s="754"/>
      <c r="M9" s="729" t="s">
        <v>37</v>
      </c>
      <c r="N9" s="729"/>
      <c r="O9" s="729"/>
      <c r="P9" s="729"/>
      <c r="Q9" s="729"/>
    </row>
    <row r="10" spans="1:17" s="292" customFormat="1" ht="66" x14ac:dyDescent="0.25">
      <c r="A10" s="732"/>
      <c r="B10" s="732"/>
      <c r="C10" s="749"/>
      <c r="D10" s="734"/>
      <c r="E10" s="732"/>
      <c r="F10" s="72"/>
      <c r="G10" s="75" t="s">
        <v>38</v>
      </c>
      <c r="H10" s="75" t="s">
        <v>660</v>
      </c>
      <c r="I10" s="75" t="s">
        <v>20</v>
      </c>
      <c r="J10" s="75" t="s">
        <v>657</v>
      </c>
      <c r="K10" s="75" t="s">
        <v>21</v>
      </c>
      <c r="L10" s="75" t="s">
        <v>658</v>
      </c>
      <c r="M10" s="75" t="s">
        <v>39</v>
      </c>
      <c r="N10" s="75" t="s">
        <v>20</v>
      </c>
      <c r="O10" s="75" t="s">
        <v>657</v>
      </c>
      <c r="P10" s="75" t="s">
        <v>21</v>
      </c>
      <c r="Q10" s="75" t="s">
        <v>659</v>
      </c>
    </row>
    <row r="11" spans="1:17" s="295" customFormat="1" x14ac:dyDescent="0.25">
      <c r="A11" s="293">
        <v>1</v>
      </c>
      <c r="B11" s="293">
        <f>A11+1</f>
        <v>2</v>
      </c>
      <c r="C11" s="277">
        <f>B11+1</f>
        <v>3</v>
      </c>
      <c r="D11" s="293">
        <f>C11+1</f>
        <v>4</v>
      </c>
      <c r="E11" s="293">
        <f>D11+1</f>
        <v>5</v>
      </c>
      <c r="F11" s="293">
        <v>1</v>
      </c>
      <c r="G11" s="293">
        <f>E11+1</f>
        <v>6</v>
      </c>
      <c r="H11" s="293">
        <f t="shared" ref="H11:Q11" si="0">G11+1</f>
        <v>7</v>
      </c>
      <c r="I11" s="293">
        <f t="shared" si="0"/>
        <v>8</v>
      </c>
      <c r="J11" s="293">
        <f t="shared" si="0"/>
        <v>9</v>
      </c>
      <c r="K11" s="293">
        <f t="shared" si="0"/>
        <v>10</v>
      </c>
      <c r="L11" s="294">
        <f t="shared" si="0"/>
        <v>11</v>
      </c>
      <c r="M11" s="293">
        <f t="shared" si="0"/>
        <v>12</v>
      </c>
      <c r="N11" s="293">
        <f t="shared" si="0"/>
        <v>13</v>
      </c>
      <c r="O11" s="293">
        <f t="shared" si="0"/>
        <v>14</v>
      </c>
      <c r="P11" s="293">
        <f t="shared" si="0"/>
        <v>15</v>
      </c>
      <c r="Q11" s="293">
        <f t="shared" si="0"/>
        <v>16</v>
      </c>
    </row>
    <row r="12" spans="1:17" s="287" customFormat="1" x14ac:dyDescent="0.25">
      <c r="A12" s="277"/>
      <c r="B12" s="84"/>
      <c r="C12" s="279" t="s">
        <v>370</v>
      </c>
      <c r="D12" s="279"/>
      <c r="E12" s="279"/>
      <c r="F12" s="279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</row>
    <row r="13" spans="1:17" s="287" customFormat="1" x14ac:dyDescent="0.25">
      <c r="A13" s="85">
        <f>IF(COUNTBLANK(B13)=1," ",COUNTA(B13:B$13))</f>
        <v>1</v>
      </c>
      <c r="B13" s="83" t="s">
        <v>40</v>
      </c>
      <c r="C13" s="84" t="s">
        <v>371</v>
      </c>
      <c r="D13" s="85" t="s">
        <v>44</v>
      </c>
      <c r="E13" s="269">
        <v>77</v>
      </c>
      <c r="F13" s="269"/>
      <c r="G13" s="278"/>
      <c r="H13" s="210"/>
      <c r="I13" s="278"/>
      <c r="J13" s="278"/>
      <c r="K13" s="278"/>
      <c r="L13" s="81"/>
      <c r="M13" s="82"/>
      <c r="N13" s="82"/>
      <c r="O13" s="82"/>
      <c r="P13" s="82"/>
      <c r="Q13" s="82"/>
    </row>
    <row r="14" spans="1:17" s="287" customFormat="1" ht="22.5" x14ac:dyDescent="0.25">
      <c r="A14" s="85" t="str">
        <f t="shared" ref="A14:A69" si="1">IF(COUNTBLANK(B14)=1," ",COUNTA(B$13:B14))</f>
        <v xml:space="preserve"> </v>
      </c>
      <c r="B14" s="49"/>
      <c r="C14" s="84" t="s">
        <v>707</v>
      </c>
      <c r="D14" s="85" t="s">
        <v>58</v>
      </c>
      <c r="E14" s="269">
        <v>516.66999999999996</v>
      </c>
      <c r="F14" s="269"/>
      <c r="G14" s="278"/>
      <c r="H14" s="210"/>
      <c r="I14" s="278"/>
      <c r="J14" s="278"/>
      <c r="K14" s="278"/>
      <c r="L14" s="81"/>
      <c r="M14" s="82"/>
      <c r="N14" s="82"/>
      <c r="O14" s="82"/>
      <c r="P14" s="82"/>
      <c r="Q14" s="82"/>
    </row>
    <row r="15" spans="1:17" s="287" customFormat="1" ht="22.5" x14ac:dyDescent="0.25">
      <c r="A15" s="85" t="str">
        <f t="shared" si="1"/>
        <v xml:space="preserve"> </v>
      </c>
      <c r="B15" s="49"/>
      <c r="C15" s="84" t="s">
        <v>708</v>
      </c>
      <c r="D15" s="85" t="s">
        <v>58</v>
      </c>
      <c r="E15" s="269">
        <v>4430.0256000000008</v>
      </c>
      <c r="F15" s="269"/>
      <c r="G15" s="49"/>
      <c r="H15" s="49"/>
      <c r="I15" s="49"/>
      <c r="J15" s="278"/>
      <c r="K15" s="49"/>
      <c r="L15" s="81"/>
      <c r="M15" s="82"/>
      <c r="N15" s="82"/>
      <c r="O15" s="82"/>
      <c r="P15" s="82"/>
      <c r="Q15" s="82"/>
    </row>
    <row r="16" spans="1:17" s="287" customFormat="1" x14ac:dyDescent="0.25">
      <c r="A16" s="85" t="str">
        <f t="shared" si="1"/>
        <v xml:space="preserve"> </v>
      </c>
      <c r="B16" s="49"/>
      <c r="C16" s="84" t="s">
        <v>372</v>
      </c>
      <c r="D16" s="85" t="s">
        <v>58</v>
      </c>
      <c r="E16" s="269">
        <v>240.24</v>
      </c>
      <c r="F16" s="269"/>
      <c r="G16" s="49"/>
      <c r="H16" s="49"/>
      <c r="I16" s="49"/>
      <c r="J16" s="278"/>
      <c r="K16" s="49"/>
      <c r="L16" s="81"/>
      <c r="M16" s="82"/>
      <c r="N16" s="82"/>
      <c r="O16" s="82"/>
      <c r="P16" s="82"/>
      <c r="Q16" s="82"/>
    </row>
    <row r="17" spans="1:17" s="287" customFormat="1" x14ac:dyDescent="0.25">
      <c r="A17" s="85" t="str">
        <f t="shared" si="1"/>
        <v xml:space="preserve"> </v>
      </c>
      <c r="B17" s="49"/>
      <c r="C17" s="84" t="s">
        <v>373</v>
      </c>
      <c r="D17" s="85" t="s">
        <v>44</v>
      </c>
      <c r="E17" s="269">
        <f>154*2</f>
        <v>308</v>
      </c>
      <c r="F17" s="269"/>
      <c r="G17" s="49"/>
      <c r="H17" s="49"/>
      <c r="I17" s="49"/>
      <c r="J17" s="49"/>
      <c r="K17" s="49"/>
      <c r="L17" s="81"/>
      <c r="M17" s="82"/>
      <c r="N17" s="82"/>
      <c r="O17" s="82"/>
      <c r="P17" s="82"/>
      <c r="Q17" s="82"/>
    </row>
    <row r="18" spans="1:17" s="287" customFormat="1" x14ac:dyDescent="0.25">
      <c r="A18" s="85" t="str">
        <f t="shared" si="1"/>
        <v xml:space="preserve"> </v>
      </c>
      <c r="B18" s="49"/>
      <c r="C18" s="84" t="s">
        <v>374</v>
      </c>
      <c r="D18" s="85" t="s">
        <v>58</v>
      </c>
      <c r="E18" s="269">
        <v>4314.7103999999999</v>
      </c>
      <c r="F18" s="269"/>
      <c r="G18" s="49"/>
      <c r="H18" s="49"/>
      <c r="I18" s="49"/>
      <c r="J18" s="49"/>
      <c r="K18" s="49"/>
      <c r="L18" s="81"/>
      <c r="M18" s="82"/>
      <c r="N18" s="82"/>
      <c r="O18" s="82"/>
      <c r="P18" s="82"/>
      <c r="Q18" s="82"/>
    </row>
    <row r="19" spans="1:17" s="287" customFormat="1" x14ac:dyDescent="0.25">
      <c r="A19" s="85" t="str">
        <f t="shared" si="1"/>
        <v xml:space="preserve"> </v>
      </c>
      <c r="B19" s="49"/>
      <c r="C19" s="84" t="s">
        <v>375</v>
      </c>
      <c r="D19" s="85" t="s">
        <v>44</v>
      </c>
      <c r="E19" s="269">
        <v>770</v>
      </c>
      <c r="F19" s="269"/>
      <c r="G19" s="49"/>
      <c r="H19" s="49"/>
      <c r="I19" s="49"/>
      <c r="J19" s="49"/>
      <c r="K19" s="49"/>
      <c r="L19" s="81"/>
      <c r="M19" s="82"/>
      <c r="N19" s="82"/>
      <c r="O19" s="82"/>
      <c r="P19" s="82"/>
      <c r="Q19" s="82"/>
    </row>
    <row r="20" spans="1:17" s="287" customFormat="1" ht="22.5" x14ac:dyDescent="0.25">
      <c r="A20" s="85" t="str">
        <f t="shared" si="1"/>
        <v xml:space="preserve"> </v>
      </c>
      <c r="B20" s="49"/>
      <c r="C20" s="84" t="s">
        <v>376</v>
      </c>
      <c r="D20" s="85" t="s">
        <v>58</v>
      </c>
      <c r="E20" s="269">
        <v>172.095</v>
      </c>
      <c r="F20" s="269"/>
      <c r="G20" s="49"/>
      <c r="H20" s="49"/>
      <c r="I20" s="49"/>
      <c r="J20" s="49"/>
      <c r="K20" s="49"/>
      <c r="L20" s="81"/>
      <c r="M20" s="82"/>
      <c r="N20" s="82"/>
      <c r="O20" s="82"/>
      <c r="P20" s="82"/>
      <c r="Q20" s="82"/>
    </row>
    <row r="21" spans="1:17" s="287" customFormat="1" x14ac:dyDescent="0.25">
      <c r="A21" s="85" t="str">
        <f t="shared" si="1"/>
        <v xml:space="preserve"> </v>
      </c>
      <c r="B21" s="49"/>
      <c r="C21" s="84" t="s">
        <v>377</v>
      </c>
      <c r="D21" s="85" t="s">
        <v>44</v>
      </c>
      <c r="E21" s="269">
        <v>770</v>
      </c>
      <c r="F21" s="269"/>
      <c r="G21" s="49"/>
      <c r="H21" s="49"/>
      <c r="I21" s="49"/>
      <c r="J21" s="49"/>
      <c r="K21" s="49"/>
      <c r="L21" s="81"/>
      <c r="M21" s="82"/>
      <c r="N21" s="82"/>
      <c r="O21" s="82"/>
      <c r="P21" s="82"/>
      <c r="Q21" s="82"/>
    </row>
    <row r="22" spans="1:17" s="35" customFormat="1" ht="22.5" x14ac:dyDescent="0.25">
      <c r="A22" s="85">
        <f t="shared" si="1"/>
        <v>2</v>
      </c>
      <c r="B22" s="83" t="s">
        <v>40</v>
      </c>
      <c r="C22" s="84" t="s">
        <v>378</v>
      </c>
      <c r="D22" s="85" t="s">
        <v>88</v>
      </c>
      <c r="E22" s="98">
        <f>770*0.05*0.05*0.22</f>
        <v>0.42349999999999999</v>
      </c>
      <c r="F22" s="98"/>
      <c r="G22" s="273"/>
      <c r="H22" s="210"/>
      <c r="I22" s="94"/>
      <c r="J22" s="273"/>
      <c r="K22" s="273"/>
      <c r="L22" s="81"/>
      <c r="M22" s="82"/>
      <c r="N22" s="82"/>
      <c r="O22" s="82"/>
      <c r="P22" s="82"/>
      <c r="Q22" s="82"/>
    </row>
    <row r="23" spans="1:17" s="35" customFormat="1" x14ac:dyDescent="0.25">
      <c r="A23" s="85" t="str">
        <f t="shared" si="1"/>
        <v xml:space="preserve"> </v>
      </c>
      <c r="B23" s="93"/>
      <c r="C23" s="274" t="s">
        <v>274</v>
      </c>
      <c r="D23" s="85" t="s">
        <v>88</v>
      </c>
      <c r="E23" s="87">
        <f>ROUNDUP(E22*F23,2)</f>
        <v>0.47000000000000003</v>
      </c>
      <c r="F23" s="99">
        <v>1.1000000000000001</v>
      </c>
      <c r="G23" s="275"/>
      <c r="H23" s="275"/>
      <c r="I23" s="275"/>
      <c r="J23" s="275"/>
      <c r="K23" s="275"/>
      <c r="L23" s="81"/>
      <c r="M23" s="82"/>
      <c r="N23" s="82"/>
      <c r="O23" s="82"/>
      <c r="P23" s="82"/>
      <c r="Q23" s="82"/>
    </row>
    <row r="24" spans="1:17" s="35" customFormat="1" ht="22.5" x14ac:dyDescent="0.25">
      <c r="A24" s="85" t="str">
        <f t="shared" si="1"/>
        <v xml:space="preserve"> </v>
      </c>
      <c r="B24" s="93"/>
      <c r="C24" s="84" t="s">
        <v>283</v>
      </c>
      <c r="D24" s="85" t="s">
        <v>58</v>
      </c>
      <c r="E24" s="86">
        <f>22.4*10.79</f>
        <v>241.69599999999997</v>
      </c>
      <c r="F24" s="86"/>
      <c r="G24" s="275"/>
      <c r="H24" s="275"/>
      <c r="I24" s="275"/>
      <c r="J24" s="81"/>
      <c r="K24" s="82"/>
      <c r="L24" s="81"/>
      <c r="M24" s="82"/>
      <c r="N24" s="82"/>
      <c r="O24" s="82"/>
      <c r="P24" s="82"/>
      <c r="Q24" s="82"/>
    </row>
    <row r="25" spans="1:17" ht="22.5" x14ac:dyDescent="0.25">
      <c r="A25" s="85" t="str">
        <f t="shared" si="1"/>
        <v xml:space="preserve"> </v>
      </c>
      <c r="B25" s="297"/>
      <c r="C25" s="84" t="s">
        <v>379</v>
      </c>
      <c r="D25" s="85" t="s">
        <v>44</v>
      </c>
      <c r="E25" s="269">
        <v>770</v>
      </c>
      <c r="F25" s="269"/>
      <c r="G25" s="49"/>
      <c r="H25" s="49"/>
      <c r="I25" s="49"/>
      <c r="J25" s="49"/>
      <c r="K25" s="49"/>
      <c r="L25" s="81"/>
      <c r="M25" s="82"/>
      <c r="N25" s="82"/>
      <c r="O25" s="82"/>
      <c r="P25" s="82"/>
      <c r="Q25" s="82"/>
    </row>
    <row r="26" spans="1:17" s="35" customFormat="1" ht="22.5" x14ac:dyDescent="0.25">
      <c r="A26" s="85">
        <f t="shared" si="1"/>
        <v>3</v>
      </c>
      <c r="B26" s="83" t="s">
        <v>40</v>
      </c>
      <c r="C26" s="84" t="s">
        <v>380</v>
      </c>
      <c r="D26" s="85" t="s">
        <v>47</v>
      </c>
      <c r="E26" s="86">
        <f>0.45*6.56*77</f>
        <v>227.304</v>
      </c>
      <c r="F26" s="106"/>
      <c r="G26" s="278"/>
      <c r="H26" s="210"/>
      <c r="I26" s="278"/>
      <c r="J26" s="278"/>
      <c r="K26" s="278"/>
      <c r="L26" s="81"/>
      <c r="M26" s="82"/>
      <c r="N26" s="82"/>
      <c r="O26" s="82"/>
      <c r="P26" s="82"/>
      <c r="Q26" s="82"/>
    </row>
    <row r="27" spans="1:17" s="35" customFormat="1" x14ac:dyDescent="0.25">
      <c r="A27" s="85" t="str">
        <f t="shared" si="1"/>
        <v xml:space="preserve"> </v>
      </c>
      <c r="B27" s="123"/>
      <c r="C27" s="73" t="s">
        <v>86</v>
      </c>
      <c r="D27" s="90" t="s">
        <v>44</v>
      </c>
      <c r="E27" s="106">
        <f>E26*F27</f>
        <v>1363.8240000000001</v>
      </c>
      <c r="F27" s="106">
        <v>6</v>
      </c>
      <c r="G27" s="278"/>
      <c r="H27" s="278"/>
      <c r="I27" s="278"/>
      <c r="J27" s="278"/>
      <c r="K27" s="278"/>
      <c r="L27" s="81"/>
      <c r="M27" s="82"/>
      <c r="N27" s="82"/>
      <c r="O27" s="82"/>
      <c r="P27" s="82"/>
      <c r="Q27" s="82"/>
    </row>
    <row r="28" spans="1:17" s="35" customFormat="1" x14ac:dyDescent="0.25">
      <c r="A28" s="85" t="str">
        <f t="shared" si="1"/>
        <v xml:space="preserve"> </v>
      </c>
      <c r="B28" s="123"/>
      <c r="C28" s="280" t="s">
        <v>244</v>
      </c>
      <c r="D28" s="85" t="s">
        <v>47</v>
      </c>
      <c r="E28" s="106">
        <f>E26*F28</f>
        <v>250.03440000000003</v>
      </c>
      <c r="F28" s="106">
        <v>1.1000000000000001</v>
      </c>
      <c r="G28" s="278"/>
      <c r="H28" s="278"/>
      <c r="I28" s="278"/>
      <c r="J28" s="278"/>
      <c r="K28" s="278"/>
      <c r="L28" s="81"/>
      <c r="M28" s="82"/>
      <c r="N28" s="82"/>
      <c r="O28" s="82"/>
      <c r="P28" s="82"/>
      <c r="Q28" s="82"/>
    </row>
    <row r="29" spans="1:17" s="35" customFormat="1" x14ac:dyDescent="0.25">
      <c r="A29" s="85">
        <f t="shared" si="1"/>
        <v>4</v>
      </c>
      <c r="B29" s="83" t="s">
        <v>40</v>
      </c>
      <c r="C29" s="84" t="s">
        <v>295</v>
      </c>
      <c r="D29" s="85" t="s">
        <v>47</v>
      </c>
      <c r="E29" s="86">
        <v>385</v>
      </c>
      <c r="F29" s="106"/>
      <c r="G29" s="106"/>
      <c r="H29" s="210"/>
      <c r="I29" s="106"/>
      <c r="J29" s="272"/>
      <c r="K29" s="106"/>
      <c r="L29" s="81"/>
      <c r="M29" s="82"/>
      <c r="N29" s="82"/>
      <c r="O29" s="82"/>
      <c r="P29" s="82"/>
      <c r="Q29" s="82"/>
    </row>
    <row r="30" spans="1:17" s="35" customFormat="1" x14ac:dyDescent="0.25">
      <c r="A30" s="85" t="str">
        <f t="shared" si="1"/>
        <v xml:space="preserve"> </v>
      </c>
      <c r="B30" s="123"/>
      <c r="C30" s="236" t="s">
        <v>322</v>
      </c>
      <c r="D30" s="123" t="s">
        <v>58</v>
      </c>
      <c r="E30" s="106">
        <f>E29*F30</f>
        <v>154</v>
      </c>
      <c r="F30" s="106">
        <v>0.4</v>
      </c>
      <c r="G30" s="106"/>
      <c r="H30" s="106"/>
      <c r="I30" s="106"/>
      <c r="J30" s="106"/>
      <c r="K30" s="106"/>
      <c r="L30" s="81"/>
      <c r="M30" s="82"/>
      <c r="N30" s="82"/>
      <c r="O30" s="82"/>
      <c r="P30" s="82"/>
      <c r="Q30" s="82"/>
    </row>
    <row r="31" spans="1:17" x14ac:dyDescent="0.25">
      <c r="A31" s="85" t="str">
        <f t="shared" si="1"/>
        <v xml:space="preserve"> </v>
      </c>
      <c r="B31" s="297"/>
      <c r="C31" s="84" t="s">
        <v>381</v>
      </c>
      <c r="D31" s="85"/>
      <c r="E31" s="269"/>
      <c r="F31" s="269"/>
      <c r="G31" s="49"/>
      <c r="H31" s="49"/>
      <c r="I31" s="49"/>
      <c r="J31" s="49"/>
      <c r="K31" s="49"/>
      <c r="L31" s="81"/>
      <c r="M31" s="82"/>
      <c r="N31" s="82"/>
      <c r="O31" s="82"/>
      <c r="P31" s="82"/>
      <c r="Q31" s="82"/>
    </row>
    <row r="32" spans="1:17" x14ac:dyDescent="0.25">
      <c r="A32" s="85" t="str">
        <f t="shared" si="1"/>
        <v xml:space="preserve"> </v>
      </c>
      <c r="B32" s="297"/>
      <c r="C32" s="84" t="s">
        <v>382</v>
      </c>
      <c r="D32" s="85" t="s">
        <v>42</v>
      </c>
      <c r="E32" s="86">
        <f>6.56*77</f>
        <v>505.11999999999995</v>
      </c>
      <c r="F32" s="86"/>
      <c r="G32" s="297"/>
      <c r="H32" s="297"/>
      <c r="I32" s="297"/>
      <c r="J32" s="297"/>
      <c r="K32" s="297"/>
      <c r="L32" s="81"/>
      <c r="M32" s="82"/>
      <c r="N32" s="82"/>
      <c r="O32" s="82"/>
      <c r="P32" s="82"/>
      <c r="Q32" s="82"/>
    </row>
    <row r="33" spans="1:17" x14ac:dyDescent="0.25">
      <c r="A33" s="85" t="str">
        <f t="shared" si="1"/>
        <v xml:space="preserve"> </v>
      </c>
      <c r="B33" s="297"/>
      <c r="C33" s="84" t="s">
        <v>383</v>
      </c>
      <c r="D33" s="85" t="s">
        <v>42</v>
      </c>
      <c r="E33" s="86">
        <f>77*6.24</f>
        <v>480.48</v>
      </c>
      <c r="F33" s="86"/>
      <c r="G33" s="297"/>
      <c r="H33" s="297"/>
      <c r="I33" s="297"/>
      <c r="J33" s="297"/>
      <c r="K33" s="297"/>
      <c r="L33" s="81"/>
      <c r="M33" s="82"/>
      <c r="N33" s="82"/>
      <c r="O33" s="82"/>
      <c r="P33" s="82"/>
      <c r="Q33" s="82"/>
    </row>
    <row r="34" spans="1:17" ht="22.5" x14ac:dyDescent="0.25">
      <c r="A34" s="85" t="str">
        <f t="shared" si="1"/>
        <v xml:space="preserve"> </v>
      </c>
      <c r="B34" s="297"/>
      <c r="C34" s="84" t="s">
        <v>384</v>
      </c>
      <c r="D34" s="85" t="s">
        <v>44</v>
      </c>
      <c r="E34" s="269">
        <v>770</v>
      </c>
      <c r="F34" s="269"/>
      <c r="G34" s="297"/>
      <c r="H34" s="297"/>
      <c r="I34" s="297"/>
      <c r="J34" s="297"/>
      <c r="K34" s="297"/>
      <c r="L34" s="81"/>
      <c r="M34" s="82"/>
      <c r="N34" s="82"/>
      <c r="O34" s="82"/>
      <c r="P34" s="82"/>
      <c r="Q34" s="82"/>
    </row>
    <row r="35" spans="1:17" x14ac:dyDescent="0.25">
      <c r="A35" s="85" t="str">
        <f t="shared" si="1"/>
        <v xml:space="preserve"> </v>
      </c>
      <c r="B35" s="297"/>
      <c r="C35" s="84" t="s">
        <v>385</v>
      </c>
      <c r="D35" s="85" t="s">
        <v>42</v>
      </c>
      <c r="E35" s="86">
        <v>480.5</v>
      </c>
      <c r="F35" s="86"/>
      <c r="G35" s="297"/>
      <c r="H35" s="297"/>
      <c r="I35" s="297"/>
      <c r="J35" s="297"/>
      <c r="K35" s="297"/>
      <c r="L35" s="81"/>
      <c r="M35" s="82"/>
      <c r="N35" s="82"/>
      <c r="O35" s="82"/>
      <c r="P35" s="82"/>
      <c r="Q35" s="82"/>
    </row>
    <row r="36" spans="1:17" x14ac:dyDescent="0.25">
      <c r="A36" s="85">
        <f t="shared" si="1"/>
        <v>5</v>
      </c>
      <c r="B36" s="83" t="s">
        <v>40</v>
      </c>
      <c r="C36" s="84" t="s">
        <v>386</v>
      </c>
      <c r="D36" s="85" t="s">
        <v>42</v>
      </c>
      <c r="E36" s="86">
        <v>480.5</v>
      </c>
      <c r="F36" s="86"/>
      <c r="G36" s="106"/>
      <c r="H36" s="210"/>
      <c r="I36" s="106"/>
      <c r="J36" s="106"/>
      <c r="K36" s="106"/>
      <c r="L36" s="81"/>
      <c r="M36" s="82"/>
      <c r="N36" s="82"/>
      <c r="O36" s="82"/>
      <c r="P36" s="82"/>
      <c r="Q36" s="82"/>
    </row>
    <row r="37" spans="1:17" x14ac:dyDescent="0.25">
      <c r="A37" s="85">
        <f t="shared" si="1"/>
        <v>6</v>
      </c>
      <c r="B37" s="83" t="s">
        <v>40</v>
      </c>
      <c r="C37" s="84" t="s">
        <v>387</v>
      </c>
      <c r="D37" s="85" t="s">
        <v>42</v>
      </c>
      <c r="E37" s="86">
        <v>480.5</v>
      </c>
      <c r="F37" s="86"/>
      <c r="G37" s="106"/>
      <c r="H37" s="210"/>
      <c r="I37" s="106"/>
      <c r="J37" s="106"/>
      <c r="K37" s="106"/>
      <c r="L37" s="81"/>
      <c r="M37" s="82"/>
      <c r="N37" s="82"/>
      <c r="O37" s="82"/>
      <c r="P37" s="82"/>
      <c r="Q37" s="82"/>
    </row>
    <row r="38" spans="1:17" x14ac:dyDescent="0.25">
      <c r="A38" s="85">
        <f t="shared" si="1"/>
        <v>7</v>
      </c>
      <c r="B38" s="83" t="s">
        <v>40</v>
      </c>
      <c r="C38" s="84" t="s">
        <v>388</v>
      </c>
      <c r="D38" s="85" t="s">
        <v>42</v>
      </c>
      <c r="E38" s="269">
        <f>480.5*2</f>
        <v>961</v>
      </c>
      <c r="F38" s="269"/>
      <c r="G38" s="106"/>
      <c r="H38" s="210"/>
      <c r="I38" s="106"/>
      <c r="J38" s="272"/>
      <c r="K38" s="106"/>
      <c r="L38" s="81"/>
      <c r="M38" s="82"/>
      <c r="N38" s="82"/>
      <c r="O38" s="82"/>
      <c r="P38" s="82"/>
      <c r="Q38" s="82"/>
    </row>
    <row r="39" spans="1:17" ht="22.5" x14ac:dyDescent="0.25">
      <c r="A39" s="85">
        <f t="shared" si="1"/>
        <v>8</v>
      </c>
      <c r="B39" s="83" t="s">
        <v>40</v>
      </c>
      <c r="C39" s="84" t="s">
        <v>389</v>
      </c>
      <c r="D39" s="85" t="s">
        <v>42</v>
      </c>
      <c r="E39" s="86">
        <v>480.5</v>
      </c>
      <c r="F39" s="86"/>
      <c r="G39" s="106"/>
      <c r="H39" s="210"/>
      <c r="I39" s="106"/>
      <c r="J39" s="106"/>
      <c r="K39" s="106"/>
      <c r="L39" s="81"/>
      <c r="M39" s="82"/>
      <c r="N39" s="82"/>
      <c r="O39" s="82"/>
      <c r="P39" s="82"/>
      <c r="Q39" s="82"/>
    </row>
    <row r="40" spans="1:17" ht="22.5" x14ac:dyDescent="0.25">
      <c r="A40" s="85">
        <f t="shared" si="1"/>
        <v>9</v>
      </c>
      <c r="B40" s="83" t="s">
        <v>40</v>
      </c>
      <c r="C40" s="84" t="s">
        <v>390</v>
      </c>
      <c r="D40" s="85" t="s">
        <v>47</v>
      </c>
      <c r="E40" s="269">
        <v>578</v>
      </c>
      <c r="F40" s="269"/>
      <c r="G40" s="106"/>
      <c r="H40" s="210"/>
      <c r="I40" s="106"/>
      <c r="J40" s="106"/>
      <c r="K40" s="106"/>
      <c r="L40" s="81"/>
      <c r="M40" s="82"/>
      <c r="N40" s="82"/>
      <c r="O40" s="82"/>
      <c r="P40" s="82"/>
      <c r="Q40" s="82"/>
    </row>
    <row r="41" spans="1:17" ht="22.5" x14ac:dyDescent="0.25">
      <c r="A41" s="85">
        <f t="shared" si="1"/>
        <v>10</v>
      </c>
      <c r="B41" s="83" t="s">
        <v>40</v>
      </c>
      <c r="C41" s="84" t="s">
        <v>391</v>
      </c>
      <c r="D41" s="85" t="s">
        <v>44</v>
      </c>
      <c r="E41" s="269">
        <v>77</v>
      </c>
      <c r="F41" s="269"/>
      <c r="G41" s="106"/>
      <c r="H41" s="210"/>
      <c r="I41" s="106"/>
      <c r="J41" s="106"/>
      <c r="K41" s="106"/>
      <c r="L41" s="81"/>
      <c r="M41" s="82"/>
      <c r="N41" s="82"/>
      <c r="O41" s="82"/>
      <c r="P41" s="82"/>
      <c r="Q41" s="82"/>
    </row>
    <row r="42" spans="1:17" x14ac:dyDescent="0.25">
      <c r="A42" s="85">
        <f t="shared" si="1"/>
        <v>11</v>
      </c>
      <c r="B42" s="83" t="s">
        <v>40</v>
      </c>
      <c r="C42" s="84" t="s">
        <v>392</v>
      </c>
      <c r="D42" s="85" t="s">
        <v>44</v>
      </c>
      <c r="E42" s="269">
        <v>15</v>
      </c>
      <c r="F42" s="269"/>
      <c r="G42" s="106"/>
      <c r="H42" s="210"/>
      <c r="I42" s="106"/>
      <c r="J42" s="106"/>
      <c r="K42" s="106"/>
      <c r="L42" s="81"/>
      <c r="M42" s="82"/>
      <c r="N42" s="82"/>
      <c r="O42" s="82"/>
      <c r="P42" s="82"/>
      <c r="Q42" s="82"/>
    </row>
    <row r="43" spans="1:17" ht="22.5" x14ac:dyDescent="0.25">
      <c r="A43" s="85" t="str">
        <f t="shared" si="1"/>
        <v xml:space="preserve"> </v>
      </c>
      <c r="B43" s="297"/>
      <c r="C43" s="84" t="s">
        <v>709</v>
      </c>
      <c r="D43" s="85" t="s">
        <v>58</v>
      </c>
      <c r="E43" s="269">
        <v>420.43200000000002</v>
      </c>
      <c r="F43" s="269"/>
      <c r="G43" s="297"/>
      <c r="H43" s="297"/>
      <c r="I43" s="297"/>
      <c r="J43" s="297"/>
      <c r="K43" s="297"/>
      <c r="L43" s="81"/>
      <c r="M43" s="82"/>
      <c r="N43" s="82"/>
      <c r="O43" s="82"/>
      <c r="P43" s="82"/>
      <c r="Q43" s="82"/>
    </row>
    <row r="44" spans="1:17" x14ac:dyDescent="0.25">
      <c r="A44" s="85" t="str">
        <f t="shared" si="1"/>
        <v xml:space="preserve"> </v>
      </c>
      <c r="B44" s="297"/>
      <c r="C44" s="84" t="s">
        <v>372</v>
      </c>
      <c r="D44" s="85" t="s">
        <v>58</v>
      </c>
      <c r="E44" s="269">
        <v>46.8</v>
      </c>
      <c r="F44" s="269"/>
      <c r="G44" s="297"/>
      <c r="H44" s="297"/>
      <c r="I44" s="297"/>
      <c r="J44" s="297"/>
      <c r="K44" s="297"/>
      <c r="L44" s="81"/>
      <c r="M44" s="82"/>
      <c r="N44" s="82"/>
      <c r="O44" s="82"/>
      <c r="P44" s="82"/>
      <c r="Q44" s="82"/>
    </row>
    <row r="45" spans="1:17" x14ac:dyDescent="0.25">
      <c r="A45" s="85" t="str">
        <f t="shared" si="1"/>
        <v xml:space="preserve"> </v>
      </c>
      <c r="B45" s="297"/>
      <c r="C45" s="84" t="s">
        <v>373</v>
      </c>
      <c r="D45" s="85" t="s">
        <v>44</v>
      </c>
      <c r="E45" s="269">
        <v>60</v>
      </c>
      <c r="F45" s="269"/>
      <c r="G45" s="297"/>
      <c r="H45" s="297"/>
      <c r="I45" s="297"/>
      <c r="J45" s="297"/>
      <c r="K45" s="297"/>
      <c r="L45" s="81"/>
      <c r="M45" s="82"/>
      <c r="N45" s="82"/>
      <c r="O45" s="82"/>
      <c r="P45" s="82"/>
      <c r="Q45" s="82"/>
    </row>
    <row r="46" spans="1:17" x14ac:dyDescent="0.25">
      <c r="A46" s="85" t="str">
        <f t="shared" si="1"/>
        <v xml:space="preserve"> </v>
      </c>
      <c r="B46" s="297"/>
      <c r="C46" s="84" t="s">
        <v>393</v>
      </c>
      <c r="D46" s="85" t="s">
        <v>58</v>
      </c>
      <c r="E46" s="269">
        <v>409.48800000000006</v>
      </c>
      <c r="F46" s="269"/>
      <c r="G46" s="297"/>
      <c r="H46" s="297"/>
      <c r="I46" s="297"/>
      <c r="J46" s="297"/>
      <c r="K46" s="297"/>
      <c r="L46" s="81"/>
      <c r="M46" s="82"/>
      <c r="N46" s="82"/>
      <c r="O46" s="82"/>
      <c r="P46" s="82"/>
      <c r="Q46" s="82"/>
    </row>
    <row r="47" spans="1:17" x14ac:dyDescent="0.25">
      <c r="A47" s="85" t="str">
        <f t="shared" si="1"/>
        <v xml:space="preserve"> </v>
      </c>
      <c r="B47" s="297"/>
      <c r="C47" s="84" t="s">
        <v>394</v>
      </c>
      <c r="D47" s="85" t="s">
        <v>44</v>
      </c>
      <c r="E47" s="269">
        <f>15*5</f>
        <v>75</v>
      </c>
      <c r="F47" s="269"/>
      <c r="G47" s="297"/>
      <c r="H47" s="297"/>
      <c r="I47" s="297"/>
      <c r="J47" s="297"/>
      <c r="K47" s="297"/>
      <c r="L47" s="81"/>
      <c r="M47" s="82"/>
      <c r="N47" s="82"/>
      <c r="O47" s="82"/>
      <c r="P47" s="82"/>
      <c r="Q47" s="82"/>
    </row>
    <row r="48" spans="1:17" ht="22.5" x14ac:dyDescent="0.25">
      <c r="A48" s="85" t="str">
        <f t="shared" si="1"/>
        <v xml:space="preserve"> </v>
      </c>
      <c r="B48" s="297"/>
      <c r="C48" s="84" t="s">
        <v>376</v>
      </c>
      <c r="D48" s="85" t="s">
        <v>58</v>
      </c>
      <c r="E48" s="86">
        <v>33.524999999999999</v>
      </c>
      <c r="F48" s="86"/>
      <c r="G48" s="297"/>
      <c r="H48" s="297"/>
      <c r="I48" s="297"/>
      <c r="J48" s="297"/>
      <c r="K48" s="297"/>
      <c r="L48" s="81"/>
      <c r="M48" s="82"/>
      <c r="N48" s="82"/>
      <c r="O48" s="82"/>
      <c r="P48" s="82"/>
      <c r="Q48" s="82"/>
    </row>
    <row r="49" spans="1:17" x14ac:dyDescent="0.25">
      <c r="A49" s="85" t="str">
        <f t="shared" si="1"/>
        <v xml:space="preserve"> </v>
      </c>
      <c r="B49" s="297"/>
      <c r="C49" s="84" t="s">
        <v>377</v>
      </c>
      <c r="D49" s="85" t="s">
        <v>44</v>
      </c>
      <c r="E49" s="269">
        <v>150</v>
      </c>
      <c r="F49" s="269"/>
      <c r="G49" s="297"/>
      <c r="H49" s="297"/>
      <c r="I49" s="297"/>
      <c r="J49" s="297"/>
      <c r="K49" s="297"/>
      <c r="L49" s="81"/>
      <c r="M49" s="82"/>
      <c r="N49" s="82"/>
      <c r="O49" s="82"/>
      <c r="P49" s="82"/>
      <c r="Q49" s="82"/>
    </row>
    <row r="50" spans="1:17" ht="22.5" x14ac:dyDescent="0.25">
      <c r="A50" s="85" t="str">
        <f t="shared" si="1"/>
        <v xml:space="preserve"> </v>
      </c>
      <c r="B50" s="297"/>
      <c r="C50" s="84" t="s">
        <v>395</v>
      </c>
      <c r="D50" s="85" t="s">
        <v>88</v>
      </c>
      <c r="E50" s="98">
        <f>150*0.05*0.05*0.22</f>
        <v>8.2500000000000004E-2</v>
      </c>
      <c r="F50" s="98"/>
      <c r="G50" s="297"/>
      <c r="H50" s="297"/>
      <c r="I50" s="297"/>
      <c r="J50" s="297"/>
      <c r="K50" s="297"/>
      <c r="L50" s="81"/>
      <c r="M50" s="82"/>
      <c r="N50" s="82"/>
      <c r="O50" s="82"/>
      <c r="P50" s="82"/>
      <c r="Q50" s="82"/>
    </row>
    <row r="51" spans="1:17" x14ac:dyDescent="0.25">
      <c r="A51" s="85" t="str">
        <f t="shared" si="1"/>
        <v xml:space="preserve"> </v>
      </c>
      <c r="B51" s="297"/>
      <c r="C51" s="84" t="s">
        <v>396</v>
      </c>
      <c r="D51" s="85" t="s">
        <v>58</v>
      </c>
      <c r="E51" s="269">
        <v>34.632000000000005</v>
      </c>
      <c r="F51" s="269"/>
      <c r="G51" s="297"/>
      <c r="H51" s="297"/>
      <c r="I51" s="297"/>
      <c r="J51" s="297"/>
      <c r="K51" s="297"/>
      <c r="L51" s="81"/>
      <c r="M51" s="82"/>
      <c r="N51" s="82"/>
      <c r="O51" s="82"/>
      <c r="P51" s="82"/>
      <c r="Q51" s="82"/>
    </row>
    <row r="52" spans="1:17" s="35" customFormat="1" ht="22.5" x14ac:dyDescent="0.25">
      <c r="A52" s="85">
        <f t="shared" si="1"/>
        <v>12</v>
      </c>
      <c r="B52" s="83" t="s">
        <v>40</v>
      </c>
      <c r="C52" s="84" t="s">
        <v>380</v>
      </c>
      <c r="D52" s="85" t="s">
        <v>47</v>
      </c>
      <c r="E52" s="86">
        <v>22.7</v>
      </c>
      <c r="F52" s="106"/>
      <c r="G52" s="278"/>
      <c r="H52" s="210"/>
      <c r="I52" s="278"/>
      <c r="J52" s="278"/>
      <c r="K52" s="278"/>
      <c r="L52" s="81"/>
      <c r="M52" s="82"/>
      <c r="N52" s="82"/>
      <c r="O52" s="82"/>
      <c r="P52" s="82"/>
      <c r="Q52" s="82"/>
    </row>
    <row r="53" spans="1:17" s="35" customFormat="1" x14ac:dyDescent="0.25">
      <c r="A53" s="85" t="str">
        <f t="shared" si="1"/>
        <v xml:space="preserve"> </v>
      </c>
      <c r="B53" s="123"/>
      <c r="C53" s="73" t="s">
        <v>86</v>
      </c>
      <c r="D53" s="90" t="s">
        <v>44</v>
      </c>
      <c r="E53" s="106">
        <f>E52*F53</f>
        <v>136.19999999999999</v>
      </c>
      <c r="F53" s="106">
        <v>6</v>
      </c>
      <c r="G53" s="278"/>
      <c r="H53" s="278"/>
      <c r="I53" s="278"/>
      <c r="J53" s="278"/>
      <c r="K53" s="278"/>
      <c r="L53" s="81"/>
      <c r="M53" s="82"/>
      <c r="N53" s="82"/>
      <c r="O53" s="82"/>
      <c r="P53" s="82"/>
      <c r="Q53" s="82"/>
    </row>
    <row r="54" spans="1:17" s="35" customFormat="1" x14ac:dyDescent="0.25">
      <c r="A54" s="85" t="str">
        <f t="shared" si="1"/>
        <v xml:space="preserve"> </v>
      </c>
      <c r="B54" s="123"/>
      <c r="C54" s="280" t="s">
        <v>244</v>
      </c>
      <c r="D54" s="85" t="s">
        <v>47</v>
      </c>
      <c r="E54" s="106">
        <f>E52*F54</f>
        <v>24.970000000000002</v>
      </c>
      <c r="F54" s="106">
        <v>1.1000000000000001</v>
      </c>
      <c r="G54" s="278"/>
      <c r="H54" s="278"/>
      <c r="I54" s="278"/>
      <c r="J54" s="278"/>
      <c r="K54" s="278"/>
      <c r="L54" s="81"/>
      <c r="M54" s="82"/>
      <c r="N54" s="82"/>
      <c r="O54" s="82"/>
      <c r="P54" s="82"/>
      <c r="Q54" s="82"/>
    </row>
    <row r="55" spans="1:17" s="35" customFormat="1" x14ac:dyDescent="0.25">
      <c r="A55" s="85">
        <f t="shared" si="1"/>
        <v>13</v>
      </c>
      <c r="B55" s="83" t="s">
        <v>40</v>
      </c>
      <c r="C55" s="84" t="s">
        <v>295</v>
      </c>
      <c r="D55" s="85" t="s">
        <v>47</v>
      </c>
      <c r="E55" s="86">
        <v>37.200000000000003</v>
      </c>
      <c r="F55" s="106"/>
      <c r="G55" s="106"/>
      <c r="H55" s="210"/>
      <c r="I55" s="106"/>
      <c r="J55" s="272"/>
      <c r="K55" s="106"/>
      <c r="L55" s="81"/>
      <c r="M55" s="82"/>
      <c r="N55" s="82"/>
      <c r="O55" s="82"/>
      <c r="P55" s="82"/>
      <c r="Q55" s="82"/>
    </row>
    <row r="56" spans="1:17" s="35" customFormat="1" x14ac:dyDescent="0.25">
      <c r="A56" s="85" t="str">
        <f t="shared" si="1"/>
        <v xml:space="preserve"> </v>
      </c>
      <c r="B56" s="123"/>
      <c r="C56" s="236" t="s">
        <v>322</v>
      </c>
      <c r="D56" s="123" t="s">
        <v>58</v>
      </c>
      <c r="E56" s="106">
        <f>E55*F56</f>
        <v>14.880000000000003</v>
      </c>
      <c r="F56" s="106">
        <v>0.4</v>
      </c>
      <c r="G56" s="106"/>
      <c r="H56" s="106"/>
      <c r="I56" s="106"/>
      <c r="J56" s="106"/>
      <c r="K56" s="106"/>
      <c r="L56" s="81"/>
      <c r="M56" s="82"/>
      <c r="N56" s="82"/>
      <c r="O56" s="82"/>
      <c r="P56" s="82"/>
      <c r="Q56" s="82"/>
    </row>
    <row r="57" spans="1:17" x14ac:dyDescent="0.25">
      <c r="A57" s="85" t="str">
        <f t="shared" si="1"/>
        <v xml:space="preserve"> </v>
      </c>
      <c r="B57" s="297"/>
      <c r="C57" s="84" t="s">
        <v>381</v>
      </c>
      <c r="D57" s="85"/>
      <c r="E57" s="269"/>
      <c r="F57" s="269"/>
      <c r="G57" s="297"/>
      <c r="H57" s="297"/>
      <c r="I57" s="297"/>
      <c r="J57" s="297"/>
      <c r="K57" s="297"/>
      <c r="L57" s="81"/>
      <c r="M57" s="82"/>
      <c r="N57" s="82"/>
      <c r="O57" s="82"/>
      <c r="P57" s="82"/>
      <c r="Q57" s="82"/>
    </row>
    <row r="58" spans="1:17" x14ac:dyDescent="0.25">
      <c r="A58" s="85" t="str">
        <f t="shared" si="1"/>
        <v xml:space="preserve"> </v>
      </c>
      <c r="B58" s="297"/>
      <c r="C58" s="84" t="s">
        <v>397</v>
      </c>
      <c r="D58" s="85" t="s">
        <v>42</v>
      </c>
      <c r="E58" s="269">
        <f>3.04*15</f>
        <v>45.6</v>
      </c>
      <c r="F58" s="269"/>
      <c r="G58" s="297"/>
      <c r="H58" s="297"/>
      <c r="I58" s="297"/>
      <c r="J58" s="297"/>
      <c r="K58" s="297"/>
      <c r="L58" s="81"/>
      <c r="M58" s="82"/>
      <c r="N58" s="82"/>
      <c r="O58" s="82"/>
      <c r="P58" s="82"/>
      <c r="Q58" s="82"/>
    </row>
    <row r="59" spans="1:17" x14ac:dyDescent="0.25">
      <c r="A59" s="85" t="str">
        <f t="shared" si="1"/>
        <v xml:space="preserve"> </v>
      </c>
      <c r="B59" s="297"/>
      <c r="C59" s="84" t="s">
        <v>398</v>
      </c>
      <c r="D59" s="85" t="s">
        <v>42</v>
      </c>
      <c r="E59" s="269">
        <v>46</v>
      </c>
      <c r="F59" s="269"/>
      <c r="G59" s="297"/>
      <c r="H59" s="297"/>
      <c r="I59" s="297"/>
      <c r="J59" s="297"/>
      <c r="K59" s="297"/>
      <c r="L59" s="81"/>
      <c r="M59" s="82"/>
      <c r="N59" s="82"/>
      <c r="O59" s="82"/>
      <c r="P59" s="82"/>
      <c r="Q59" s="82"/>
    </row>
    <row r="60" spans="1:17" x14ac:dyDescent="0.25">
      <c r="A60" s="85" t="str">
        <f t="shared" si="1"/>
        <v xml:space="preserve"> </v>
      </c>
      <c r="B60" s="297"/>
      <c r="C60" s="84" t="s">
        <v>399</v>
      </c>
      <c r="D60" s="85" t="s">
        <v>44</v>
      </c>
      <c r="E60" s="269">
        <f>15*5</f>
        <v>75</v>
      </c>
      <c r="F60" s="269"/>
      <c r="G60" s="297"/>
      <c r="H60" s="297"/>
      <c r="I60" s="297"/>
      <c r="J60" s="297"/>
      <c r="K60" s="297"/>
      <c r="L60" s="81"/>
      <c r="M60" s="82"/>
      <c r="N60" s="82"/>
      <c r="O60" s="82"/>
      <c r="P60" s="82"/>
      <c r="Q60" s="82"/>
    </row>
    <row r="61" spans="1:17" x14ac:dyDescent="0.25">
      <c r="A61" s="85" t="str">
        <f t="shared" si="1"/>
        <v xml:space="preserve"> </v>
      </c>
      <c r="B61" s="297"/>
      <c r="C61" s="84" t="s">
        <v>400</v>
      </c>
      <c r="D61" s="85" t="s">
        <v>42</v>
      </c>
      <c r="E61" s="269">
        <v>46</v>
      </c>
      <c r="F61" s="269"/>
      <c r="G61" s="297"/>
      <c r="H61" s="297"/>
      <c r="I61" s="297"/>
      <c r="J61" s="297"/>
      <c r="K61" s="297"/>
      <c r="L61" s="81"/>
      <c r="M61" s="82"/>
      <c r="N61" s="82"/>
      <c r="O61" s="82"/>
      <c r="P61" s="82"/>
      <c r="Q61" s="82"/>
    </row>
    <row r="62" spans="1:17" x14ac:dyDescent="0.25">
      <c r="A62" s="85">
        <f t="shared" si="1"/>
        <v>14</v>
      </c>
      <c r="B62" s="83" t="s">
        <v>40</v>
      </c>
      <c r="C62" s="84" t="s">
        <v>401</v>
      </c>
      <c r="D62" s="85" t="s">
        <v>42</v>
      </c>
      <c r="E62" s="269">
        <v>46</v>
      </c>
      <c r="F62" s="269"/>
      <c r="G62" s="106"/>
      <c r="H62" s="210"/>
      <c r="I62" s="106"/>
      <c r="J62" s="106"/>
      <c r="K62" s="106"/>
      <c r="L62" s="81"/>
      <c r="M62" s="82"/>
      <c r="N62" s="82"/>
      <c r="O62" s="82"/>
      <c r="P62" s="82"/>
      <c r="Q62" s="82"/>
    </row>
    <row r="63" spans="1:17" x14ac:dyDescent="0.25">
      <c r="A63" s="85">
        <f t="shared" si="1"/>
        <v>15</v>
      </c>
      <c r="B63" s="83" t="s">
        <v>40</v>
      </c>
      <c r="C63" s="84" t="s">
        <v>387</v>
      </c>
      <c r="D63" s="85" t="s">
        <v>42</v>
      </c>
      <c r="E63" s="269">
        <v>46</v>
      </c>
      <c r="F63" s="269"/>
      <c r="G63" s="106"/>
      <c r="H63" s="210"/>
      <c r="I63" s="106"/>
      <c r="J63" s="106"/>
      <c r="K63" s="106"/>
      <c r="L63" s="81"/>
      <c r="M63" s="82"/>
      <c r="N63" s="82"/>
      <c r="O63" s="82"/>
      <c r="P63" s="82"/>
      <c r="Q63" s="82"/>
    </row>
    <row r="64" spans="1:17" x14ac:dyDescent="0.25">
      <c r="A64" s="85">
        <f t="shared" si="1"/>
        <v>16</v>
      </c>
      <c r="B64" s="83" t="s">
        <v>40</v>
      </c>
      <c r="C64" s="84" t="s">
        <v>388</v>
      </c>
      <c r="D64" s="85" t="s">
        <v>42</v>
      </c>
      <c r="E64" s="269">
        <f>46*2</f>
        <v>92</v>
      </c>
      <c r="F64" s="269"/>
      <c r="G64" s="106"/>
      <c r="H64" s="210"/>
      <c r="I64" s="106"/>
      <c r="J64" s="272"/>
      <c r="K64" s="106"/>
      <c r="L64" s="81"/>
      <c r="M64" s="82"/>
      <c r="N64" s="82"/>
      <c r="O64" s="82"/>
      <c r="P64" s="82"/>
      <c r="Q64" s="82"/>
    </row>
    <row r="65" spans="1:18" s="35" customFormat="1" x14ac:dyDescent="0.25">
      <c r="A65" s="85">
        <f t="shared" si="1"/>
        <v>17</v>
      </c>
      <c r="B65" s="83" t="s">
        <v>40</v>
      </c>
      <c r="C65" s="84" t="s">
        <v>402</v>
      </c>
      <c r="D65" s="85" t="s">
        <v>42</v>
      </c>
      <c r="E65" s="269">
        <v>55</v>
      </c>
      <c r="F65" s="106"/>
      <c r="G65" s="278"/>
      <c r="H65" s="210"/>
      <c r="I65" s="278"/>
      <c r="J65" s="278"/>
      <c r="K65" s="278"/>
      <c r="L65" s="81"/>
      <c r="M65" s="82"/>
      <c r="N65" s="82"/>
      <c r="O65" s="82"/>
      <c r="P65" s="82"/>
      <c r="Q65" s="82"/>
    </row>
    <row r="66" spans="1:18" s="35" customFormat="1" x14ac:dyDescent="0.25">
      <c r="A66" s="85" t="str">
        <f t="shared" si="1"/>
        <v xml:space="preserve"> </v>
      </c>
      <c r="B66" s="123"/>
      <c r="C66" s="73" t="s">
        <v>86</v>
      </c>
      <c r="D66" s="90" t="s">
        <v>44</v>
      </c>
      <c r="E66" s="106">
        <f>E65*F66</f>
        <v>330</v>
      </c>
      <c r="F66" s="106">
        <v>6</v>
      </c>
      <c r="G66" s="278"/>
      <c r="H66" s="278"/>
      <c r="I66" s="278"/>
      <c r="J66" s="278"/>
      <c r="K66" s="278"/>
      <c r="L66" s="81"/>
      <c r="M66" s="82"/>
      <c r="N66" s="82"/>
      <c r="O66" s="82"/>
      <c r="P66" s="82"/>
      <c r="Q66" s="82"/>
    </row>
    <row r="67" spans="1:18" s="35" customFormat="1" x14ac:dyDescent="0.25">
      <c r="A67" s="85" t="str">
        <f t="shared" si="1"/>
        <v xml:space="preserve"> </v>
      </c>
      <c r="B67" s="123"/>
      <c r="C67" s="280" t="s">
        <v>244</v>
      </c>
      <c r="D67" s="85" t="s">
        <v>47</v>
      </c>
      <c r="E67" s="106">
        <f>E65*F67</f>
        <v>8.25</v>
      </c>
      <c r="F67" s="106">
        <v>0.15</v>
      </c>
      <c r="G67" s="278"/>
      <c r="H67" s="278"/>
      <c r="I67" s="278"/>
      <c r="J67" s="278"/>
      <c r="K67" s="278"/>
      <c r="L67" s="81"/>
      <c r="M67" s="82"/>
      <c r="N67" s="82"/>
      <c r="O67" s="82"/>
      <c r="P67" s="82"/>
      <c r="Q67" s="82"/>
    </row>
    <row r="68" spans="1:18" x14ac:dyDescent="0.25">
      <c r="A68" s="85">
        <f t="shared" si="1"/>
        <v>18</v>
      </c>
      <c r="B68" s="83" t="s">
        <v>40</v>
      </c>
      <c r="C68" s="84" t="s">
        <v>823</v>
      </c>
      <c r="D68" s="85" t="s">
        <v>47</v>
      </c>
      <c r="E68" s="269">
        <v>66</v>
      </c>
      <c r="F68" s="269"/>
      <c r="G68" s="106"/>
      <c r="H68" s="210"/>
      <c r="I68" s="106"/>
      <c r="J68" s="106"/>
      <c r="K68" s="106"/>
      <c r="L68" s="81"/>
      <c r="M68" s="82"/>
      <c r="N68" s="82"/>
      <c r="O68" s="82"/>
      <c r="P68" s="82"/>
      <c r="Q68" s="82"/>
    </row>
    <row r="69" spans="1:18" ht="22.5" x14ac:dyDescent="0.25">
      <c r="A69" s="85">
        <f t="shared" si="1"/>
        <v>19</v>
      </c>
      <c r="B69" s="83" t="s">
        <v>40</v>
      </c>
      <c r="C69" s="84" t="s">
        <v>403</v>
      </c>
      <c r="D69" s="85" t="s">
        <v>44</v>
      </c>
      <c r="E69" s="269">
        <v>15</v>
      </c>
      <c r="F69" s="269"/>
      <c r="G69" s="106"/>
      <c r="H69" s="210"/>
      <c r="I69" s="106"/>
      <c r="J69" s="106"/>
      <c r="K69" s="106"/>
      <c r="L69" s="81"/>
      <c r="M69" s="82"/>
      <c r="N69" s="82"/>
      <c r="O69" s="82"/>
      <c r="P69" s="82"/>
      <c r="Q69" s="82"/>
    </row>
    <row r="70" spans="1:18" s="35" customFormat="1" x14ac:dyDescent="0.25">
      <c r="A70" s="96" t="str">
        <f>IF(COUNTBLANK(I70)=1," ",COUNTA($I$25:I70))</f>
        <v xml:space="preserve"> </v>
      </c>
      <c r="B70" s="110"/>
      <c r="C70" s="113" t="s">
        <v>77</v>
      </c>
      <c r="D70" s="115"/>
      <c r="E70" s="9"/>
      <c r="F70" s="9"/>
      <c r="G70" s="96"/>
      <c r="H70" s="9"/>
      <c r="I70" s="96"/>
      <c r="J70" s="96"/>
      <c r="K70" s="96"/>
      <c r="L70" s="96"/>
      <c r="M70" s="114">
        <f>SUM(M13:M69)</f>
        <v>0</v>
      </c>
      <c r="N70" s="114">
        <f>SUM(N13:N69)</f>
        <v>0</v>
      </c>
      <c r="O70" s="114">
        <f>SUM(O13:O69)</f>
        <v>0</v>
      </c>
      <c r="P70" s="114">
        <f>SUM(P13:P69)</f>
        <v>0</v>
      </c>
      <c r="Q70" s="114">
        <f>SUM(Q13:Q69)</f>
        <v>0</v>
      </c>
    </row>
    <row r="71" spans="1:18" s="35" customFormat="1" x14ac:dyDescent="0.25">
      <c r="A71" s="96"/>
      <c r="B71" s="110"/>
      <c r="C71" s="230"/>
      <c r="D71" s="115"/>
      <c r="E71" s="9"/>
      <c r="F71" s="9"/>
      <c r="G71" s="96"/>
      <c r="H71" s="9"/>
      <c r="I71" s="96"/>
      <c r="J71" s="96"/>
      <c r="K71" s="96"/>
      <c r="L71" s="96"/>
      <c r="M71" s="116"/>
      <c r="N71" s="96"/>
      <c r="O71" s="116"/>
      <c r="P71" s="116"/>
      <c r="Q71" s="116"/>
    </row>
    <row r="72" spans="1:18" s="35" customFormat="1" x14ac:dyDescent="0.25">
      <c r="A72" s="96"/>
      <c r="B72" s="110"/>
      <c r="C72" s="673" t="s">
        <v>680</v>
      </c>
      <c r="D72" s="115"/>
      <c r="E72" s="9"/>
      <c r="F72" s="9"/>
      <c r="G72" s="96"/>
      <c r="H72" s="9"/>
      <c r="I72" s="96"/>
      <c r="J72" s="96"/>
      <c r="K72" s="96"/>
      <c r="L72" s="96"/>
      <c r="M72" s="116"/>
      <c r="N72" s="96"/>
      <c r="O72" s="116"/>
      <c r="P72" s="116"/>
      <c r="Q72" s="116"/>
    </row>
    <row r="73" spans="1:18" s="35" customFormat="1" x14ac:dyDescent="0.25">
      <c r="A73" s="96"/>
      <c r="B73" s="110"/>
      <c r="C73" s="674" t="s">
        <v>678</v>
      </c>
      <c r="D73" s="115"/>
      <c r="E73" s="9"/>
      <c r="F73" s="9"/>
      <c r="G73" s="96"/>
      <c r="H73" s="9"/>
      <c r="I73" s="96"/>
      <c r="J73" s="96"/>
      <c r="K73" s="96"/>
      <c r="L73" s="96"/>
      <c r="M73" s="116"/>
      <c r="N73" s="96"/>
      <c r="O73" s="116"/>
      <c r="P73" s="116"/>
      <c r="Q73" s="116"/>
    </row>
    <row r="74" spans="1:18" s="35" customFormat="1" ht="15" x14ac:dyDescent="0.25">
      <c r="A74" s="96"/>
      <c r="B74" s="110"/>
      <c r="C74" s="675"/>
      <c r="D74" s="115"/>
      <c r="E74" s="9"/>
      <c r="F74" s="9"/>
      <c r="G74" s="96"/>
      <c r="H74" s="9"/>
      <c r="I74" s="96"/>
      <c r="J74" s="96"/>
      <c r="K74" s="96"/>
      <c r="L74" s="96"/>
      <c r="M74" s="116"/>
      <c r="N74" s="96"/>
      <c r="O74" s="116"/>
      <c r="P74" s="116"/>
      <c r="Q74" s="116"/>
    </row>
    <row r="75" spans="1:18" s="35" customFormat="1" x14ac:dyDescent="0.25">
      <c r="C75" s="673" t="s">
        <v>7</v>
      </c>
      <c r="M75" s="118"/>
      <c r="N75" s="118"/>
      <c r="O75" s="118"/>
      <c r="P75" s="118"/>
      <c r="Q75" s="118"/>
    </row>
    <row r="76" spans="1:18" s="35" customFormat="1" x14ac:dyDescent="0.25">
      <c r="B76" s="57"/>
      <c r="C76" s="673" t="s">
        <v>681</v>
      </c>
    </row>
    <row r="77" spans="1:18" s="35" customFormat="1" x14ac:dyDescent="0.25">
      <c r="B77" s="57"/>
      <c r="C77" s="61"/>
    </row>
    <row r="78" spans="1:18" s="35" customFormat="1" ht="12.75" x14ac:dyDescent="0.2">
      <c r="B78" s="1"/>
      <c r="C78" s="781" t="s">
        <v>838</v>
      </c>
      <c r="D78" s="782"/>
      <c r="E78" s="783"/>
      <c r="F78" s="783"/>
      <c r="G78" s="783"/>
      <c r="H78" s="783"/>
      <c r="I78" s="783"/>
      <c r="J78" s="783"/>
      <c r="K78" s="783"/>
      <c r="L78" s="783"/>
      <c r="M78" s="783"/>
      <c r="N78" s="783"/>
      <c r="O78" s="783"/>
      <c r="P78" s="783"/>
      <c r="Q78" s="783"/>
      <c r="R78" s="783"/>
    </row>
    <row r="79" spans="1:18" s="35" customFormat="1" x14ac:dyDescent="0.25">
      <c r="C79" s="784" t="s">
        <v>839</v>
      </c>
      <c r="D79" s="784"/>
      <c r="E79" s="784"/>
      <c r="F79" s="784"/>
      <c r="G79" s="784"/>
      <c r="H79" s="784"/>
      <c r="I79" s="784"/>
      <c r="J79" s="784"/>
      <c r="K79" s="784"/>
      <c r="L79" s="784"/>
      <c r="M79" s="784"/>
      <c r="N79" s="784"/>
      <c r="O79" s="784"/>
      <c r="P79" s="784"/>
      <c r="Q79" s="784"/>
      <c r="R79" s="784"/>
    </row>
    <row r="80" spans="1:18" s="35" customFormat="1" x14ac:dyDescent="0.25">
      <c r="B80" s="1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4"/>
      <c r="R80" s="784"/>
    </row>
    <row r="81" spans="2:18" s="35" customFormat="1" ht="24" customHeight="1" x14ac:dyDescent="0.25">
      <c r="B81" s="57"/>
      <c r="C81" s="784"/>
      <c r="D81" s="784"/>
      <c r="E81" s="784"/>
      <c r="F81" s="784"/>
      <c r="G81" s="784"/>
      <c r="H81" s="784"/>
      <c r="I81" s="784"/>
      <c r="J81" s="784"/>
      <c r="K81" s="784"/>
      <c r="L81" s="784"/>
      <c r="M81" s="784"/>
      <c r="N81" s="784"/>
      <c r="O81" s="784"/>
      <c r="P81" s="784"/>
      <c r="Q81" s="784"/>
      <c r="R81" s="784"/>
    </row>
    <row r="82" spans="2:18" s="35" customFormat="1" x14ac:dyDescent="0.25">
      <c r="B82" s="57"/>
      <c r="C82" s="61"/>
      <c r="D82" s="63"/>
      <c r="E82" s="63"/>
      <c r="F82" s="63"/>
    </row>
    <row r="83" spans="2:18" s="35" customFormat="1" x14ac:dyDescent="0.25">
      <c r="B83" s="1"/>
      <c r="C83" s="57"/>
      <c r="D83" s="63"/>
      <c r="E83" s="63"/>
      <c r="F83" s="63"/>
    </row>
  </sheetData>
  <sheetProtection selectLockedCells="1" selectUnlockedCells="1"/>
  <autoFilter ref="A12:Q69" xr:uid="{00000000-0009-0000-0000-00000A000000}"/>
  <mergeCells count="9">
    <mergeCell ref="C79:R81"/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1111111111111" right="0.2361111111111111" top="0.74791666666666667" bottom="0.74861111111111112" header="0.51180555555555551" footer="0.31527777777777777"/>
  <pageSetup paperSize="9" scale="94" firstPageNumber="0" fitToHeight="0" orientation="landscape" horizontalDpi="300" verticalDpi="300" r:id="rId1"/>
  <headerFooter alignWithMargins="0">
    <oddFooter>&amp;R&amp;P</oddFooter>
  </headerFooter>
  <rowBreaks count="1" manualBreakCount="1">
    <brk id="67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A1:IC79"/>
  <sheetViews>
    <sheetView view="pageBreakPreview" topLeftCell="A58" zoomScaleNormal="85" zoomScaleSheetLayoutView="100" workbookViewId="0">
      <selection activeCell="C77" sqref="C77:R79"/>
    </sheetView>
  </sheetViews>
  <sheetFormatPr defaultColWidth="8.7109375" defaultRowHeight="11.25" x14ac:dyDescent="0.25"/>
  <cols>
    <col min="1" max="1" width="5.140625" style="63" customWidth="1"/>
    <col min="2" max="2" width="3.85546875" style="63" customWidth="1"/>
    <col min="3" max="3" width="55.28515625" style="305" customWidth="1"/>
    <col min="4" max="4" width="5.85546875" style="63" customWidth="1"/>
    <col min="5" max="5" width="5.42578125" style="306" customWidth="1"/>
    <col min="6" max="6" width="7.42578125" style="63" customWidth="1"/>
    <col min="7" max="7" width="5.42578125" style="63" customWidth="1"/>
    <col min="8" max="8" width="7.140625" style="63" customWidth="1"/>
    <col min="9" max="9" width="6.28515625" style="307" customWidth="1"/>
    <col min="10" max="10" width="7.42578125" style="308" customWidth="1"/>
    <col min="11" max="11" width="6.28515625" style="308" customWidth="1"/>
    <col min="12" max="12" width="7.85546875" style="63" customWidth="1"/>
    <col min="13" max="13" width="7" style="63" customWidth="1"/>
    <col min="14" max="14" width="7.42578125" style="63" customWidth="1"/>
    <col min="15" max="15" width="7" style="308" customWidth="1"/>
    <col min="16" max="16" width="7.85546875" style="308" customWidth="1"/>
    <col min="17" max="16384" width="8.7109375" style="63"/>
  </cols>
  <sheetData>
    <row r="1" spans="1:16" s="64" customFormat="1" x14ac:dyDescent="0.25">
      <c r="A1" s="758" t="s">
        <v>27</v>
      </c>
      <c r="B1" s="758"/>
      <c r="C1" s="758"/>
      <c r="D1" s="758"/>
      <c r="E1" s="758"/>
      <c r="F1" s="63">
        <f>KPDV!B21</f>
        <v>9</v>
      </c>
      <c r="G1" s="63"/>
      <c r="H1" s="63"/>
      <c r="I1" s="307"/>
      <c r="J1" s="308"/>
      <c r="K1" s="308"/>
      <c r="L1" s="63"/>
      <c r="M1" s="63"/>
      <c r="N1" s="63"/>
      <c r="O1" s="308"/>
      <c r="P1" s="308"/>
    </row>
    <row r="2" spans="1:16" s="64" customFormat="1" x14ac:dyDescent="0.25">
      <c r="A2" s="66"/>
      <c r="B2" s="66"/>
      <c r="C2" s="309" t="s">
        <v>404</v>
      </c>
      <c r="D2" s="66"/>
      <c r="E2" s="28"/>
      <c r="F2" s="63"/>
      <c r="G2" s="63"/>
      <c r="H2" s="63"/>
      <c r="I2" s="307"/>
      <c r="J2" s="308"/>
      <c r="K2" s="308"/>
      <c r="L2" s="63"/>
      <c r="M2" s="63"/>
      <c r="N2" s="63"/>
      <c r="O2" s="308"/>
      <c r="P2" s="308"/>
    </row>
    <row r="3" spans="1:16" s="64" customFormat="1" x14ac:dyDescent="0.25">
      <c r="A3" s="6" t="str">
        <f>obj</f>
        <v>Objekta nosaukums: Dzīvojamās ēkas fasādes vienkāršota atjaunošana</v>
      </c>
      <c r="B3" s="67"/>
      <c r="C3" s="67"/>
      <c r="D3" s="67"/>
      <c r="E3" s="120"/>
      <c r="F3" s="63"/>
      <c r="G3" s="63"/>
      <c r="H3" s="63"/>
      <c r="I3" s="307"/>
      <c r="J3" s="308"/>
      <c r="K3" s="308"/>
      <c r="L3" s="63"/>
      <c r="M3" s="63"/>
      <c r="N3" s="63"/>
      <c r="O3" s="308"/>
      <c r="P3" s="308"/>
    </row>
    <row r="4" spans="1:16" s="64" customFormat="1" x14ac:dyDescent="0.25">
      <c r="A4" s="33" t="str">
        <f>nos</f>
        <v>Būves nosaukums: Daudzdzīvokļu dzīvojamā ēka</v>
      </c>
      <c r="B4" s="67"/>
      <c r="C4" s="67"/>
      <c r="D4" s="67"/>
      <c r="E4" s="120"/>
      <c r="F4" s="63"/>
      <c r="G4" s="63"/>
      <c r="H4" s="63"/>
      <c r="I4" s="307"/>
      <c r="J4" s="308"/>
      <c r="K4" s="308"/>
      <c r="L4" s="63"/>
      <c r="M4" s="63"/>
      <c r="N4" s="63"/>
      <c r="O4" s="308"/>
      <c r="P4" s="308"/>
    </row>
    <row r="5" spans="1:16" s="310" customFormat="1" x14ac:dyDescent="0.25">
      <c r="A5" s="6" t="str">
        <f>adres</f>
        <v>Objekta adrese: Mirdzas Ķempes iela 22, Liepāja</v>
      </c>
      <c r="B5" s="67"/>
      <c r="C5" s="67"/>
      <c r="D5" s="67"/>
      <c r="E5" s="120"/>
      <c r="F5" s="63"/>
      <c r="G5" s="63"/>
      <c r="H5" s="63"/>
      <c r="I5" s="307"/>
      <c r="J5" s="308"/>
      <c r="K5" s="308"/>
      <c r="L5" s="63"/>
      <c r="M5" s="63"/>
      <c r="N5" s="63"/>
      <c r="O5" s="308"/>
      <c r="P5" s="308"/>
    </row>
    <row r="6" spans="1:16" s="310" customFormat="1" x14ac:dyDescent="0.25">
      <c r="A6" s="6" t="str">
        <f>nr</f>
        <v>Pasūtījuma Nr.WS-77-16</v>
      </c>
      <c r="B6" s="67"/>
      <c r="C6" s="67"/>
      <c r="D6" s="67"/>
      <c r="E6" s="120"/>
      <c r="F6" s="63"/>
      <c r="G6" s="63"/>
      <c r="H6" s="63"/>
      <c r="I6" s="307"/>
      <c r="J6" s="308"/>
      <c r="K6" s="308"/>
      <c r="L6" s="63"/>
      <c r="M6" s="63"/>
      <c r="N6" s="63"/>
      <c r="O6" s="308"/>
      <c r="P6" s="308"/>
    </row>
    <row r="7" spans="1:16" s="310" customFormat="1" x14ac:dyDescent="0.2">
      <c r="A7" s="9"/>
      <c r="B7" s="32"/>
      <c r="C7" s="121" t="s">
        <v>689</v>
      </c>
      <c r="D7" s="9"/>
      <c r="E7" s="14" t="s">
        <v>405</v>
      </c>
      <c r="F7" s="687" t="s">
        <v>690</v>
      </c>
      <c r="G7" s="32"/>
      <c r="H7" s="32"/>
      <c r="I7" s="32"/>
      <c r="J7" s="32"/>
      <c r="K7" s="32"/>
      <c r="L7" s="32"/>
      <c r="M7" s="32"/>
      <c r="N7" s="32"/>
      <c r="O7" s="68" t="s">
        <v>31</v>
      </c>
      <c r="P7" s="311">
        <f>P68</f>
        <v>0</v>
      </c>
    </row>
    <row r="8" spans="1:16" s="310" customFormat="1" x14ac:dyDescent="0.25">
      <c r="A8" s="14"/>
      <c r="B8" s="14"/>
      <c r="C8" s="34"/>
      <c r="D8" s="14"/>
      <c r="E8" s="14"/>
      <c r="F8" s="14"/>
      <c r="G8" s="14"/>
      <c r="H8" s="14"/>
      <c r="I8" s="14"/>
      <c r="J8" s="14"/>
      <c r="K8" s="14"/>
      <c r="L8" s="14"/>
      <c r="M8" s="9"/>
      <c r="N8" s="70"/>
      <c r="O8" s="71" t="str">
        <f>KPDV!C33</f>
        <v>Tāme sastādīta</v>
      </c>
      <c r="P8" s="308"/>
    </row>
    <row r="9" spans="1:16" s="74" customFormat="1" ht="10.15" customHeight="1" x14ac:dyDescent="0.25">
      <c r="A9" s="732" t="s">
        <v>1</v>
      </c>
      <c r="B9" s="732" t="s">
        <v>32</v>
      </c>
      <c r="C9" s="759" t="s">
        <v>33</v>
      </c>
      <c r="D9" s="734" t="s">
        <v>34</v>
      </c>
      <c r="E9" s="732" t="s">
        <v>35</v>
      </c>
      <c r="F9" s="729" t="s">
        <v>36</v>
      </c>
      <c r="G9" s="729"/>
      <c r="H9" s="729"/>
      <c r="I9" s="729"/>
      <c r="J9" s="729"/>
      <c r="K9" s="729"/>
      <c r="L9" s="729" t="s">
        <v>37</v>
      </c>
      <c r="M9" s="729"/>
      <c r="N9" s="729"/>
      <c r="O9" s="729"/>
      <c r="P9" s="729"/>
    </row>
    <row r="10" spans="1:16" s="74" customFormat="1" ht="69" x14ac:dyDescent="0.25">
      <c r="A10" s="732"/>
      <c r="B10" s="732"/>
      <c r="C10" s="759"/>
      <c r="D10" s="734"/>
      <c r="E10" s="732"/>
      <c r="F10" s="75" t="s">
        <v>38</v>
      </c>
      <c r="G10" s="75" t="s">
        <v>660</v>
      </c>
      <c r="H10" s="75" t="s">
        <v>20</v>
      </c>
      <c r="I10" s="75" t="s">
        <v>657</v>
      </c>
      <c r="J10" s="75" t="s">
        <v>21</v>
      </c>
      <c r="K10" s="75" t="s">
        <v>658</v>
      </c>
      <c r="L10" s="75" t="s">
        <v>39</v>
      </c>
      <c r="M10" s="75" t="s">
        <v>20</v>
      </c>
      <c r="N10" s="75" t="s">
        <v>657</v>
      </c>
      <c r="O10" s="75" t="s">
        <v>21</v>
      </c>
      <c r="P10" s="75" t="s">
        <v>659</v>
      </c>
    </row>
    <row r="11" spans="1:16" s="74" customFormat="1" x14ac:dyDescent="0.25">
      <c r="A11" s="76">
        <v>1</v>
      </c>
      <c r="B11" s="76">
        <f t="shared" ref="B11:P11" si="0">A11+1</f>
        <v>2</v>
      </c>
      <c r="C11" s="312">
        <f t="shared" si="0"/>
        <v>3</v>
      </c>
      <c r="D11" s="76">
        <f t="shared" si="0"/>
        <v>4</v>
      </c>
      <c r="E11" s="76">
        <f t="shared" si="0"/>
        <v>5</v>
      </c>
      <c r="F11" s="76">
        <f t="shared" si="0"/>
        <v>6</v>
      </c>
      <c r="G11" s="76">
        <f t="shared" si="0"/>
        <v>7</v>
      </c>
      <c r="H11" s="76">
        <f t="shared" si="0"/>
        <v>8</v>
      </c>
      <c r="I11" s="313">
        <f t="shared" si="0"/>
        <v>9</v>
      </c>
      <c r="J11" s="76">
        <f t="shared" si="0"/>
        <v>10</v>
      </c>
      <c r="K11" s="76">
        <f t="shared" si="0"/>
        <v>11</v>
      </c>
      <c r="L11" s="76">
        <f t="shared" si="0"/>
        <v>12</v>
      </c>
      <c r="M11" s="76">
        <f t="shared" si="0"/>
        <v>13</v>
      </c>
      <c r="N11" s="76">
        <f t="shared" si="0"/>
        <v>14</v>
      </c>
      <c r="O11" s="76">
        <f t="shared" si="0"/>
        <v>15</v>
      </c>
      <c r="P11" s="76">
        <f t="shared" si="0"/>
        <v>16</v>
      </c>
    </row>
    <row r="12" spans="1:16" s="30" customFormat="1" x14ac:dyDescent="0.25">
      <c r="A12" s="90"/>
      <c r="B12" s="314"/>
      <c r="C12" s="315" t="s">
        <v>406</v>
      </c>
      <c r="D12" s="212"/>
      <c r="E12" s="212"/>
      <c r="F12" s="316"/>
      <c r="G12" s="316"/>
      <c r="H12" s="316"/>
      <c r="I12" s="317"/>
      <c r="J12" s="316"/>
      <c r="K12" s="316"/>
      <c r="L12" s="316"/>
      <c r="M12" s="316"/>
      <c r="N12" s="316"/>
      <c r="O12" s="316"/>
      <c r="P12" s="316"/>
    </row>
    <row r="13" spans="1:16" s="30" customFormat="1" ht="36.75" customHeight="1" x14ac:dyDescent="0.25">
      <c r="A13" s="755" t="s">
        <v>661</v>
      </c>
      <c r="B13" s="756"/>
      <c r="C13" s="756"/>
      <c r="D13" s="756"/>
      <c r="E13" s="756"/>
      <c r="F13" s="756"/>
      <c r="G13" s="756"/>
      <c r="H13" s="756"/>
      <c r="I13" s="756"/>
      <c r="J13" s="756"/>
      <c r="K13" s="756"/>
      <c r="L13" s="756"/>
      <c r="M13" s="756"/>
      <c r="N13" s="756"/>
      <c r="O13" s="756"/>
      <c r="P13" s="757"/>
    </row>
    <row r="14" spans="1:16" ht="22.5" x14ac:dyDescent="0.25">
      <c r="A14" s="371">
        <f t="shared" ref="A14:A67" si="1">IF(COUNTBLANK(B14)=1," ",COUNTA(B$12:B14))</f>
        <v>1</v>
      </c>
      <c r="B14" s="372" t="s">
        <v>40</v>
      </c>
      <c r="C14" s="370" t="s">
        <v>407</v>
      </c>
      <c r="D14" s="84" t="s">
        <v>408</v>
      </c>
      <c r="E14" s="85">
        <v>1</v>
      </c>
      <c r="F14" s="360"/>
      <c r="G14" s="318"/>
      <c r="H14" s="90"/>
      <c r="I14" s="318"/>
      <c r="J14" s="318"/>
      <c r="K14" s="318"/>
      <c r="L14" s="319"/>
      <c r="M14" s="319"/>
      <c r="N14" s="319"/>
      <c r="O14" s="319"/>
      <c r="P14" s="319"/>
    </row>
    <row r="15" spans="1:16" ht="22.5" x14ac:dyDescent="0.25">
      <c r="A15" s="77">
        <f t="shared" si="1"/>
        <v>2</v>
      </c>
      <c r="B15" s="78" t="s">
        <v>40</v>
      </c>
      <c r="C15" s="84" t="s">
        <v>409</v>
      </c>
      <c r="D15" s="84" t="s">
        <v>42</v>
      </c>
      <c r="E15" s="85">
        <v>68</v>
      </c>
      <c r="F15" s="360"/>
      <c r="G15" s="320"/>
      <c r="H15" s="320"/>
      <c r="I15" s="320"/>
      <c r="J15" s="318"/>
      <c r="K15" s="318"/>
      <c r="L15" s="319"/>
      <c r="M15" s="319"/>
      <c r="N15" s="319"/>
      <c r="O15" s="319"/>
      <c r="P15" s="319"/>
    </row>
    <row r="16" spans="1:16" ht="22.5" x14ac:dyDescent="0.25">
      <c r="A16" s="77">
        <f t="shared" si="1"/>
        <v>3</v>
      </c>
      <c r="B16" s="78" t="s">
        <v>40</v>
      </c>
      <c r="C16" s="84" t="s">
        <v>410</v>
      </c>
      <c r="D16" s="84" t="s">
        <v>42</v>
      </c>
      <c r="E16" s="85">
        <v>54</v>
      </c>
      <c r="F16" s="360"/>
      <c r="G16" s="320"/>
      <c r="H16" s="320"/>
      <c r="I16" s="320"/>
      <c r="J16" s="318"/>
      <c r="K16" s="318"/>
      <c r="L16" s="319"/>
      <c r="M16" s="319"/>
      <c r="N16" s="319"/>
      <c r="O16" s="319"/>
      <c r="P16" s="319"/>
    </row>
    <row r="17" spans="1:16" ht="22.5" x14ac:dyDescent="0.25">
      <c r="A17" s="77">
        <f t="shared" si="1"/>
        <v>4</v>
      </c>
      <c r="B17" s="78" t="s">
        <v>40</v>
      </c>
      <c r="C17" s="84" t="s">
        <v>411</v>
      </c>
      <c r="D17" s="84" t="s">
        <v>42</v>
      </c>
      <c r="E17" s="85">
        <v>102</v>
      </c>
      <c r="F17" s="360"/>
      <c r="G17" s="320"/>
      <c r="H17" s="320"/>
      <c r="I17" s="320"/>
      <c r="J17" s="318"/>
      <c r="K17" s="318"/>
      <c r="L17" s="319"/>
      <c r="M17" s="319"/>
      <c r="N17" s="319"/>
      <c r="O17" s="319"/>
      <c r="P17" s="319"/>
    </row>
    <row r="18" spans="1:16" ht="22.5" x14ac:dyDescent="0.25">
      <c r="A18" s="77">
        <f t="shared" si="1"/>
        <v>5</v>
      </c>
      <c r="B18" s="78" t="s">
        <v>40</v>
      </c>
      <c r="C18" s="84" t="s">
        <v>412</v>
      </c>
      <c r="D18" s="84" t="s">
        <v>42</v>
      </c>
      <c r="E18" s="85">
        <v>110</v>
      </c>
      <c r="F18" s="360"/>
      <c r="G18" s="320"/>
      <c r="H18" s="320"/>
      <c r="I18" s="320"/>
      <c r="J18" s="318"/>
      <c r="K18" s="318"/>
      <c r="L18" s="319"/>
      <c r="M18" s="319"/>
      <c r="N18" s="319"/>
      <c r="O18" s="319"/>
      <c r="P18" s="319"/>
    </row>
    <row r="19" spans="1:16" ht="22.5" x14ac:dyDescent="0.25">
      <c r="A19" s="77">
        <f t="shared" si="1"/>
        <v>6</v>
      </c>
      <c r="B19" s="78" t="s">
        <v>40</v>
      </c>
      <c r="C19" s="84" t="s">
        <v>413</v>
      </c>
      <c r="D19" s="84" t="s">
        <v>42</v>
      </c>
      <c r="E19" s="85">
        <v>60</v>
      </c>
      <c r="F19" s="360"/>
      <c r="G19" s="320"/>
      <c r="H19" s="320"/>
      <c r="I19" s="320"/>
      <c r="J19" s="318"/>
      <c r="K19" s="318"/>
      <c r="L19" s="319"/>
      <c r="M19" s="319"/>
      <c r="N19" s="319"/>
      <c r="O19" s="319"/>
      <c r="P19" s="319"/>
    </row>
    <row r="20" spans="1:16" ht="22.5" x14ac:dyDescent="0.25">
      <c r="A20" s="77">
        <f t="shared" si="1"/>
        <v>7</v>
      </c>
      <c r="B20" s="78" t="s">
        <v>40</v>
      </c>
      <c r="C20" s="84" t="s">
        <v>414</v>
      </c>
      <c r="D20" s="84" t="s">
        <v>67</v>
      </c>
      <c r="E20" s="85">
        <v>12</v>
      </c>
      <c r="F20" s="360"/>
      <c r="G20" s="320"/>
      <c r="H20" s="320"/>
      <c r="I20" s="320"/>
      <c r="J20" s="318"/>
      <c r="K20" s="318"/>
      <c r="L20" s="319"/>
      <c r="M20" s="319"/>
      <c r="N20" s="319"/>
      <c r="O20" s="319"/>
      <c r="P20" s="319"/>
    </row>
    <row r="21" spans="1:16" ht="22.5" x14ac:dyDescent="0.25">
      <c r="A21" s="77">
        <f t="shared" si="1"/>
        <v>8</v>
      </c>
      <c r="B21" s="78" t="s">
        <v>40</v>
      </c>
      <c r="C21" s="84" t="s">
        <v>415</v>
      </c>
      <c r="D21" s="84" t="s">
        <v>67</v>
      </c>
      <c r="E21" s="85">
        <v>12</v>
      </c>
      <c r="F21" s="360"/>
      <c r="G21" s="320"/>
      <c r="H21" s="320"/>
      <c r="I21" s="320"/>
      <c r="J21" s="318"/>
      <c r="K21" s="318"/>
      <c r="L21" s="319"/>
      <c r="M21" s="319"/>
      <c r="N21" s="319"/>
      <c r="O21" s="319"/>
      <c r="P21" s="319"/>
    </row>
    <row r="22" spans="1:16" ht="22.5" x14ac:dyDescent="0.25">
      <c r="A22" s="77">
        <f t="shared" si="1"/>
        <v>9</v>
      </c>
      <c r="B22" s="78" t="s">
        <v>40</v>
      </c>
      <c r="C22" s="84" t="s">
        <v>416</v>
      </c>
      <c r="D22" s="84" t="s">
        <v>67</v>
      </c>
      <c r="E22" s="85">
        <v>14</v>
      </c>
      <c r="F22" s="360"/>
      <c r="G22" s="320"/>
      <c r="H22" s="320"/>
      <c r="I22" s="320"/>
      <c r="J22" s="318"/>
      <c r="K22" s="318"/>
      <c r="L22" s="319"/>
      <c r="M22" s="319"/>
      <c r="N22" s="319"/>
      <c r="O22" s="319"/>
      <c r="P22" s="319"/>
    </row>
    <row r="23" spans="1:16" ht="22.5" x14ac:dyDescent="0.25">
      <c r="A23" s="77">
        <f t="shared" si="1"/>
        <v>10</v>
      </c>
      <c r="B23" s="78" t="s">
        <v>40</v>
      </c>
      <c r="C23" s="84" t="s">
        <v>417</v>
      </c>
      <c r="D23" s="84" t="s">
        <v>67</v>
      </c>
      <c r="E23" s="85">
        <v>16</v>
      </c>
      <c r="F23" s="360"/>
      <c r="G23" s="320"/>
      <c r="H23" s="320"/>
      <c r="I23" s="320"/>
      <c r="J23" s="318"/>
      <c r="K23" s="318"/>
      <c r="L23" s="319"/>
      <c r="M23" s="319"/>
      <c r="N23" s="319"/>
      <c r="O23" s="319"/>
      <c r="P23" s="319"/>
    </row>
    <row r="24" spans="1:16" ht="22.5" x14ac:dyDescent="0.25">
      <c r="A24" s="77">
        <f t="shared" si="1"/>
        <v>11</v>
      </c>
      <c r="B24" s="78" t="s">
        <v>40</v>
      </c>
      <c r="C24" s="84" t="s">
        <v>418</v>
      </c>
      <c r="D24" s="84" t="s">
        <v>67</v>
      </c>
      <c r="E24" s="85">
        <v>8</v>
      </c>
      <c r="F24" s="360"/>
      <c r="G24" s="320"/>
      <c r="H24" s="320"/>
      <c r="I24" s="320"/>
      <c r="J24" s="318"/>
      <c r="K24" s="318"/>
      <c r="L24" s="319"/>
      <c r="M24" s="319"/>
      <c r="N24" s="319"/>
      <c r="O24" s="319"/>
      <c r="P24" s="319"/>
    </row>
    <row r="25" spans="1:16" ht="22.5" x14ac:dyDescent="0.25">
      <c r="A25" s="77">
        <f t="shared" si="1"/>
        <v>12</v>
      </c>
      <c r="B25" s="78" t="s">
        <v>40</v>
      </c>
      <c r="C25" s="84" t="s">
        <v>419</v>
      </c>
      <c r="D25" s="84" t="s">
        <v>67</v>
      </c>
      <c r="E25" s="85">
        <v>31</v>
      </c>
      <c r="F25" s="360"/>
      <c r="G25" s="320"/>
      <c r="H25" s="320"/>
      <c r="I25" s="320"/>
      <c r="J25" s="318"/>
      <c r="K25" s="318"/>
      <c r="L25" s="319"/>
      <c r="M25" s="319"/>
      <c r="N25" s="319"/>
      <c r="O25" s="319"/>
      <c r="P25" s="319"/>
    </row>
    <row r="26" spans="1:16" ht="22.5" x14ac:dyDescent="0.25">
      <c r="A26" s="77">
        <f t="shared" si="1"/>
        <v>13</v>
      </c>
      <c r="B26" s="78" t="s">
        <v>40</v>
      </c>
      <c r="C26" s="84" t="s">
        <v>420</v>
      </c>
      <c r="D26" s="84" t="s">
        <v>67</v>
      </c>
      <c r="E26" s="85">
        <v>4</v>
      </c>
      <c r="F26" s="360"/>
      <c r="G26" s="320"/>
      <c r="H26" s="320"/>
      <c r="I26" s="320"/>
      <c r="J26" s="318"/>
      <c r="K26" s="318"/>
      <c r="L26" s="319"/>
      <c r="M26" s="319"/>
      <c r="N26" s="319"/>
      <c r="O26" s="319"/>
      <c r="P26" s="319"/>
    </row>
    <row r="27" spans="1:16" ht="22.5" x14ac:dyDescent="0.25">
      <c r="A27" s="77">
        <f t="shared" si="1"/>
        <v>14</v>
      </c>
      <c r="B27" s="78" t="s">
        <v>40</v>
      </c>
      <c r="C27" s="84" t="s">
        <v>421</v>
      </c>
      <c r="D27" s="84" t="s">
        <v>67</v>
      </c>
      <c r="E27" s="85">
        <v>8</v>
      </c>
      <c r="F27" s="360"/>
      <c r="G27" s="320"/>
      <c r="H27" s="320"/>
      <c r="I27" s="320"/>
      <c r="J27" s="318"/>
      <c r="K27" s="318"/>
      <c r="L27" s="319"/>
      <c r="M27" s="319"/>
      <c r="N27" s="319"/>
      <c r="O27" s="319"/>
      <c r="P27" s="319"/>
    </row>
    <row r="28" spans="1:16" ht="22.5" x14ac:dyDescent="0.25">
      <c r="A28" s="77">
        <f t="shared" si="1"/>
        <v>15</v>
      </c>
      <c r="B28" s="78" t="s">
        <v>40</v>
      </c>
      <c r="C28" s="84" t="s">
        <v>422</v>
      </c>
      <c r="D28" s="84" t="s">
        <v>67</v>
      </c>
      <c r="E28" s="85">
        <v>8</v>
      </c>
      <c r="F28" s="360"/>
      <c r="G28" s="320"/>
      <c r="H28" s="320"/>
      <c r="I28" s="320"/>
      <c r="J28" s="318"/>
      <c r="K28" s="318"/>
      <c r="L28" s="319"/>
      <c r="M28" s="319"/>
      <c r="N28" s="319"/>
      <c r="O28" s="319"/>
      <c r="P28" s="319"/>
    </row>
    <row r="29" spans="1:16" ht="22.5" x14ac:dyDescent="0.25">
      <c r="A29" s="77">
        <f t="shared" si="1"/>
        <v>16</v>
      </c>
      <c r="B29" s="78" t="s">
        <v>40</v>
      </c>
      <c r="C29" s="84" t="s">
        <v>423</v>
      </c>
      <c r="D29" s="84" t="s">
        <v>67</v>
      </c>
      <c r="E29" s="85">
        <v>8</v>
      </c>
      <c r="F29" s="360"/>
      <c r="G29" s="320"/>
      <c r="H29" s="320"/>
      <c r="I29" s="320"/>
      <c r="J29" s="318"/>
      <c r="K29" s="318"/>
      <c r="L29" s="319"/>
      <c r="M29" s="319"/>
      <c r="N29" s="319"/>
      <c r="O29" s="319"/>
      <c r="P29" s="319"/>
    </row>
    <row r="30" spans="1:16" ht="22.5" x14ac:dyDescent="0.25">
      <c r="A30" s="77">
        <f t="shared" si="1"/>
        <v>17</v>
      </c>
      <c r="B30" s="78" t="s">
        <v>40</v>
      </c>
      <c r="C30" s="84" t="s">
        <v>424</v>
      </c>
      <c r="D30" s="84" t="s">
        <v>67</v>
      </c>
      <c r="E30" s="85">
        <v>42</v>
      </c>
      <c r="F30" s="360"/>
      <c r="G30" s="320"/>
      <c r="H30" s="320"/>
      <c r="I30" s="320"/>
      <c r="J30" s="318"/>
      <c r="K30" s="318"/>
      <c r="L30" s="319"/>
      <c r="M30" s="319"/>
      <c r="N30" s="319"/>
      <c r="O30" s="319"/>
      <c r="P30" s="319"/>
    </row>
    <row r="31" spans="1:16" ht="22.5" x14ac:dyDescent="0.25">
      <c r="A31" s="77">
        <f t="shared" si="1"/>
        <v>18</v>
      </c>
      <c r="B31" s="78" t="s">
        <v>40</v>
      </c>
      <c r="C31" s="84" t="s">
        <v>425</v>
      </c>
      <c r="D31" s="84" t="s">
        <v>67</v>
      </c>
      <c r="E31" s="85">
        <v>20</v>
      </c>
      <c r="F31" s="360"/>
      <c r="G31" s="320"/>
      <c r="H31" s="320"/>
      <c r="I31" s="320"/>
      <c r="J31" s="318"/>
      <c r="K31" s="318"/>
      <c r="L31" s="319"/>
      <c r="M31" s="319"/>
      <c r="N31" s="319"/>
      <c r="O31" s="319"/>
      <c r="P31" s="319"/>
    </row>
    <row r="32" spans="1:16" ht="22.5" x14ac:dyDescent="0.25">
      <c r="A32" s="77">
        <f t="shared" si="1"/>
        <v>19</v>
      </c>
      <c r="B32" s="78" t="s">
        <v>40</v>
      </c>
      <c r="C32" s="84" t="s">
        <v>426</v>
      </c>
      <c r="D32" s="84" t="s">
        <v>67</v>
      </c>
      <c r="E32" s="85">
        <v>8</v>
      </c>
      <c r="F32" s="360"/>
      <c r="G32" s="320"/>
      <c r="H32" s="320"/>
      <c r="I32" s="320"/>
      <c r="J32" s="318"/>
      <c r="K32" s="318"/>
      <c r="L32" s="319"/>
      <c r="M32" s="319"/>
      <c r="N32" s="319"/>
      <c r="O32" s="319"/>
      <c r="P32" s="319"/>
    </row>
    <row r="33" spans="1:16" ht="22.5" x14ac:dyDescent="0.25">
      <c r="A33" s="77">
        <f t="shared" si="1"/>
        <v>20</v>
      </c>
      <c r="B33" s="78" t="s">
        <v>40</v>
      </c>
      <c r="C33" s="84" t="s">
        <v>427</v>
      </c>
      <c r="D33" s="84" t="s">
        <v>67</v>
      </c>
      <c r="E33" s="85">
        <v>8</v>
      </c>
      <c r="F33" s="360"/>
      <c r="G33" s="320"/>
      <c r="H33" s="320"/>
      <c r="I33" s="320"/>
      <c r="J33" s="318"/>
      <c r="K33" s="318"/>
      <c r="L33" s="319"/>
      <c r="M33" s="319"/>
      <c r="N33" s="319"/>
      <c r="O33" s="319"/>
      <c r="P33" s="319"/>
    </row>
    <row r="34" spans="1:16" ht="22.5" x14ac:dyDescent="0.25">
      <c r="A34" s="77">
        <f t="shared" si="1"/>
        <v>21</v>
      </c>
      <c r="B34" s="78" t="s">
        <v>40</v>
      </c>
      <c r="C34" s="84" t="s">
        <v>428</v>
      </c>
      <c r="D34" s="84" t="s">
        <v>67</v>
      </c>
      <c r="E34" s="85">
        <v>4</v>
      </c>
      <c r="F34" s="360"/>
      <c r="G34" s="320"/>
      <c r="H34" s="320"/>
      <c r="I34" s="320"/>
      <c r="J34" s="318"/>
      <c r="K34" s="318"/>
      <c r="L34" s="319"/>
      <c r="M34" s="319"/>
      <c r="N34" s="319"/>
      <c r="O34" s="319"/>
      <c r="P34" s="319"/>
    </row>
    <row r="35" spans="1:16" ht="22.5" x14ac:dyDescent="0.25">
      <c r="A35" s="77">
        <f t="shared" si="1"/>
        <v>22</v>
      </c>
      <c r="B35" s="78" t="s">
        <v>40</v>
      </c>
      <c r="C35" s="84" t="s">
        <v>429</v>
      </c>
      <c r="D35" s="84" t="s">
        <v>67</v>
      </c>
      <c r="E35" s="85">
        <v>20</v>
      </c>
      <c r="F35" s="360"/>
      <c r="G35" s="320"/>
      <c r="H35" s="320"/>
      <c r="I35" s="320"/>
      <c r="J35" s="318"/>
      <c r="K35" s="318"/>
      <c r="L35" s="319"/>
      <c r="M35" s="319"/>
      <c r="N35" s="319"/>
      <c r="O35" s="319"/>
      <c r="P35" s="319"/>
    </row>
    <row r="36" spans="1:16" ht="22.5" x14ac:dyDescent="0.25">
      <c r="A36" s="77">
        <f t="shared" si="1"/>
        <v>23</v>
      </c>
      <c r="B36" s="78" t="s">
        <v>40</v>
      </c>
      <c r="C36" s="84" t="s">
        <v>430</v>
      </c>
      <c r="D36" s="84" t="s">
        <v>67</v>
      </c>
      <c r="E36" s="85">
        <v>42</v>
      </c>
      <c r="F36" s="360"/>
      <c r="G36" s="320"/>
      <c r="H36" s="320"/>
      <c r="I36" s="320"/>
      <c r="J36" s="318"/>
      <c r="K36" s="318"/>
      <c r="L36" s="319"/>
      <c r="M36" s="319"/>
      <c r="N36" s="319"/>
      <c r="O36" s="319"/>
      <c r="P36" s="319"/>
    </row>
    <row r="37" spans="1:16" ht="33.75" x14ac:dyDescent="0.25">
      <c r="A37" s="77">
        <f t="shared" si="1"/>
        <v>24</v>
      </c>
      <c r="B37" s="78" t="s">
        <v>40</v>
      </c>
      <c r="C37" s="84" t="s">
        <v>710</v>
      </c>
      <c r="D37" s="84" t="s">
        <v>67</v>
      </c>
      <c r="E37" s="85">
        <v>10</v>
      </c>
      <c r="F37" s="360"/>
      <c r="G37" s="320"/>
      <c r="H37" s="320"/>
      <c r="I37" s="320"/>
      <c r="J37" s="318"/>
      <c r="K37" s="318"/>
      <c r="L37" s="319"/>
      <c r="M37" s="319"/>
      <c r="N37" s="319"/>
      <c r="O37" s="319"/>
      <c r="P37" s="319"/>
    </row>
    <row r="38" spans="1:16" ht="33.75" x14ac:dyDescent="0.25">
      <c r="A38" s="77">
        <f t="shared" si="1"/>
        <v>25</v>
      </c>
      <c r="B38" s="78" t="s">
        <v>40</v>
      </c>
      <c r="C38" s="84" t="s">
        <v>711</v>
      </c>
      <c r="D38" s="84" t="s">
        <v>67</v>
      </c>
      <c r="E38" s="85">
        <v>21</v>
      </c>
      <c r="F38" s="360"/>
      <c r="G38" s="320"/>
      <c r="H38" s="320"/>
      <c r="I38" s="320"/>
      <c r="J38" s="318"/>
      <c r="K38" s="318"/>
      <c r="L38" s="319"/>
      <c r="M38" s="319"/>
      <c r="N38" s="319"/>
      <c r="O38" s="319"/>
      <c r="P38" s="319"/>
    </row>
    <row r="39" spans="1:16" ht="22.5" x14ac:dyDescent="0.25">
      <c r="A39" s="77">
        <f t="shared" si="1"/>
        <v>26</v>
      </c>
      <c r="B39" s="78" t="s">
        <v>40</v>
      </c>
      <c r="C39" s="84" t="s">
        <v>431</v>
      </c>
      <c r="D39" s="84" t="s">
        <v>42</v>
      </c>
      <c r="E39" s="85">
        <v>68</v>
      </c>
      <c r="F39" s="360"/>
      <c r="G39" s="320"/>
      <c r="H39" s="320"/>
      <c r="I39" s="320"/>
      <c r="J39" s="318"/>
      <c r="K39" s="318"/>
      <c r="L39" s="319"/>
      <c r="M39" s="319"/>
      <c r="N39" s="319"/>
      <c r="O39" s="319"/>
      <c r="P39" s="319"/>
    </row>
    <row r="40" spans="1:16" ht="22.5" x14ac:dyDescent="0.25">
      <c r="A40" s="77">
        <f t="shared" si="1"/>
        <v>27</v>
      </c>
      <c r="B40" s="78" t="s">
        <v>40</v>
      </c>
      <c r="C40" s="84" t="s">
        <v>432</v>
      </c>
      <c r="D40" s="84" t="s">
        <v>42</v>
      </c>
      <c r="E40" s="85">
        <v>54</v>
      </c>
      <c r="F40" s="360"/>
      <c r="G40" s="320"/>
      <c r="H40" s="320"/>
      <c r="I40" s="320"/>
      <c r="J40" s="318"/>
      <c r="K40" s="318"/>
      <c r="L40" s="319"/>
      <c r="M40" s="319"/>
      <c r="N40" s="319"/>
      <c r="O40" s="319"/>
      <c r="P40" s="319"/>
    </row>
    <row r="41" spans="1:16" ht="22.5" x14ac:dyDescent="0.25">
      <c r="A41" s="77">
        <f t="shared" si="1"/>
        <v>28</v>
      </c>
      <c r="B41" s="78" t="s">
        <v>40</v>
      </c>
      <c r="C41" s="84" t="s">
        <v>433</v>
      </c>
      <c r="D41" s="84" t="s">
        <v>42</v>
      </c>
      <c r="E41" s="85">
        <v>102</v>
      </c>
      <c r="F41" s="360"/>
      <c r="G41" s="320"/>
      <c r="H41" s="320"/>
      <c r="I41" s="320"/>
      <c r="J41" s="318"/>
      <c r="K41" s="318"/>
      <c r="L41" s="319"/>
      <c r="M41" s="319"/>
      <c r="N41" s="319"/>
      <c r="O41" s="319"/>
      <c r="P41" s="319"/>
    </row>
    <row r="42" spans="1:16" ht="22.5" x14ac:dyDescent="0.25">
      <c r="A42" s="77">
        <f t="shared" si="1"/>
        <v>29</v>
      </c>
      <c r="B42" s="78" t="s">
        <v>40</v>
      </c>
      <c r="C42" s="84" t="s">
        <v>434</v>
      </c>
      <c r="D42" s="84" t="s">
        <v>42</v>
      </c>
      <c r="E42" s="85">
        <v>110</v>
      </c>
      <c r="F42" s="360"/>
      <c r="G42" s="320"/>
      <c r="H42" s="320"/>
      <c r="I42" s="320"/>
      <c r="J42" s="318"/>
      <c r="K42" s="318"/>
      <c r="L42" s="319"/>
      <c r="M42" s="319"/>
      <c r="N42" s="319"/>
      <c r="O42" s="319"/>
      <c r="P42" s="319"/>
    </row>
    <row r="43" spans="1:16" ht="22.5" x14ac:dyDescent="0.25">
      <c r="A43" s="77">
        <f t="shared" si="1"/>
        <v>30</v>
      </c>
      <c r="B43" s="78" t="s">
        <v>40</v>
      </c>
      <c r="C43" s="84" t="s">
        <v>435</v>
      </c>
      <c r="D43" s="84" t="s">
        <v>42</v>
      </c>
      <c r="E43" s="85">
        <v>60</v>
      </c>
      <c r="F43" s="360"/>
      <c r="G43" s="320"/>
      <c r="H43" s="320"/>
      <c r="I43" s="320"/>
      <c r="J43" s="318"/>
      <c r="K43" s="318"/>
      <c r="L43" s="319"/>
      <c r="M43" s="319"/>
      <c r="N43" s="319"/>
      <c r="O43" s="319"/>
      <c r="P43" s="319"/>
    </row>
    <row r="44" spans="1:16" ht="22.5" x14ac:dyDescent="0.25">
      <c r="A44" s="77">
        <f t="shared" si="1"/>
        <v>31</v>
      </c>
      <c r="B44" s="78" t="s">
        <v>40</v>
      </c>
      <c r="C44" s="84" t="s">
        <v>436</v>
      </c>
      <c r="D44" s="84" t="s">
        <v>67</v>
      </c>
      <c r="E44" s="85">
        <v>16</v>
      </c>
      <c r="F44" s="360"/>
      <c r="G44" s="320"/>
      <c r="H44" s="320"/>
      <c r="I44" s="320"/>
      <c r="J44" s="318"/>
      <c r="K44" s="318"/>
      <c r="L44" s="319"/>
      <c r="M44" s="319"/>
      <c r="N44" s="319"/>
      <c r="O44" s="319"/>
      <c r="P44" s="319"/>
    </row>
    <row r="45" spans="1:16" ht="22.5" x14ac:dyDescent="0.25">
      <c r="A45" s="77">
        <f t="shared" si="1"/>
        <v>32</v>
      </c>
      <c r="B45" s="78" t="s">
        <v>40</v>
      </c>
      <c r="C45" s="84" t="s">
        <v>437</v>
      </c>
      <c r="D45" s="84" t="s">
        <v>67</v>
      </c>
      <c r="E45" s="85">
        <v>12</v>
      </c>
      <c r="F45" s="360"/>
      <c r="G45" s="320"/>
      <c r="H45" s="320"/>
      <c r="I45" s="320"/>
      <c r="J45" s="318"/>
      <c r="K45" s="318"/>
      <c r="L45" s="319"/>
      <c r="M45" s="319"/>
      <c r="N45" s="319"/>
      <c r="O45" s="319"/>
      <c r="P45" s="319"/>
    </row>
    <row r="46" spans="1:16" ht="22.5" x14ac:dyDescent="0.25">
      <c r="A46" s="77">
        <f t="shared" si="1"/>
        <v>33</v>
      </c>
      <c r="B46" s="78" t="s">
        <v>40</v>
      </c>
      <c r="C46" s="84" t="s">
        <v>438</v>
      </c>
      <c r="D46" s="84" t="s">
        <v>67</v>
      </c>
      <c r="E46" s="85">
        <v>50</v>
      </c>
      <c r="F46" s="360"/>
      <c r="G46" s="320"/>
      <c r="H46" s="320"/>
      <c r="I46" s="320"/>
      <c r="J46" s="318"/>
      <c r="K46" s="318"/>
      <c r="L46" s="319"/>
      <c r="M46" s="319"/>
      <c r="N46" s="319"/>
      <c r="O46" s="319"/>
      <c r="P46" s="319"/>
    </row>
    <row r="47" spans="1:16" ht="22.5" x14ac:dyDescent="0.25">
      <c r="A47" s="77">
        <f t="shared" si="1"/>
        <v>34</v>
      </c>
      <c r="B47" s="78" t="s">
        <v>40</v>
      </c>
      <c r="C47" s="84" t="s">
        <v>439</v>
      </c>
      <c r="D47" s="84" t="s">
        <v>67</v>
      </c>
      <c r="E47" s="85">
        <v>55</v>
      </c>
      <c r="F47" s="360"/>
      <c r="G47" s="320"/>
      <c r="H47" s="320"/>
      <c r="I47" s="320"/>
      <c r="J47" s="318"/>
      <c r="K47" s="318"/>
      <c r="L47" s="319"/>
      <c r="M47" s="319"/>
      <c r="N47" s="319"/>
      <c r="O47" s="319"/>
      <c r="P47" s="319"/>
    </row>
    <row r="48" spans="1:16" ht="22.5" x14ac:dyDescent="0.25">
      <c r="A48" s="77">
        <f t="shared" si="1"/>
        <v>35</v>
      </c>
      <c r="B48" s="78" t="s">
        <v>40</v>
      </c>
      <c r="C48" s="84" t="s">
        <v>440</v>
      </c>
      <c r="D48" s="84" t="s">
        <v>67</v>
      </c>
      <c r="E48" s="85">
        <v>30</v>
      </c>
      <c r="F48" s="360"/>
      <c r="G48" s="320"/>
      <c r="H48" s="320"/>
      <c r="I48" s="320"/>
      <c r="J48" s="318"/>
      <c r="K48" s="318"/>
      <c r="L48" s="319"/>
      <c r="M48" s="319"/>
      <c r="N48" s="319"/>
      <c r="O48" s="319"/>
      <c r="P48" s="319"/>
    </row>
    <row r="49" spans="1:16" ht="22.5" x14ac:dyDescent="0.25">
      <c r="A49" s="77">
        <f t="shared" si="1"/>
        <v>36</v>
      </c>
      <c r="B49" s="78" t="s">
        <v>40</v>
      </c>
      <c r="C49" s="84" t="s">
        <v>441</v>
      </c>
      <c r="D49" s="84" t="s">
        <v>42</v>
      </c>
      <c r="E49" s="85">
        <v>90</v>
      </c>
      <c r="F49" s="360"/>
      <c r="G49" s="320"/>
      <c r="H49" s="320"/>
      <c r="I49" s="320"/>
      <c r="J49" s="318"/>
      <c r="K49" s="318"/>
      <c r="L49" s="319"/>
      <c r="M49" s="319"/>
      <c r="N49" s="319"/>
      <c r="O49" s="319"/>
      <c r="P49" s="319"/>
    </row>
    <row r="50" spans="1:16" ht="22.5" x14ac:dyDescent="0.25">
      <c r="A50" s="77">
        <f t="shared" si="1"/>
        <v>37</v>
      </c>
      <c r="B50" s="78" t="s">
        <v>40</v>
      </c>
      <c r="C50" s="84" t="s">
        <v>442</v>
      </c>
      <c r="D50" s="84" t="s">
        <v>42</v>
      </c>
      <c r="E50" s="85">
        <v>1480</v>
      </c>
      <c r="F50" s="360"/>
      <c r="G50" s="320"/>
      <c r="H50" s="320"/>
      <c r="I50" s="320"/>
      <c r="J50" s="318"/>
      <c r="K50" s="318"/>
      <c r="L50" s="319"/>
      <c r="M50" s="319"/>
      <c r="N50" s="319"/>
      <c r="O50" s="319"/>
      <c r="P50" s="319"/>
    </row>
    <row r="51" spans="1:16" ht="22.5" x14ac:dyDescent="0.25">
      <c r="A51" s="77">
        <f t="shared" si="1"/>
        <v>38</v>
      </c>
      <c r="B51" s="78" t="s">
        <v>40</v>
      </c>
      <c r="C51" s="204" t="s">
        <v>443</v>
      </c>
      <c r="D51" s="84" t="s">
        <v>408</v>
      </c>
      <c r="E51" s="85">
        <v>4</v>
      </c>
      <c r="F51" s="320"/>
      <c r="G51" s="320"/>
      <c r="H51" s="320"/>
      <c r="I51" s="320"/>
      <c r="J51" s="318"/>
      <c r="K51" s="318"/>
      <c r="L51" s="319"/>
      <c r="M51" s="319"/>
      <c r="N51" s="319"/>
      <c r="O51" s="319"/>
      <c r="P51" s="319"/>
    </row>
    <row r="52" spans="1:16" ht="22.5" x14ac:dyDescent="0.25">
      <c r="A52" s="77">
        <f t="shared" si="1"/>
        <v>39</v>
      </c>
      <c r="B52" s="78" t="s">
        <v>40</v>
      </c>
      <c r="C52" s="204" t="s">
        <v>444</v>
      </c>
      <c r="D52" s="84" t="s">
        <v>408</v>
      </c>
      <c r="E52" s="85">
        <v>4</v>
      </c>
      <c r="F52" s="320"/>
      <c r="G52" s="320"/>
      <c r="H52" s="320"/>
      <c r="I52" s="320"/>
      <c r="J52" s="318"/>
      <c r="K52" s="318"/>
      <c r="L52" s="319"/>
      <c r="M52" s="319"/>
      <c r="N52" s="319"/>
      <c r="O52" s="319"/>
      <c r="P52" s="319"/>
    </row>
    <row r="53" spans="1:16" ht="56.25" x14ac:dyDescent="0.25">
      <c r="A53" s="77">
        <f t="shared" si="1"/>
        <v>40</v>
      </c>
      <c r="B53" s="78" t="s">
        <v>40</v>
      </c>
      <c r="C53" s="204" t="s">
        <v>445</v>
      </c>
      <c r="D53" s="84" t="s">
        <v>408</v>
      </c>
      <c r="E53" s="85">
        <v>205</v>
      </c>
      <c r="F53" s="320"/>
      <c r="G53" s="320"/>
      <c r="H53" s="320"/>
      <c r="I53" s="320"/>
      <c r="J53" s="318"/>
      <c r="K53" s="318"/>
      <c r="L53" s="319"/>
      <c r="M53" s="319"/>
      <c r="N53" s="319"/>
      <c r="O53" s="319"/>
      <c r="P53" s="319"/>
    </row>
    <row r="54" spans="1:16" ht="22.5" x14ac:dyDescent="0.25">
      <c r="A54" s="77">
        <f t="shared" si="1"/>
        <v>41</v>
      </c>
      <c r="B54" s="78" t="s">
        <v>40</v>
      </c>
      <c r="C54" s="204" t="s">
        <v>446</v>
      </c>
      <c r="D54" s="84" t="s">
        <v>408</v>
      </c>
      <c r="E54" s="85">
        <v>4</v>
      </c>
      <c r="F54" s="320"/>
      <c r="G54" s="320"/>
      <c r="H54" s="320"/>
      <c r="I54" s="320"/>
      <c r="J54" s="318"/>
      <c r="K54" s="318"/>
      <c r="L54" s="319"/>
      <c r="M54" s="319"/>
      <c r="N54" s="319"/>
      <c r="O54" s="319"/>
      <c r="P54" s="319"/>
    </row>
    <row r="55" spans="1:16" s="321" customFormat="1" ht="22.5" x14ac:dyDescent="0.25">
      <c r="A55" s="77">
        <f t="shared" si="1"/>
        <v>42</v>
      </c>
      <c r="B55" s="78" t="s">
        <v>40</v>
      </c>
      <c r="C55" s="708" t="s">
        <v>719</v>
      </c>
      <c r="D55" s="84" t="s">
        <v>67</v>
      </c>
      <c r="E55" s="85">
        <v>209</v>
      </c>
      <c r="F55" s="320"/>
      <c r="G55" s="320"/>
      <c r="H55" s="320"/>
      <c r="I55" s="320"/>
      <c r="J55" s="318"/>
      <c r="K55" s="318"/>
      <c r="L55" s="319"/>
      <c r="M55" s="319"/>
      <c r="N55" s="319"/>
      <c r="O55" s="319"/>
      <c r="P55" s="319"/>
    </row>
    <row r="56" spans="1:16" s="321" customFormat="1" ht="22.5" x14ac:dyDescent="0.25">
      <c r="A56" s="77">
        <f t="shared" si="1"/>
        <v>43</v>
      </c>
      <c r="B56" s="78" t="s">
        <v>40</v>
      </c>
      <c r="C56" s="709" t="s">
        <v>720</v>
      </c>
      <c r="D56" s="84" t="s">
        <v>67</v>
      </c>
      <c r="E56" s="85">
        <v>209</v>
      </c>
      <c r="F56" s="320"/>
      <c r="G56" s="320"/>
      <c r="H56" s="320"/>
      <c r="I56" s="320"/>
      <c r="J56" s="318"/>
      <c r="K56" s="318"/>
      <c r="L56" s="319"/>
      <c r="M56" s="319"/>
      <c r="N56" s="319"/>
      <c r="O56" s="319"/>
      <c r="P56" s="319"/>
    </row>
    <row r="57" spans="1:16" s="321" customFormat="1" ht="22.5" x14ac:dyDescent="0.25">
      <c r="A57" s="77">
        <f t="shared" si="1"/>
        <v>44</v>
      </c>
      <c r="B57" s="78" t="s">
        <v>40</v>
      </c>
      <c r="C57" s="708" t="s">
        <v>721</v>
      </c>
      <c r="D57" s="84" t="s">
        <v>67</v>
      </c>
      <c r="E57" s="85">
        <v>209</v>
      </c>
      <c r="F57" s="320"/>
      <c r="G57" s="320"/>
      <c r="H57" s="320"/>
      <c r="I57" s="320"/>
      <c r="J57" s="318"/>
      <c r="K57" s="318"/>
      <c r="L57" s="319"/>
      <c r="M57" s="319"/>
      <c r="N57" s="319"/>
      <c r="O57" s="319"/>
      <c r="P57" s="319"/>
    </row>
    <row r="58" spans="1:16" s="321" customFormat="1" ht="22.5" x14ac:dyDescent="0.25">
      <c r="A58" s="77">
        <f t="shared" si="1"/>
        <v>45</v>
      </c>
      <c r="B58" s="78" t="s">
        <v>40</v>
      </c>
      <c r="C58" s="84" t="s">
        <v>447</v>
      </c>
      <c r="D58" s="84" t="s">
        <v>42</v>
      </c>
      <c r="E58" s="85">
        <v>74</v>
      </c>
      <c r="F58" s="320"/>
      <c r="G58" s="320"/>
      <c r="H58" s="320"/>
      <c r="I58" s="320"/>
      <c r="J58" s="318"/>
      <c r="K58" s="318"/>
      <c r="L58" s="319"/>
      <c r="M58" s="319"/>
      <c r="N58" s="319"/>
      <c r="O58" s="319"/>
      <c r="P58" s="319"/>
    </row>
    <row r="59" spans="1:16" s="321" customFormat="1" ht="22.5" x14ac:dyDescent="0.25">
      <c r="A59" s="77">
        <f t="shared" si="1"/>
        <v>46</v>
      </c>
      <c r="B59" s="78" t="s">
        <v>40</v>
      </c>
      <c r="C59" s="84" t="s">
        <v>448</v>
      </c>
      <c r="D59" s="84" t="s">
        <v>67</v>
      </c>
      <c r="E59" s="85">
        <v>4</v>
      </c>
      <c r="F59" s="322"/>
      <c r="G59" s="322"/>
      <c r="H59" s="320"/>
      <c r="I59" s="320"/>
      <c r="J59" s="254"/>
      <c r="K59" s="254"/>
      <c r="L59" s="323"/>
      <c r="M59" s="323"/>
      <c r="N59" s="323"/>
      <c r="O59" s="323"/>
      <c r="P59" s="319"/>
    </row>
    <row r="60" spans="1:16" s="321" customFormat="1" ht="22.5" x14ac:dyDescent="0.25">
      <c r="A60" s="77">
        <f t="shared" si="1"/>
        <v>47</v>
      </c>
      <c r="B60" s="78" t="s">
        <v>40</v>
      </c>
      <c r="C60" s="84" t="s">
        <v>407</v>
      </c>
      <c r="D60" s="84" t="s">
        <v>408</v>
      </c>
      <c r="E60" s="85">
        <v>1</v>
      </c>
      <c r="F60" s="322"/>
      <c r="G60" s="322"/>
      <c r="H60" s="320"/>
      <c r="I60" s="320"/>
      <c r="J60" s="254"/>
      <c r="K60" s="254"/>
      <c r="L60" s="323"/>
      <c r="M60" s="323"/>
      <c r="N60" s="323"/>
      <c r="O60" s="323"/>
      <c r="P60" s="319"/>
    </row>
    <row r="61" spans="1:16" s="321" customFormat="1" ht="22.5" x14ac:dyDescent="0.25">
      <c r="A61" s="77">
        <f t="shared" si="1"/>
        <v>48</v>
      </c>
      <c r="B61" s="78" t="s">
        <v>40</v>
      </c>
      <c r="C61" s="84" t="s">
        <v>449</v>
      </c>
      <c r="D61" s="84" t="s">
        <v>408</v>
      </c>
      <c r="E61" s="85">
        <v>1</v>
      </c>
      <c r="F61" s="322"/>
      <c r="G61" s="322"/>
      <c r="H61" s="320"/>
      <c r="I61" s="320"/>
      <c r="J61" s="254"/>
      <c r="K61" s="254"/>
      <c r="L61" s="323"/>
      <c r="M61" s="323"/>
      <c r="N61" s="323"/>
      <c r="O61" s="323"/>
      <c r="P61" s="319"/>
    </row>
    <row r="62" spans="1:16" s="321" customFormat="1" x14ac:dyDescent="0.25">
      <c r="A62" s="77" t="str">
        <f t="shared" si="1"/>
        <v xml:space="preserve"> </v>
      </c>
      <c r="B62" s="78"/>
      <c r="C62" s="315" t="s">
        <v>450</v>
      </c>
      <c r="D62" s="84"/>
      <c r="E62" s="85"/>
      <c r="F62" s="84"/>
      <c r="G62" s="322"/>
      <c r="H62" s="320"/>
      <c r="I62" s="320"/>
      <c r="J62" s="254"/>
      <c r="K62" s="254"/>
      <c r="L62" s="323"/>
      <c r="M62" s="323"/>
      <c r="N62" s="323"/>
      <c r="O62" s="323"/>
      <c r="P62" s="319"/>
    </row>
    <row r="63" spans="1:16" s="321" customFormat="1" ht="22.5" x14ac:dyDescent="0.25">
      <c r="A63" s="77">
        <f t="shared" si="1"/>
        <v>49</v>
      </c>
      <c r="B63" s="78" t="s">
        <v>40</v>
      </c>
      <c r="C63" s="84" t="s">
        <v>825</v>
      </c>
      <c r="D63" s="84" t="s">
        <v>408</v>
      </c>
      <c r="E63" s="85">
        <v>50</v>
      </c>
      <c r="F63" s="324"/>
      <c r="G63" s="322"/>
      <c r="H63" s="299"/>
      <c r="I63" s="299"/>
      <c r="J63" s="324"/>
      <c r="K63" s="324"/>
      <c r="L63" s="324"/>
      <c r="M63" s="324"/>
      <c r="N63" s="324"/>
      <c r="O63" s="324"/>
      <c r="P63" s="319"/>
    </row>
    <row r="64" spans="1:16" s="321" customFormat="1" ht="22.5" x14ac:dyDescent="0.25">
      <c r="A64" s="77">
        <f t="shared" si="1"/>
        <v>50</v>
      </c>
      <c r="B64" s="78" t="s">
        <v>40</v>
      </c>
      <c r="C64" s="84" t="s">
        <v>824</v>
      </c>
      <c r="D64" s="84" t="s">
        <v>408</v>
      </c>
      <c r="E64" s="85">
        <v>50</v>
      </c>
      <c r="F64" s="322"/>
      <c r="G64" s="322"/>
      <c r="H64" s="320"/>
      <c r="I64" s="320"/>
      <c r="J64" s="322"/>
      <c r="K64" s="323"/>
      <c r="L64" s="324"/>
      <c r="M64" s="324"/>
      <c r="N64" s="324"/>
      <c r="O64" s="324"/>
      <c r="P64" s="319"/>
    </row>
    <row r="65" spans="1:237" s="321" customFormat="1" ht="22.5" x14ac:dyDescent="0.25">
      <c r="A65" s="77">
        <f t="shared" si="1"/>
        <v>51</v>
      </c>
      <c r="B65" s="78" t="s">
        <v>40</v>
      </c>
      <c r="C65" s="84" t="s">
        <v>451</v>
      </c>
      <c r="D65" s="84" t="s">
        <v>67</v>
      </c>
      <c r="E65" s="85">
        <v>50</v>
      </c>
      <c r="F65" s="322"/>
      <c r="G65" s="322"/>
      <c r="H65" s="320"/>
      <c r="I65" s="320"/>
      <c r="J65" s="322"/>
      <c r="K65" s="323"/>
      <c r="L65" s="324"/>
      <c r="M65" s="324"/>
      <c r="N65" s="324"/>
      <c r="O65" s="324"/>
      <c r="P65" s="319"/>
    </row>
    <row r="66" spans="1:237" s="321" customFormat="1" x14ac:dyDescent="0.25">
      <c r="A66" s="77" t="str">
        <f t="shared" si="1"/>
        <v xml:space="preserve"> </v>
      </c>
      <c r="B66" s="78"/>
      <c r="C66" s="315" t="s">
        <v>452</v>
      </c>
      <c r="D66" s="84"/>
      <c r="E66" s="85"/>
      <c r="F66" s="84"/>
      <c r="G66" s="322"/>
      <c r="H66" s="320"/>
      <c r="I66" s="320"/>
      <c r="J66" s="254"/>
      <c r="K66" s="254"/>
      <c r="L66" s="323"/>
      <c r="M66" s="323"/>
      <c r="N66" s="323"/>
      <c r="O66" s="323"/>
      <c r="P66" s="319"/>
    </row>
    <row r="67" spans="1:237" s="321" customFormat="1" ht="22.5" x14ac:dyDescent="0.25">
      <c r="A67" s="77">
        <f t="shared" si="1"/>
        <v>52</v>
      </c>
      <c r="B67" s="78" t="s">
        <v>40</v>
      </c>
      <c r="C67" s="84" t="s">
        <v>826</v>
      </c>
      <c r="D67" s="84" t="s">
        <v>67</v>
      </c>
      <c r="E67" s="85">
        <v>1</v>
      </c>
      <c r="F67" s="322"/>
      <c r="G67" s="322"/>
      <c r="H67" s="320"/>
      <c r="I67" s="320"/>
      <c r="J67" s="322"/>
      <c r="K67" s="323"/>
      <c r="L67" s="324"/>
      <c r="M67" s="324"/>
      <c r="N67" s="324"/>
      <c r="O67" s="324"/>
      <c r="P67" s="319"/>
    </row>
    <row r="68" spans="1:237" s="35" customFormat="1" x14ac:dyDescent="0.25">
      <c r="B68" s="96" t="str">
        <f>IF(COUNTBLANK(J68)=1," ",COUNTA($H$7:I68))</f>
        <v xml:space="preserve"> </v>
      </c>
      <c r="C68" s="113" t="s">
        <v>77</v>
      </c>
      <c r="D68" s="115"/>
      <c r="E68" s="9"/>
      <c r="F68" s="96"/>
      <c r="G68" s="9"/>
      <c r="H68" s="96"/>
      <c r="I68" s="96"/>
      <c r="J68" s="96"/>
      <c r="K68" s="96"/>
      <c r="L68" s="114">
        <f>SUM(L14:L67)</f>
        <v>0</v>
      </c>
      <c r="M68" s="114">
        <f>SUM(M14:M67)</f>
        <v>0</v>
      </c>
      <c r="N68" s="114">
        <f>SUM(N14:N67)</f>
        <v>0</v>
      </c>
      <c r="O68" s="114">
        <f>SUM(O14:O67)</f>
        <v>0</v>
      </c>
      <c r="P68" s="114">
        <f>SUM(P14:P67)</f>
        <v>0</v>
      </c>
      <c r="IA68" s="32"/>
      <c r="IB68" s="32"/>
      <c r="IC68" s="32"/>
    </row>
    <row r="69" spans="1:237" s="35" customFormat="1" x14ac:dyDescent="0.25">
      <c r="B69" s="96"/>
      <c r="C69" s="230"/>
      <c r="D69" s="115"/>
      <c r="E69" s="9"/>
      <c r="F69" s="96"/>
      <c r="G69" s="9"/>
      <c r="H69" s="96"/>
      <c r="I69" s="96"/>
      <c r="J69" s="96"/>
      <c r="K69" s="96"/>
      <c r="L69" s="116"/>
      <c r="M69" s="116"/>
      <c r="N69" s="116"/>
      <c r="O69" s="116"/>
      <c r="P69" s="116"/>
      <c r="IA69" s="32"/>
      <c r="IB69" s="32"/>
      <c r="IC69" s="32"/>
    </row>
    <row r="70" spans="1:237" s="35" customFormat="1" x14ac:dyDescent="0.25">
      <c r="B70" s="96"/>
      <c r="C70" s="673" t="s">
        <v>680</v>
      </c>
      <c r="D70" s="115"/>
      <c r="E70" s="9"/>
      <c r="F70" s="96"/>
      <c r="G70" s="9"/>
      <c r="H70" s="96"/>
      <c r="I70" s="96"/>
      <c r="J70" s="96"/>
      <c r="K70" s="96"/>
      <c r="L70" s="116"/>
      <c r="M70" s="116"/>
      <c r="N70" s="116"/>
      <c r="O70" s="116"/>
      <c r="P70" s="116"/>
      <c r="IA70" s="32"/>
      <c r="IB70" s="32"/>
      <c r="IC70" s="32"/>
    </row>
    <row r="71" spans="1:237" s="35" customFormat="1" x14ac:dyDescent="0.25">
      <c r="B71" s="96"/>
      <c r="C71" s="674" t="s">
        <v>678</v>
      </c>
      <c r="D71" s="115"/>
      <c r="E71" s="9"/>
      <c r="F71" s="96"/>
      <c r="G71" s="9"/>
      <c r="H71" s="96"/>
      <c r="I71" s="96"/>
      <c r="J71" s="96"/>
      <c r="K71" s="96"/>
      <c r="L71" s="116"/>
      <c r="M71" s="116"/>
      <c r="N71" s="116"/>
      <c r="O71" s="116"/>
      <c r="P71" s="116"/>
      <c r="IA71" s="32"/>
      <c r="IB71" s="32"/>
      <c r="IC71" s="32"/>
    </row>
    <row r="72" spans="1:237" s="325" customFormat="1" ht="15" x14ac:dyDescent="0.25">
      <c r="B72" s="326"/>
      <c r="C72" s="675"/>
      <c r="D72" s="35"/>
      <c r="E72" s="26"/>
      <c r="F72" s="327"/>
      <c r="G72" s="328"/>
      <c r="H72" s="328"/>
    </row>
    <row r="73" spans="1:237" s="325" customFormat="1" x14ac:dyDescent="0.25">
      <c r="B73" s="326"/>
      <c r="C73" s="673" t="s">
        <v>7</v>
      </c>
      <c r="D73" s="35"/>
      <c r="E73" s="26"/>
      <c r="F73" s="6"/>
      <c r="G73" s="5"/>
      <c r="H73" s="5"/>
    </row>
    <row r="74" spans="1:237" s="325" customFormat="1" x14ac:dyDescent="0.25">
      <c r="B74" s="1"/>
      <c r="C74" s="673" t="s">
        <v>681</v>
      </c>
      <c r="D74" s="35"/>
      <c r="E74" s="26"/>
      <c r="F74" s="6"/>
    </row>
    <row r="75" spans="1:237" s="6" customFormat="1" x14ac:dyDescent="0.25">
      <c r="B75" s="329"/>
      <c r="C75" s="326"/>
      <c r="D75" s="35"/>
      <c r="E75" s="26"/>
      <c r="F75" s="327"/>
      <c r="G75" s="328"/>
      <c r="H75" s="328"/>
    </row>
    <row r="76" spans="1:237" s="6" customFormat="1" ht="12.75" x14ac:dyDescent="0.2">
      <c r="B76" s="1"/>
      <c r="C76" s="781" t="s">
        <v>838</v>
      </c>
      <c r="D76" s="782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783"/>
      <c r="P76" s="783"/>
      <c r="Q76" s="783"/>
      <c r="R76" s="783"/>
    </row>
    <row r="77" spans="1:237" s="6" customFormat="1" x14ac:dyDescent="0.25">
      <c r="B77" s="326"/>
      <c r="C77" s="784" t="s">
        <v>839</v>
      </c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784"/>
      <c r="P77" s="784"/>
      <c r="Q77" s="784"/>
      <c r="R77" s="784"/>
    </row>
    <row r="78" spans="1:237" s="35" customFormat="1" x14ac:dyDescent="0.25">
      <c r="B78" s="326"/>
      <c r="C78" s="784"/>
      <c r="D78" s="784"/>
      <c r="E78" s="784"/>
      <c r="F78" s="784"/>
      <c r="G78" s="784"/>
      <c r="H78" s="784"/>
      <c r="I78" s="784"/>
      <c r="J78" s="784"/>
      <c r="K78" s="784"/>
      <c r="L78" s="784"/>
      <c r="M78" s="784"/>
      <c r="N78" s="784"/>
      <c r="O78" s="784"/>
      <c r="P78" s="784"/>
      <c r="Q78" s="784"/>
      <c r="R78" s="784"/>
      <c r="IA78" s="32"/>
      <c r="IB78" s="32"/>
      <c r="IC78" s="32"/>
    </row>
    <row r="79" spans="1:237" ht="25.5" customHeight="1" x14ac:dyDescent="0.25">
      <c r="B79" s="1"/>
      <c r="C79" s="784"/>
      <c r="D79" s="784"/>
      <c r="E79" s="784"/>
      <c r="F79" s="784"/>
      <c r="G79" s="784"/>
      <c r="H79" s="784"/>
      <c r="I79" s="784"/>
      <c r="J79" s="784"/>
      <c r="K79" s="784"/>
      <c r="L79" s="784"/>
      <c r="M79" s="784"/>
      <c r="N79" s="784"/>
      <c r="O79" s="784"/>
      <c r="P79" s="784"/>
      <c r="Q79" s="784"/>
      <c r="R79" s="784"/>
    </row>
  </sheetData>
  <sheetProtection selectLockedCells="1" selectUnlockedCells="1"/>
  <mergeCells count="10">
    <mergeCell ref="C77:R79"/>
    <mergeCell ref="A13:P13"/>
    <mergeCell ref="F9:K9"/>
    <mergeCell ref="L9:P9"/>
    <mergeCell ref="A1:E1"/>
    <mergeCell ref="A9:A10"/>
    <mergeCell ref="B9:B10"/>
    <mergeCell ref="C9:C10"/>
    <mergeCell ref="D9:D10"/>
    <mergeCell ref="E9:E10"/>
  </mergeCells>
  <pageMargins left="0.2361111111111111" right="0.2361111111111111" top="0.74791666666666667" bottom="0.74861111111111112" header="0.51180555555555551" footer="0.31527777777777777"/>
  <pageSetup paperSize="9" scale="93" firstPageNumber="0" fitToHeight="0" orientation="landscape" horizontalDpi="300" verticalDpi="300" r:id="rId1"/>
  <headerFooter alignWithMargins="0">
    <oddFooter>&amp;R&amp;P</oddFooter>
  </headerFooter>
  <rowBreaks count="2" manualBreakCount="2">
    <brk id="49" max="15" man="1"/>
    <brk id="6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A1:R102"/>
  <sheetViews>
    <sheetView view="pageBreakPreview" topLeftCell="A67" zoomScaleSheetLayoutView="100" workbookViewId="0">
      <selection activeCell="C99" sqref="C99:R102"/>
    </sheetView>
  </sheetViews>
  <sheetFormatPr defaultColWidth="8.5703125" defaultRowHeight="11.25" x14ac:dyDescent="0.25"/>
  <cols>
    <col min="1" max="1" width="3.85546875" style="377" customWidth="1"/>
    <col min="2" max="2" width="2.85546875" style="377" customWidth="1"/>
    <col min="3" max="3" width="55.28515625" style="377" customWidth="1"/>
    <col min="4" max="4" width="7.7109375" style="377" customWidth="1"/>
    <col min="5" max="5" width="5.42578125" style="377" customWidth="1"/>
    <col min="6" max="6" width="5.7109375" style="377" customWidth="1"/>
    <col min="7" max="7" width="5.42578125" style="377" customWidth="1"/>
    <col min="8" max="10" width="7.42578125" style="377" customWidth="1"/>
    <col min="11" max="11" width="5.85546875" style="377" customWidth="1"/>
    <col min="12" max="12" width="7.140625" style="377" customWidth="1"/>
    <col min="13" max="13" width="7" style="377" customWidth="1"/>
    <col min="14" max="14" width="8.42578125" style="377" customWidth="1"/>
    <col min="15" max="15" width="7.85546875" style="377" customWidth="1"/>
    <col min="16" max="16" width="7" style="377" customWidth="1"/>
    <col min="17" max="17" width="8.7109375" style="377" customWidth="1"/>
    <col min="18" max="16384" width="8.5703125" style="377"/>
  </cols>
  <sheetData>
    <row r="1" spans="1:17" ht="12" thickBot="1" x14ac:dyDescent="0.3">
      <c r="A1" s="560"/>
      <c r="B1" s="560"/>
      <c r="C1" s="560"/>
      <c r="D1" s="560"/>
      <c r="E1" s="560"/>
      <c r="F1" s="560"/>
      <c r="G1" s="561" t="s">
        <v>27</v>
      </c>
      <c r="H1" s="562">
        <f>[1]KPDV!A22</f>
        <v>10</v>
      </c>
      <c r="I1" s="560"/>
      <c r="J1" s="560"/>
      <c r="K1" s="560"/>
      <c r="L1" s="560"/>
      <c r="M1" s="560"/>
    </row>
    <row r="2" spans="1:17" x14ac:dyDescent="0.25">
      <c r="A2" s="560"/>
      <c r="B2" s="560"/>
      <c r="C2" s="560" t="s">
        <v>453</v>
      </c>
      <c r="D2" s="560"/>
      <c r="E2" s="560"/>
      <c r="F2" s="560"/>
      <c r="G2" s="561"/>
      <c r="H2" s="563"/>
      <c r="I2" s="560"/>
      <c r="J2" s="560"/>
      <c r="K2" s="560"/>
      <c r="L2" s="560"/>
      <c r="M2" s="560"/>
    </row>
    <row r="3" spans="1:17" x14ac:dyDescent="0.25">
      <c r="A3" s="377" t="str">
        <f>obj</f>
        <v>Objekta nosaukums: Dzīvojamās ēkas fasādes vienkāršota atjaunošana</v>
      </c>
      <c r="B3" s="560"/>
    </row>
    <row r="4" spans="1:17" x14ac:dyDescent="0.25">
      <c r="A4" s="380" t="str">
        <f>nos</f>
        <v>Būves nosaukums: Daudzdzīvokļu dzīvojamā ēka</v>
      </c>
      <c r="B4" s="560"/>
    </row>
    <row r="5" spans="1:17" x14ac:dyDescent="0.25">
      <c r="A5" s="377" t="str">
        <f>adres</f>
        <v>Objekta adrese: Mirdzas Ķempes iela 22, Liepāja</v>
      </c>
      <c r="B5" s="560"/>
    </row>
    <row r="6" spans="1:17" ht="12" thickBot="1" x14ac:dyDescent="0.3">
      <c r="A6" s="377" t="str">
        <f>Nr.</f>
        <v>Pasūtījuma Nr.WS-77-16</v>
      </c>
      <c r="B6" s="560"/>
    </row>
    <row r="7" spans="1:17" s="453" customFormat="1" ht="12" thickBot="1" x14ac:dyDescent="0.3">
      <c r="A7" s="381"/>
      <c r="B7" s="373"/>
      <c r="C7" s="564" t="s">
        <v>689</v>
      </c>
      <c r="D7" s="381"/>
      <c r="E7" s="382" t="s">
        <v>454</v>
      </c>
      <c r="F7" s="373" t="s">
        <v>30</v>
      </c>
      <c r="G7" s="373"/>
      <c r="H7" s="373"/>
      <c r="I7" s="373"/>
      <c r="J7" s="373"/>
      <c r="K7" s="373"/>
      <c r="L7" s="373"/>
      <c r="M7" s="373"/>
      <c r="N7" s="373"/>
      <c r="O7" s="373"/>
      <c r="P7" s="383" t="s">
        <v>31</v>
      </c>
      <c r="Q7" s="565">
        <f>Q91</f>
        <v>0</v>
      </c>
    </row>
    <row r="8" spans="1:17" x14ac:dyDescent="0.25">
      <c r="A8" s="381"/>
      <c r="B8" s="381"/>
      <c r="C8" s="419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566"/>
      <c r="P8" s="567" t="str">
        <f>KPDV!C33</f>
        <v>Tāme sastādīta</v>
      </c>
      <c r="Q8" s="560"/>
    </row>
    <row r="9" spans="1:17" ht="10.15" customHeight="1" x14ac:dyDescent="0.25">
      <c r="A9" s="770" t="s">
        <v>1</v>
      </c>
      <c r="B9" s="770" t="s">
        <v>32</v>
      </c>
      <c r="C9" s="568" t="s">
        <v>455</v>
      </c>
      <c r="D9" s="771" t="s">
        <v>456</v>
      </c>
      <c r="E9" s="773" t="s">
        <v>34</v>
      </c>
      <c r="F9" s="774" t="s">
        <v>457</v>
      </c>
      <c r="G9" s="765" t="s">
        <v>36</v>
      </c>
      <c r="H9" s="765"/>
      <c r="I9" s="765"/>
      <c r="J9" s="765"/>
      <c r="K9" s="765"/>
      <c r="L9" s="765"/>
      <c r="M9" s="765" t="s">
        <v>37</v>
      </c>
      <c r="N9" s="765"/>
      <c r="O9" s="765"/>
      <c r="P9" s="765"/>
      <c r="Q9" s="765"/>
    </row>
    <row r="10" spans="1:17" ht="62.25" x14ac:dyDescent="0.25">
      <c r="A10" s="770"/>
      <c r="B10" s="770"/>
      <c r="C10" s="570"/>
      <c r="D10" s="772"/>
      <c r="E10" s="773"/>
      <c r="F10" s="774"/>
      <c r="G10" s="392" t="s">
        <v>38</v>
      </c>
      <c r="H10" s="392" t="s">
        <v>663</v>
      </c>
      <c r="I10" s="392" t="s">
        <v>20</v>
      </c>
      <c r="J10" s="392" t="s">
        <v>657</v>
      </c>
      <c r="K10" s="392" t="s">
        <v>21</v>
      </c>
      <c r="L10" s="392" t="s">
        <v>658</v>
      </c>
      <c r="M10" s="392" t="s">
        <v>39</v>
      </c>
      <c r="N10" s="392" t="s">
        <v>20</v>
      </c>
      <c r="O10" s="392" t="s">
        <v>657</v>
      </c>
      <c r="P10" s="392" t="s">
        <v>21</v>
      </c>
      <c r="Q10" s="392" t="s">
        <v>659</v>
      </c>
    </row>
    <row r="11" spans="1:17" x14ac:dyDescent="0.25">
      <c r="A11" s="571">
        <v>1</v>
      </c>
      <c r="B11" s="571">
        <f>A11+1</f>
        <v>2</v>
      </c>
      <c r="C11" s="766">
        <f>B11+1</f>
        <v>3</v>
      </c>
      <c r="D11" s="767"/>
      <c r="E11" s="571">
        <f>C11+1</f>
        <v>4</v>
      </c>
      <c r="F11" s="571">
        <f t="shared" ref="F11:Q11" si="0">E11+1</f>
        <v>5</v>
      </c>
      <c r="G11" s="572">
        <f t="shared" si="0"/>
        <v>6</v>
      </c>
      <c r="H11" s="572">
        <f t="shared" si="0"/>
        <v>7</v>
      </c>
      <c r="I11" s="572">
        <f t="shared" si="0"/>
        <v>8</v>
      </c>
      <c r="J11" s="572">
        <f t="shared" si="0"/>
        <v>9</v>
      </c>
      <c r="K11" s="572">
        <f t="shared" si="0"/>
        <v>10</v>
      </c>
      <c r="L11" s="572">
        <f t="shared" si="0"/>
        <v>11</v>
      </c>
      <c r="M11" s="572">
        <f t="shared" si="0"/>
        <v>12</v>
      </c>
      <c r="N11" s="572">
        <f t="shared" si="0"/>
        <v>13</v>
      </c>
      <c r="O11" s="572">
        <f t="shared" si="0"/>
        <v>14</v>
      </c>
      <c r="P11" s="572">
        <f t="shared" si="0"/>
        <v>15</v>
      </c>
      <c r="Q11" s="572">
        <f t="shared" si="0"/>
        <v>16</v>
      </c>
    </row>
    <row r="12" spans="1:17" x14ac:dyDescent="0.25">
      <c r="A12" s="573" t="str">
        <f>IF(COUNTBLANK(K12)=1," ",COUNTA($K$12:K12))</f>
        <v xml:space="preserve"> </v>
      </c>
      <c r="B12" s="571"/>
      <c r="C12" s="574" t="s">
        <v>458</v>
      </c>
      <c r="D12" s="575"/>
      <c r="E12" s="576"/>
      <c r="F12" s="576"/>
      <c r="G12" s="571"/>
      <c r="H12" s="577"/>
      <c r="I12" s="578"/>
      <c r="J12" s="571"/>
      <c r="K12" s="579"/>
      <c r="L12" s="578"/>
      <c r="M12" s="578"/>
      <c r="N12" s="578"/>
      <c r="O12" s="578"/>
      <c r="P12" s="578"/>
      <c r="Q12" s="578"/>
    </row>
    <row r="13" spans="1:17" s="588" customFormat="1" ht="33.75" x14ac:dyDescent="0.25">
      <c r="A13" s="573" t="str">
        <f>IF(COUNTBLANK(K13)=1," ",COUNTA($K$12:K13))</f>
        <v xml:space="preserve"> </v>
      </c>
      <c r="B13" s="580"/>
      <c r="C13" s="581" t="s">
        <v>827</v>
      </c>
      <c r="D13" s="582" t="s">
        <v>459</v>
      </c>
      <c r="E13" s="583" t="s">
        <v>194</v>
      </c>
      <c r="F13" s="583">
        <v>1</v>
      </c>
      <c r="G13" s="584"/>
      <c r="H13" s="585"/>
      <c r="I13" s="586"/>
      <c r="J13" s="584"/>
      <c r="K13" s="587"/>
      <c r="L13" s="586"/>
      <c r="M13" s="586"/>
      <c r="N13" s="586"/>
      <c r="O13" s="586"/>
      <c r="P13" s="586"/>
      <c r="Q13" s="586"/>
    </row>
    <row r="14" spans="1:17" s="588" customFormat="1" ht="22.5" x14ac:dyDescent="0.25">
      <c r="A14" s="573" t="str">
        <f>IF(COUNTBLANK(K14)=1," ",COUNTA($K$12:K14))</f>
        <v xml:space="preserve"> </v>
      </c>
      <c r="B14" s="580"/>
      <c r="C14" s="589" t="s">
        <v>460</v>
      </c>
      <c r="D14" s="590" t="s">
        <v>461</v>
      </c>
      <c r="E14" s="569" t="s">
        <v>194</v>
      </c>
      <c r="F14" s="569">
        <v>2</v>
      </c>
      <c r="G14" s="585"/>
      <c r="H14" s="585"/>
      <c r="I14" s="591"/>
      <c r="J14" s="585"/>
      <c r="K14" s="592"/>
      <c r="L14" s="591"/>
      <c r="M14" s="591"/>
      <c r="N14" s="591"/>
      <c r="O14" s="591"/>
      <c r="P14" s="591"/>
      <c r="Q14" s="591"/>
    </row>
    <row r="15" spans="1:17" s="588" customFormat="1" x14ac:dyDescent="0.25">
      <c r="A15" s="573" t="str">
        <f>IF(COUNTBLANK(K15)=1," ",COUNTA($K$12:K15))</f>
        <v xml:space="preserve"> </v>
      </c>
      <c r="B15" s="580"/>
      <c r="C15" s="589" t="s">
        <v>462</v>
      </c>
      <c r="D15" s="590" t="s">
        <v>463</v>
      </c>
      <c r="E15" s="569" t="s">
        <v>194</v>
      </c>
      <c r="F15" s="569">
        <v>2</v>
      </c>
      <c r="G15" s="591"/>
      <c r="H15" s="585"/>
      <c r="I15" s="591"/>
      <c r="J15" s="591"/>
      <c r="K15" s="592"/>
      <c r="L15" s="591"/>
      <c r="M15" s="591"/>
      <c r="N15" s="591"/>
      <c r="O15" s="591"/>
      <c r="P15" s="591"/>
      <c r="Q15" s="591"/>
    </row>
    <row r="16" spans="1:17" s="588" customFormat="1" ht="10.15" customHeight="1" x14ac:dyDescent="0.25">
      <c r="A16" s="573" t="str">
        <f>IF(COUNTBLANK(K16)=1," ",COUNTA($K$12:K16))</f>
        <v xml:space="preserve"> </v>
      </c>
      <c r="B16" s="580"/>
      <c r="C16" s="589" t="s">
        <v>464</v>
      </c>
      <c r="D16" s="590" t="s">
        <v>463</v>
      </c>
      <c r="E16" s="569" t="s">
        <v>194</v>
      </c>
      <c r="F16" s="569">
        <v>3</v>
      </c>
      <c r="G16" s="585"/>
      <c r="H16" s="585"/>
      <c r="I16" s="591"/>
      <c r="J16" s="585"/>
      <c r="K16" s="592"/>
      <c r="L16" s="591"/>
      <c r="M16" s="591"/>
      <c r="N16" s="591"/>
      <c r="O16" s="591"/>
      <c r="P16" s="591"/>
      <c r="Q16" s="591"/>
    </row>
    <row r="17" spans="1:17" s="588" customFormat="1" x14ac:dyDescent="0.25">
      <c r="A17" s="573" t="str">
        <f>IF(COUNTBLANK(K17)=1," ",COUNTA($K$12:K17))</f>
        <v xml:space="preserve"> </v>
      </c>
      <c r="B17" s="580"/>
      <c r="C17" s="589" t="s">
        <v>465</v>
      </c>
      <c r="D17" s="590" t="s">
        <v>466</v>
      </c>
      <c r="E17" s="569" t="s">
        <v>194</v>
      </c>
      <c r="F17" s="569">
        <v>1</v>
      </c>
      <c r="G17" s="585"/>
      <c r="H17" s="585"/>
      <c r="I17" s="591"/>
      <c r="J17" s="585"/>
      <c r="K17" s="592"/>
      <c r="L17" s="591"/>
      <c r="M17" s="591"/>
      <c r="N17" s="591"/>
      <c r="O17" s="591"/>
      <c r="P17" s="591"/>
      <c r="Q17" s="591"/>
    </row>
    <row r="18" spans="1:17" s="594" customFormat="1" x14ac:dyDescent="0.25">
      <c r="A18" s="573" t="str">
        <f>IF(COUNTBLANK(K18)=1," ",COUNTA($K$12:K18))</f>
        <v xml:space="preserve"> </v>
      </c>
      <c r="B18" s="593"/>
      <c r="C18" s="589" t="s">
        <v>467</v>
      </c>
      <c r="D18" s="590" t="s">
        <v>463</v>
      </c>
      <c r="E18" s="569" t="s">
        <v>194</v>
      </c>
      <c r="F18" s="569">
        <v>1</v>
      </c>
      <c r="G18" s="585"/>
      <c r="H18" s="585"/>
      <c r="I18" s="591"/>
      <c r="J18" s="585"/>
      <c r="K18" s="592"/>
      <c r="L18" s="591"/>
      <c r="M18" s="591"/>
      <c r="N18" s="591"/>
      <c r="O18" s="591"/>
      <c r="P18" s="591"/>
      <c r="Q18" s="591"/>
    </row>
    <row r="19" spans="1:17" s="594" customFormat="1" x14ac:dyDescent="0.25">
      <c r="A19" s="573" t="str">
        <f>IF(COUNTBLANK(K19)=1," ",COUNTA($K$12:K19))</f>
        <v xml:space="preserve"> </v>
      </c>
      <c r="B19" s="593"/>
      <c r="C19" s="589" t="s">
        <v>468</v>
      </c>
      <c r="D19" s="590" t="s">
        <v>463</v>
      </c>
      <c r="E19" s="569" t="s">
        <v>194</v>
      </c>
      <c r="F19" s="569">
        <v>1</v>
      </c>
      <c r="G19" s="585"/>
      <c r="H19" s="585"/>
      <c r="I19" s="591"/>
      <c r="J19" s="585"/>
      <c r="K19" s="592"/>
      <c r="L19" s="591"/>
      <c r="M19" s="591"/>
      <c r="N19" s="591"/>
      <c r="O19" s="591"/>
      <c r="P19" s="591"/>
      <c r="Q19" s="591"/>
    </row>
    <row r="20" spans="1:17" s="594" customFormat="1" ht="22.5" x14ac:dyDescent="0.25">
      <c r="A20" s="573" t="str">
        <f>IF(COUNTBLANK(K20)=1," ",COUNTA($K$12:K20))</f>
        <v xml:space="preserve"> </v>
      </c>
      <c r="B20" s="593"/>
      <c r="C20" s="595" t="s">
        <v>828</v>
      </c>
      <c r="D20" s="596" t="s">
        <v>469</v>
      </c>
      <c r="E20" s="597" t="s">
        <v>470</v>
      </c>
      <c r="F20" s="597">
        <v>1</v>
      </c>
      <c r="G20" s="598"/>
      <c r="H20" s="585"/>
      <c r="I20" s="599"/>
      <c r="J20" s="598"/>
      <c r="K20" s="600"/>
      <c r="L20" s="599"/>
      <c r="M20" s="599"/>
      <c r="N20" s="599"/>
      <c r="O20" s="599"/>
      <c r="P20" s="599"/>
      <c r="Q20" s="599"/>
    </row>
    <row r="21" spans="1:17" s="594" customFormat="1" x14ac:dyDescent="0.25">
      <c r="A21" s="573" t="str">
        <f>IF(COUNTBLANK(K21)=1," ",COUNTA($K$12:K21))</f>
        <v xml:space="preserve"> </v>
      </c>
      <c r="B21" s="593"/>
      <c r="C21" s="595" t="s">
        <v>471</v>
      </c>
      <c r="D21" s="596"/>
      <c r="E21" s="597" t="s">
        <v>470</v>
      </c>
      <c r="F21" s="597">
        <v>1</v>
      </c>
      <c r="G21" s="591"/>
      <c r="H21" s="585"/>
      <c r="I21" s="591"/>
      <c r="J21" s="591"/>
      <c r="K21" s="592"/>
      <c r="L21" s="591"/>
      <c r="M21" s="591"/>
      <c r="N21" s="591"/>
      <c r="O21" s="591"/>
      <c r="P21" s="591"/>
      <c r="Q21" s="591"/>
    </row>
    <row r="22" spans="1:17" s="594" customFormat="1" ht="10.15" customHeight="1" x14ac:dyDescent="0.25">
      <c r="A22" s="573" t="str">
        <f>IF(COUNTBLANK(K22)=1," ",COUNTA($K$12:K22))</f>
        <v xml:space="preserve"> </v>
      </c>
      <c r="B22" s="593"/>
      <c r="C22" s="601" t="s">
        <v>472</v>
      </c>
      <c r="D22" s="602"/>
      <c r="E22" s="602"/>
      <c r="F22" s="602"/>
      <c r="G22" s="577"/>
      <c r="H22" s="577"/>
      <c r="I22" s="578"/>
      <c r="J22" s="577"/>
      <c r="K22" s="579"/>
      <c r="L22" s="578"/>
      <c r="M22" s="578"/>
      <c r="N22" s="578"/>
      <c r="O22" s="578"/>
      <c r="P22" s="578"/>
      <c r="Q22" s="578"/>
    </row>
    <row r="23" spans="1:17" s="594" customFormat="1" x14ac:dyDescent="0.25">
      <c r="A23" s="573" t="str">
        <f>IF(COUNTBLANK(K23)=1," ",COUNTA($K$12:K23))</f>
        <v xml:space="preserve"> </v>
      </c>
      <c r="B23" s="593"/>
      <c r="C23" s="603" t="s">
        <v>473</v>
      </c>
      <c r="D23" s="604" t="s">
        <v>474</v>
      </c>
      <c r="E23" s="583" t="s">
        <v>42</v>
      </c>
      <c r="F23" s="605">
        <v>700</v>
      </c>
      <c r="G23" s="586"/>
      <c r="H23" s="584"/>
      <c r="I23" s="586"/>
      <c r="J23" s="586"/>
      <c r="K23" s="587"/>
      <c r="L23" s="586"/>
      <c r="M23" s="591"/>
      <c r="N23" s="591"/>
      <c r="O23" s="591"/>
      <c r="P23" s="591"/>
      <c r="Q23" s="591"/>
    </row>
    <row r="24" spans="1:17" s="594" customFormat="1" ht="22.5" x14ac:dyDescent="0.25">
      <c r="A24" s="573" t="str">
        <f>IF(COUNTBLANK(K24)=1," ",COUNTA($K$12:K24))</f>
        <v xml:space="preserve"> </v>
      </c>
      <c r="B24" s="593"/>
      <c r="C24" s="606" t="s">
        <v>475</v>
      </c>
      <c r="D24" s="607" t="s">
        <v>476</v>
      </c>
      <c r="E24" s="608" t="s">
        <v>470</v>
      </c>
      <c r="F24" s="597">
        <v>1</v>
      </c>
      <c r="G24" s="585"/>
      <c r="H24" s="584"/>
      <c r="I24" s="591"/>
      <c r="J24" s="585"/>
      <c r="K24" s="592"/>
      <c r="L24" s="591"/>
      <c r="M24" s="591"/>
      <c r="N24" s="591"/>
      <c r="O24" s="591"/>
      <c r="P24" s="591"/>
      <c r="Q24" s="591"/>
    </row>
    <row r="25" spans="1:17" s="594" customFormat="1" ht="22.5" x14ac:dyDescent="0.25">
      <c r="A25" s="573" t="str">
        <f>IF(COUNTBLANK(K25)=1," ",COUNTA($K$12:K25))</f>
        <v xml:space="preserve"> </v>
      </c>
      <c r="B25" s="593"/>
      <c r="C25" s="609" t="s">
        <v>477</v>
      </c>
      <c r="D25" s="610" t="s">
        <v>478</v>
      </c>
      <c r="E25" s="569" t="s">
        <v>42</v>
      </c>
      <c r="F25" s="569">
        <v>140</v>
      </c>
      <c r="G25" s="585"/>
      <c r="H25" s="584"/>
      <c r="I25" s="591"/>
      <c r="J25" s="591"/>
      <c r="K25" s="592"/>
      <c r="L25" s="591"/>
      <c r="M25" s="591"/>
      <c r="N25" s="591"/>
      <c r="O25" s="591"/>
      <c r="P25" s="591"/>
      <c r="Q25" s="591"/>
    </row>
    <row r="26" spans="1:17" s="594" customFormat="1" ht="22.5" x14ac:dyDescent="0.25">
      <c r="A26" s="573" t="str">
        <f>IF(COUNTBLANK(K26)=1," ",COUNTA($K$12:K26))</f>
        <v xml:space="preserve"> </v>
      </c>
      <c r="B26" s="593"/>
      <c r="C26" s="768" t="s">
        <v>714</v>
      </c>
      <c r="D26" s="590" t="s">
        <v>479</v>
      </c>
      <c r="E26" s="569" t="s">
        <v>42</v>
      </c>
      <c r="F26" s="569">
        <v>100</v>
      </c>
      <c r="G26" s="585"/>
      <c r="H26" s="585"/>
      <c r="I26" s="591"/>
      <c r="J26" s="585"/>
      <c r="K26" s="592"/>
      <c r="L26" s="591"/>
      <c r="M26" s="591"/>
      <c r="N26" s="591"/>
      <c r="O26" s="591"/>
      <c r="P26" s="591"/>
      <c r="Q26" s="591"/>
    </row>
    <row r="27" spans="1:17" s="594" customFormat="1" ht="22.5" x14ac:dyDescent="0.25">
      <c r="A27" s="573" t="str">
        <f>IF(COUNTBLANK(K27)=1," ",COUNTA($K$12:K27))</f>
        <v xml:space="preserve"> </v>
      </c>
      <c r="B27" s="593"/>
      <c r="C27" s="768"/>
      <c r="D27" s="590" t="s">
        <v>480</v>
      </c>
      <c r="E27" s="569" t="s">
        <v>42</v>
      </c>
      <c r="F27" s="569">
        <v>45</v>
      </c>
      <c r="G27" s="585"/>
      <c r="H27" s="585"/>
      <c r="I27" s="591"/>
      <c r="J27" s="585"/>
      <c r="K27" s="592"/>
      <c r="L27" s="591"/>
      <c r="M27" s="591"/>
      <c r="N27" s="591"/>
      <c r="O27" s="591"/>
      <c r="P27" s="591"/>
      <c r="Q27" s="591"/>
    </row>
    <row r="28" spans="1:17" s="594" customFormat="1" ht="21.75" customHeight="1" x14ac:dyDescent="0.25">
      <c r="A28" s="573" t="str">
        <f>IF(COUNTBLANK(K28)=1," ",COUNTA($K$12:K28))</f>
        <v xml:space="preserve"> </v>
      </c>
      <c r="B28" s="593"/>
      <c r="C28" s="768"/>
      <c r="D28" s="590" t="s">
        <v>481</v>
      </c>
      <c r="E28" s="569" t="s">
        <v>42</v>
      </c>
      <c r="F28" s="569">
        <v>160</v>
      </c>
      <c r="G28" s="585"/>
      <c r="H28" s="585"/>
      <c r="I28" s="591"/>
      <c r="J28" s="585"/>
      <c r="K28" s="592"/>
      <c r="L28" s="591"/>
      <c r="M28" s="591"/>
      <c r="N28" s="591"/>
      <c r="O28" s="591"/>
      <c r="P28" s="591"/>
      <c r="Q28" s="591"/>
    </row>
    <row r="29" spans="1:17" ht="22.5" x14ac:dyDescent="0.25">
      <c r="A29" s="573" t="str">
        <f>IF(COUNTBLANK(K29)=1," ",COUNTA($K$12:K29))</f>
        <v xml:space="preserve"> </v>
      </c>
      <c r="B29" s="593"/>
      <c r="C29" s="768"/>
      <c r="D29" s="590" t="s">
        <v>482</v>
      </c>
      <c r="E29" s="569" t="s">
        <v>42</v>
      </c>
      <c r="F29" s="569">
        <v>486</v>
      </c>
      <c r="G29" s="585"/>
      <c r="H29" s="585"/>
      <c r="I29" s="591"/>
      <c r="J29" s="585"/>
      <c r="K29" s="592"/>
      <c r="L29" s="591"/>
      <c r="M29" s="591"/>
      <c r="N29" s="591"/>
      <c r="O29" s="591"/>
      <c r="P29" s="591"/>
      <c r="Q29" s="591"/>
    </row>
    <row r="30" spans="1:17" ht="22.5" x14ac:dyDescent="0.25">
      <c r="A30" s="573" t="str">
        <f>IF(COUNTBLANK(K30)=1," ",COUNTA($K$12:K30))</f>
        <v xml:space="preserve"> </v>
      </c>
      <c r="B30" s="593"/>
      <c r="C30" s="768"/>
      <c r="D30" s="590" t="s">
        <v>483</v>
      </c>
      <c r="E30" s="569" t="s">
        <v>42</v>
      </c>
      <c r="F30" s="569">
        <v>112</v>
      </c>
      <c r="G30" s="585"/>
      <c r="H30" s="585"/>
      <c r="I30" s="591"/>
      <c r="J30" s="585"/>
      <c r="K30" s="592"/>
      <c r="L30" s="591"/>
      <c r="M30" s="591"/>
      <c r="N30" s="591"/>
      <c r="O30" s="591"/>
      <c r="P30" s="591"/>
      <c r="Q30" s="591"/>
    </row>
    <row r="31" spans="1:17" ht="22.5" x14ac:dyDescent="0.25">
      <c r="A31" s="573" t="str">
        <f>IF(COUNTBLANK(K31)=1," ",COUNTA($K$12:K31))</f>
        <v xml:space="preserve"> </v>
      </c>
      <c r="B31" s="593"/>
      <c r="C31" s="769" t="s">
        <v>829</v>
      </c>
      <c r="D31" s="610" t="s">
        <v>484</v>
      </c>
      <c r="E31" s="569" t="s">
        <v>42</v>
      </c>
      <c r="F31" s="569">
        <v>69</v>
      </c>
      <c r="G31" s="585"/>
      <c r="H31" s="585"/>
      <c r="I31" s="591"/>
      <c r="J31" s="585"/>
      <c r="K31" s="592"/>
      <c r="L31" s="591"/>
      <c r="M31" s="591"/>
      <c r="N31" s="591"/>
      <c r="O31" s="591"/>
      <c r="P31" s="591"/>
      <c r="Q31" s="591"/>
    </row>
    <row r="32" spans="1:17" ht="22.5" x14ac:dyDescent="0.25">
      <c r="A32" s="573" t="str">
        <f>IF(COUNTBLANK(K32)=1," ",COUNTA($K$12:K32))</f>
        <v xml:space="preserve"> </v>
      </c>
      <c r="B32" s="593"/>
      <c r="C32" s="769"/>
      <c r="D32" s="610" t="s">
        <v>485</v>
      </c>
      <c r="E32" s="569" t="s">
        <v>42</v>
      </c>
      <c r="F32" s="569">
        <v>10</v>
      </c>
      <c r="G32" s="585"/>
      <c r="H32" s="585"/>
      <c r="I32" s="591"/>
      <c r="J32" s="585"/>
      <c r="K32" s="592"/>
      <c r="L32" s="591"/>
      <c r="M32" s="591"/>
      <c r="N32" s="591"/>
      <c r="O32" s="591"/>
      <c r="P32" s="591"/>
      <c r="Q32" s="591"/>
    </row>
    <row r="33" spans="1:17" ht="22.5" x14ac:dyDescent="0.25">
      <c r="A33" s="573" t="str">
        <f>IF(COUNTBLANK(K33)=1," ",COUNTA($K$12:K33))</f>
        <v xml:space="preserve"> </v>
      </c>
      <c r="B33" s="593"/>
      <c r="C33" s="769"/>
      <c r="D33" s="610" t="s">
        <v>486</v>
      </c>
      <c r="E33" s="569" t="s">
        <v>42</v>
      </c>
      <c r="F33" s="569">
        <v>80</v>
      </c>
      <c r="G33" s="585"/>
      <c r="H33" s="585"/>
      <c r="I33" s="591"/>
      <c r="J33" s="585"/>
      <c r="K33" s="592"/>
      <c r="L33" s="591"/>
      <c r="M33" s="591"/>
      <c r="N33" s="591"/>
      <c r="O33" s="591"/>
      <c r="P33" s="591"/>
      <c r="Q33" s="591"/>
    </row>
    <row r="34" spans="1:17" ht="22.5" x14ac:dyDescent="0.25">
      <c r="A34" s="573" t="str">
        <f>IF(COUNTBLANK(K34)=1," ",COUNTA($K$12:K34))</f>
        <v xml:space="preserve"> </v>
      </c>
      <c r="B34" s="593"/>
      <c r="C34" s="769"/>
      <c r="D34" s="610" t="s">
        <v>487</v>
      </c>
      <c r="E34" s="569" t="s">
        <v>42</v>
      </c>
      <c r="F34" s="569">
        <v>243</v>
      </c>
      <c r="G34" s="585"/>
      <c r="H34" s="585"/>
      <c r="I34" s="591"/>
      <c r="J34" s="585"/>
      <c r="K34" s="592"/>
      <c r="L34" s="591"/>
      <c r="M34" s="591"/>
      <c r="N34" s="591"/>
      <c r="O34" s="591"/>
      <c r="P34" s="591"/>
      <c r="Q34" s="591"/>
    </row>
    <row r="35" spans="1:17" ht="22.5" x14ac:dyDescent="0.25">
      <c r="A35" s="573" t="str">
        <f>IF(COUNTBLANK(K35)=1," ",COUNTA($K$12:K35))</f>
        <v xml:space="preserve"> </v>
      </c>
      <c r="B35" s="593"/>
      <c r="C35" s="769"/>
      <c r="D35" s="612" t="s">
        <v>488</v>
      </c>
      <c r="E35" s="569" t="s">
        <v>42</v>
      </c>
      <c r="F35" s="569">
        <v>56</v>
      </c>
      <c r="G35" s="585"/>
      <c r="H35" s="585"/>
      <c r="I35" s="591"/>
      <c r="J35" s="585"/>
      <c r="K35" s="592"/>
      <c r="L35" s="591"/>
      <c r="M35" s="591"/>
      <c r="N35" s="591"/>
      <c r="O35" s="591"/>
      <c r="P35" s="591"/>
      <c r="Q35" s="591"/>
    </row>
    <row r="36" spans="1:17" x14ac:dyDescent="0.25">
      <c r="A36" s="573" t="str">
        <f>IF(COUNTBLANK(K36)=1," ",COUNTA($K$12:K36))</f>
        <v xml:space="preserve"> </v>
      </c>
      <c r="B36" s="593"/>
      <c r="C36" s="760" t="s">
        <v>489</v>
      </c>
      <c r="D36" s="613" t="s">
        <v>490</v>
      </c>
      <c r="E36" s="569" t="s">
        <v>194</v>
      </c>
      <c r="F36" s="569">
        <v>3</v>
      </c>
      <c r="G36" s="585"/>
      <c r="H36" s="585"/>
      <c r="I36" s="591"/>
      <c r="J36" s="585"/>
      <c r="K36" s="592"/>
      <c r="L36" s="591"/>
      <c r="M36" s="591"/>
      <c r="N36" s="591"/>
      <c r="O36" s="591"/>
      <c r="P36" s="591"/>
      <c r="Q36" s="591"/>
    </row>
    <row r="37" spans="1:17" s="588" customFormat="1" x14ac:dyDescent="0.25">
      <c r="A37" s="573" t="str">
        <f>IF(COUNTBLANK(K37)=1," ",COUNTA($K$12:K37))</f>
        <v xml:space="preserve"> </v>
      </c>
      <c r="B37" s="593"/>
      <c r="C37" s="761"/>
      <c r="D37" s="613" t="s">
        <v>491</v>
      </c>
      <c r="E37" s="569" t="s">
        <v>194</v>
      </c>
      <c r="F37" s="569">
        <v>1</v>
      </c>
      <c r="G37" s="585"/>
      <c r="H37" s="585"/>
      <c r="I37" s="591"/>
      <c r="J37" s="585"/>
      <c r="K37" s="592"/>
      <c r="L37" s="591"/>
      <c r="M37" s="591"/>
      <c r="N37" s="591"/>
      <c r="O37" s="591"/>
      <c r="P37" s="591"/>
      <c r="Q37" s="591"/>
    </row>
    <row r="38" spans="1:17" s="588" customFormat="1" x14ac:dyDescent="0.25">
      <c r="A38" s="573" t="str">
        <f>IF(COUNTBLANK(K38)=1," ",COUNTA($K$12:K38))</f>
        <v xml:space="preserve"> </v>
      </c>
      <c r="B38" s="593"/>
      <c r="C38" s="762"/>
      <c r="D38" s="613" t="s">
        <v>492</v>
      </c>
      <c r="E38" s="569" t="s">
        <v>194</v>
      </c>
      <c r="F38" s="569">
        <v>2</v>
      </c>
      <c r="G38" s="585"/>
      <c r="H38" s="585"/>
      <c r="I38" s="591"/>
      <c r="J38" s="585"/>
      <c r="K38" s="592"/>
      <c r="L38" s="591"/>
      <c r="M38" s="591"/>
      <c r="N38" s="591"/>
      <c r="O38" s="591"/>
      <c r="P38" s="591"/>
      <c r="Q38" s="591"/>
    </row>
    <row r="39" spans="1:17" s="588" customFormat="1" ht="22.5" customHeight="1" x14ac:dyDescent="0.25">
      <c r="A39" s="573" t="str">
        <f>IF(COUNTBLANK(K39)=1," ",COUNTA($K$12:K39))</f>
        <v xml:space="preserve"> </v>
      </c>
      <c r="B39" s="593"/>
      <c r="C39" s="768" t="s">
        <v>830</v>
      </c>
      <c r="D39" s="610" t="s">
        <v>493</v>
      </c>
      <c r="E39" s="569" t="s">
        <v>42</v>
      </c>
      <c r="F39" s="569">
        <v>31</v>
      </c>
      <c r="G39" s="585"/>
      <c r="H39" s="585"/>
      <c r="I39" s="591"/>
      <c r="J39" s="591"/>
      <c r="K39" s="592"/>
      <c r="L39" s="591"/>
      <c r="M39" s="591"/>
      <c r="N39" s="591"/>
      <c r="O39" s="591"/>
      <c r="P39" s="591"/>
      <c r="Q39" s="591"/>
    </row>
    <row r="40" spans="1:17" s="588" customFormat="1" ht="22.5" x14ac:dyDescent="0.25">
      <c r="A40" s="573" t="str">
        <f>IF(COUNTBLANK(K40)=1," ",COUNTA($K$12:K40))</f>
        <v xml:space="preserve"> </v>
      </c>
      <c r="B40" s="593"/>
      <c r="C40" s="768"/>
      <c r="D40" s="610" t="s">
        <v>494</v>
      </c>
      <c r="E40" s="569" t="s">
        <v>42</v>
      </c>
      <c r="F40" s="569">
        <v>35</v>
      </c>
      <c r="G40" s="585"/>
      <c r="H40" s="585"/>
      <c r="I40" s="591"/>
      <c r="J40" s="585"/>
      <c r="K40" s="592"/>
      <c r="L40" s="591"/>
      <c r="M40" s="591"/>
      <c r="N40" s="591"/>
      <c r="O40" s="591"/>
      <c r="P40" s="591"/>
      <c r="Q40" s="591"/>
    </row>
    <row r="41" spans="1:17" s="594" customFormat="1" ht="10.15" customHeight="1" x14ac:dyDescent="0.25">
      <c r="A41" s="573" t="str">
        <f>IF(COUNTBLANK(K41)=1," ",COUNTA($K$12:K41))</f>
        <v xml:space="preserve"> </v>
      </c>
      <c r="B41" s="593"/>
      <c r="C41" s="768"/>
      <c r="D41" s="610" t="s">
        <v>495</v>
      </c>
      <c r="E41" s="569" t="s">
        <v>42</v>
      </c>
      <c r="F41" s="569">
        <v>80</v>
      </c>
      <c r="G41" s="585"/>
      <c r="H41" s="585"/>
      <c r="I41" s="591"/>
      <c r="J41" s="585"/>
      <c r="K41" s="592"/>
      <c r="L41" s="591"/>
      <c r="M41" s="591"/>
      <c r="N41" s="591"/>
      <c r="O41" s="591"/>
      <c r="P41" s="591"/>
      <c r="Q41" s="591"/>
    </row>
    <row r="42" spans="1:17" s="594" customFormat="1" ht="22.5" x14ac:dyDescent="0.25">
      <c r="A42" s="573" t="str">
        <f>IF(COUNTBLANK(K42)=1," ",COUNTA($K$12:K42))</f>
        <v xml:space="preserve"> </v>
      </c>
      <c r="B42" s="593"/>
      <c r="C42" s="768"/>
      <c r="D42" s="610" t="s">
        <v>496</v>
      </c>
      <c r="E42" s="569" t="s">
        <v>42</v>
      </c>
      <c r="F42" s="569">
        <v>243</v>
      </c>
      <c r="G42" s="585"/>
      <c r="H42" s="585"/>
      <c r="I42" s="591"/>
      <c r="J42" s="585"/>
      <c r="K42" s="592"/>
      <c r="L42" s="591"/>
      <c r="M42" s="591"/>
      <c r="N42" s="591"/>
      <c r="O42" s="591"/>
      <c r="P42" s="591"/>
      <c r="Q42" s="591"/>
    </row>
    <row r="43" spans="1:17" s="594" customFormat="1" ht="22.5" x14ac:dyDescent="0.25">
      <c r="A43" s="573" t="str">
        <f>IF(COUNTBLANK(K43)=1," ",COUNTA($K$12:K43))</f>
        <v xml:space="preserve"> </v>
      </c>
      <c r="B43" s="593"/>
      <c r="C43" s="768"/>
      <c r="D43" s="610" t="s">
        <v>497</v>
      </c>
      <c r="E43" s="569"/>
      <c r="F43" s="569">
        <v>56</v>
      </c>
      <c r="G43" s="585"/>
      <c r="H43" s="585"/>
      <c r="I43" s="591"/>
      <c r="J43" s="585"/>
      <c r="K43" s="592"/>
      <c r="L43" s="591"/>
      <c r="M43" s="591"/>
      <c r="N43" s="591"/>
      <c r="O43" s="591"/>
      <c r="P43" s="591"/>
      <c r="Q43" s="591"/>
    </row>
    <row r="44" spans="1:17" s="594" customFormat="1" x14ac:dyDescent="0.25">
      <c r="A44" s="573" t="str">
        <f>IF(COUNTBLANK(K44)=1," ",COUNTA($K$12:K44))</f>
        <v xml:space="preserve"> </v>
      </c>
      <c r="B44" s="593"/>
      <c r="C44" s="611" t="s">
        <v>498</v>
      </c>
      <c r="D44" s="590" t="s">
        <v>499</v>
      </c>
      <c r="E44" s="569" t="s">
        <v>194</v>
      </c>
      <c r="F44" s="569">
        <v>200</v>
      </c>
      <c r="G44" s="585"/>
      <c r="H44" s="585"/>
      <c r="I44" s="591"/>
      <c r="J44" s="585"/>
      <c r="K44" s="592"/>
      <c r="L44" s="591"/>
      <c r="M44" s="591"/>
      <c r="N44" s="591"/>
      <c r="O44" s="591"/>
      <c r="P44" s="591"/>
      <c r="Q44" s="591"/>
    </row>
    <row r="45" spans="1:17" s="594" customFormat="1" x14ac:dyDescent="0.25">
      <c r="A45" s="573" t="str">
        <f>IF(COUNTBLANK(K45)=1," ",COUNTA($K$12:K45))</f>
        <v xml:space="preserve"> </v>
      </c>
      <c r="B45" s="593"/>
      <c r="C45" s="760" t="s">
        <v>500</v>
      </c>
      <c r="D45" s="590" t="s">
        <v>501</v>
      </c>
      <c r="E45" s="569" t="s">
        <v>194</v>
      </c>
      <c r="F45" s="569">
        <v>80</v>
      </c>
      <c r="G45" s="585"/>
      <c r="H45" s="585"/>
      <c r="I45" s="591"/>
      <c r="J45" s="585"/>
      <c r="K45" s="592"/>
      <c r="L45" s="591"/>
      <c r="M45" s="591"/>
      <c r="N45" s="591"/>
      <c r="O45" s="591"/>
      <c r="P45" s="591"/>
      <c r="Q45" s="591"/>
    </row>
    <row r="46" spans="1:17" s="594" customFormat="1" x14ac:dyDescent="0.25">
      <c r="A46" s="573" t="str">
        <f>IF(COUNTBLANK(K46)=1," ",COUNTA($K$12:K46))</f>
        <v xml:space="preserve"> </v>
      </c>
      <c r="B46" s="580"/>
      <c r="C46" s="761"/>
      <c r="D46" s="590" t="s">
        <v>502</v>
      </c>
      <c r="E46" s="569" t="s">
        <v>194</v>
      </c>
      <c r="F46" s="569">
        <v>80</v>
      </c>
      <c r="G46" s="585"/>
      <c r="H46" s="585"/>
      <c r="I46" s="591"/>
      <c r="J46" s="585"/>
      <c r="K46" s="592"/>
      <c r="L46" s="591"/>
      <c r="M46" s="591"/>
      <c r="N46" s="591"/>
      <c r="O46" s="591"/>
      <c r="P46" s="591"/>
      <c r="Q46" s="591"/>
    </row>
    <row r="47" spans="1:17" s="594" customFormat="1" x14ac:dyDescent="0.25">
      <c r="A47" s="573" t="str">
        <f>IF(COUNTBLANK(K47)=1," ",COUNTA($K$12:K47))</f>
        <v xml:space="preserve"> </v>
      </c>
      <c r="B47" s="580"/>
      <c r="C47" s="762"/>
      <c r="D47" s="590" t="s">
        <v>503</v>
      </c>
      <c r="E47" s="569" t="s">
        <v>194</v>
      </c>
      <c r="F47" s="569">
        <v>40</v>
      </c>
      <c r="G47" s="585"/>
      <c r="H47" s="585"/>
      <c r="I47" s="591"/>
      <c r="J47" s="585"/>
      <c r="K47" s="592"/>
      <c r="L47" s="591"/>
      <c r="M47" s="591"/>
      <c r="N47" s="591"/>
      <c r="O47" s="591"/>
      <c r="P47" s="591"/>
      <c r="Q47" s="591"/>
    </row>
    <row r="48" spans="1:17" x14ac:dyDescent="0.25">
      <c r="A48" s="573" t="str">
        <f>IF(COUNTBLANK(K48)=1," ",COUNTA($K$12:K48))</f>
        <v xml:space="preserve"> </v>
      </c>
      <c r="B48" s="614"/>
      <c r="C48" s="760" t="s">
        <v>504</v>
      </c>
      <c r="D48" s="590" t="s">
        <v>505</v>
      </c>
      <c r="E48" s="569" t="s">
        <v>194</v>
      </c>
      <c r="F48" s="569">
        <v>80</v>
      </c>
      <c r="G48" s="585"/>
      <c r="H48" s="585"/>
      <c r="I48" s="591"/>
      <c r="J48" s="591"/>
      <c r="K48" s="592"/>
      <c r="L48" s="591"/>
      <c r="M48" s="591"/>
      <c r="N48" s="591"/>
      <c r="O48" s="591"/>
      <c r="P48" s="591"/>
      <c r="Q48" s="591"/>
    </row>
    <row r="49" spans="1:17" x14ac:dyDescent="0.25">
      <c r="A49" s="573" t="str">
        <f>IF(COUNTBLANK(K49)=1," ",COUNTA($K$12:K49))</f>
        <v xml:space="preserve"> </v>
      </c>
      <c r="B49" s="593"/>
      <c r="C49" s="761"/>
      <c r="D49" s="590" t="s">
        <v>506</v>
      </c>
      <c r="E49" s="569" t="s">
        <v>194</v>
      </c>
      <c r="F49" s="569">
        <v>30</v>
      </c>
      <c r="G49" s="585"/>
      <c r="H49" s="585"/>
      <c r="I49" s="591"/>
      <c r="J49" s="591"/>
      <c r="K49" s="592"/>
      <c r="L49" s="591"/>
      <c r="M49" s="591"/>
      <c r="N49" s="591"/>
      <c r="O49" s="591"/>
      <c r="P49" s="591"/>
      <c r="Q49" s="591"/>
    </row>
    <row r="50" spans="1:17" x14ac:dyDescent="0.25">
      <c r="A50" s="573" t="str">
        <f>IF(COUNTBLANK(K50)=1," ",COUNTA($K$12:K50))</f>
        <v xml:space="preserve"> </v>
      </c>
      <c r="B50" s="593"/>
      <c r="C50" s="761"/>
      <c r="D50" s="590" t="s">
        <v>507</v>
      </c>
      <c r="E50" s="569" t="s">
        <v>194</v>
      </c>
      <c r="F50" s="569">
        <v>140</v>
      </c>
      <c r="G50" s="585"/>
      <c r="H50" s="585"/>
      <c r="I50" s="591"/>
      <c r="J50" s="591"/>
      <c r="K50" s="592"/>
      <c r="L50" s="591"/>
      <c r="M50" s="591"/>
      <c r="N50" s="591"/>
      <c r="O50" s="591"/>
      <c r="P50" s="591"/>
      <c r="Q50" s="591"/>
    </row>
    <row r="51" spans="1:17" x14ac:dyDescent="0.25">
      <c r="A51" s="573" t="str">
        <f>IF(COUNTBLANK(K51)=1," ",COUNTA($K$12:K51))</f>
        <v xml:space="preserve"> </v>
      </c>
      <c r="B51" s="593"/>
      <c r="C51" s="761"/>
      <c r="D51" s="590" t="s">
        <v>508</v>
      </c>
      <c r="E51" s="569" t="s">
        <v>194</v>
      </c>
      <c r="F51" s="569">
        <v>460</v>
      </c>
      <c r="G51" s="585"/>
      <c r="H51" s="585"/>
      <c r="I51" s="591"/>
      <c r="J51" s="591"/>
      <c r="K51" s="592"/>
      <c r="L51" s="591"/>
      <c r="M51" s="591"/>
      <c r="N51" s="591"/>
      <c r="O51" s="591"/>
      <c r="P51" s="591"/>
      <c r="Q51" s="591"/>
    </row>
    <row r="52" spans="1:17" s="594" customFormat="1" x14ac:dyDescent="0.25">
      <c r="A52" s="573" t="str">
        <f>IF(COUNTBLANK(K52)=1," ",COUNTA($K$12:K52))</f>
        <v xml:space="preserve"> </v>
      </c>
      <c r="B52" s="593"/>
      <c r="C52" s="762"/>
      <c r="D52" s="590" t="s">
        <v>509</v>
      </c>
      <c r="E52" s="569" t="s">
        <v>194</v>
      </c>
      <c r="F52" s="569">
        <v>100</v>
      </c>
      <c r="G52" s="585"/>
      <c r="H52" s="585"/>
      <c r="I52" s="591"/>
      <c r="J52" s="591"/>
      <c r="K52" s="592"/>
      <c r="L52" s="591"/>
      <c r="M52" s="591"/>
      <c r="N52" s="591"/>
      <c r="O52" s="591"/>
      <c r="P52" s="591"/>
      <c r="Q52" s="591"/>
    </row>
    <row r="53" spans="1:17" s="594" customFormat="1" x14ac:dyDescent="0.25">
      <c r="A53" s="573" t="str">
        <f>IF(COUNTBLANK(K53)=1," ",COUNTA($K$12:K53))</f>
        <v xml:space="preserve"> </v>
      </c>
      <c r="B53" s="593"/>
      <c r="C53" s="763" t="s">
        <v>510</v>
      </c>
      <c r="D53" s="590" t="s">
        <v>511</v>
      </c>
      <c r="E53" s="569" t="s">
        <v>42</v>
      </c>
      <c r="F53" s="569">
        <v>5</v>
      </c>
      <c r="G53" s="615"/>
      <c r="H53" s="585"/>
      <c r="I53" s="591"/>
      <c r="J53" s="591"/>
      <c r="K53" s="592"/>
      <c r="L53" s="591"/>
      <c r="M53" s="591"/>
      <c r="N53" s="591"/>
      <c r="O53" s="591"/>
      <c r="P53" s="591"/>
      <c r="Q53" s="591"/>
    </row>
    <row r="54" spans="1:17" s="594" customFormat="1" x14ac:dyDescent="0.25">
      <c r="A54" s="573" t="str">
        <f>IF(COUNTBLANK(K54)=1," ",COUNTA($K$12:K54))</f>
        <v xml:space="preserve"> </v>
      </c>
      <c r="B54" s="593"/>
      <c r="C54" s="764"/>
      <c r="D54" s="590" t="s">
        <v>507</v>
      </c>
      <c r="E54" s="569" t="s">
        <v>42</v>
      </c>
      <c r="F54" s="569">
        <v>12</v>
      </c>
      <c r="G54" s="615"/>
      <c r="H54" s="585"/>
      <c r="I54" s="591"/>
      <c r="J54" s="591"/>
      <c r="K54" s="592"/>
      <c r="L54" s="591"/>
      <c r="M54" s="591"/>
      <c r="N54" s="591"/>
      <c r="O54" s="591"/>
      <c r="P54" s="591"/>
      <c r="Q54" s="591"/>
    </row>
    <row r="55" spans="1:17" s="594" customFormat="1" ht="22.5" x14ac:dyDescent="0.25">
      <c r="A55" s="573" t="str">
        <f>IF(COUNTBLANK(K55)=1," ",COUNTA($K$12:K55))</f>
        <v xml:space="preserve"> </v>
      </c>
      <c r="B55" s="593"/>
      <c r="C55" s="710" t="s">
        <v>724</v>
      </c>
      <c r="D55" s="590" t="s">
        <v>645</v>
      </c>
      <c r="E55" s="569" t="s">
        <v>566</v>
      </c>
      <c r="F55" s="569">
        <v>1</v>
      </c>
      <c r="G55" s="616"/>
      <c r="H55" s="585"/>
      <c r="I55" s="591"/>
      <c r="J55" s="616"/>
      <c r="K55" s="592"/>
      <c r="L55" s="591"/>
      <c r="M55" s="591"/>
      <c r="N55" s="591"/>
      <c r="O55" s="591"/>
      <c r="P55" s="591"/>
      <c r="Q55" s="591"/>
    </row>
    <row r="56" spans="1:17" s="588" customFormat="1" x14ac:dyDescent="0.25">
      <c r="A56" s="573" t="str">
        <f>IF(COUNTBLANK(K56)=1," ",COUNTA($K$12:K56))</f>
        <v xml:space="preserve"> </v>
      </c>
      <c r="B56" s="617"/>
      <c r="C56" s="609" t="s">
        <v>831</v>
      </c>
      <c r="D56" s="590" t="s">
        <v>499</v>
      </c>
      <c r="E56" s="569" t="s">
        <v>194</v>
      </c>
      <c r="F56" s="569">
        <v>20</v>
      </c>
      <c r="G56" s="585"/>
      <c r="H56" s="585"/>
      <c r="I56" s="591"/>
      <c r="J56" s="585"/>
      <c r="K56" s="592"/>
      <c r="L56" s="591"/>
      <c r="M56" s="591"/>
      <c r="N56" s="591"/>
      <c r="O56" s="591"/>
      <c r="P56" s="591"/>
      <c r="Q56" s="591"/>
    </row>
    <row r="57" spans="1:17" s="594" customFormat="1" x14ac:dyDescent="0.25">
      <c r="A57" s="573" t="str">
        <f>IF(COUNTBLANK(K57)=1," ",COUNTA($K$12:K57))</f>
        <v xml:space="preserve"> </v>
      </c>
      <c r="B57" s="614"/>
      <c r="C57" s="609" t="s">
        <v>512</v>
      </c>
      <c r="D57" s="610" t="s">
        <v>513</v>
      </c>
      <c r="E57" s="569" t="s">
        <v>194</v>
      </c>
      <c r="F57" s="618">
        <v>20</v>
      </c>
      <c r="G57" s="591"/>
      <c r="H57" s="585"/>
      <c r="I57" s="591"/>
      <c r="J57" s="591"/>
      <c r="K57" s="592"/>
      <c r="L57" s="591"/>
      <c r="M57" s="591"/>
      <c r="N57" s="591"/>
      <c r="O57" s="591"/>
      <c r="P57" s="591"/>
      <c r="Q57" s="591"/>
    </row>
    <row r="58" spans="1:17" s="594" customFormat="1" ht="22.5" x14ac:dyDescent="0.25">
      <c r="A58" s="573" t="str">
        <f>IF(COUNTBLANK(K58)=1," ",COUNTA($K$12:K58))</f>
        <v xml:space="preserve"> </v>
      </c>
      <c r="B58" s="593"/>
      <c r="C58" s="609" t="s">
        <v>471</v>
      </c>
      <c r="D58" s="610" t="s">
        <v>514</v>
      </c>
      <c r="E58" s="569" t="s">
        <v>194</v>
      </c>
      <c r="F58" s="618">
        <v>40</v>
      </c>
      <c r="G58" s="591"/>
      <c r="H58" s="585"/>
      <c r="I58" s="591"/>
      <c r="J58" s="591"/>
      <c r="K58" s="592"/>
      <c r="L58" s="591"/>
      <c r="M58" s="591"/>
      <c r="N58" s="591"/>
      <c r="O58" s="591"/>
      <c r="P58" s="591"/>
      <c r="Q58" s="591"/>
    </row>
    <row r="59" spans="1:17" x14ac:dyDescent="0.25">
      <c r="A59" s="573" t="str">
        <f>IF(COUNTBLANK(K59)=1," ",COUNTA($K$12:K59))</f>
        <v xml:space="preserve"> </v>
      </c>
      <c r="B59" s="593"/>
      <c r="C59" s="609" t="s">
        <v>515</v>
      </c>
      <c r="D59" s="610"/>
      <c r="E59" s="569" t="s">
        <v>470</v>
      </c>
      <c r="F59" s="618">
        <v>1</v>
      </c>
      <c r="G59" s="591"/>
      <c r="H59" s="585"/>
      <c r="I59" s="591"/>
      <c r="J59" s="591"/>
      <c r="K59" s="592"/>
      <c r="L59" s="591"/>
      <c r="M59" s="591"/>
      <c r="N59" s="591"/>
      <c r="O59" s="591"/>
      <c r="P59" s="591"/>
      <c r="Q59" s="591"/>
    </row>
    <row r="60" spans="1:17" x14ac:dyDescent="0.25">
      <c r="A60" s="573" t="str">
        <f>IF(COUNTBLANK(K60)=1," ",COUNTA($K$12:K60))</f>
        <v xml:space="preserve"> </v>
      </c>
      <c r="B60" s="593"/>
      <c r="C60" s="619" t="s">
        <v>516</v>
      </c>
      <c r="D60" s="620"/>
      <c r="E60" s="569" t="s">
        <v>470</v>
      </c>
      <c r="F60" s="621">
        <v>1</v>
      </c>
      <c r="G60" s="599"/>
      <c r="H60" s="585"/>
      <c r="I60" s="599"/>
      <c r="J60" s="599"/>
      <c r="K60" s="600"/>
      <c r="L60" s="599"/>
      <c r="M60" s="599"/>
      <c r="N60" s="599"/>
      <c r="O60" s="599"/>
      <c r="P60" s="599"/>
      <c r="Q60" s="599"/>
    </row>
    <row r="61" spans="1:17" x14ac:dyDescent="0.25">
      <c r="A61" s="573"/>
      <c r="B61" s="593"/>
      <c r="C61" s="622" t="s">
        <v>517</v>
      </c>
      <c r="D61" s="623"/>
      <c r="E61" s="624"/>
      <c r="F61" s="625"/>
      <c r="G61" s="626"/>
      <c r="H61" s="585"/>
      <c r="I61" s="626"/>
      <c r="J61" s="626"/>
      <c r="K61" s="627"/>
      <c r="L61" s="626"/>
      <c r="M61" s="626"/>
      <c r="N61" s="626"/>
      <c r="O61" s="626"/>
      <c r="P61" s="626"/>
      <c r="Q61" s="628"/>
    </row>
    <row r="62" spans="1:17" ht="22.5" x14ac:dyDescent="0.25">
      <c r="A62" s="573">
        <v>48</v>
      </c>
      <c r="B62" s="593"/>
      <c r="C62" s="711" t="s">
        <v>722</v>
      </c>
      <c r="D62" s="630" t="s">
        <v>518</v>
      </c>
      <c r="E62" s="631" t="s">
        <v>47</v>
      </c>
      <c r="F62" s="632">
        <v>9.5</v>
      </c>
      <c r="G62" s="586"/>
      <c r="H62" s="585"/>
      <c r="I62" s="586"/>
      <c r="J62" s="586"/>
      <c r="K62" s="584"/>
      <c r="L62" s="586"/>
      <c r="M62" s="586"/>
      <c r="N62" s="586"/>
      <c r="O62" s="586"/>
      <c r="P62" s="586"/>
      <c r="Q62" s="586"/>
    </row>
    <row r="63" spans="1:17" ht="22.5" x14ac:dyDescent="0.25">
      <c r="A63" s="573">
        <v>49</v>
      </c>
      <c r="B63" s="593"/>
      <c r="C63" s="712" t="s">
        <v>723</v>
      </c>
      <c r="D63" s="634" t="s">
        <v>519</v>
      </c>
      <c r="E63" s="390" t="s">
        <v>47</v>
      </c>
      <c r="F63" s="635">
        <v>6.5</v>
      </c>
      <c r="G63" s="591"/>
      <c r="H63" s="585"/>
      <c r="I63" s="591"/>
      <c r="J63" s="591"/>
      <c r="K63" s="585"/>
      <c r="L63" s="591"/>
      <c r="M63" s="591"/>
      <c r="N63" s="591"/>
      <c r="O63" s="591"/>
      <c r="P63" s="591"/>
      <c r="Q63" s="591"/>
    </row>
    <row r="64" spans="1:17" x14ac:dyDescent="0.25">
      <c r="A64" s="573">
        <v>50</v>
      </c>
      <c r="B64" s="593"/>
      <c r="C64" s="713" t="s">
        <v>730</v>
      </c>
      <c r="D64" s="637" t="s">
        <v>520</v>
      </c>
      <c r="E64" s="638" t="s">
        <v>521</v>
      </c>
      <c r="F64" s="639">
        <v>13</v>
      </c>
      <c r="G64" s="599"/>
      <c r="H64" s="585"/>
      <c r="I64" s="599"/>
      <c r="J64" s="599"/>
      <c r="K64" s="598"/>
      <c r="L64" s="599"/>
      <c r="M64" s="599"/>
      <c r="N64" s="599"/>
      <c r="O64" s="599"/>
      <c r="P64" s="599"/>
      <c r="Q64" s="599"/>
    </row>
    <row r="65" spans="1:17" x14ac:dyDescent="0.25">
      <c r="A65" s="573"/>
      <c r="B65" s="593"/>
      <c r="C65" s="640" t="s">
        <v>522</v>
      </c>
      <c r="D65" s="641"/>
      <c r="E65" s="614"/>
      <c r="F65" s="614"/>
      <c r="G65" s="642"/>
      <c r="H65" s="642"/>
      <c r="I65" s="643"/>
      <c r="J65" s="642"/>
      <c r="K65" s="644"/>
      <c r="L65" s="643"/>
      <c r="M65" s="643"/>
      <c r="N65" s="643"/>
      <c r="O65" s="643"/>
      <c r="P65" s="643"/>
      <c r="Q65" s="643"/>
    </row>
    <row r="66" spans="1:17" ht="33.75" x14ac:dyDescent="0.25">
      <c r="A66" s="573">
        <v>51</v>
      </c>
      <c r="B66" s="593"/>
      <c r="C66" s="710" t="s">
        <v>832</v>
      </c>
      <c r="D66" s="590" t="s">
        <v>523</v>
      </c>
      <c r="E66" s="569" t="s">
        <v>194</v>
      </c>
      <c r="F66" s="569">
        <v>200</v>
      </c>
      <c r="G66" s="584"/>
      <c r="H66" s="585"/>
      <c r="I66" s="586"/>
      <c r="J66" s="584"/>
      <c r="K66" s="587"/>
      <c r="L66" s="586"/>
      <c r="M66" s="586"/>
      <c r="N66" s="586"/>
      <c r="O66" s="586"/>
      <c r="P66" s="586"/>
      <c r="Q66" s="586"/>
    </row>
    <row r="67" spans="1:17" x14ac:dyDescent="0.25">
      <c r="A67" s="573">
        <v>52</v>
      </c>
      <c r="B67" s="593"/>
      <c r="C67" s="710" t="s">
        <v>729</v>
      </c>
      <c r="D67" s="590" t="s">
        <v>524</v>
      </c>
      <c r="E67" s="569" t="s">
        <v>194</v>
      </c>
      <c r="F67" s="569">
        <f>2*F66</f>
        <v>400</v>
      </c>
      <c r="G67" s="585"/>
      <c r="H67" s="585"/>
      <c r="I67" s="591"/>
      <c r="J67" s="585"/>
      <c r="K67" s="592"/>
      <c r="L67" s="591"/>
      <c r="M67" s="591"/>
      <c r="N67" s="591"/>
      <c r="O67" s="591"/>
      <c r="P67" s="591"/>
      <c r="Q67" s="591"/>
    </row>
    <row r="68" spans="1:17" x14ac:dyDescent="0.25">
      <c r="A68" s="573">
        <v>53</v>
      </c>
      <c r="B68" s="593"/>
      <c r="C68" s="714" t="s">
        <v>725</v>
      </c>
      <c r="D68" s="590" t="s">
        <v>525</v>
      </c>
      <c r="E68" s="569" t="s">
        <v>194</v>
      </c>
      <c r="F68" s="569">
        <v>400</v>
      </c>
      <c r="G68" s="585"/>
      <c r="H68" s="585"/>
      <c r="I68" s="591"/>
      <c r="J68" s="585"/>
      <c r="K68" s="585"/>
      <c r="L68" s="591"/>
      <c r="M68" s="591"/>
      <c r="N68" s="591"/>
      <c r="O68" s="591"/>
      <c r="P68" s="591"/>
      <c r="Q68" s="591"/>
    </row>
    <row r="69" spans="1:17" x14ac:dyDescent="0.25">
      <c r="A69" s="573">
        <v>54</v>
      </c>
      <c r="B69" s="593"/>
      <c r="C69" s="710" t="s">
        <v>726</v>
      </c>
      <c r="D69" s="590" t="s">
        <v>525</v>
      </c>
      <c r="E69" s="569" t="s">
        <v>194</v>
      </c>
      <c r="F69" s="569">
        <v>200</v>
      </c>
      <c r="G69" s="585"/>
      <c r="H69" s="585"/>
      <c r="I69" s="591"/>
      <c r="J69" s="585"/>
      <c r="K69" s="585"/>
      <c r="L69" s="591"/>
      <c r="M69" s="591"/>
      <c r="N69" s="591"/>
      <c r="O69" s="591"/>
      <c r="P69" s="591"/>
      <c r="Q69" s="591"/>
    </row>
    <row r="70" spans="1:17" s="594" customFormat="1" x14ac:dyDescent="0.25">
      <c r="A70" s="573">
        <v>55</v>
      </c>
      <c r="B70" s="645"/>
      <c r="C70" s="710" t="s">
        <v>727</v>
      </c>
      <c r="D70" s="590" t="s">
        <v>525</v>
      </c>
      <c r="E70" s="569" t="s">
        <v>194</v>
      </c>
      <c r="F70" s="569">
        <v>200</v>
      </c>
      <c r="G70" s="585"/>
      <c r="H70" s="585"/>
      <c r="I70" s="591"/>
      <c r="J70" s="585"/>
      <c r="K70" s="585"/>
      <c r="L70" s="591"/>
      <c r="M70" s="591"/>
      <c r="N70" s="591"/>
      <c r="O70" s="591"/>
      <c r="P70" s="591"/>
      <c r="Q70" s="591"/>
    </row>
    <row r="71" spans="1:17" s="594" customFormat="1" x14ac:dyDescent="0.25">
      <c r="A71" s="573">
        <v>56</v>
      </c>
      <c r="B71" s="580"/>
      <c r="C71" s="710" t="s">
        <v>728</v>
      </c>
      <c r="D71" s="590" t="s">
        <v>525</v>
      </c>
      <c r="E71" s="569" t="s">
        <v>194</v>
      </c>
      <c r="F71" s="569">
        <v>200</v>
      </c>
      <c r="G71" s="598"/>
      <c r="H71" s="585"/>
      <c r="I71" s="599"/>
      <c r="J71" s="598"/>
      <c r="K71" s="598"/>
      <c r="L71" s="599"/>
      <c r="M71" s="599"/>
      <c r="N71" s="599"/>
      <c r="O71" s="599"/>
      <c r="P71" s="599"/>
      <c r="Q71" s="599"/>
    </row>
    <row r="72" spans="1:17" s="594" customFormat="1" x14ac:dyDescent="0.25">
      <c r="A72" s="573"/>
      <c r="B72" s="580"/>
      <c r="C72" s="646" t="s">
        <v>526</v>
      </c>
      <c r="D72" s="647"/>
      <c r="E72" s="648"/>
      <c r="F72" s="648"/>
      <c r="G72" s="649"/>
      <c r="H72" s="585"/>
      <c r="I72" s="626"/>
      <c r="J72" s="627"/>
      <c r="K72" s="627"/>
      <c r="L72" s="626"/>
      <c r="M72" s="626"/>
      <c r="N72" s="626"/>
      <c r="O72" s="626"/>
      <c r="P72" s="626"/>
      <c r="Q72" s="628"/>
    </row>
    <row r="73" spans="1:17" s="594" customFormat="1" ht="45" x14ac:dyDescent="0.25">
      <c r="A73" s="573">
        <v>57</v>
      </c>
      <c r="B73" s="580"/>
      <c r="C73" s="629" t="s">
        <v>833</v>
      </c>
      <c r="D73" s="650" t="s">
        <v>527</v>
      </c>
      <c r="E73" s="631" t="s">
        <v>528</v>
      </c>
      <c r="F73" s="631">
        <v>100</v>
      </c>
      <c r="G73" s="584"/>
      <c r="H73" s="585"/>
      <c r="I73" s="586"/>
      <c r="J73" s="584"/>
      <c r="K73" s="584"/>
      <c r="L73" s="586"/>
      <c r="M73" s="586"/>
      <c r="N73" s="586"/>
      <c r="O73" s="586"/>
      <c r="P73" s="586"/>
      <c r="Q73" s="586"/>
    </row>
    <row r="74" spans="1:17" s="594" customFormat="1" x14ac:dyDescent="0.25">
      <c r="A74" s="573">
        <v>58</v>
      </c>
      <c r="B74" s="580"/>
      <c r="C74" s="636" t="s">
        <v>529</v>
      </c>
      <c r="D74" s="651" t="s">
        <v>530</v>
      </c>
      <c r="E74" s="390" t="s">
        <v>528</v>
      </c>
      <c r="F74" s="390">
        <f>F73*2</f>
        <v>200</v>
      </c>
      <c r="G74" s="585"/>
      <c r="H74" s="585"/>
      <c r="I74" s="591"/>
      <c r="J74" s="585"/>
      <c r="K74" s="585"/>
      <c r="L74" s="591"/>
      <c r="M74" s="591"/>
      <c r="N74" s="591"/>
      <c r="O74" s="591"/>
      <c r="P74" s="591"/>
      <c r="Q74" s="591"/>
    </row>
    <row r="75" spans="1:17" s="594" customFormat="1" x14ac:dyDescent="0.25">
      <c r="A75" s="573">
        <v>59</v>
      </c>
      <c r="B75" s="580"/>
      <c r="C75" s="633" t="s">
        <v>531</v>
      </c>
      <c r="D75" s="651"/>
      <c r="E75" s="390" t="s">
        <v>528</v>
      </c>
      <c r="F75" s="390">
        <f>F73*2</f>
        <v>200</v>
      </c>
      <c r="G75" s="585"/>
      <c r="H75" s="585"/>
      <c r="I75" s="591"/>
      <c r="J75" s="585"/>
      <c r="K75" s="585"/>
      <c r="L75" s="591"/>
      <c r="M75" s="591"/>
      <c r="N75" s="591"/>
      <c r="O75" s="591"/>
      <c r="P75" s="591"/>
      <c r="Q75" s="591"/>
    </row>
    <row r="76" spans="1:17" s="594" customFormat="1" x14ac:dyDescent="0.25">
      <c r="A76" s="573"/>
      <c r="B76" s="580"/>
      <c r="C76" s="652" t="s">
        <v>532</v>
      </c>
      <c r="D76" s="590"/>
      <c r="E76" s="569"/>
      <c r="F76" s="569"/>
      <c r="G76" s="578"/>
      <c r="H76" s="577"/>
      <c r="I76" s="578"/>
      <c r="J76" s="578"/>
      <c r="K76" s="577"/>
      <c r="L76" s="578"/>
      <c r="M76" s="578"/>
      <c r="N76" s="578"/>
      <c r="O76" s="578"/>
      <c r="P76" s="578"/>
      <c r="Q76" s="578"/>
    </row>
    <row r="77" spans="1:17" s="594" customFormat="1" ht="22.5" x14ac:dyDescent="0.25">
      <c r="A77" s="573">
        <v>1</v>
      </c>
      <c r="B77" s="580"/>
      <c r="C77" s="653" t="s">
        <v>533</v>
      </c>
      <c r="D77" s="654" t="s">
        <v>534</v>
      </c>
      <c r="E77" s="655" t="s">
        <v>535</v>
      </c>
      <c r="F77" s="656">
        <v>100</v>
      </c>
      <c r="G77" s="657"/>
      <c r="H77" s="658"/>
      <c r="I77" s="657"/>
      <c r="J77" s="657"/>
      <c r="K77" s="658"/>
      <c r="L77" s="659"/>
      <c r="M77" s="659"/>
      <c r="N77" s="659"/>
      <c r="O77" s="659"/>
      <c r="P77" s="659"/>
      <c r="Q77" s="659"/>
    </row>
    <row r="78" spans="1:17" s="594" customFormat="1" ht="22.5" x14ac:dyDescent="0.25">
      <c r="A78" s="573">
        <v>2</v>
      </c>
      <c r="B78" s="580"/>
      <c r="C78" s="660" t="s">
        <v>536</v>
      </c>
      <c r="D78" s="661" t="s">
        <v>534</v>
      </c>
      <c r="E78" s="662" t="s">
        <v>47</v>
      </c>
      <c r="F78" s="663">
        <v>100</v>
      </c>
      <c r="G78" s="664"/>
      <c r="H78" s="577"/>
      <c r="I78" s="664"/>
      <c r="J78" s="664"/>
      <c r="K78" s="658"/>
      <c r="L78" s="578"/>
      <c r="M78" s="578"/>
      <c r="N78" s="578"/>
      <c r="O78" s="578"/>
      <c r="P78" s="578"/>
      <c r="Q78" s="578"/>
    </row>
    <row r="79" spans="1:17" s="594" customFormat="1" x14ac:dyDescent="0.25">
      <c r="A79" s="573">
        <v>3</v>
      </c>
      <c r="B79" s="580"/>
      <c r="C79" s="665" t="s">
        <v>834</v>
      </c>
      <c r="D79" s="661"/>
      <c r="E79" s="662" t="s">
        <v>47</v>
      </c>
      <c r="F79" s="663">
        <f>F78*2*1.1</f>
        <v>220.00000000000003</v>
      </c>
      <c r="G79" s="664"/>
      <c r="H79" s="577"/>
      <c r="I79" s="664"/>
      <c r="J79" s="664"/>
      <c r="K79" s="577"/>
      <c r="L79" s="578"/>
      <c r="M79" s="578"/>
      <c r="N79" s="578"/>
      <c r="O79" s="578"/>
      <c r="P79" s="578"/>
      <c r="Q79" s="578"/>
    </row>
    <row r="80" spans="1:17" s="594" customFormat="1" x14ac:dyDescent="0.25">
      <c r="A80" s="573">
        <v>4</v>
      </c>
      <c r="B80" s="580"/>
      <c r="C80" s="665" t="s">
        <v>547</v>
      </c>
      <c r="D80" s="661"/>
      <c r="E80" s="662" t="s">
        <v>58</v>
      </c>
      <c r="F80" s="663">
        <f>6*0.25</f>
        <v>1.5</v>
      </c>
      <c r="G80" s="664"/>
      <c r="H80" s="577"/>
      <c r="I80" s="664"/>
      <c r="J80" s="664"/>
      <c r="K80" s="577"/>
      <c r="L80" s="578"/>
      <c r="M80" s="578"/>
      <c r="N80" s="578"/>
      <c r="O80" s="578"/>
      <c r="P80" s="578"/>
      <c r="Q80" s="578"/>
    </row>
    <row r="81" spans="1:17" s="594" customFormat="1" x14ac:dyDescent="0.25">
      <c r="A81" s="573">
        <v>5</v>
      </c>
      <c r="B81" s="580"/>
      <c r="C81" s="665" t="s">
        <v>537</v>
      </c>
      <c r="D81" s="661" t="s">
        <v>538</v>
      </c>
      <c r="E81" s="662" t="s">
        <v>535</v>
      </c>
      <c r="F81" s="663">
        <v>2</v>
      </c>
      <c r="G81" s="664"/>
      <c r="H81" s="577"/>
      <c r="I81" s="664"/>
      <c r="J81" s="664"/>
      <c r="K81" s="577"/>
      <c r="L81" s="578"/>
      <c r="M81" s="578"/>
      <c r="N81" s="578"/>
      <c r="O81" s="578"/>
      <c r="P81" s="578"/>
      <c r="Q81" s="578"/>
    </row>
    <row r="82" spans="1:17" s="594" customFormat="1" x14ac:dyDescent="0.25">
      <c r="A82" s="573">
        <v>6</v>
      </c>
      <c r="B82" s="580"/>
      <c r="C82" s="665" t="s">
        <v>539</v>
      </c>
      <c r="D82" s="661" t="s">
        <v>540</v>
      </c>
      <c r="E82" s="662" t="s">
        <v>535</v>
      </c>
      <c r="F82" s="666">
        <v>0.33</v>
      </c>
      <c r="G82" s="664"/>
      <c r="H82" s="577"/>
      <c r="I82" s="664"/>
      <c r="J82" s="664"/>
      <c r="K82" s="577"/>
      <c r="L82" s="578"/>
      <c r="M82" s="578"/>
      <c r="N82" s="578"/>
      <c r="O82" s="578"/>
      <c r="P82" s="578"/>
      <c r="Q82" s="578"/>
    </row>
    <row r="83" spans="1:17" s="594" customFormat="1" x14ac:dyDescent="0.25">
      <c r="A83" s="573">
        <v>7</v>
      </c>
      <c r="B83" s="580"/>
      <c r="C83" s="665" t="s">
        <v>541</v>
      </c>
      <c r="D83" s="661" t="s">
        <v>542</v>
      </c>
      <c r="E83" s="662" t="s">
        <v>42</v>
      </c>
      <c r="F83" s="663">
        <v>5.5</v>
      </c>
      <c r="G83" s="664"/>
      <c r="H83" s="577"/>
      <c r="I83" s="664"/>
      <c r="J83" s="664"/>
      <c r="K83" s="577"/>
      <c r="L83" s="578"/>
      <c r="M83" s="578"/>
      <c r="N83" s="578"/>
      <c r="O83" s="578"/>
      <c r="P83" s="578"/>
      <c r="Q83" s="578"/>
    </row>
    <row r="84" spans="1:17" s="594" customFormat="1" x14ac:dyDescent="0.25">
      <c r="A84" s="573">
        <v>8</v>
      </c>
      <c r="B84" s="580"/>
      <c r="C84" s="665" t="s">
        <v>543</v>
      </c>
      <c r="D84" s="661"/>
      <c r="E84" s="662" t="s">
        <v>535</v>
      </c>
      <c r="F84" s="663">
        <v>25</v>
      </c>
      <c r="G84" s="664"/>
      <c r="H84" s="577"/>
      <c r="I84" s="664"/>
      <c r="J84" s="664"/>
      <c r="K84" s="577"/>
      <c r="L84" s="578"/>
      <c r="M84" s="578"/>
      <c r="N84" s="578"/>
      <c r="O84" s="578"/>
      <c r="P84" s="578"/>
      <c r="Q84" s="578"/>
    </row>
    <row r="85" spans="1:17" s="594" customFormat="1" x14ac:dyDescent="0.25">
      <c r="A85" s="573">
        <v>8</v>
      </c>
      <c r="B85" s="580"/>
      <c r="C85" s="665" t="s">
        <v>544</v>
      </c>
      <c r="D85" s="661"/>
      <c r="E85" s="662" t="s">
        <v>535</v>
      </c>
      <c r="F85" s="663">
        <v>12</v>
      </c>
      <c r="G85" s="664"/>
      <c r="H85" s="577"/>
      <c r="I85" s="664"/>
      <c r="J85" s="664"/>
      <c r="K85" s="577"/>
      <c r="L85" s="578"/>
      <c r="M85" s="578"/>
      <c r="N85" s="578"/>
      <c r="O85" s="578"/>
      <c r="P85" s="578"/>
      <c r="Q85" s="578"/>
    </row>
    <row r="86" spans="1:17" s="594" customFormat="1" x14ac:dyDescent="0.25">
      <c r="A86" s="573">
        <v>10</v>
      </c>
      <c r="B86" s="580"/>
      <c r="C86" s="660" t="s">
        <v>545</v>
      </c>
      <c r="D86" s="660"/>
      <c r="E86" s="662" t="s">
        <v>47</v>
      </c>
      <c r="F86" s="663">
        <f>F78</f>
        <v>100</v>
      </c>
      <c r="G86" s="664"/>
      <c r="H86" s="577"/>
      <c r="I86" s="664"/>
      <c r="J86" s="664"/>
      <c r="K86" s="577"/>
      <c r="L86" s="578"/>
      <c r="M86" s="578"/>
      <c r="N86" s="578"/>
      <c r="O86" s="578"/>
      <c r="P86" s="578"/>
      <c r="Q86" s="578"/>
    </row>
    <row r="87" spans="1:17" s="594" customFormat="1" x14ac:dyDescent="0.25">
      <c r="A87" s="573">
        <v>11</v>
      </c>
      <c r="B87" s="580"/>
      <c r="C87" s="665" t="s">
        <v>546</v>
      </c>
      <c r="D87" s="665"/>
      <c r="E87" s="662" t="s">
        <v>58</v>
      </c>
      <c r="F87" s="663">
        <f>F86*0.1</f>
        <v>10</v>
      </c>
      <c r="G87" s="664"/>
      <c r="H87" s="577"/>
      <c r="I87" s="664"/>
      <c r="J87" s="664"/>
      <c r="K87" s="577"/>
      <c r="L87" s="578"/>
      <c r="M87" s="578"/>
      <c r="N87" s="578"/>
      <c r="O87" s="578"/>
      <c r="P87" s="578"/>
      <c r="Q87" s="578"/>
    </row>
    <row r="88" spans="1:17" s="594" customFormat="1" x14ac:dyDescent="0.25">
      <c r="A88" s="573">
        <v>12</v>
      </c>
      <c r="B88" s="580"/>
      <c r="C88" s="665" t="s">
        <v>547</v>
      </c>
      <c r="D88" s="665"/>
      <c r="E88" s="662" t="s">
        <v>58</v>
      </c>
      <c r="F88" s="663">
        <f>F86*0.4</f>
        <v>40</v>
      </c>
      <c r="G88" s="664"/>
      <c r="H88" s="577"/>
      <c r="I88" s="664"/>
      <c r="J88" s="664"/>
      <c r="K88" s="577"/>
      <c r="L88" s="578"/>
      <c r="M88" s="578"/>
      <c r="N88" s="578"/>
      <c r="O88" s="578"/>
      <c r="P88" s="578"/>
      <c r="Q88" s="578"/>
    </row>
    <row r="89" spans="1:17" s="594" customFormat="1" x14ac:dyDescent="0.25">
      <c r="A89" s="573">
        <v>13</v>
      </c>
      <c r="B89" s="580"/>
      <c r="C89" s="665" t="s">
        <v>548</v>
      </c>
      <c r="D89" s="665"/>
      <c r="E89" s="662" t="s">
        <v>85</v>
      </c>
      <c r="F89" s="663">
        <f>F86*0.3</f>
        <v>30</v>
      </c>
      <c r="G89" s="664"/>
      <c r="H89" s="577"/>
      <c r="I89" s="664"/>
      <c r="J89" s="664"/>
      <c r="K89" s="577"/>
      <c r="L89" s="578"/>
      <c r="M89" s="578"/>
      <c r="N89" s="578"/>
      <c r="O89" s="578"/>
      <c r="P89" s="578"/>
      <c r="Q89" s="578"/>
    </row>
    <row r="90" spans="1:17" s="594" customFormat="1" ht="22.5" x14ac:dyDescent="0.25">
      <c r="A90" s="573">
        <v>14</v>
      </c>
      <c r="B90" s="580"/>
      <c r="C90" s="667" t="s">
        <v>549</v>
      </c>
      <c r="D90" s="661" t="s">
        <v>550</v>
      </c>
      <c r="E90" s="662" t="s">
        <v>535</v>
      </c>
      <c r="F90" s="663">
        <v>1</v>
      </c>
      <c r="G90" s="664"/>
      <c r="H90" s="577"/>
      <c r="I90" s="664"/>
      <c r="J90" s="664"/>
      <c r="K90" s="577"/>
      <c r="L90" s="578"/>
      <c r="M90" s="578"/>
      <c r="N90" s="578"/>
      <c r="O90" s="578"/>
      <c r="P90" s="578"/>
      <c r="Q90" s="578"/>
    </row>
    <row r="91" spans="1:17" x14ac:dyDescent="0.25">
      <c r="A91" s="594"/>
      <c r="B91" s="594"/>
      <c r="C91" s="556" t="s">
        <v>77</v>
      </c>
      <c r="D91" s="448"/>
      <c r="E91" s="381"/>
      <c r="F91" s="381"/>
      <c r="G91" s="421"/>
      <c r="H91" s="381"/>
      <c r="I91" s="421"/>
      <c r="J91" s="421"/>
      <c r="K91" s="421"/>
      <c r="L91" s="421"/>
      <c r="M91" s="446">
        <f>SUM(M12:M90)</f>
        <v>0</v>
      </c>
      <c r="N91" s="446">
        <f>SUM(N12:N90)</f>
        <v>0</v>
      </c>
      <c r="O91" s="446">
        <f>SUM(O12:O90)</f>
        <v>0</v>
      </c>
      <c r="P91" s="446">
        <f>SUM(P12:P90)</f>
        <v>0</v>
      </c>
      <c r="Q91" s="446">
        <f>SUM(Q12:Q90)</f>
        <v>0</v>
      </c>
    </row>
    <row r="92" spans="1:17" x14ac:dyDescent="0.25">
      <c r="A92" s="594"/>
      <c r="B92" s="594"/>
      <c r="C92" s="556"/>
      <c r="D92" s="448"/>
      <c r="E92" s="381"/>
      <c r="F92" s="381"/>
      <c r="G92" s="421"/>
      <c r="H92" s="381"/>
      <c r="I92" s="421"/>
      <c r="J92" s="421"/>
      <c r="K92" s="421"/>
      <c r="L92" s="421"/>
      <c r="M92" s="557"/>
      <c r="N92" s="557"/>
      <c r="O92" s="557"/>
      <c r="P92" s="557"/>
      <c r="Q92" s="557"/>
    </row>
    <row r="93" spans="1:17" x14ac:dyDescent="0.25">
      <c r="A93" s="594"/>
      <c r="B93" s="594"/>
      <c r="C93" s="673" t="s">
        <v>680</v>
      </c>
      <c r="D93" s="448"/>
      <c r="E93" s="381"/>
      <c r="F93" s="381"/>
      <c r="G93" s="421"/>
      <c r="H93" s="381"/>
      <c r="I93" s="421"/>
      <c r="J93" s="421"/>
      <c r="K93" s="421"/>
      <c r="L93" s="421"/>
      <c r="M93" s="557"/>
      <c r="N93" s="557"/>
      <c r="O93" s="557"/>
      <c r="P93" s="557"/>
      <c r="Q93" s="557"/>
    </row>
    <row r="94" spans="1:17" x14ac:dyDescent="0.25">
      <c r="A94" s="594"/>
      <c r="B94" s="594"/>
      <c r="C94" s="674" t="s">
        <v>678</v>
      </c>
      <c r="D94" s="594"/>
      <c r="E94" s="594"/>
      <c r="F94" s="594"/>
      <c r="G94" s="594"/>
      <c r="H94" s="594"/>
      <c r="I94" s="594"/>
      <c r="J94" s="594"/>
      <c r="K94" s="594"/>
      <c r="L94" s="594"/>
      <c r="M94" s="594"/>
      <c r="N94" s="594"/>
      <c r="O94" s="594"/>
      <c r="P94" s="594"/>
      <c r="Q94" s="594"/>
    </row>
    <row r="95" spans="1:17" ht="15" x14ac:dyDescent="0.25">
      <c r="A95" s="594"/>
      <c r="B95" s="451"/>
      <c r="C95" s="675"/>
      <c r="D95" s="379"/>
      <c r="E95" s="379"/>
      <c r="F95" s="379"/>
      <c r="G95" s="668"/>
      <c r="H95" s="594"/>
      <c r="I95" s="594"/>
      <c r="J95" s="594"/>
      <c r="K95" s="594"/>
      <c r="L95" s="594"/>
      <c r="M95" s="594"/>
      <c r="N95" s="594"/>
      <c r="O95" s="594"/>
      <c r="P95" s="594"/>
      <c r="Q95" s="594"/>
    </row>
    <row r="96" spans="1:17" x14ac:dyDescent="0.25">
      <c r="A96" s="594"/>
      <c r="B96" s="451"/>
      <c r="C96" s="673" t="s">
        <v>7</v>
      </c>
      <c r="D96" s="379"/>
      <c r="E96" s="379"/>
      <c r="F96" s="379"/>
      <c r="G96" s="453"/>
      <c r="H96" s="594"/>
      <c r="I96" s="594"/>
      <c r="J96" s="594"/>
      <c r="K96" s="594"/>
      <c r="L96" s="594"/>
      <c r="M96" s="594"/>
      <c r="N96" s="594"/>
      <c r="O96" s="594"/>
      <c r="P96" s="594"/>
      <c r="Q96" s="594"/>
    </row>
    <row r="97" spans="1:18" x14ac:dyDescent="0.25">
      <c r="A97" s="594"/>
      <c r="B97" s="452"/>
      <c r="C97" s="673" t="s">
        <v>681</v>
      </c>
      <c r="D97" s="379"/>
      <c r="E97" s="379"/>
      <c r="F97" s="379"/>
      <c r="G97" s="594"/>
      <c r="H97" s="594"/>
      <c r="I97" s="594"/>
      <c r="J97" s="594"/>
      <c r="K97" s="594"/>
      <c r="L97" s="594"/>
      <c r="M97" s="594"/>
      <c r="N97" s="594"/>
      <c r="O97" s="594"/>
      <c r="P97" s="594"/>
      <c r="Q97" s="594"/>
    </row>
    <row r="98" spans="1:18" x14ac:dyDescent="0.25">
      <c r="B98" s="379"/>
      <c r="C98" s="451"/>
      <c r="D98" s="379"/>
      <c r="E98" s="379"/>
      <c r="F98" s="379"/>
      <c r="G98" s="668"/>
    </row>
    <row r="99" spans="1:18" ht="12.75" x14ac:dyDescent="0.2">
      <c r="B99" s="452"/>
      <c r="C99" s="781" t="s">
        <v>838</v>
      </c>
      <c r="D99" s="782"/>
      <c r="E99" s="783"/>
      <c r="F99" s="783"/>
      <c r="G99" s="783"/>
      <c r="H99" s="783"/>
      <c r="I99" s="783"/>
      <c r="J99" s="783"/>
      <c r="K99" s="783"/>
      <c r="L99" s="783"/>
      <c r="M99" s="783"/>
      <c r="N99" s="783"/>
      <c r="O99" s="783"/>
      <c r="P99" s="783"/>
      <c r="Q99" s="783"/>
      <c r="R99" s="783"/>
    </row>
    <row r="100" spans="1:18" x14ac:dyDescent="0.25">
      <c r="B100" s="451"/>
      <c r="C100" s="784" t="s">
        <v>839</v>
      </c>
      <c r="D100" s="784"/>
      <c r="E100" s="784"/>
      <c r="F100" s="784"/>
      <c r="G100" s="784"/>
      <c r="H100" s="784"/>
      <c r="I100" s="784"/>
      <c r="J100" s="784"/>
      <c r="K100" s="784"/>
      <c r="L100" s="784"/>
      <c r="M100" s="784"/>
      <c r="N100" s="784"/>
      <c r="O100" s="784"/>
      <c r="P100" s="784"/>
      <c r="Q100" s="784"/>
      <c r="R100" s="784"/>
    </row>
    <row r="101" spans="1:18" x14ac:dyDescent="0.25">
      <c r="B101" s="451"/>
      <c r="C101" s="784"/>
      <c r="D101" s="784"/>
      <c r="E101" s="784"/>
      <c r="F101" s="784"/>
      <c r="G101" s="784"/>
      <c r="H101" s="784"/>
      <c r="I101" s="784"/>
      <c r="J101" s="784"/>
      <c r="K101" s="784"/>
      <c r="L101" s="784"/>
      <c r="M101" s="784"/>
      <c r="N101" s="784"/>
      <c r="O101" s="784"/>
      <c r="P101" s="784"/>
      <c r="Q101" s="784"/>
      <c r="R101" s="784"/>
    </row>
    <row r="102" spans="1:18" ht="24.75" customHeight="1" x14ac:dyDescent="0.25">
      <c r="B102" s="452"/>
      <c r="C102" s="784"/>
      <c r="D102" s="784"/>
      <c r="E102" s="784"/>
      <c r="F102" s="784"/>
      <c r="G102" s="784"/>
      <c r="H102" s="784"/>
      <c r="I102" s="784"/>
      <c r="J102" s="784"/>
      <c r="K102" s="784"/>
      <c r="L102" s="784"/>
      <c r="M102" s="784"/>
      <c r="N102" s="784"/>
      <c r="O102" s="784"/>
      <c r="P102" s="784"/>
      <c r="Q102" s="784"/>
      <c r="R102" s="784"/>
    </row>
  </sheetData>
  <sheetProtection selectLockedCells="1" selectUnlockedCells="1"/>
  <mergeCells count="16">
    <mergeCell ref="C100:R102"/>
    <mergeCell ref="A9:A10"/>
    <mergeCell ref="B9:B10"/>
    <mergeCell ref="D9:D10"/>
    <mergeCell ref="E9:E10"/>
    <mergeCell ref="F9:F10"/>
    <mergeCell ref="C45:C47"/>
    <mergeCell ref="C48:C52"/>
    <mergeCell ref="C53:C54"/>
    <mergeCell ref="M9:Q9"/>
    <mergeCell ref="C11:D11"/>
    <mergeCell ref="C26:C30"/>
    <mergeCell ref="C31:C35"/>
    <mergeCell ref="C36:C38"/>
    <mergeCell ref="C39:C43"/>
    <mergeCell ref="G9:L9"/>
  </mergeCells>
  <pageMargins left="0.2361111111111111" right="0.2361111111111111" top="0.74791666666666667" bottom="0.74861111111111112" header="0.51180555555555551" footer="0.31527777777777777"/>
  <pageSetup paperSize="9" scale="89" firstPageNumber="0" fitToHeight="0" orientation="landscape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  <pageSetUpPr fitToPage="1"/>
  </sheetPr>
  <dimension ref="A1:IR61"/>
  <sheetViews>
    <sheetView tabSelected="1" view="pageBreakPreview" topLeftCell="A34" zoomScaleSheetLayoutView="100" workbookViewId="0">
      <selection activeCell="S46" sqref="S46"/>
    </sheetView>
  </sheetViews>
  <sheetFormatPr defaultColWidth="39.140625" defaultRowHeight="11.25" x14ac:dyDescent="0.2"/>
  <cols>
    <col min="1" max="1" width="3" style="26" customWidth="1"/>
    <col min="2" max="2" width="4.5703125" style="26" customWidth="1"/>
    <col min="3" max="3" width="49.85546875" style="35" customWidth="1"/>
    <col min="4" max="4" width="13.85546875" style="35" customWidth="1"/>
    <col min="5" max="5" width="4.85546875" style="26" customWidth="1"/>
    <col min="6" max="6" width="5.42578125" style="26" customWidth="1"/>
    <col min="7" max="7" width="7.42578125" style="26" customWidth="1"/>
    <col min="8" max="8" width="8.42578125" style="35" customWidth="1"/>
    <col min="9" max="9" width="6.7109375" style="35" customWidth="1"/>
    <col min="10" max="10" width="5.7109375" style="35" customWidth="1"/>
    <col min="11" max="11" width="5.140625" style="35" customWidth="1"/>
    <col min="12" max="16" width="7" style="35" customWidth="1"/>
    <col min="17" max="17" width="8.140625" style="35" customWidth="1"/>
    <col min="18" max="18" width="4.5703125" style="35" customWidth="1"/>
    <col min="19" max="19" width="27.5703125" style="35" customWidth="1"/>
    <col min="20" max="252" width="39.140625" style="35" customWidth="1"/>
    <col min="253" max="16384" width="39.140625" style="146"/>
  </cols>
  <sheetData>
    <row r="1" spans="1:20" x14ac:dyDescent="0.2">
      <c r="A1" s="775" t="s">
        <v>27</v>
      </c>
      <c r="B1" s="775"/>
      <c r="C1" s="775"/>
      <c r="D1" s="775"/>
      <c r="E1" s="775"/>
      <c r="F1" s="775"/>
      <c r="G1" s="330">
        <f>KPDV!B23</f>
        <v>11</v>
      </c>
      <c r="H1" s="330"/>
      <c r="I1" s="330"/>
      <c r="J1" s="330"/>
      <c r="K1" s="330"/>
      <c r="L1" s="330"/>
      <c r="M1" s="330"/>
      <c r="N1" s="330"/>
      <c r="O1" s="330"/>
      <c r="P1" s="330"/>
    </row>
    <row r="2" spans="1:20" x14ac:dyDescent="0.2">
      <c r="A2" s="331"/>
      <c r="B2" s="331"/>
      <c r="C2" s="332" t="s">
        <v>551</v>
      </c>
      <c r="D2" s="332"/>
      <c r="E2" s="331"/>
      <c r="F2" s="331"/>
      <c r="G2" s="331"/>
      <c r="H2" s="330"/>
      <c r="I2" s="330"/>
      <c r="J2" s="330"/>
      <c r="K2" s="330"/>
      <c r="L2" s="330"/>
      <c r="M2" s="330"/>
      <c r="N2" s="330"/>
      <c r="O2" s="330"/>
      <c r="P2" s="330"/>
    </row>
    <row r="3" spans="1:20" x14ac:dyDescent="0.2">
      <c r="A3" s="331"/>
      <c r="B3" s="331"/>
      <c r="C3" s="332"/>
      <c r="D3" s="332"/>
      <c r="E3" s="331"/>
      <c r="F3" s="331"/>
      <c r="G3" s="331"/>
      <c r="H3" s="330"/>
      <c r="I3" s="330"/>
      <c r="J3" s="330"/>
      <c r="K3" s="330"/>
      <c r="L3" s="330"/>
      <c r="M3" s="330"/>
      <c r="N3" s="330"/>
      <c r="O3" s="330"/>
      <c r="P3" s="330"/>
    </row>
    <row r="4" spans="1:20" x14ac:dyDescent="0.2">
      <c r="A4" s="11" t="str">
        <f>obj</f>
        <v>Objekta nosaukums: Dzīvojamās ēkas fasādes vienkāršota atjaunošana</v>
      </c>
      <c r="B4" s="13"/>
      <c r="C4" s="13"/>
      <c r="D4" s="13"/>
      <c r="E4" s="13"/>
      <c r="F4" s="13"/>
      <c r="G4" s="13"/>
      <c r="H4" s="8"/>
      <c r="I4" s="8"/>
      <c r="J4" s="8"/>
      <c r="K4" s="8"/>
      <c r="L4" s="333"/>
      <c r="M4" s="333"/>
      <c r="N4" s="333"/>
      <c r="O4" s="333"/>
      <c r="P4" s="330"/>
    </row>
    <row r="5" spans="1:20" x14ac:dyDescent="0.2">
      <c r="A5" s="11" t="str">
        <f>nos</f>
        <v>Būves nosaukums: Daudzdzīvokļu dzīvojamā ēka</v>
      </c>
      <c r="B5" s="13"/>
      <c r="C5" s="13"/>
      <c r="D5" s="13"/>
      <c r="E5" s="13"/>
      <c r="F5" s="13"/>
      <c r="G5" s="13"/>
      <c r="H5" s="8"/>
      <c r="I5" s="8"/>
      <c r="J5" s="8"/>
      <c r="K5" s="8"/>
      <c r="L5" s="333"/>
      <c r="M5" s="333"/>
      <c r="N5" s="333"/>
      <c r="O5" s="333"/>
      <c r="P5" s="330"/>
    </row>
    <row r="6" spans="1:20" x14ac:dyDescent="0.2">
      <c r="A6" s="11" t="str">
        <f>adres</f>
        <v>Objekta adrese: Mirdzas Ķempes iela 22, Liepāja</v>
      </c>
      <c r="B6" s="11"/>
      <c r="C6" s="11"/>
      <c r="D6" s="11"/>
      <c r="E6" s="13"/>
      <c r="F6" s="11"/>
      <c r="G6" s="11"/>
      <c r="H6" s="10"/>
      <c r="I6" s="10"/>
      <c r="J6" s="333"/>
      <c r="K6" s="333"/>
      <c r="L6" s="333"/>
      <c r="M6" s="333"/>
      <c r="N6" s="333"/>
      <c r="O6" s="333"/>
      <c r="P6" s="330"/>
    </row>
    <row r="7" spans="1:20" x14ac:dyDescent="0.2">
      <c r="A7" s="11" t="str">
        <f>nr</f>
        <v>Pasūtījuma Nr.WS-77-16</v>
      </c>
      <c r="B7" s="11"/>
      <c r="C7" s="11"/>
      <c r="D7" s="11"/>
      <c r="E7" s="11"/>
      <c r="F7" s="11"/>
      <c r="G7" s="11"/>
      <c r="H7" s="10"/>
      <c r="I7" s="10"/>
      <c r="J7" s="333"/>
      <c r="K7" s="333"/>
      <c r="L7" s="333"/>
      <c r="M7" s="333"/>
      <c r="N7" s="333"/>
      <c r="O7" s="333"/>
      <c r="P7" s="330"/>
    </row>
    <row r="8" spans="1:20" x14ac:dyDescent="0.2">
      <c r="A8" s="11"/>
      <c r="B8" s="11"/>
      <c r="C8" s="11"/>
      <c r="D8" s="11"/>
      <c r="E8" s="11"/>
      <c r="F8" s="11"/>
      <c r="G8" s="11"/>
      <c r="H8" s="10"/>
      <c r="I8" s="10"/>
      <c r="J8" s="333"/>
      <c r="K8" s="333"/>
      <c r="L8" s="333"/>
      <c r="M8" s="333"/>
      <c r="N8" s="333"/>
      <c r="O8" s="333"/>
      <c r="P8" s="330"/>
    </row>
    <row r="9" spans="1:20" x14ac:dyDescent="0.2">
      <c r="A9" s="776" t="s">
        <v>689</v>
      </c>
      <c r="B9" s="776"/>
      <c r="C9" s="776"/>
      <c r="D9" s="776"/>
      <c r="E9" s="337" t="s">
        <v>552</v>
      </c>
      <c r="F9" s="337"/>
      <c r="G9" s="337"/>
      <c r="H9" s="334" t="s">
        <v>30</v>
      </c>
      <c r="I9" s="334"/>
      <c r="J9" s="267"/>
      <c r="K9" s="267"/>
      <c r="L9" s="267"/>
      <c r="M9" s="267"/>
      <c r="N9" s="267" t="s">
        <v>19</v>
      </c>
      <c r="O9" s="267"/>
      <c r="P9" s="335">
        <f>Q50</f>
        <v>0</v>
      </c>
      <c r="Q9" s="336" t="s">
        <v>553</v>
      </c>
    </row>
    <row r="10" spans="1:20" x14ac:dyDescent="0.2"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146"/>
      <c r="O10" s="337"/>
      <c r="P10" s="71" t="str">
        <f>KPDV!C33</f>
        <v>Tāme sastādīta</v>
      </c>
    </row>
    <row r="11" spans="1:20" x14ac:dyDescent="0.2"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267"/>
    </row>
    <row r="12" spans="1:20" x14ac:dyDescent="0.2">
      <c r="A12" s="777" t="s">
        <v>1</v>
      </c>
      <c r="B12" s="778" t="s">
        <v>32</v>
      </c>
      <c r="C12" s="779" t="s">
        <v>554</v>
      </c>
      <c r="D12" s="779"/>
      <c r="E12" s="780" t="s">
        <v>34</v>
      </c>
      <c r="F12" s="778" t="s">
        <v>35</v>
      </c>
      <c r="G12" s="729" t="s">
        <v>36</v>
      </c>
      <c r="H12" s="729"/>
      <c r="I12" s="729"/>
      <c r="J12" s="729"/>
      <c r="K12" s="729"/>
      <c r="L12" s="729"/>
      <c r="M12" s="729" t="s">
        <v>37</v>
      </c>
      <c r="N12" s="729"/>
      <c r="O12" s="729"/>
      <c r="P12" s="729"/>
      <c r="Q12" s="729"/>
    </row>
    <row r="13" spans="1:20" ht="67.5" customHeight="1" x14ac:dyDescent="0.2">
      <c r="A13" s="777"/>
      <c r="B13" s="778"/>
      <c r="C13" s="779"/>
      <c r="D13" s="779"/>
      <c r="E13" s="780"/>
      <c r="F13" s="778"/>
      <c r="G13" s="75" t="s">
        <v>38</v>
      </c>
      <c r="H13" s="75" t="s">
        <v>660</v>
      </c>
      <c r="I13" s="75" t="s">
        <v>20</v>
      </c>
      <c r="J13" s="75" t="s">
        <v>657</v>
      </c>
      <c r="K13" s="75" t="s">
        <v>21</v>
      </c>
      <c r="L13" s="75" t="s">
        <v>658</v>
      </c>
      <c r="M13" s="75" t="s">
        <v>39</v>
      </c>
      <c r="N13" s="75" t="s">
        <v>20</v>
      </c>
      <c r="O13" s="75" t="s">
        <v>657</v>
      </c>
      <c r="P13" s="75" t="s">
        <v>21</v>
      </c>
      <c r="Q13" s="75" t="s">
        <v>659</v>
      </c>
      <c r="R13" s="74"/>
      <c r="T13" s="348"/>
    </row>
    <row r="14" spans="1:20" x14ac:dyDescent="0.2">
      <c r="A14" s="338">
        <v>1</v>
      </c>
      <c r="B14" s="275">
        <f>A14+1</f>
        <v>2</v>
      </c>
      <c r="C14" s="339">
        <f>B14+1</f>
        <v>3</v>
      </c>
      <c r="D14" s="339"/>
      <c r="E14" s="275">
        <f>C14+1</f>
        <v>4</v>
      </c>
      <c r="F14" s="340">
        <f t="shared" ref="F14:Q14" si="0">E14+1</f>
        <v>5</v>
      </c>
      <c r="G14" s="340">
        <f t="shared" si="0"/>
        <v>6</v>
      </c>
      <c r="H14" s="340">
        <f t="shared" si="0"/>
        <v>7</v>
      </c>
      <c r="I14" s="340">
        <f t="shared" si="0"/>
        <v>8</v>
      </c>
      <c r="J14" s="340">
        <f t="shared" si="0"/>
        <v>9</v>
      </c>
      <c r="K14" s="340">
        <f t="shared" si="0"/>
        <v>10</v>
      </c>
      <c r="L14" s="340">
        <f t="shared" si="0"/>
        <v>11</v>
      </c>
      <c r="M14" s="340">
        <f t="shared" si="0"/>
        <v>12</v>
      </c>
      <c r="N14" s="340">
        <f t="shared" si="0"/>
        <v>13</v>
      </c>
      <c r="O14" s="340">
        <f t="shared" si="0"/>
        <v>14</v>
      </c>
      <c r="P14" s="340">
        <f t="shared" si="0"/>
        <v>15</v>
      </c>
      <c r="Q14" s="340">
        <f t="shared" si="0"/>
        <v>16</v>
      </c>
      <c r="R14" s="292"/>
    </row>
    <row r="15" spans="1:20" x14ac:dyDescent="0.2">
      <c r="A15" s="85"/>
      <c r="B15" s="85"/>
      <c r="C15" s="281" t="s">
        <v>555</v>
      </c>
      <c r="D15" s="281"/>
      <c r="E15" s="85"/>
      <c r="F15" s="85"/>
      <c r="G15" s="85"/>
      <c r="H15" s="341"/>
      <c r="I15" s="341"/>
      <c r="J15" s="341"/>
      <c r="K15" s="341"/>
      <c r="L15" s="341"/>
      <c r="M15" s="266"/>
      <c r="N15" s="266"/>
      <c r="O15" s="266"/>
      <c r="P15" s="266"/>
      <c r="Q15" s="266"/>
    </row>
    <row r="16" spans="1:20" x14ac:dyDescent="0.2">
      <c r="A16" s="85">
        <v>1</v>
      </c>
      <c r="B16" s="85" t="s">
        <v>40</v>
      </c>
      <c r="C16" s="104" t="s">
        <v>556</v>
      </c>
      <c r="D16" s="281"/>
      <c r="E16" s="90" t="s">
        <v>67</v>
      </c>
      <c r="F16" s="85">
        <v>4</v>
      </c>
      <c r="G16" s="85"/>
      <c r="H16" s="341"/>
      <c r="I16" s="341"/>
      <c r="J16" s="341"/>
      <c r="K16" s="341"/>
      <c r="L16" s="341"/>
      <c r="M16" s="266"/>
      <c r="N16" s="266"/>
      <c r="O16" s="266"/>
      <c r="P16" s="266"/>
      <c r="Q16" s="266"/>
    </row>
    <row r="17" spans="1:17" x14ac:dyDescent="0.2">
      <c r="A17" s="85">
        <v>2</v>
      </c>
      <c r="B17" s="85" t="s">
        <v>40</v>
      </c>
      <c r="C17" s="104" t="s">
        <v>557</v>
      </c>
      <c r="D17" s="281"/>
      <c r="E17" s="90" t="s">
        <v>67</v>
      </c>
      <c r="F17" s="85">
        <v>4</v>
      </c>
      <c r="G17" s="85"/>
      <c r="H17" s="341"/>
      <c r="I17" s="341"/>
      <c r="J17" s="341"/>
      <c r="K17" s="341"/>
      <c r="L17" s="341"/>
      <c r="M17" s="266"/>
      <c r="N17" s="266"/>
      <c r="O17" s="266"/>
      <c r="P17" s="266"/>
      <c r="Q17" s="266"/>
    </row>
    <row r="18" spans="1:17" x14ac:dyDescent="0.2">
      <c r="A18" s="85">
        <v>3</v>
      </c>
      <c r="B18" s="85" t="s">
        <v>40</v>
      </c>
      <c r="C18" s="104" t="s">
        <v>558</v>
      </c>
      <c r="D18" s="281"/>
      <c r="E18" s="90" t="s">
        <v>67</v>
      </c>
      <c r="F18" s="85">
        <v>4</v>
      </c>
      <c r="G18" s="85"/>
      <c r="H18" s="341"/>
      <c r="I18" s="341"/>
      <c r="J18" s="341"/>
      <c r="K18" s="341"/>
      <c r="L18" s="341"/>
      <c r="M18" s="266"/>
      <c r="N18" s="266"/>
      <c r="O18" s="266"/>
      <c r="P18" s="266"/>
      <c r="Q18" s="266"/>
    </row>
    <row r="19" spans="1:17" ht="12.75" x14ac:dyDescent="0.2">
      <c r="A19" s="85">
        <v>4</v>
      </c>
      <c r="B19" s="85" t="s">
        <v>40</v>
      </c>
      <c r="C19" s="354" t="s">
        <v>559</v>
      </c>
      <c r="D19" s="359" t="s">
        <v>560</v>
      </c>
      <c r="E19" s="90" t="s">
        <v>67</v>
      </c>
      <c r="F19" s="359">
        <v>4</v>
      </c>
      <c r="G19" s="341"/>
      <c r="H19" s="341"/>
      <c r="I19" s="341"/>
      <c r="J19" s="341"/>
      <c r="K19" s="341"/>
      <c r="L19" s="266"/>
      <c r="M19" s="266"/>
      <c r="N19" s="266"/>
      <c r="O19" s="266"/>
      <c r="P19" s="266"/>
      <c r="Q19" s="266"/>
    </row>
    <row r="20" spans="1:17" ht="12.75" x14ac:dyDescent="0.2">
      <c r="A20" s="85">
        <v>5</v>
      </c>
      <c r="B20" s="85" t="s">
        <v>40</v>
      </c>
      <c r="C20" s="355" t="s">
        <v>561</v>
      </c>
      <c r="D20" s="359" t="str">
        <f>D19</f>
        <v>Dn50</v>
      </c>
      <c r="E20" s="90" t="s">
        <v>67</v>
      </c>
      <c r="F20" s="362">
        <f>F19</f>
        <v>4</v>
      </c>
      <c r="G20" s="342"/>
      <c r="H20" s="341"/>
      <c r="I20" s="341"/>
      <c r="J20" s="341"/>
      <c r="K20" s="341"/>
      <c r="L20" s="266"/>
      <c r="M20" s="266"/>
      <c r="N20" s="266"/>
      <c r="O20" s="266"/>
      <c r="P20" s="266"/>
      <c r="Q20" s="266"/>
    </row>
    <row r="21" spans="1:17" ht="12.75" x14ac:dyDescent="0.2">
      <c r="A21" s="85">
        <v>6</v>
      </c>
      <c r="B21" s="85" t="s">
        <v>40</v>
      </c>
      <c r="C21" s="356" t="s">
        <v>562</v>
      </c>
      <c r="D21" s="359" t="str">
        <f>D20</f>
        <v>Dn50</v>
      </c>
      <c r="E21" s="90" t="s">
        <v>67</v>
      </c>
      <c r="F21" s="362">
        <f>F20</f>
        <v>4</v>
      </c>
      <c r="G21" s="342"/>
      <c r="H21" s="341"/>
      <c r="I21" s="341"/>
      <c r="J21" s="341"/>
      <c r="K21" s="341"/>
      <c r="L21" s="266"/>
      <c r="M21" s="266"/>
      <c r="N21" s="266"/>
      <c r="O21" s="266"/>
      <c r="P21" s="266"/>
      <c r="Q21" s="266"/>
    </row>
    <row r="22" spans="1:17" ht="12.75" x14ac:dyDescent="0.2">
      <c r="A22" s="85">
        <v>7</v>
      </c>
      <c r="B22" s="85" t="s">
        <v>40</v>
      </c>
      <c r="C22" s="356" t="s">
        <v>563</v>
      </c>
      <c r="D22" s="359" t="str">
        <f>D21</f>
        <v>Dn50</v>
      </c>
      <c r="E22" s="90" t="s">
        <v>67</v>
      </c>
      <c r="F22" s="362">
        <f>F19*2</f>
        <v>8</v>
      </c>
      <c r="G22" s="342"/>
      <c r="H22" s="341"/>
      <c r="I22" s="341"/>
      <c r="J22" s="341"/>
      <c r="K22" s="341"/>
      <c r="L22" s="266"/>
      <c r="M22" s="266"/>
      <c r="N22" s="266"/>
      <c r="O22" s="266"/>
      <c r="P22" s="266"/>
      <c r="Q22" s="266"/>
    </row>
    <row r="23" spans="1:17" ht="12.75" x14ac:dyDescent="0.2">
      <c r="A23" s="85">
        <v>8</v>
      </c>
      <c r="B23" s="85" t="s">
        <v>40</v>
      </c>
      <c r="C23" s="354" t="s">
        <v>564</v>
      </c>
      <c r="D23" s="359" t="str">
        <f>D21</f>
        <v>Dn50</v>
      </c>
      <c r="E23" s="90" t="s">
        <v>67</v>
      </c>
      <c r="F23" s="361">
        <f>F19</f>
        <v>4</v>
      </c>
      <c r="G23" s="342"/>
      <c r="H23" s="341"/>
      <c r="I23" s="341"/>
      <c r="J23" s="341"/>
      <c r="K23" s="341"/>
      <c r="L23" s="266"/>
      <c r="M23" s="266"/>
      <c r="N23" s="266"/>
      <c r="O23" s="266"/>
      <c r="P23" s="266"/>
      <c r="Q23" s="266"/>
    </row>
    <row r="24" spans="1:17" ht="12.75" x14ac:dyDescent="0.2">
      <c r="A24" s="85">
        <v>9</v>
      </c>
      <c r="B24" s="85" t="s">
        <v>40</v>
      </c>
      <c r="C24" s="356" t="s">
        <v>565</v>
      </c>
      <c r="D24" s="359" t="str">
        <f>D23</f>
        <v>Dn50</v>
      </c>
      <c r="E24" s="90" t="s">
        <v>566</v>
      </c>
      <c r="F24" s="361">
        <f>F19</f>
        <v>4</v>
      </c>
      <c r="G24" s="342"/>
      <c r="H24" s="341"/>
      <c r="I24" s="341"/>
      <c r="J24" s="341"/>
      <c r="K24" s="341"/>
      <c r="L24" s="266"/>
      <c r="M24" s="266"/>
      <c r="N24" s="266"/>
      <c r="O24" s="266"/>
      <c r="P24" s="266"/>
      <c r="Q24" s="266"/>
    </row>
    <row r="25" spans="1:17" ht="12.75" x14ac:dyDescent="0.2">
      <c r="A25" s="85">
        <v>10</v>
      </c>
      <c r="B25" s="85" t="s">
        <v>40</v>
      </c>
      <c r="C25" s="354" t="s">
        <v>567</v>
      </c>
      <c r="D25" s="360" t="s">
        <v>568</v>
      </c>
      <c r="E25" s="90" t="s">
        <v>42</v>
      </c>
      <c r="F25" s="359">
        <f>F19*2</f>
        <v>8</v>
      </c>
      <c r="G25" s="342"/>
      <c r="H25" s="341"/>
      <c r="I25" s="341"/>
      <c r="J25" s="341"/>
      <c r="K25" s="341"/>
      <c r="L25" s="266"/>
      <c r="M25" s="266"/>
      <c r="N25" s="266"/>
      <c r="O25" s="266"/>
      <c r="P25" s="266"/>
      <c r="Q25" s="266"/>
    </row>
    <row r="26" spans="1:17" ht="25.5" x14ac:dyDescent="0.2">
      <c r="A26" s="85">
        <v>11</v>
      </c>
      <c r="B26" s="85" t="s">
        <v>40</v>
      </c>
      <c r="C26" s="354" t="s">
        <v>569</v>
      </c>
      <c r="D26" s="360" t="s">
        <v>568</v>
      </c>
      <c r="E26" s="90" t="s">
        <v>67</v>
      </c>
      <c r="F26" s="359">
        <f>F19</f>
        <v>4</v>
      </c>
      <c r="G26" s="342"/>
      <c r="H26" s="341"/>
      <c r="I26" s="341"/>
      <c r="J26" s="341"/>
      <c r="K26" s="341"/>
      <c r="L26" s="266"/>
      <c r="M26" s="266"/>
      <c r="N26" s="266"/>
      <c r="O26" s="266"/>
      <c r="P26" s="266"/>
      <c r="Q26" s="266"/>
    </row>
    <row r="27" spans="1:17" ht="25.5" x14ac:dyDescent="0.2">
      <c r="A27" s="85">
        <v>12</v>
      </c>
      <c r="B27" s="85" t="s">
        <v>40</v>
      </c>
      <c r="C27" s="355" t="s">
        <v>713</v>
      </c>
      <c r="D27" s="360" t="s">
        <v>570</v>
      </c>
      <c r="E27" s="90" t="s">
        <v>67</v>
      </c>
      <c r="F27" s="359">
        <f>F19</f>
        <v>4</v>
      </c>
      <c r="G27" s="342"/>
      <c r="H27" s="341"/>
      <c r="I27" s="341"/>
      <c r="J27" s="341"/>
      <c r="K27" s="341"/>
      <c r="L27" s="266"/>
      <c r="M27" s="266"/>
      <c r="N27" s="266"/>
      <c r="O27" s="266"/>
      <c r="P27" s="266"/>
      <c r="Q27" s="266"/>
    </row>
    <row r="28" spans="1:17" ht="25.5" x14ac:dyDescent="0.2">
      <c r="A28" s="85">
        <v>13</v>
      </c>
      <c r="B28" s="85" t="s">
        <v>40</v>
      </c>
      <c r="C28" s="355" t="s">
        <v>712</v>
      </c>
      <c r="D28" s="360" t="s">
        <v>571</v>
      </c>
      <c r="E28" s="90" t="s">
        <v>42</v>
      </c>
      <c r="F28" s="362">
        <f>F19*4</f>
        <v>16</v>
      </c>
      <c r="G28" s="342"/>
      <c r="H28" s="341"/>
      <c r="I28" s="341"/>
      <c r="J28" s="341"/>
      <c r="K28" s="341"/>
      <c r="L28" s="266"/>
      <c r="M28" s="266"/>
      <c r="N28" s="266"/>
      <c r="O28" s="266"/>
      <c r="P28" s="266"/>
      <c r="Q28" s="266"/>
    </row>
    <row r="29" spans="1:17" ht="14.25" x14ac:dyDescent="0.2">
      <c r="A29" s="85">
        <v>14</v>
      </c>
      <c r="B29" s="85" t="s">
        <v>40</v>
      </c>
      <c r="C29" s="355" t="s">
        <v>632</v>
      </c>
      <c r="D29" s="360" t="s">
        <v>571</v>
      </c>
      <c r="E29" s="90" t="s">
        <v>67</v>
      </c>
      <c r="F29" s="362">
        <v>12</v>
      </c>
      <c r="G29" s="342"/>
      <c r="H29" s="341"/>
      <c r="I29" s="341"/>
      <c r="J29" s="341"/>
      <c r="K29" s="341"/>
      <c r="L29" s="266"/>
      <c r="M29" s="266"/>
      <c r="N29" s="266"/>
      <c r="O29" s="266"/>
      <c r="P29" s="266"/>
      <c r="Q29" s="266"/>
    </row>
    <row r="30" spans="1:17" ht="25.5" x14ac:dyDescent="0.2">
      <c r="A30" s="85">
        <v>15</v>
      </c>
      <c r="B30" s="85" t="s">
        <v>40</v>
      </c>
      <c r="C30" s="355" t="s">
        <v>572</v>
      </c>
      <c r="D30" s="360"/>
      <c r="E30" s="90" t="s">
        <v>408</v>
      </c>
      <c r="F30" s="362">
        <f>F19</f>
        <v>4</v>
      </c>
      <c r="G30" s="342"/>
      <c r="H30" s="341"/>
      <c r="I30" s="341"/>
      <c r="J30" s="341"/>
      <c r="K30" s="341"/>
      <c r="L30" s="266"/>
      <c r="M30" s="266"/>
      <c r="N30" s="266"/>
      <c r="O30" s="266"/>
      <c r="P30" s="266"/>
      <c r="Q30" s="266"/>
    </row>
    <row r="31" spans="1:17" ht="25.5" x14ac:dyDescent="0.2">
      <c r="A31" s="85">
        <v>16</v>
      </c>
      <c r="B31" s="85" t="s">
        <v>40</v>
      </c>
      <c r="C31" s="355" t="s">
        <v>573</v>
      </c>
      <c r="D31" s="360"/>
      <c r="E31" s="90" t="s">
        <v>47</v>
      </c>
      <c r="F31" s="362">
        <f>F19*0.5</f>
        <v>2</v>
      </c>
      <c r="G31" s="342"/>
      <c r="H31" s="341"/>
      <c r="I31" s="341"/>
      <c r="J31" s="341"/>
      <c r="K31" s="341"/>
      <c r="L31" s="266"/>
      <c r="M31" s="266"/>
      <c r="N31" s="266"/>
      <c r="O31" s="266"/>
      <c r="P31" s="266"/>
      <c r="Q31" s="266"/>
    </row>
    <row r="32" spans="1:17" ht="12.75" x14ac:dyDescent="0.2">
      <c r="A32" s="85">
        <v>17</v>
      </c>
      <c r="B32" s="85" t="s">
        <v>40</v>
      </c>
      <c r="C32" s="354" t="s">
        <v>574</v>
      </c>
      <c r="D32" s="360"/>
      <c r="E32" s="90" t="s">
        <v>67</v>
      </c>
      <c r="F32" s="359">
        <f>F19</f>
        <v>4</v>
      </c>
      <c r="G32" s="342"/>
      <c r="H32" s="341"/>
      <c r="I32" s="341"/>
      <c r="J32" s="341"/>
      <c r="K32" s="341"/>
      <c r="L32" s="266"/>
      <c r="M32" s="266"/>
      <c r="N32" s="266"/>
      <c r="O32" s="266"/>
      <c r="P32" s="266"/>
      <c r="Q32" s="266"/>
    </row>
    <row r="33" spans="1:17" ht="25.5" x14ac:dyDescent="0.2">
      <c r="A33" s="85">
        <v>18</v>
      </c>
      <c r="B33" s="85" t="s">
        <v>40</v>
      </c>
      <c r="C33" s="355" t="s">
        <v>575</v>
      </c>
      <c r="D33" s="360"/>
      <c r="E33" s="90" t="s">
        <v>42</v>
      </c>
      <c r="F33" s="362">
        <f>F25</f>
        <v>8</v>
      </c>
      <c r="G33" s="342"/>
      <c r="H33" s="341"/>
      <c r="I33" s="341"/>
      <c r="J33" s="341"/>
      <c r="K33" s="341"/>
      <c r="L33" s="266"/>
      <c r="M33" s="266"/>
      <c r="N33" s="266"/>
      <c r="O33" s="266"/>
      <c r="P33" s="266"/>
      <c r="Q33" s="266"/>
    </row>
    <row r="34" spans="1:17" ht="12.75" x14ac:dyDescent="0.2">
      <c r="A34" s="85">
        <v>19</v>
      </c>
      <c r="B34" s="85" t="s">
        <v>40</v>
      </c>
      <c r="C34" s="355" t="s">
        <v>576</v>
      </c>
      <c r="D34" s="360"/>
      <c r="E34" s="90" t="s">
        <v>42</v>
      </c>
      <c r="F34" s="362">
        <f>F19*4</f>
        <v>16</v>
      </c>
      <c r="G34" s="342"/>
      <c r="H34" s="341"/>
      <c r="I34" s="341"/>
      <c r="J34" s="341"/>
      <c r="K34" s="341"/>
      <c r="L34" s="266"/>
      <c r="M34" s="266"/>
      <c r="N34" s="266"/>
      <c r="O34" s="266"/>
      <c r="P34" s="266"/>
      <c r="Q34" s="266"/>
    </row>
    <row r="35" spans="1:17" ht="12.75" x14ac:dyDescent="0.2">
      <c r="A35" s="85">
        <v>20</v>
      </c>
      <c r="B35" s="85" t="s">
        <v>40</v>
      </c>
      <c r="C35" s="355" t="s">
        <v>577</v>
      </c>
      <c r="D35" s="360"/>
      <c r="E35" s="90" t="s">
        <v>42</v>
      </c>
      <c r="F35" s="362">
        <f>F19*4</f>
        <v>16</v>
      </c>
      <c r="G35" s="342"/>
      <c r="H35" s="341"/>
      <c r="I35" s="341"/>
      <c r="J35" s="341"/>
      <c r="K35" s="341"/>
      <c r="L35" s="266"/>
      <c r="M35" s="266"/>
      <c r="N35" s="266"/>
      <c r="O35" s="266"/>
      <c r="P35" s="266"/>
      <c r="Q35" s="266"/>
    </row>
    <row r="36" spans="1:17" ht="25.5" x14ac:dyDescent="0.2">
      <c r="A36" s="85">
        <v>21</v>
      </c>
      <c r="B36" s="85" t="s">
        <v>40</v>
      </c>
      <c r="C36" s="355" t="s">
        <v>578</v>
      </c>
      <c r="D36" s="360"/>
      <c r="E36" s="90" t="s">
        <v>88</v>
      </c>
      <c r="F36" s="362">
        <f>F33*0.2*1.5</f>
        <v>2.4000000000000004</v>
      </c>
      <c r="G36" s="342"/>
      <c r="H36" s="341"/>
      <c r="I36" s="341"/>
      <c r="J36" s="341"/>
      <c r="K36" s="341"/>
      <c r="L36" s="266"/>
      <c r="M36" s="266"/>
      <c r="N36" s="266"/>
      <c r="O36" s="266"/>
      <c r="P36" s="266"/>
      <c r="Q36" s="266"/>
    </row>
    <row r="37" spans="1:17" ht="25.5" x14ac:dyDescent="0.2">
      <c r="A37" s="85">
        <v>22</v>
      </c>
      <c r="B37" s="85" t="s">
        <v>40</v>
      </c>
      <c r="C37" s="357" t="s">
        <v>579</v>
      </c>
      <c r="D37" s="360"/>
      <c r="E37" s="90" t="s">
        <v>187</v>
      </c>
      <c r="F37" s="359">
        <f>F19</f>
        <v>4</v>
      </c>
      <c r="G37" s="342"/>
      <c r="H37" s="341"/>
      <c r="I37" s="341"/>
      <c r="J37" s="341"/>
      <c r="K37" s="341"/>
      <c r="L37" s="266"/>
      <c r="M37" s="266"/>
      <c r="N37" s="266"/>
      <c r="O37" s="266"/>
      <c r="P37" s="266"/>
      <c r="Q37" s="266"/>
    </row>
    <row r="38" spans="1:17" ht="12.75" x14ac:dyDescent="0.2">
      <c r="A38" s="85">
        <v>23</v>
      </c>
      <c r="B38" s="85" t="s">
        <v>40</v>
      </c>
      <c r="C38" s="356" t="s">
        <v>580</v>
      </c>
      <c r="D38" s="360"/>
      <c r="E38" s="90" t="s">
        <v>581</v>
      </c>
      <c r="F38" s="361">
        <f>F37</f>
        <v>4</v>
      </c>
      <c r="G38" s="342"/>
      <c r="H38" s="341"/>
      <c r="I38" s="341"/>
      <c r="J38" s="341"/>
      <c r="K38" s="341"/>
      <c r="L38" s="266"/>
      <c r="M38" s="266"/>
      <c r="N38" s="266"/>
      <c r="O38" s="266"/>
      <c r="P38" s="266"/>
      <c r="Q38" s="266"/>
    </row>
    <row r="39" spans="1:17" ht="12.75" x14ac:dyDescent="0.2">
      <c r="A39" s="85">
        <v>24</v>
      </c>
      <c r="B39" s="85" t="s">
        <v>40</v>
      </c>
      <c r="C39" s="356" t="s">
        <v>582</v>
      </c>
      <c r="D39" s="360"/>
      <c r="E39" s="90" t="s">
        <v>581</v>
      </c>
      <c r="F39" s="361">
        <f>F38</f>
        <v>4</v>
      </c>
      <c r="G39" s="342"/>
      <c r="H39" s="341"/>
      <c r="I39" s="341"/>
      <c r="J39" s="341"/>
      <c r="K39" s="341"/>
      <c r="L39" s="266"/>
      <c r="M39" s="266"/>
      <c r="N39" s="266"/>
      <c r="O39" s="266"/>
      <c r="P39" s="266"/>
      <c r="Q39" s="266"/>
    </row>
    <row r="40" spans="1:17" ht="12.75" x14ac:dyDescent="0.2">
      <c r="A40" s="85">
        <v>25</v>
      </c>
      <c r="B40" s="85" t="s">
        <v>40</v>
      </c>
      <c r="C40" s="356" t="s">
        <v>583</v>
      </c>
      <c r="D40" s="360"/>
      <c r="E40" s="90" t="s">
        <v>581</v>
      </c>
      <c r="F40" s="361">
        <f>F39</f>
        <v>4</v>
      </c>
      <c r="G40" s="342"/>
      <c r="H40" s="341"/>
      <c r="I40" s="341"/>
      <c r="J40" s="341"/>
      <c r="K40" s="341"/>
      <c r="L40" s="266"/>
      <c r="M40" s="266"/>
      <c r="N40" s="266"/>
      <c r="O40" s="266"/>
      <c r="P40" s="266"/>
      <c r="Q40" s="266"/>
    </row>
    <row r="41" spans="1:17" ht="12.75" x14ac:dyDescent="0.2">
      <c r="A41" s="85">
        <v>26</v>
      </c>
      <c r="B41" s="85" t="s">
        <v>40</v>
      </c>
      <c r="C41" s="356" t="s">
        <v>584</v>
      </c>
      <c r="D41" s="360"/>
      <c r="E41" s="90" t="s">
        <v>47</v>
      </c>
      <c r="F41" s="361">
        <f>F19*3</f>
        <v>12</v>
      </c>
      <c r="G41" s="342"/>
      <c r="H41" s="341"/>
      <c r="I41" s="341"/>
      <c r="J41" s="341"/>
      <c r="K41" s="341"/>
      <c r="L41" s="266"/>
      <c r="M41" s="266"/>
      <c r="N41" s="266"/>
      <c r="O41" s="266"/>
      <c r="P41" s="266"/>
      <c r="Q41" s="266"/>
    </row>
    <row r="42" spans="1:17" ht="25.5" x14ac:dyDescent="0.2">
      <c r="A42" s="85">
        <v>27</v>
      </c>
      <c r="B42" s="85" t="s">
        <v>40</v>
      </c>
      <c r="C42" s="356" t="s">
        <v>585</v>
      </c>
      <c r="D42" s="360"/>
      <c r="E42" s="90" t="s">
        <v>408</v>
      </c>
      <c r="F42" s="361">
        <f>F20*3</f>
        <v>12</v>
      </c>
      <c r="G42" s="342"/>
      <c r="H42" s="341"/>
      <c r="I42" s="341"/>
      <c r="J42" s="341"/>
      <c r="K42" s="341"/>
      <c r="L42" s="266"/>
      <c r="M42" s="266"/>
      <c r="N42" s="266"/>
      <c r="O42" s="266"/>
      <c r="P42" s="266"/>
      <c r="Q42" s="266"/>
    </row>
    <row r="43" spans="1:17" ht="12.75" x14ac:dyDescent="0.2">
      <c r="A43" s="85">
        <v>28</v>
      </c>
      <c r="B43" s="85" t="s">
        <v>40</v>
      </c>
      <c r="C43" s="356" t="s">
        <v>586</v>
      </c>
      <c r="D43" s="361"/>
      <c r="E43" s="90" t="s">
        <v>408</v>
      </c>
      <c r="F43" s="361">
        <f>F42</f>
        <v>12</v>
      </c>
      <c r="G43" s="342"/>
      <c r="H43" s="341"/>
      <c r="I43" s="341"/>
      <c r="J43" s="341"/>
      <c r="K43" s="341"/>
      <c r="L43" s="266"/>
      <c r="M43" s="266"/>
      <c r="N43" s="266"/>
      <c r="O43" s="266"/>
      <c r="P43" s="266"/>
      <c r="Q43" s="266"/>
    </row>
    <row r="44" spans="1:17" ht="25.5" x14ac:dyDescent="0.2">
      <c r="A44" s="85">
        <v>29</v>
      </c>
      <c r="B44" s="85" t="s">
        <v>40</v>
      </c>
      <c r="C44" s="356" t="s">
        <v>587</v>
      </c>
      <c r="D44" s="361"/>
      <c r="E44" s="90" t="s">
        <v>67</v>
      </c>
      <c r="F44" s="361">
        <f>F43</f>
        <v>12</v>
      </c>
      <c r="G44" s="342"/>
      <c r="H44" s="341"/>
      <c r="I44" s="341"/>
      <c r="J44" s="341"/>
      <c r="K44" s="341"/>
      <c r="L44" s="266"/>
      <c r="M44" s="266"/>
      <c r="N44" s="266"/>
      <c r="O44" s="266"/>
      <c r="P44" s="266"/>
      <c r="Q44" s="266"/>
    </row>
    <row r="45" spans="1:17" ht="12.75" x14ac:dyDescent="0.2">
      <c r="A45" s="142">
        <v>30</v>
      </c>
      <c r="B45" s="142" t="s">
        <v>40</v>
      </c>
      <c r="C45" s="358" t="s">
        <v>588</v>
      </c>
      <c r="D45" s="359" t="s">
        <v>560</v>
      </c>
      <c r="E45" s="90" t="s">
        <v>44</v>
      </c>
      <c r="F45" s="359">
        <f>F19</f>
        <v>4</v>
      </c>
      <c r="G45" s="343"/>
      <c r="H45" s="344"/>
      <c r="I45" s="344"/>
      <c r="J45" s="344"/>
      <c r="K45" s="344"/>
      <c r="L45" s="345"/>
      <c r="M45" s="345"/>
      <c r="N45" s="345"/>
      <c r="O45" s="345"/>
      <c r="P45" s="345"/>
      <c r="Q45" s="345"/>
    </row>
    <row r="46" spans="1:17" ht="38.25" x14ac:dyDescent="0.2">
      <c r="A46" s="142">
        <v>31</v>
      </c>
      <c r="B46" s="142" t="s">
        <v>40</v>
      </c>
      <c r="C46" s="355" t="s">
        <v>589</v>
      </c>
      <c r="D46" s="84"/>
      <c r="E46" s="90" t="s">
        <v>44</v>
      </c>
      <c r="F46" s="359">
        <v>3</v>
      </c>
      <c r="G46" s="341"/>
      <c r="H46" s="341"/>
      <c r="I46" s="341"/>
      <c r="J46" s="341"/>
      <c r="K46" s="341"/>
      <c r="L46" s="266"/>
      <c r="M46" s="266"/>
      <c r="N46" s="266"/>
      <c r="O46" s="266"/>
      <c r="P46" s="266"/>
      <c r="Q46" s="266"/>
    </row>
    <row r="47" spans="1:17" ht="38.25" x14ac:dyDescent="0.2">
      <c r="A47" s="142">
        <v>32</v>
      </c>
      <c r="B47" s="142" t="s">
        <v>40</v>
      </c>
      <c r="C47" s="355" t="s">
        <v>835</v>
      </c>
      <c r="D47" s="84"/>
      <c r="E47" s="90" t="s">
        <v>205</v>
      </c>
      <c r="F47" s="359">
        <f>2*3</f>
        <v>6</v>
      </c>
      <c r="G47" s="341"/>
      <c r="H47" s="341"/>
      <c r="I47" s="341"/>
      <c r="J47" s="341"/>
      <c r="K47" s="341"/>
      <c r="L47" s="266"/>
      <c r="M47" s="266"/>
      <c r="N47" s="266"/>
      <c r="O47" s="266"/>
      <c r="P47" s="266"/>
      <c r="Q47" s="266"/>
    </row>
    <row r="48" spans="1:17" ht="12.75" x14ac:dyDescent="0.2">
      <c r="A48" s="142">
        <v>33</v>
      </c>
      <c r="B48" s="142" t="s">
        <v>40</v>
      </c>
      <c r="C48" s="358" t="s">
        <v>836</v>
      </c>
      <c r="D48" s="346"/>
      <c r="E48" s="90" t="s">
        <v>44</v>
      </c>
      <c r="F48" s="359">
        <f>F46</f>
        <v>3</v>
      </c>
      <c r="G48" s="341"/>
      <c r="H48" s="341"/>
      <c r="I48" s="341"/>
      <c r="J48" s="341"/>
      <c r="K48" s="341"/>
      <c r="L48" s="266"/>
      <c r="M48" s="266"/>
      <c r="N48" s="266"/>
      <c r="O48" s="266"/>
      <c r="P48" s="266"/>
      <c r="Q48" s="266"/>
    </row>
    <row r="49" spans="1:18" ht="12.75" x14ac:dyDescent="0.2">
      <c r="A49" s="85">
        <v>34</v>
      </c>
      <c r="B49" s="85" t="s">
        <v>40</v>
      </c>
      <c r="C49" s="358" t="s">
        <v>837</v>
      </c>
      <c r="D49" s="84"/>
      <c r="E49" s="90" t="s">
        <v>205</v>
      </c>
      <c r="F49" s="359">
        <f>F46</f>
        <v>3</v>
      </c>
      <c r="G49" s="341"/>
      <c r="H49" s="341"/>
      <c r="I49" s="341"/>
      <c r="J49" s="341"/>
      <c r="K49" s="341"/>
      <c r="L49" s="266"/>
      <c r="M49" s="266"/>
      <c r="N49" s="266"/>
      <c r="O49" s="266"/>
      <c r="P49" s="266"/>
      <c r="Q49" s="266"/>
    </row>
    <row r="50" spans="1:18" x14ac:dyDescent="0.2">
      <c r="C50" s="230" t="s">
        <v>77</v>
      </c>
      <c r="D50" s="146"/>
      <c r="E50" s="9"/>
      <c r="F50" s="9"/>
      <c r="G50" s="96"/>
      <c r="H50" s="9"/>
      <c r="I50" s="96"/>
      <c r="J50" s="96"/>
      <c r="K50" s="96"/>
      <c r="L50" s="96"/>
      <c r="M50" s="114">
        <f>SUM(M15:M49)</f>
        <v>0</v>
      </c>
      <c r="N50" s="114">
        <f>SUM(N15:N49)</f>
        <v>0</v>
      </c>
      <c r="O50" s="114">
        <f>SUM(O15:O49)</f>
        <v>0</v>
      </c>
      <c r="P50" s="114">
        <f>SUM(P15:P49)</f>
        <v>0</v>
      </c>
      <c r="Q50" s="114">
        <f>SUM(Q15:Q49)</f>
        <v>0</v>
      </c>
    </row>
    <row r="51" spans="1:18" s="35" customFormat="1" x14ac:dyDescent="0.25">
      <c r="C51" s="347"/>
      <c r="F51" s="347"/>
    </row>
    <row r="52" spans="1:18" s="35" customFormat="1" x14ac:dyDescent="0.25">
      <c r="C52" s="673" t="s">
        <v>680</v>
      </c>
      <c r="D52" s="57"/>
      <c r="F52" s="347"/>
    </row>
    <row r="53" spans="1:18" s="35" customFormat="1" x14ac:dyDescent="0.25">
      <c r="A53" s="325"/>
      <c r="B53" s="57"/>
      <c r="C53" s="674" t="s">
        <v>678</v>
      </c>
      <c r="F53" s="328"/>
    </row>
    <row r="54" spans="1:18" s="35" customFormat="1" ht="15" x14ac:dyDescent="0.25">
      <c r="A54" s="325"/>
      <c r="B54" s="57"/>
      <c r="C54" s="675"/>
      <c r="F54" s="5"/>
      <c r="Q54" s="58"/>
    </row>
    <row r="55" spans="1:18" s="35" customFormat="1" x14ac:dyDescent="0.2">
      <c r="A55" s="325"/>
      <c r="B55" s="1"/>
      <c r="C55" s="673" t="s">
        <v>7</v>
      </c>
      <c r="F55" s="325"/>
      <c r="Q55" s="58"/>
    </row>
    <row r="56" spans="1:18" x14ac:dyDescent="0.2">
      <c r="A56" s="6"/>
      <c r="B56" s="35"/>
      <c r="C56" s="673" t="s">
        <v>681</v>
      </c>
      <c r="E56" s="35"/>
      <c r="F56" s="328"/>
    </row>
    <row r="58" spans="1:18" ht="12.75" x14ac:dyDescent="0.2">
      <c r="B58" s="57"/>
      <c r="C58" s="781" t="s">
        <v>838</v>
      </c>
      <c r="D58" s="782"/>
      <c r="E58" s="783"/>
      <c r="F58" s="783"/>
      <c r="G58" s="783"/>
      <c r="H58" s="783"/>
      <c r="I58" s="783"/>
      <c r="J58" s="783"/>
      <c r="K58" s="783"/>
      <c r="L58" s="783"/>
      <c r="M58" s="783"/>
      <c r="N58" s="783"/>
      <c r="O58" s="783"/>
      <c r="P58" s="783"/>
      <c r="Q58" s="783"/>
      <c r="R58" s="783"/>
    </row>
    <row r="59" spans="1:18" x14ac:dyDescent="0.2">
      <c r="B59" s="57"/>
      <c r="C59" s="784" t="s">
        <v>839</v>
      </c>
      <c r="D59" s="784"/>
      <c r="E59" s="784"/>
      <c r="F59" s="784"/>
      <c r="G59" s="784"/>
      <c r="H59" s="784"/>
      <c r="I59" s="784"/>
      <c r="J59" s="784"/>
      <c r="K59" s="784"/>
      <c r="L59" s="784"/>
      <c r="M59" s="784"/>
      <c r="N59" s="784"/>
      <c r="O59" s="784"/>
      <c r="P59" s="784"/>
      <c r="Q59" s="784"/>
      <c r="R59" s="784"/>
    </row>
    <row r="60" spans="1:18" ht="28.5" customHeight="1" x14ac:dyDescent="0.2">
      <c r="B60" s="1"/>
      <c r="C60" s="784"/>
      <c r="D60" s="784"/>
      <c r="E60" s="784"/>
      <c r="F60" s="784"/>
      <c r="G60" s="784"/>
      <c r="H60" s="784"/>
      <c r="I60" s="784"/>
      <c r="J60" s="784"/>
      <c r="K60" s="784"/>
      <c r="L60" s="784"/>
      <c r="M60" s="784"/>
      <c r="N60" s="784"/>
      <c r="O60" s="784"/>
      <c r="P60" s="784"/>
      <c r="Q60" s="784"/>
      <c r="R60" s="784"/>
    </row>
    <row r="61" spans="1:18" x14ac:dyDescent="0.2">
      <c r="C61" s="784"/>
      <c r="D61" s="784"/>
      <c r="E61" s="784"/>
      <c r="F61" s="784"/>
      <c r="G61" s="784"/>
      <c r="H61" s="784"/>
      <c r="I61" s="784"/>
      <c r="J61" s="784"/>
      <c r="K61" s="784"/>
      <c r="L61" s="784"/>
      <c r="M61" s="784"/>
      <c r="N61" s="784"/>
      <c r="O61" s="784"/>
      <c r="P61" s="784"/>
      <c r="Q61" s="784"/>
      <c r="R61" s="784"/>
    </row>
  </sheetData>
  <sheetProtection selectLockedCells="1" selectUnlockedCells="1"/>
  <mergeCells count="10">
    <mergeCell ref="C59:R61"/>
    <mergeCell ref="M12:Q12"/>
    <mergeCell ref="A1:F1"/>
    <mergeCell ref="A9:D9"/>
    <mergeCell ref="A12:A13"/>
    <mergeCell ref="B12:B13"/>
    <mergeCell ref="C12:D13"/>
    <mergeCell ref="E12:E13"/>
    <mergeCell ref="F12:F13"/>
    <mergeCell ref="G12:L12"/>
  </mergeCells>
  <pageMargins left="0.2361111111111111" right="0.2361111111111111" top="0.74791666666666667" bottom="0.74861111111111112" header="0.51180555555555551" footer="0.31527777777777777"/>
  <pageSetup paperSize="9" scale="87" firstPageNumber="0" fitToHeight="0" orientation="landscape" horizontalDpi="300" verticalDpi="300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H36"/>
  <sheetViews>
    <sheetView view="pageBreakPreview" zoomScale="110" zoomScaleSheetLayoutView="110" workbookViewId="0">
      <selection activeCell="C32" sqref="C32"/>
    </sheetView>
  </sheetViews>
  <sheetFormatPr defaultColWidth="8.5703125" defaultRowHeight="11.25" x14ac:dyDescent="0.25"/>
  <cols>
    <col min="1" max="2" width="8.5703125" style="25" customWidth="1"/>
    <col min="3" max="3" width="40.85546875" style="25" customWidth="1"/>
    <col min="4" max="4" width="11.5703125" style="25" customWidth="1"/>
    <col min="5" max="5" width="10.42578125" style="25" customWidth="1"/>
    <col min="6" max="6" width="13.5703125" style="25" customWidth="1"/>
    <col min="7" max="8" width="10.42578125" style="25" customWidth="1"/>
    <col min="9" max="12" width="8.5703125" style="25" customWidth="1"/>
    <col min="13" max="17" width="7" style="25" customWidth="1"/>
    <col min="18" max="235" width="8.5703125" style="25" customWidth="1"/>
    <col min="236" max="236" width="40.85546875" style="25" customWidth="1"/>
    <col min="237" max="241" width="12.42578125" style="25" customWidth="1"/>
    <col min="242" max="242" width="10.5703125" style="25" customWidth="1"/>
    <col min="243" max="243" width="1.5703125" style="25" customWidth="1"/>
    <col min="244" max="16384" width="8.5703125" style="25"/>
  </cols>
  <sheetData>
    <row r="1" spans="1:8" x14ac:dyDescent="0.25">
      <c r="A1" s="722" t="s">
        <v>8</v>
      </c>
      <c r="B1" s="722"/>
      <c r="C1" s="722"/>
      <c r="D1" s="722"/>
      <c r="E1" s="722"/>
      <c r="F1" s="722"/>
      <c r="G1" s="722"/>
      <c r="H1" s="722"/>
    </row>
    <row r="2" spans="1:8" x14ac:dyDescent="0.25">
      <c r="A2" s="14"/>
      <c r="B2" s="723" t="s">
        <v>9</v>
      </c>
      <c r="C2" s="723"/>
      <c r="D2" s="723"/>
      <c r="E2" s="723"/>
      <c r="F2" s="723"/>
      <c r="G2" s="723"/>
      <c r="H2" s="723"/>
    </row>
    <row r="3" spans="1:8" x14ac:dyDescent="0.25">
      <c r="A3" s="27" t="s">
        <v>10</v>
      </c>
      <c r="B3" s="28"/>
      <c r="C3" s="14"/>
      <c r="D3" s="14"/>
      <c r="E3" s="14"/>
      <c r="F3" s="14"/>
      <c r="G3" s="14"/>
      <c r="H3" s="14"/>
    </row>
    <row r="4" spans="1:8" x14ac:dyDescent="0.25">
      <c r="A4" s="29" t="s">
        <v>11</v>
      </c>
      <c r="B4" s="29"/>
      <c r="C4" s="29"/>
      <c r="D4" s="16"/>
      <c r="E4" s="16"/>
      <c r="F4" s="14"/>
      <c r="G4" s="14"/>
      <c r="H4" s="14"/>
    </row>
    <row r="5" spans="1:8" x14ac:dyDescent="0.25">
      <c r="A5" s="29" t="s">
        <v>682</v>
      </c>
      <c r="B5" s="29"/>
      <c r="C5" s="14"/>
      <c r="D5" s="16"/>
      <c r="E5" s="16"/>
      <c r="F5" s="14"/>
      <c r="G5" s="14"/>
      <c r="H5" s="14"/>
    </row>
    <row r="6" spans="1:8" x14ac:dyDescent="0.25">
      <c r="A6" s="29" t="s">
        <v>683</v>
      </c>
      <c r="B6" s="29"/>
      <c r="C6" s="30"/>
      <c r="D6" s="31"/>
      <c r="E6" s="30"/>
      <c r="F6" s="30"/>
      <c r="G6" s="6"/>
      <c r="H6" s="30"/>
    </row>
    <row r="7" spans="1:8" x14ac:dyDescent="0.25">
      <c r="A7" s="29" t="s">
        <v>12</v>
      </c>
      <c r="B7" s="29"/>
      <c r="C7" s="30"/>
      <c r="D7" s="31"/>
      <c r="E7" s="30"/>
      <c r="F7" s="30"/>
      <c r="G7" s="6"/>
      <c r="H7" s="30"/>
    </row>
    <row r="8" spans="1:8" x14ac:dyDescent="0.25">
      <c r="C8" s="32"/>
      <c r="D8" s="32"/>
      <c r="E8" s="32"/>
      <c r="F8" s="32"/>
      <c r="G8" s="33"/>
      <c r="H8" s="34"/>
    </row>
    <row r="9" spans="1:8" x14ac:dyDescent="0.2">
      <c r="A9" s="1"/>
      <c r="B9" s="35"/>
      <c r="C9" s="36" t="s">
        <v>13</v>
      </c>
      <c r="D9" s="37"/>
      <c r="E9" s="38"/>
      <c r="F9" s="35"/>
      <c r="G9" s="35"/>
      <c r="H9" s="35"/>
    </row>
    <row r="10" spans="1:8" x14ac:dyDescent="0.2">
      <c r="A10" s="1"/>
      <c r="B10" s="35"/>
      <c r="C10" s="36" t="s">
        <v>14</v>
      </c>
      <c r="D10" s="37"/>
      <c r="E10" s="39"/>
      <c r="F10" s="35"/>
      <c r="G10" s="35"/>
      <c r="H10" s="35"/>
    </row>
    <row r="11" spans="1:8" ht="13.15" customHeight="1" x14ac:dyDescent="0.25">
      <c r="A11" s="716" t="s">
        <v>1</v>
      </c>
      <c r="B11" s="716" t="s">
        <v>15</v>
      </c>
      <c r="C11" s="724" t="s">
        <v>16</v>
      </c>
      <c r="D11" s="716" t="s">
        <v>19</v>
      </c>
      <c r="E11" s="724" t="s">
        <v>18</v>
      </c>
      <c r="F11" s="724"/>
      <c r="G11" s="724"/>
      <c r="H11" s="716" t="s">
        <v>17</v>
      </c>
    </row>
    <row r="12" spans="1:8" ht="22.5" x14ac:dyDescent="0.25">
      <c r="A12" s="716"/>
      <c r="B12" s="716"/>
      <c r="C12" s="724"/>
      <c r="D12" s="716"/>
      <c r="E12" s="40" t="s">
        <v>684</v>
      </c>
      <c r="F12" s="40" t="s">
        <v>685</v>
      </c>
      <c r="G12" s="40" t="s">
        <v>686</v>
      </c>
      <c r="H12" s="716"/>
    </row>
    <row r="13" spans="1:8" ht="10.9" customHeight="1" x14ac:dyDescent="0.25">
      <c r="A13" s="41">
        <v>1</v>
      </c>
      <c r="B13" s="41">
        <f t="shared" ref="B13:B23" si="0">A13</f>
        <v>1</v>
      </c>
      <c r="C13" s="42" t="str">
        <f>AR!C2</f>
        <v>Ārsienu siltināšanas darbi</v>
      </c>
      <c r="D13" s="43"/>
      <c r="E13" s="43"/>
      <c r="F13" s="43"/>
      <c r="G13" s="43"/>
      <c r="H13" s="43"/>
    </row>
    <row r="14" spans="1:8" ht="10.9" customHeight="1" x14ac:dyDescent="0.25">
      <c r="A14" s="41">
        <f t="shared" ref="A14:A23" si="1">A13+1</f>
        <v>2</v>
      </c>
      <c r="B14" s="41">
        <f t="shared" si="0"/>
        <v>2</v>
      </c>
      <c r="C14" s="44" t="str">
        <f>Logi!C2</f>
        <v>Logu nomaiņa, tsk. lodžijas</v>
      </c>
      <c r="D14" s="43"/>
      <c r="E14" s="43"/>
      <c r="F14" s="43"/>
      <c r="G14" s="43"/>
      <c r="H14" s="43"/>
    </row>
    <row r="15" spans="1:8" x14ac:dyDescent="0.25">
      <c r="A15" s="41">
        <f t="shared" si="1"/>
        <v>3</v>
      </c>
      <c r="B15" s="41">
        <f t="shared" si="0"/>
        <v>3</v>
      </c>
      <c r="C15" s="42" t="str">
        <f>cokols!C2</f>
        <v>Cokola siltināšanas darbi</v>
      </c>
      <c r="D15" s="43"/>
      <c r="E15" s="43"/>
      <c r="F15" s="43"/>
      <c r="G15" s="43"/>
      <c r="H15" s="43"/>
    </row>
    <row r="16" spans="1:8" x14ac:dyDescent="0.25">
      <c r="A16" s="41">
        <f t="shared" si="1"/>
        <v>4</v>
      </c>
      <c r="B16" s="41">
        <f t="shared" si="0"/>
        <v>4</v>
      </c>
      <c r="C16" s="42" t="str">
        <f>pagrabs!C2</f>
        <v>Pagraba siltināšana</v>
      </c>
      <c r="D16" s="43"/>
      <c r="E16" s="43"/>
      <c r="F16" s="43"/>
      <c r="G16" s="43"/>
      <c r="H16" s="43"/>
    </row>
    <row r="17" spans="1:8" s="47" customFormat="1" x14ac:dyDescent="0.25">
      <c r="A17" s="41">
        <f t="shared" si="1"/>
        <v>5</v>
      </c>
      <c r="B17" s="41">
        <f t="shared" si="0"/>
        <v>5</v>
      </c>
      <c r="C17" s="45" t="str">
        <f>bēniņi!C2</f>
        <v>Bēniņu siltināšanas darbi</v>
      </c>
      <c r="D17" s="46"/>
      <c r="E17" s="46"/>
      <c r="F17" s="46"/>
      <c r="G17" s="46"/>
      <c r="H17" s="46"/>
    </row>
    <row r="18" spans="1:8" x14ac:dyDescent="0.25">
      <c r="A18" s="41">
        <f t="shared" si="1"/>
        <v>6</v>
      </c>
      <c r="B18" s="41">
        <f t="shared" si="0"/>
        <v>6</v>
      </c>
      <c r="C18" s="48" t="str">
        <f>jumts!C2</f>
        <v>Jumta elementu virsmas remonts</v>
      </c>
      <c r="D18" s="43"/>
      <c r="E18" s="43"/>
      <c r="F18" s="43"/>
      <c r="G18" s="43"/>
      <c r="H18" s="43"/>
    </row>
    <row r="19" spans="1:8" x14ac:dyDescent="0.25">
      <c r="A19" s="41">
        <f t="shared" si="1"/>
        <v>7</v>
      </c>
      <c r="B19" s="41">
        <f t="shared" si="0"/>
        <v>7</v>
      </c>
      <c r="C19" s="49" t="str">
        <f>Ieeja!C2</f>
        <v>Ieejas mezgli</v>
      </c>
      <c r="D19" s="43"/>
      <c r="E19" s="43"/>
      <c r="F19" s="43"/>
      <c r="G19" s="43"/>
      <c r="H19" s="43"/>
    </row>
    <row r="20" spans="1:8" x14ac:dyDescent="0.25">
      <c r="A20" s="41">
        <f t="shared" si="1"/>
        <v>8</v>
      </c>
      <c r="B20" s="41">
        <f t="shared" si="0"/>
        <v>8</v>
      </c>
      <c r="C20" s="25" t="str">
        <f>lodzijas!C2</f>
        <v>Lodžiju remontdarbi</v>
      </c>
      <c r="D20" s="43"/>
      <c r="E20" s="43"/>
      <c r="F20" s="43"/>
      <c r="G20" s="43"/>
      <c r="H20" s="43"/>
    </row>
    <row r="21" spans="1:8" x14ac:dyDescent="0.25">
      <c r="A21" s="41">
        <f t="shared" si="1"/>
        <v>9</v>
      </c>
      <c r="B21" s="41">
        <f t="shared" si="0"/>
        <v>9</v>
      </c>
      <c r="C21" s="50" t="str">
        <f>AVK!C2</f>
        <v>AVK daļa</v>
      </c>
      <c r="D21" s="43"/>
      <c r="E21" s="43"/>
      <c r="F21" s="43"/>
      <c r="G21" s="43"/>
      <c r="H21" s="43"/>
    </row>
    <row r="22" spans="1:8" x14ac:dyDescent="0.25">
      <c r="A22" s="41">
        <f t="shared" si="1"/>
        <v>10</v>
      </c>
      <c r="B22" s="41">
        <f t="shared" si="0"/>
        <v>10</v>
      </c>
      <c r="C22" s="51" t="str">
        <f>'U1'!C2</f>
        <v>Aukstā ūdensapgāde.</v>
      </c>
      <c r="D22" s="43"/>
      <c r="E22" s="43"/>
      <c r="F22" s="43"/>
      <c r="G22" s="43"/>
      <c r="H22" s="43"/>
    </row>
    <row r="23" spans="1:8" x14ac:dyDescent="0.25">
      <c r="A23" s="41">
        <f t="shared" si="1"/>
        <v>11</v>
      </c>
      <c r="B23" s="41">
        <f t="shared" si="0"/>
        <v>11</v>
      </c>
      <c r="C23" s="52" t="str">
        <f>GA!C2</f>
        <v>Gāzes apgāde</v>
      </c>
      <c r="D23" s="43"/>
      <c r="E23" s="43"/>
      <c r="F23" s="43"/>
      <c r="G23" s="43"/>
      <c r="H23" s="43"/>
    </row>
    <row r="24" spans="1:8" x14ac:dyDescent="0.25">
      <c r="A24" s="5"/>
      <c r="B24" s="5"/>
      <c r="C24" s="53" t="s">
        <v>4</v>
      </c>
      <c r="D24" s="54">
        <f>SUM(D13:D23)</f>
        <v>0</v>
      </c>
      <c r="E24" s="54">
        <f>SUM(E13:E23)</f>
        <v>0</v>
      </c>
      <c r="F24" s="54">
        <f>SUM(F13:F23)</f>
        <v>0</v>
      </c>
      <c r="G24" s="54">
        <f>SUM(G13:G23)</f>
        <v>0</v>
      </c>
      <c r="H24" s="54">
        <f>SUM(H13:H23)</f>
        <v>0</v>
      </c>
    </row>
    <row r="25" spans="1:8" ht="15" customHeight="1" x14ac:dyDescent="0.25">
      <c r="A25" s="717" t="s">
        <v>22</v>
      </c>
      <c r="B25" s="717"/>
      <c r="C25" s="684" t="s">
        <v>688</v>
      </c>
      <c r="D25" s="679"/>
      <c r="E25" s="55"/>
    </row>
    <row r="26" spans="1:8" ht="15" customHeight="1" x14ac:dyDescent="0.25">
      <c r="A26" s="718" t="s">
        <v>23</v>
      </c>
      <c r="B26" s="718"/>
      <c r="C26" s="684"/>
      <c r="D26" s="679"/>
      <c r="E26" s="55"/>
    </row>
    <row r="27" spans="1:8" ht="15" customHeight="1" x14ac:dyDescent="0.25">
      <c r="A27" s="717" t="s">
        <v>24</v>
      </c>
      <c r="B27" s="717"/>
      <c r="C27" s="684" t="s">
        <v>688</v>
      </c>
      <c r="D27" s="679"/>
      <c r="E27" s="55"/>
    </row>
    <row r="28" spans="1:8" ht="15" customHeight="1" x14ac:dyDescent="0.25">
      <c r="A28" s="719" t="s">
        <v>25</v>
      </c>
      <c r="B28" s="719"/>
      <c r="C28" s="680" t="s">
        <v>26</v>
      </c>
      <c r="D28" s="681"/>
      <c r="E28" s="55"/>
    </row>
    <row r="29" spans="1:8" ht="15" customHeight="1" x14ac:dyDescent="0.25">
      <c r="A29" s="720" t="s">
        <v>687</v>
      </c>
      <c r="B29" s="720"/>
      <c r="C29" s="685">
        <v>0.02</v>
      </c>
      <c r="D29" s="682"/>
      <c r="E29" s="56"/>
      <c r="F29" s="5"/>
      <c r="G29" s="5"/>
      <c r="H29" s="5"/>
    </row>
    <row r="30" spans="1:8" ht="15" customHeight="1" x14ac:dyDescent="0.2">
      <c r="A30" s="721" t="s">
        <v>658</v>
      </c>
      <c r="B30" s="721"/>
      <c r="C30" s="686"/>
      <c r="D30" s="683"/>
      <c r="E30" s="58"/>
      <c r="F30" s="5"/>
      <c r="G30" s="59"/>
      <c r="H30" s="60"/>
    </row>
    <row r="31" spans="1:8" x14ac:dyDescent="0.2">
      <c r="A31" s="5"/>
      <c r="B31" s="5"/>
      <c r="C31" s="1"/>
      <c r="D31" s="1"/>
      <c r="E31" s="58"/>
      <c r="F31" s="5"/>
      <c r="G31" s="59"/>
      <c r="H31" s="60"/>
    </row>
    <row r="32" spans="1:8" x14ac:dyDescent="0.2">
      <c r="A32" s="5"/>
      <c r="B32" s="5"/>
      <c r="C32" s="673" t="s">
        <v>680</v>
      </c>
      <c r="D32" s="57"/>
      <c r="E32" s="58"/>
      <c r="F32" s="5"/>
      <c r="G32" s="59"/>
      <c r="H32" s="60"/>
    </row>
    <row r="33" spans="1:8" x14ac:dyDescent="0.2">
      <c r="A33" s="5"/>
      <c r="B33" s="5"/>
      <c r="C33" s="674" t="s">
        <v>678</v>
      </c>
      <c r="D33" s="1"/>
      <c r="E33" s="58"/>
      <c r="F33" s="5"/>
      <c r="G33" s="59"/>
      <c r="H33" s="60"/>
    </row>
    <row r="34" spans="1:8" ht="15" x14ac:dyDescent="0.25">
      <c r="A34" s="5"/>
      <c r="B34" s="5"/>
      <c r="C34" s="675"/>
      <c r="D34" s="57"/>
      <c r="E34" s="58"/>
      <c r="F34" s="5"/>
      <c r="G34" s="5"/>
      <c r="H34" s="5"/>
    </row>
    <row r="35" spans="1:8" x14ac:dyDescent="0.25">
      <c r="A35" s="5"/>
      <c r="B35" s="5"/>
      <c r="C35" s="673" t="s">
        <v>7</v>
      </c>
      <c r="E35" s="62"/>
      <c r="G35" s="5"/>
      <c r="H35" s="5"/>
    </row>
    <row r="36" spans="1:8" x14ac:dyDescent="0.25">
      <c r="A36" s="5"/>
      <c r="B36" s="5"/>
      <c r="C36" s="673" t="s">
        <v>681</v>
      </c>
      <c r="E36" s="2"/>
      <c r="G36" s="5"/>
      <c r="H36" s="5"/>
    </row>
  </sheetData>
  <sheetProtection selectLockedCells="1" selectUnlockedCells="1"/>
  <mergeCells count="14">
    <mergeCell ref="A29:B29"/>
    <mergeCell ref="A30:B30"/>
    <mergeCell ref="A1:H1"/>
    <mergeCell ref="B2:H2"/>
    <mergeCell ref="A11:A12"/>
    <mergeCell ref="B11:B12"/>
    <mergeCell ref="C11:C12"/>
    <mergeCell ref="D11:D12"/>
    <mergeCell ref="E11:G11"/>
    <mergeCell ref="H11:H12"/>
    <mergeCell ref="A25:B25"/>
    <mergeCell ref="A26:B26"/>
    <mergeCell ref="A27:B27"/>
    <mergeCell ref="A28:B28"/>
  </mergeCells>
  <pageMargins left="0.2361111111111111" right="0.2361111111111111" top="0.74791666666666667" bottom="0.74861111111111112" header="0.51180555555555551" footer="0.31527777777777777"/>
  <pageSetup paperSize="9" firstPageNumber="0" fitToHeight="0" orientation="landscape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R81"/>
  <sheetViews>
    <sheetView view="pageBreakPreview" topLeftCell="A52" zoomScale="115" zoomScaleNormal="115" zoomScaleSheetLayoutView="115" workbookViewId="0">
      <selection activeCell="A81" sqref="A81"/>
    </sheetView>
  </sheetViews>
  <sheetFormatPr defaultColWidth="8.5703125" defaultRowHeight="11.25" x14ac:dyDescent="0.25"/>
  <cols>
    <col min="1" max="1" width="4.42578125" style="379" customWidth="1"/>
    <col min="2" max="2" width="6" style="379" customWidth="1"/>
    <col min="3" max="3" width="45" style="455" customWidth="1"/>
    <col min="4" max="4" width="5.85546875" style="379" customWidth="1"/>
    <col min="5" max="5" width="7.42578125" style="379" customWidth="1"/>
    <col min="6" max="6" width="5.42578125" style="379" hidden="1" customWidth="1"/>
    <col min="7" max="7" width="5.42578125" style="379" customWidth="1"/>
    <col min="8" max="8" width="6.5703125" style="379" customWidth="1"/>
    <col min="9" max="9" width="5.5703125" style="379" customWidth="1"/>
    <col min="10" max="10" width="5.7109375" style="379" customWidth="1"/>
    <col min="11" max="11" width="5.5703125" style="379" customWidth="1"/>
    <col min="12" max="12" width="6.42578125" style="379" customWidth="1"/>
    <col min="13" max="13" width="8" style="379" customWidth="1"/>
    <col min="14" max="14" width="9.85546875" style="379" customWidth="1"/>
    <col min="15" max="15" width="9" style="379" customWidth="1"/>
    <col min="16" max="16" width="8.28515625" style="379" customWidth="1"/>
    <col min="17" max="17" width="8.85546875" style="379" customWidth="1"/>
    <col min="18" max="16384" width="8.5703125" style="379"/>
  </cols>
  <sheetData>
    <row r="1" spans="1:17" s="373" customFormat="1" x14ac:dyDescent="0.25">
      <c r="B1" s="374"/>
      <c r="C1" s="374"/>
      <c r="D1" s="374"/>
      <c r="E1" s="374"/>
      <c r="F1" s="374"/>
      <c r="G1" s="375" t="s">
        <v>27</v>
      </c>
      <c r="H1" s="376">
        <f>KPDV!A13</f>
        <v>1</v>
      </c>
      <c r="I1" s="374"/>
      <c r="J1" s="374"/>
      <c r="K1" s="374"/>
      <c r="L1" s="374"/>
      <c r="M1" s="374"/>
    </row>
    <row r="2" spans="1:17" s="373" customFormat="1" x14ac:dyDescent="0.25">
      <c r="B2" s="374"/>
      <c r="C2" s="374" t="s">
        <v>28</v>
      </c>
      <c r="D2" s="374"/>
      <c r="E2" s="374"/>
      <c r="F2" s="374"/>
      <c r="G2" s="375"/>
      <c r="H2" s="376"/>
      <c r="I2" s="374"/>
      <c r="J2" s="374"/>
      <c r="K2" s="374"/>
      <c r="L2" s="374"/>
      <c r="M2" s="374"/>
    </row>
    <row r="3" spans="1:17" x14ac:dyDescent="0.25">
      <c r="A3" s="377" t="str">
        <f>obj</f>
        <v>Objekta nosaukums: Dzīvojamās ēkas fasādes vienkāršota atjaunošana</v>
      </c>
      <c r="B3" s="377"/>
      <c r="C3" s="378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x14ac:dyDescent="0.25">
      <c r="A4" s="380" t="str">
        <f>nos</f>
        <v>Būves nosaukums: Daudzdzīvokļu dzīvojamā ēka</v>
      </c>
      <c r="B4" s="377"/>
      <c r="C4" s="378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5" spans="1:17" x14ac:dyDescent="0.25">
      <c r="A5" s="377" t="str">
        <f>adres</f>
        <v>Objekta adrese: Mirdzas Ķempes iela 22, Liepāja</v>
      </c>
      <c r="B5" s="377"/>
      <c r="C5" s="378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x14ac:dyDescent="0.25">
      <c r="A6" s="377" t="str">
        <f>nr</f>
        <v>Pasūtījuma Nr.WS-77-16</v>
      </c>
      <c r="B6" s="377"/>
      <c r="C6" s="378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</row>
    <row r="7" spans="1:17" x14ac:dyDescent="0.2">
      <c r="A7" s="381"/>
      <c r="B7" s="373"/>
      <c r="C7" s="502" t="s">
        <v>689</v>
      </c>
      <c r="D7" s="381"/>
      <c r="E7" s="382" t="s">
        <v>662</v>
      </c>
      <c r="F7" s="373" t="s">
        <v>30</v>
      </c>
      <c r="G7" s="687" t="s">
        <v>690</v>
      </c>
      <c r="H7" s="373"/>
      <c r="I7" s="373"/>
      <c r="J7" s="373"/>
      <c r="K7" s="373"/>
      <c r="L7" s="373"/>
      <c r="M7" s="373"/>
      <c r="N7" s="373"/>
      <c r="O7" s="373"/>
      <c r="P7" s="383" t="s">
        <v>31</v>
      </c>
      <c r="Q7" s="384">
        <f>Q70</f>
        <v>0</v>
      </c>
    </row>
    <row r="8" spans="1:17" x14ac:dyDescent="0.25">
      <c r="A8" s="382"/>
      <c r="B8" s="382"/>
      <c r="C8" s="385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1"/>
      <c r="O8" s="386"/>
      <c r="P8" s="387" t="str">
        <f>KPDV!C33</f>
        <v>Tāme sastādīta</v>
      </c>
      <c r="Q8" s="377"/>
    </row>
    <row r="9" spans="1:17" s="391" customFormat="1" ht="10.15" customHeight="1" x14ac:dyDescent="0.25">
      <c r="A9" s="726" t="s">
        <v>1</v>
      </c>
      <c r="B9" s="726" t="s">
        <v>32</v>
      </c>
      <c r="C9" s="727" t="s">
        <v>33</v>
      </c>
      <c r="D9" s="728" t="s">
        <v>34</v>
      </c>
      <c r="E9" s="726" t="s">
        <v>35</v>
      </c>
      <c r="F9" s="388"/>
      <c r="G9" s="725" t="s">
        <v>36</v>
      </c>
      <c r="H9" s="725"/>
      <c r="I9" s="725"/>
      <c r="J9" s="725"/>
      <c r="K9" s="725"/>
      <c r="L9" s="725"/>
      <c r="M9" s="725" t="s">
        <v>37</v>
      </c>
      <c r="N9" s="725"/>
      <c r="O9" s="725"/>
      <c r="P9" s="725"/>
      <c r="Q9" s="725"/>
    </row>
    <row r="10" spans="1:17" s="391" customFormat="1" ht="68.25" x14ac:dyDescent="0.25">
      <c r="A10" s="726"/>
      <c r="B10" s="726"/>
      <c r="C10" s="727"/>
      <c r="D10" s="728"/>
      <c r="E10" s="726"/>
      <c r="F10" s="388"/>
      <c r="G10" s="392" t="s">
        <v>38</v>
      </c>
      <c r="H10" s="392" t="s">
        <v>663</v>
      </c>
      <c r="I10" s="392" t="s">
        <v>20</v>
      </c>
      <c r="J10" s="392" t="s">
        <v>657</v>
      </c>
      <c r="K10" s="392" t="s">
        <v>21</v>
      </c>
      <c r="L10" s="392" t="s">
        <v>658</v>
      </c>
      <c r="M10" s="392" t="s">
        <v>39</v>
      </c>
      <c r="N10" s="392" t="s">
        <v>20</v>
      </c>
      <c r="O10" s="392" t="s">
        <v>657</v>
      </c>
      <c r="P10" s="392" t="s">
        <v>21</v>
      </c>
      <c r="Q10" s="392" t="s">
        <v>659</v>
      </c>
    </row>
    <row r="11" spans="1:17" s="391" customFormat="1" x14ac:dyDescent="0.25">
      <c r="A11" s="393">
        <v>1</v>
      </c>
      <c r="B11" s="393">
        <f>A11+1</f>
        <v>2</v>
      </c>
      <c r="C11" s="394">
        <f>B11+1</f>
        <v>3</v>
      </c>
      <c r="D11" s="393">
        <f>C11+1</f>
        <v>4</v>
      </c>
      <c r="E11" s="393">
        <f>D11+1</f>
        <v>5</v>
      </c>
      <c r="F11" s="395">
        <v>1</v>
      </c>
      <c r="G11" s="393">
        <f>E11+1</f>
        <v>6</v>
      </c>
      <c r="H11" s="393">
        <f t="shared" ref="H11:Q11" si="0">G11+1</f>
        <v>7</v>
      </c>
      <c r="I11" s="393">
        <f t="shared" si="0"/>
        <v>8</v>
      </c>
      <c r="J11" s="393">
        <f t="shared" si="0"/>
        <v>9</v>
      </c>
      <c r="K11" s="393">
        <f t="shared" si="0"/>
        <v>10</v>
      </c>
      <c r="L11" s="393">
        <f t="shared" si="0"/>
        <v>11</v>
      </c>
      <c r="M11" s="393">
        <f t="shared" si="0"/>
        <v>12</v>
      </c>
      <c r="N11" s="393">
        <f t="shared" si="0"/>
        <v>13</v>
      </c>
      <c r="O11" s="393">
        <f t="shared" si="0"/>
        <v>14</v>
      </c>
      <c r="P11" s="393">
        <f t="shared" si="0"/>
        <v>15</v>
      </c>
      <c r="Q11" s="393">
        <f t="shared" si="0"/>
        <v>16</v>
      </c>
    </row>
    <row r="12" spans="1:17" x14ac:dyDescent="0.25">
      <c r="A12" s="396">
        <f t="shared" ref="A12:A23" si="1">IF(COUNTBLANK(B12)=1," ",COUNTA(B$12:B12))</f>
        <v>1</v>
      </c>
      <c r="B12" s="397" t="s">
        <v>40</v>
      </c>
      <c r="C12" s="398" t="s">
        <v>41</v>
      </c>
      <c r="D12" s="396" t="s">
        <v>42</v>
      </c>
      <c r="E12" s="399">
        <v>192</v>
      </c>
      <c r="F12" s="396"/>
      <c r="G12" s="400"/>
      <c r="H12" s="401"/>
      <c r="I12" s="400"/>
      <c r="J12" s="400"/>
      <c r="K12" s="400"/>
      <c r="L12" s="402"/>
      <c r="M12" s="403"/>
      <c r="N12" s="403"/>
      <c r="O12" s="403"/>
      <c r="P12" s="403"/>
      <c r="Q12" s="403"/>
    </row>
    <row r="13" spans="1:17" x14ac:dyDescent="0.25">
      <c r="A13" s="396" t="str">
        <f t="shared" si="1"/>
        <v xml:space="preserve"> </v>
      </c>
      <c r="B13" s="404"/>
      <c r="C13" s="405" t="s">
        <v>43</v>
      </c>
      <c r="D13" s="406" t="s">
        <v>44</v>
      </c>
      <c r="E13" s="407">
        <f>E12/F13</f>
        <v>54.857142857142854</v>
      </c>
      <c r="F13" s="406">
        <v>3.5</v>
      </c>
      <c r="G13" s="400"/>
      <c r="H13" s="401"/>
      <c r="I13" s="400"/>
      <c r="J13" s="408"/>
      <c r="K13" s="400"/>
      <c r="L13" s="402"/>
      <c r="M13" s="403"/>
      <c r="N13" s="403"/>
      <c r="O13" s="403"/>
      <c r="P13" s="403"/>
      <c r="Q13" s="403"/>
    </row>
    <row r="14" spans="1:17" x14ac:dyDescent="0.25">
      <c r="A14" s="396" t="str">
        <f t="shared" si="1"/>
        <v xml:space="preserve"> </v>
      </c>
      <c r="B14" s="404"/>
      <c r="C14" s="405" t="s">
        <v>45</v>
      </c>
      <c r="D14" s="406" t="s">
        <v>44</v>
      </c>
      <c r="E14" s="407">
        <f>E12/F14</f>
        <v>54.857142857142854</v>
      </c>
      <c r="F14" s="406">
        <f>F13</f>
        <v>3.5</v>
      </c>
      <c r="G14" s="400"/>
      <c r="H14" s="401"/>
      <c r="I14" s="400"/>
      <c r="J14" s="408"/>
      <c r="K14" s="400"/>
      <c r="L14" s="402"/>
      <c r="M14" s="403"/>
      <c r="N14" s="403"/>
      <c r="O14" s="403"/>
      <c r="P14" s="403"/>
      <c r="Q14" s="403"/>
    </row>
    <row r="15" spans="1:17" x14ac:dyDescent="0.25">
      <c r="A15" s="396">
        <f t="shared" si="1"/>
        <v>2</v>
      </c>
      <c r="B15" s="404" t="s">
        <v>40</v>
      </c>
      <c r="C15" s="405" t="s">
        <v>693</v>
      </c>
      <c r="D15" s="409" t="s">
        <v>42</v>
      </c>
      <c r="E15" s="407">
        <f>E12</f>
        <v>192</v>
      </c>
      <c r="F15" s="406"/>
      <c r="G15" s="400"/>
      <c r="H15" s="401"/>
      <c r="I15" s="400"/>
      <c r="J15" s="400"/>
      <c r="K15" s="400"/>
      <c r="L15" s="402"/>
      <c r="M15" s="403"/>
      <c r="N15" s="403"/>
      <c r="O15" s="403"/>
      <c r="P15" s="403"/>
      <c r="Q15" s="403"/>
    </row>
    <row r="16" spans="1:17" x14ac:dyDescent="0.25">
      <c r="A16" s="396">
        <f t="shared" si="1"/>
        <v>3</v>
      </c>
      <c r="B16" s="404" t="s">
        <v>40</v>
      </c>
      <c r="C16" s="405" t="s">
        <v>46</v>
      </c>
      <c r="D16" s="406" t="s">
        <v>47</v>
      </c>
      <c r="E16" s="407">
        <f>apjoms!D40+apjoms!E40+apjoms!D41+apjoms!E41+apjoms!E43+apjoms!E44+apjoms!E45</f>
        <v>2410.5</v>
      </c>
      <c r="F16" s="406"/>
      <c r="G16" s="400"/>
      <c r="H16" s="401"/>
      <c r="I16" s="400"/>
      <c r="J16" s="400"/>
      <c r="K16" s="400"/>
      <c r="L16" s="402"/>
      <c r="M16" s="403"/>
      <c r="N16" s="403"/>
      <c r="O16" s="403"/>
      <c r="P16" s="403"/>
      <c r="Q16" s="403"/>
    </row>
    <row r="17" spans="1:17" x14ac:dyDescent="0.25">
      <c r="A17" s="396" t="str">
        <f t="shared" si="1"/>
        <v xml:space="preserve"> </v>
      </c>
      <c r="B17" s="404"/>
      <c r="C17" s="405" t="s">
        <v>48</v>
      </c>
      <c r="D17" s="406" t="s">
        <v>47</v>
      </c>
      <c r="E17" s="410">
        <f>ROUNDUP(E16*F17,0)</f>
        <v>2411</v>
      </c>
      <c r="F17" s="411">
        <v>1</v>
      </c>
      <c r="G17" s="400"/>
      <c r="H17" s="401"/>
      <c r="I17" s="400"/>
      <c r="J17" s="400"/>
      <c r="K17" s="400"/>
      <c r="L17" s="402"/>
      <c r="M17" s="403"/>
      <c r="N17" s="403"/>
      <c r="O17" s="403"/>
      <c r="P17" s="403"/>
      <c r="Q17" s="403"/>
    </row>
    <row r="18" spans="1:17" x14ac:dyDescent="0.25">
      <c r="A18" s="396" t="str">
        <f t="shared" si="1"/>
        <v xml:space="preserve"> </v>
      </c>
      <c r="B18" s="404"/>
      <c r="C18" s="405" t="s">
        <v>49</v>
      </c>
      <c r="D18" s="406" t="s">
        <v>47</v>
      </c>
      <c r="E18" s="407">
        <f>E16*F18</f>
        <v>2651.55</v>
      </c>
      <c r="F18" s="412">
        <v>1.1000000000000001</v>
      </c>
      <c r="G18" s="400"/>
      <c r="H18" s="401"/>
      <c r="I18" s="400"/>
      <c r="J18" s="410"/>
      <c r="K18" s="410"/>
      <c r="L18" s="402"/>
      <c r="M18" s="403"/>
      <c r="N18" s="403"/>
      <c r="O18" s="403"/>
      <c r="P18" s="403"/>
      <c r="Q18" s="403"/>
    </row>
    <row r="19" spans="1:17" x14ac:dyDescent="0.25">
      <c r="A19" s="396">
        <f t="shared" si="1"/>
        <v>4</v>
      </c>
      <c r="B19" s="404" t="s">
        <v>40</v>
      </c>
      <c r="C19" s="405" t="s">
        <v>50</v>
      </c>
      <c r="D19" s="406" t="s">
        <v>44</v>
      </c>
      <c r="E19" s="407">
        <v>1</v>
      </c>
      <c r="F19" s="406"/>
      <c r="G19" s="400"/>
      <c r="H19" s="401"/>
      <c r="I19" s="400"/>
      <c r="J19" s="410"/>
      <c r="K19" s="410"/>
      <c r="L19" s="402"/>
      <c r="M19" s="403"/>
      <c r="N19" s="403"/>
      <c r="O19" s="403"/>
      <c r="P19" s="403"/>
      <c r="Q19" s="403"/>
    </row>
    <row r="20" spans="1:17" x14ac:dyDescent="0.25">
      <c r="A20" s="396" t="str">
        <f t="shared" si="1"/>
        <v xml:space="preserve"> </v>
      </c>
      <c r="B20" s="404"/>
      <c r="C20" s="405" t="s">
        <v>51</v>
      </c>
      <c r="D20" s="406" t="s">
        <v>52</v>
      </c>
      <c r="E20" s="407">
        <v>5</v>
      </c>
      <c r="F20" s="406"/>
      <c r="G20" s="400"/>
      <c r="H20" s="401"/>
      <c r="I20" s="400"/>
      <c r="J20" s="400"/>
      <c r="K20" s="400"/>
      <c r="L20" s="402"/>
      <c r="M20" s="403"/>
      <c r="N20" s="403"/>
      <c r="O20" s="403"/>
      <c r="P20" s="403"/>
      <c r="Q20" s="403"/>
    </row>
    <row r="21" spans="1:17" s="373" customFormat="1" x14ac:dyDescent="0.25">
      <c r="A21" s="396">
        <f t="shared" si="1"/>
        <v>5</v>
      </c>
      <c r="B21" s="404" t="s">
        <v>40</v>
      </c>
      <c r="C21" s="405" t="s">
        <v>53</v>
      </c>
      <c r="D21" s="406" t="s">
        <v>44</v>
      </c>
      <c r="E21" s="407">
        <v>1</v>
      </c>
      <c r="F21" s="411"/>
      <c r="G21" s="400"/>
      <c r="H21" s="401"/>
      <c r="I21" s="400"/>
      <c r="J21" s="400"/>
      <c r="K21" s="400"/>
      <c r="L21" s="402"/>
      <c r="M21" s="403"/>
      <c r="N21" s="403"/>
      <c r="O21" s="403"/>
      <c r="P21" s="403"/>
      <c r="Q21" s="403"/>
    </row>
    <row r="22" spans="1:17" s="374" customFormat="1" x14ac:dyDescent="0.25">
      <c r="A22" s="396">
        <f t="shared" si="1"/>
        <v>6</v>
      </c>
      <c r="B22" s="404" t="s">
        <v>40</v>
      </c>
      <c r="C22" s="405" t="s">
        <v>54</v>
      </c>
      <c r="D22" s="406" t="s">
        <v>44</v>
      </c>
      <c r="E22" s="407">
        <v>2</v>
      </c>
      <c r="F22" s="411"/>
      <c r="G22" s="400"/>
      <c r="H22" s="401"/>
      <c r="I22" s="400"/>
      <c r="J22" s="400"/>
      <c r="K22" s="400"/>
      <c r="L22" s="402"/>
      <c r="M22" s="403"/>
      <c r="N22" s="403"/>
      <c r="O22" s="403"/>
      <c r="P22" s="403"/>
      <c r="Q22" s="403"/>
    </row>
    <row r="23" spans="1:17" s="373" customFormat="1" x14ac:dyDescent="0.25">
      <c r="A23" s="396">
        <f t="shared" si="1"/>
        <v>7</v>
      </c>
      <c r="B23" s="404" t="s">
        <v>40</v>
      </c>
      <c r="C23" s="413" t="s">
        <v>55</v>
      </c>
      <c r="D23" s="406" t="s">
        <v>44</v>
      </c>
      <c r="E23" s="414">
        <v>2</v>
      </c>
      <c r="F23" s="411"/>
      <c r="G23" s="400"/>
      <c r="H23" s="401"/>
      <c r="I23" s="400"/>
      <c r="J23" s="400"/>
      <c r="K23" s="400"/>
      <c r="L23" s="402"/>
      <c r="M23" s="403"/>
      <c r="N23" s="403"/>
      <c r="O23" s="403"/>
      <c r="P23" s="403"/>
      <c r="Q23" s="403"/>
    </row>
    <row r="24" spans="1:17" s="421" customFormat="1" ht="33.75" x14ac:dyDescent="0.25">
      <c r="A24" s="396">
        <f t="shared" ref="A24:A69" si="2">IF(COUNTBLANK(B24)=1," ",COUNTA(B$12:B24))</f>
        <v>8</v>
      </c>
      <c r="B24" s="404" t="s">
        <v>40</v>
      </c>
      <c r="C24" s="415" t="s">
        <v>56</v>
      </c>
      <c r="D24" s="416" t="s">
        <v>47</v>
      </c>
      <c r="E24" s="417">
        <f>(E27+E28+E29+E31+E32+E33+E30)/F27</f>
        <v>3088.0999999999995</v>
      </c>
      <c r="F24" s="406"/>
      <c r="G24" s="401"/>
      <c r="H24" s="401"/>
      <c r="I24" s="400"/>
      <c r="J24" s="400"/>
      <c r="K24" s="418"/>
      <c r="L24" s="402"/>
      <c r="M24" s="403"/>
      <c r="N24" s="403"/>
      <c r="O24" s="403"/>
      <c r="P24" s="403"/>
      <c r="Q24" s="403"/>
    </row>
    <row r="25" spans="1:17" s="421" customFormat="1" x14ac:dyDescent="0.25">
      <c r="A25" s="396" t="str">
        <f t="shared" si="2"/>
        <v xml:space="preserve"> </v>
      </c>
      <c r="B25" s="406"/>
      <c r="C25" s="422" t="s">
        <v>546</v>
      </c>
      <c r="D25" s="423" t="s">
        <v>57</v>
      </c>
      <c r="E25" s="410">
        <f>ROUNDUP(E24*F25,0)</f>
        <v>1020</v>
      </c>
      <c r="F25" s="424">
        <v>0.33</v>
      </c>
      <c r="G25" s="425"/>
      <c r="H25" s="426"/>
      <c r="I25" s="425"/>
      <c r="J25" s="425"/>
      <c r="K25" s="425"/>
      <c r="L25" s="402"/>
      <c r="M25" s="403"/>
      <c r="N25" s="403"/>
      <c r="O25" s="403"/>
      <c r="P25" s="403"/>
      <c r="Q25" s="403"/>
    </row>
    <row r="26" spans="1:17" s="421" customFormat="1" x14ac:dyDescent="0.25">
      <c r="A26" s="396" t="str">
        <f t="shared" si="2"/>
        <v xml:space="preserve"> </v>
      </c>
      <c r="B26" s="406"/>
      <c r="C26" s="427" t="s">
        <v>731</v>
      </c>
      <c r="D26" s="423" t="s">
        <v>58</v>
      </c>
      <c r="E26" s="410">
        <f>ROUNDUP(E24*F26,2)</f>
        <v>15440.5</v>
      </c>
      <c r="F26" s="424">
        <v>5</v>
      </c>
      <c r="G26" s="428"/>
      <c r="H26" s="429"/>
      <c r="I26" s="428"/>
      <c r="J26" s="428"/>
      <c r="K26" s="428"/>
      <c r="L26" s="402"/>
      <c r="M26" s="403"/>
      <c r="N26" s="403"/>
      <c r="O26" s="403"/>
      <c r="P26" s="403"/>
      <c r="Q26" s="403"/>
    </row>
    <row r="27" spans="1:17" s="421" customFormat="1" ht="45" x14ac:dyDescent="0.25">
      <c r="A27" s="396">
        <f t="shared" si="2"/>
        <v>9</v>
      </c>
      <c r="B27" s="406" t="s">
        <v>59</v>
      </c>
      <c r="C27" s="430" t="str">
        <f>apjoms!B40</f>
        <v>Apmetuma sistēma virs siltinājuma (AS-1; AS-2), b= 7mm; Grunts; Siltinājums - akmensvate  λ=0,037W/m²K, b=150mm;  Līmjava; Grunts; Esošā siena - vieglbetona panelis, b=250/410mm</v>
      </c>
      <c r="D27" s="416" t="s">
        <v>47</v>
      </c>
      <c r="E27" s="431">
        <f>apjoms!E40*F27</f>
        <v>1018.7100000000002</v>
      </c>
      <c r="F27" s="406">
        <v>1.1000000000000001</v>
      </c>
      <c r="G27" s="411"/>
      <c r="H27" s="411"/>
      <c r="I27" s="411"/>
      <c r="J27" s="410"/>
      <c r="K27" s="411"/>
      <c r="L27" s="402"/>
      <c r="M27" s="403"/>
      <c r="N27" s="403"/>
      <c r="O27" s="403"/>
      <c r="P27" s="403"/>
      <c r="Q27" s="403"/>
    </row>
    <row r="28" spans="1:17" s="421" customFormat="1" ht="67.5" x14ac:dyDescent="0.25">
      <c r="A28" s="396">
        <f t="shared" si="2"/>
        <v>10</v>
      </c>
      <c r="B28" s="406" t="s">
        <v>60</v>
      </c>
      <c r="C28" s="430" t="str">
        <f>apjoms!B42</f>
        <v>Apmetuma sistēma virs siltinājuma (AS-1); Siltinājums - putupolistirola plāksne, λ=0,031* W/mK, b=30mm ; Līmjava; Vertikālā hidroizolācija; Grunts; Esoša dz-betona starpsiena,  b=160mm; Grunts; Vertikālā hidroizolācija; Līmjava; Siltinājums - putupolistirola plāksne, λ=0,031* W/mK, b=30mm; Apmetuma sistēma virs siltinājuma (AS-1)</v>
      </c>
      <c r="D28" s="416" t="str">
        <f>D27</f>
        <v>m²</v>
      </c>
      <c r="E28" s="431">
        <f>apjoms!D42*F28</f>
        <v>144.65</v>
      </c>
      <c r="F28" s="406">
        <f>F27</f>
        <v>1.1000000000000001</v>
      </c>
      <c r="G28" s="411"/>
      <c r="H28" s="411"/>
      <c r="I28" s="411"/>
      <c r="J28" s="410"/>
      <c r="K28" s="411"/>
      <c r="L28" s="402"/>
      <c r="M28" s="403"/>
      <c r="N28" s="403"/>
      <c r="O28" s="403"/>
      <c r="P28" s="403"/>
      <c r="Q28" s="403"/>
    </row>
    <row r="29" spans="1:17" s="421" customFormat="1" ht="56.25" x14ac:dyDescent="0.25">
      <c r="A29" s="396">
        <f t="shared" si="2"/>
        <v>11</v>
      </c>
      <c r="B29" s="406" t="s">
        <v>61</v>
      </c>
      <c r="C29" s="430" t="str">
        <f>apjoms!B43</f>
        <v xml:space="preserve">Apmetuma sistēma virs siltinājuma, b=7mm 
(AS-1 vai AS-2) (lodžiju paneļu galiem- skārda iesegums); Siltinājums - poliuretāna materiāls; λ=0,031W/mK), b=50mm; Līmjava; Gruntējums; Esoša betona bloka siena/pamatu panelis, b=160/250*mm     </v>
      </c>
      <c r="D29" s="416" t="str">
        <f>D28</f>
        <v>m²</v>
      </c>
      <c r="E29" s="431">
        <f>apjoms!D43*F29</f>
        <v>539</v>
      </c>
      <c r="F29" s="406">
        <f>F28</f>
        <v>1.1000000000000001</v>
      </c>
      <c r="G29" s="411"/>
      <c r="H29" s="411"/>
      <c r="I29" s="411"/>
      <c r="J29" s="410"/>
      <c r="K29" s="411"/>
      <c r="L29" s="402"/>
      <c r="M29" s="403"/>
      <c r="N29" s="403"/>
      <c r="O29" s="403"/>
      <c r="P29" s="403"/>
      <c r="Q29" s="403"/>
    </row>
    <row r="30" spans="1:17" s="421" customFormat="1" ht="45" x14ac:dyDescent="0.25">
      <c r="A30" s="396">
        <f>IF(COUNTBLANK(B30)=1," ",COUNTA(B$12:B30))</f>
        <v>12</v>
      </c>
      <c r="B30" s="406" t="s">
        <v>635</v>
      </c>
      <c r="C30" s="430" t="str">
        <f>apjoms!B44</f>
        <v>Apmetuma sistēma virs siltinājuma (AS-2), b=7mm; Siltinājums - akmensvate λ=0,036W/m²K, b=75mm; Līmjava
Gruntējums; Esoša betona bloka siena/pamatu panelis, b=250mm</v>
      </c>
      <c r="D30" s="416" t="str">
        <f>D29</f>
        <v>m²</v>
      </c>
      <c r="E30" s="431">
        <f>apjoms!E44*F30</f>
        <v>1049.18</v>
      </c>
      <c r="F30" s="406">
        <f>F29</f>
        <v>1.1000000000000001</v>
      </c>
      <c r="G30" s="411"/>
      <c r="H30" s="411"/>
      <c r="I30" s="411"/>
      <c r="J30" s="410"/>
      <c r="K30" s="411"/>
      <c r="L30" s="402"/>
      <c r="M30" s="403"/>
      <c r="N30" s="403"/>
      <c r="O30" s="403"/>
      <c r="P30" s="403"/>
      <c r="Q30" s="403"/>
    </row>
    <row r="31" spans="1:17" s="421" customFormat="1" ht="45" x14ac:dyDescent="0.25">
      <c r="A31" s="396">
        <f t="shared" si="2"/>
        <v>13</v>
      </c>
      <c r="B31" s="406" t="s">
        <v>62</v>
      </c>
      <c r="C31" s="430" t="str">
        <f>apjoms!B45</f>
        <v xml:space="preserve">Apmetuma sistēma virs siltinājuma (AS-2), b=7mm; Grunts; Putupolistirola plāksne, λ=0,034W/m²K, b=50mm ; Līmjava; Vertikālā hidroizolācija; Grunts; Esošā  betona bloku siena, b=250mm                </v>
      </c>
      <c r="D31" s="416" t="str">
        <f>D29</f>
        <v>m²</v>
      </c>
      <c r="E31" s="431">
        <f>apjoms!E45*F31</f>
        <v>437.8</v>
      </c>
      <c r="F31" s="406">
        <f>F29</f>
        <v>1.1000000000000001</v>
      </c>
      <c r="G31" s="411"/>
      <c r="H31" s="411"/>
      <c r="I31" s="411"/>
      <c r="J31" s="411"/>
      <c r="K31" s="411"/>
      <c r="L31" s="402"/>
      <c r="M31" s="403"/>
      <c r="N31" s="403"/>
      <c r="O31" s="403"/>
      <c r="P31" s="403"/>
      <c r="Q31" s="403"/>
    </row>
    <row r="32" spans="1:17" s="421" customFormat="1" ht="45" x14ac:dyDescent="0.25">
      <c r="A32" s="396">
        <f t="shared" si="2"/>
        <v>14</v>
      </c>
      <c r="B32" s="406" t="s">
        <v>63</v>
      </c>
      <c r="C32" s="430" t="str">
        <f>apjoms!B46</f>
        <v xml:space="preserve">Apmetuma sistēma virs siltinājuma, b=7mm (AS-1); Siltinājums - poliuretāna materiāls; λ=0,031W/mK), b=50mm; Līmjava; Gruntējums; Esoša betona bloka siena/pamatu panelis, b=160/250*mm     </v>
      </c>
      <c r="D32" s="416" t="str">
        <f>D31</f>
        <v>m²</v>
      </c>
      <c r="E32" s="431">
        <f>apjoms!D46*F32</f>
        <v>53.35</v>
      </c>
      <c r="F32" s="406">
        <f>F31</f>
        <v>1.1000000000000001</v>
      </c>
      <c r="G32" s="411"/>
      <c r="H32" s="411"/>
      <c r="I32" s="411"/>
      <c r="J32" s="411"/>
      <c r="K32" s="411"/>
      <c r="L32" s="402"/>
      <c r="M32" s="403"/>
      <c r="N32" s="403"/>
      <c r="O32" s="403"/>
      <c r="P32" s="403"/>
      <c r="Q32" s="403"/>
    </row>
    <row r="33" spans="1:17" s="421" customFormat="1" ht="45" x14ac:dyDescent="0.25">
      <c r="A33" s="396">
        <f t="shared" si="2"/>
        <v>15</v>
      </c>
      <c r="B33" s="406" t="s">
        <v>64</v>
      </c>
      <c r="C33" s="430" t="str">
        <f>apjoms!B50</f>
        <v>Atjaunotā betona kārta, b=40mm; Esošais dz-betona pārsegums, b=220mm; Līmjava; Siltinājums λ=0,036W/mK, b=170mm (dobuma vietā 270mm); Līmjava uz stiklšķiedras sieta, b=10mm; Ārējā apdare (krāsots struktūrapmetums )</v>
      </c>
      <c r="D33" s="416" t="str">
        <f>D32</f>
        <v>m²</v>
      </c>
      <c r="E33" s="431">
        <f>apjoms!D50*F33</f>
        <v>154.22</v>
      </c>
      <c r="F33" s="406">
        <f>F32</f>
        <v>1.1000000000000001</v>
      </c>
      <c r="G33" s="411"/>
      <c r="H33" s="411"/>
      <c r="I33" s="411"/>
      <c r="J33" s="411"/>
      <c r="K33" s="411"/>
      <c r="L33" s="402"/>
      <c r="M33" s="403"/>
      <c r="N33" s="403"/>
      <c r="O33" s="403"/>
      <c r="P33" s="403"/>
      <c r="Q33" s="403"/>
    </row>
    <row r="34" spans="1:17" s="421" customFormat="1" ht="45" x14ac:dyDescent="0.25">
      <c r="A34" s="396">
        <f t="shared" si="2"/>
        <v>16</v>
      </c>
      <c r="B34" s="432" t="s">
        <v>40</v>
      </c>
      <c r="C34" s="430" t="s">
        <v>65</v>
      </c>
      <c r="D34" s="416"/>
      <c r="E34" s="431"/>
      <c r="F34" s="406"/>
      <c r="G34" s="411"/>
      <c r="H34" s="411"/>
      <c r="I34" s="411"/>
      <c r="J34" s="411"/>
      <c r="K34" s="411"/>
      <c r="L34" s="402"/>
      <c r="M34" s="403"/>
      <c r="N34" s="403"/>
      <c r="O34" s="403"/>
      <c r="P34" s="403"/>
      <c r="Q34" s="403"/>
    </row>
    <row r="35" spans="1:17" s="421" customFormat="1" x14ac:dyDescent="0.25">
      <c r="A35" s="396" t="str">
        <f t="shared" si="2"/>
        <v xml:space="preserve"> </v>
      </c>
      <c r="B35" s="432"/>
      <c r="C35" s="430" t="s">
        <v>66</v>
      </c>
      <c r="D35" s="406" t="s">
        <v>67</v>
      </c>
      <c r="E35" s="410">
        <f>ROUNDUP((E27+E29+E32+E31)*F35,0)</f>
        <v>14343</v>
      </c>
      <c r="F35" s="410">
        <v>7</v>
      </c>
      <c r="G35" s="411"/>
      <c r="H35" s="411"/>
      <c r="I35" s="411"/>
      <c r="J35" s="400"/>
      <c r="K35" s="411"/>
      <c r="L35" s="402"/>
      <c r="M35" s="403"/>
      <c r="N35" s="403"/>
      <c r="O35" s="403"/>
      <c r="P35" s="403"/>
      <c r="Q35" s="403"/>
    </row>
    <row r="36" spans="1:17" s="421" customFormat="1" x14ac:dyDescent="0.25">
      <c r="A36" s="396" t="str">
        <f t="shared" si="2"/>
        <v xml:space="preserve"> </v>
      </c>
      <c r="B36" s="432"/>
      <c r="C36" s="430" t="s">
        <v>68</v>
      </c>
      <c r="D36" s="406" t="s">
        <v>67</v>
      </c>
      <c r="E36" s="410">
        <f>apjoms!D41+apjoms!E41</f>
        <v>132.6</v>
      </c>
      <c r="F36" s="410">
        <v>7</v>
      </c>
      <c r="G36" s="411"/>
      <c r="H36" s="411"/>
      <c r="I36" s="411"/>
      <c r="J36" s="400"/>
      <c r="K36" s="411"/>
      <c r="L36" s="402"/>
      <c r="M36" s="403"/>
      <c r="N36" s="403"/>
      <c r="O36" s="403"/>
      <c r="P36" s="403"/>
      <c r="Q36" s="403"/>
    </row>
    <row r="37" spans="1:17" s="421" customFormat="1" ht="45" x14ac:dyDescent="0.25">
      <c r="A37" s="396">
        <f t="shared" si="2"/>
        <v>17</v>
      </c>
      <c r="B37" s="432" t="s">
        <v>40</v>
      </c>
      <c r="C37" s="427" t="s">
        <v>748</v>
      </c>
      <c r="D37" s="406" t="s">
        <v>47</v>
      </c>
      <c r="E37" s="410">
        <f>104.2*F37+8.28</f>
        <v>117.69000000000001</v>
      </c>
      <c r="F37" s="424">
        <v>1.05</v>
      </c>
      <c r="G37" s="401"/>
      <c r="H37" s="401"/>
      <c r="I37" s="401"/>
      <c r="J37" s="401"/>
      <c r="K37" s="401"/>
      <c r="L37" s="402"/>
      <c r="M37" s="403"/>
      <c r="N37" s="403"/>
      <c r="O37" s="403"/>
      <c r="P37" s="403"/>
      <c r="Q37" s="403"/>
    </row>
    <row r="38" spans="1:17" s="421" customFormat="1" x14ac:dyDescent="0.25">
      <c r="A38" s="396" t="str">
        <f t="shared" si="2"/>
        <v xml:space="preserve"> </v>
      </c>
      <c r="B38" s="433"/>
      <c r="C38" s="427" t="s">
        <v>749</v>
      </c>
      <c r="D38" s="423" t="s">
        <v>58</v>
      </c>
      <c r="E38" s="410">
        <f>ROUNDUP(E37*F38,2)</f>
        <v>1176.9000000000001</v>
      </c>
      <c r="F38" s="424">
        <v>10</v>
      </c>
      <c r="G38" s="401"/>
      <c r="H38" s="401"/>
      <c r="I38" s="401"/>
      <c r="J38" s="401"/>
      <c r="K38" s="401"/>
      <c r="L38" s="402"/>
      <c r="M38" s="403"/>
      <c r="N38" s="403"/>
      <c r="O38" s="403"/>
      <c r="P38" s="403"/>
      <c r="Q38" s="403"/>
    </row>
    <row r="39" spans="1:17" s="421" customFormat="1" x14ac:dyDescent="0.25">
      <c r="A39" s="396" t="str">
        <f t="shared" si="2"/>
        <v xml:space="preserve"> </v>
      </c>
      <c r="B39" s="433"/>
      <c r="C39" s="427" t="s">
        <v>74</v>
      </c>
      <c r="D39" s="434" t="s">
        <v>47</v>
      </c>
      <c r="E39" s="410">
        <f>ROUNDUP(E37*F39,2)</f>
        <v>258.92</v>
      </c>
      <c r="F39" s="424">
        <v>2.2000000000000002</v>
      </c>
      <c r="G39" s="401"/>
      <c r="H39" s="401"/>
      <c r="I39" s="401"/>
      <c r="J39" s="401"/>
      <c r="K39" s="401"/>
      <c r="L39" s="402"/>
      <c r="M39" s="403"/>
      <c r="N39" s="403"/>
      <c r="O39" s="403"/>
      <c r="P39" s="403"/>
      <c r="Q39" s="403"/>
    </row>
    <row r="40" spans="1:17" s="421" customFormat="1" x14ac:dyDescent="0.25">
      <c r="A40" s="396" t="str">
        <f t="shared" si="2"/>
        <v xml:space="preserve"> </v>
      </c>
      <c r="B40" s="433"/>
      <c r="C40" s="427" t="s">
        <v>750</v>
      </c>
      <c r="D40" s="423" t="s">
        <v>58</v>
      </c>
      <c r="E40" s="410">
        <f>ROUNDUP(E37*F40,2)</f>
        <v>35.309999999999995</v>
      </c>
      <c r="F40" s="424">
        <v>0.3</v>
      </c>
      <c r="G40" s="401"/>
      <c r="H40" s="401"/>
      <c r="I40" s="401"/>
      <c r="J40" s="401"/>
      <c r="K40" s="401"/>
      <c r="L40" s="402"/>
      <c r="M40" s="403"/>
      <c r="N40" s="403"/>
      <c r="O40" s="403"/>
      <c r="P40" s="403"/>
      <c r="Q40" s="403"/>
    </row>
    <row r="41" spans="1:17" s="421" customFormat="1" x14ac:dyDescent="0.25">
      <c r="A41" s="396" t="str">
        <f t="shared" si="2"/>
        <v xml:space="preserve"> </v>
      </c>
      <c r="B41" s="433"/>
      <c r="C41" s="427" t="s">
        <v>751</v>
      </c>
      <c r="D41" s="423" t="s">
        <v>58</v>
      </c>
      <c r="E41" s="410">
        <f>ROUNDUP(E37*F41,2)</f>
        <v>435.46</v>
      </c>
      <c r="F41" s="424">
        <v>3.7</v>
      </c>
      <c r="G41" s="401"/>
      <c r="H41" s="401"/>
      <c r="I41" s="401"/>
      <c r="J41" s="401"/>
      <c r="K41" s="401"/>
      <c r="L41" s="402"/>
      <c r="M41" s="403"/>
      <c r="N41" s="403"/>
      <c r="O41" s="403"/>
      <c r="P41" s="403"/>
      <c r="Q41" s="403"/>
    </row>
    <row r="42" spans="1:17" s="421" customFormat="1" x14ac:dyDescent="0.25">
      <c r="A42" s="396" t="str">
        <f t="shared" si="2"/>
        <v xml:space="preserve"> </v>
      </c>
      <c r="B42" s="433"/>
      <c r="C42" s="427" t="s">
        <v>69</v>
      </c>
      <c r="D42" s="423" t="s">
        <v>70</v>
      </c>
      <c r="E42" s="410">
        <f>ROUNDUP(E37*F42,0)</f>
        <v>11</v>
      </c>
      <c r="F42" s="424">
        <v>0.09</v>
      </c>
      <c r="G42" s="401"/>
      <c r="H42" s="401"/>
      <c r="I42" s="401"/>
      <c r="J42" s="401"/>
      <c r="K42" s="424"/>
      <c r="L42" s="402"/>
      <c r="M42" s="403"/>
      <c r="N42" s="403"/>
      <c r="O42" s="403"/>
      <c r="P42" s="403"/>
      <c r="Q42" s="403"/>
    </row>
    <row r="43" spans="1:17" s="421" customFormat="1" ht="45" x14ac:dyDescent="0.25">
      <c r="A43" s="396">
        <f t="shared" si="2"/>
        <v>18</v>
      </c>
      <c r="B43" s="432" t="s">
        <v>40</v>
      </c>
      <c r="C43" s="435" t="s">
        <v>752</v>
      </c>
      <c r="D43" s="406" t="s">
        <v>47</v>
      </c>
      <c r="E43" s="410">
        <f>((E27+E28+E29+E30+E32+E31+E33)/1.1+cokols!E13)-E37/1.05</f>
        <v>3107.9142857142851</v>
      </c>
      <c r="F43" s="424"/>
      <c r="G43" s="401"/>
      <c r="H43" s="401"/>
      <c r="I43" s="401"/>
      <c r="J43" s="401"/>
      <c r="K43" s="401"/>
      <c r="L43" s="402"/>
      <c r="M43" s="403"/>
      <c r="N43" s="403"/>
      <c r="O43" s="403"/>
      <c r="P43" s="403"/>
      <c r="Q43" s="403"/>
    </row>
    <row r="44" spans="1:17" s="421" customFormat="1" x14ac:dyDescent="0.25">
      <c r="A44" s="396" t="str">
        <f t="shared" si="2"/>
        <v xml:space="preserve"> </v>
      </c>
      <c r="B44" s="433"/>
      <c r="C44" s="427" t="s">
        <v>731</v>
      </c>
      <c r="D44" s="423" t="s">
        <v>58</v>
      </c>
      <c r="E44" s="410">
        <f>ROUNDUP(E43*F44,2)</f>
        <v>15539.58</v>
      </c>
      <c r="F44" s="424">
        <v>5</v>
      </c>
      <c r="G44" s="401"/>
      <c r="H44" s="401"/>
      <c r="I44" s="401"/>
      <c r="J44" s="401"/>
      <c r="K44" s="401"/>
      <c r="L44" s="402"/>
      <c r="M44" s="403"/>
      <c r="N44" s="403"/>
      <c r="O44" s="403"/>
      <c r="P44" s="403"/>
      <c r="Q44" s="403"/>
    </row>
    <row r="45" spans="1:17" s="421" customFormat="1" x14ac:dyDescent="0.25">
      <c r="A45" s="396" t="str">
        <f t="shared" si="2"/>
        <v xml:space="preserve"> </v>
      </c>
      <c r="B45" s="433"/>
      <c r="C45" s="427" t="s">
        <v>753</v>
      </c>
      <c r="D45" s="434" t="s">
        <v>47</v>
      </c>
      <c r="E45" s="410">
        <f>ROUNDUP(E43*F45,2)</f>
        <v>3418.71</v>
      </c>
      <c r="F45" s="424">
        <v>1.1000000000000001</v>
      </c>
      <c r="G45" s="401"/>
      <c r="H45" s="401"/>
      <c r="I45" s="401"/>
      <c r="J45" s="401"/>
      <c r="K45" s="401"/>
      <c r="L45" s="402"/>
      <c r="M45" s="403"/>
      <c r="N45" s="403"/>
      <c r="O45" s="403"/>
      <c r="P45" s="403"/>
      <c r="Q45" s="403"/>
    </row>
    <row r="46" spans="1:17" s="421" customFormat="1" x14ac:dyDescent="0.25">
      <c r="A46" s="396" t="str">
        <f t="shared" si="2"/>
        <v xml:space="preserve"> </v>
      </c>
      <c r="B46" s="433"/>
      <c r="C46" s="427" t="s">
        <v>546</v>
      </c>
      <c r="D46" s="421" t="s">
        <v>58</v>
      </c>
      <c r="E46" s="410">
        <f>ROUNDUP(E43*F46,2)</f>
        <v>932.38</v>
      </c>
      <c r="F46" s="424">
        <v>0.3</v>
      </c>
      <c r="G46" s="401"/>
      <c r="H46" s="401"/>
      <c r="I46" s="401"/>
      <c r="J46" s="401"/>
      <c r="K46" s="401"/>
      <c r="L46" s="402"/>
      <c r="M46" s="403"/>
      <c r="N46" s="403"/>
      <c r="O46" s="403"/>
      <c r="P46" s="403"/>
      <c r="Q46" s="403"/>
    </row>
    <row r="47" spans="1:17" s="421" customFormat="1" x14ac:dyDescent="0.25">
      <c r="A47" s="396" t="str">
        <f t="shared" si="2"/>
        <v xml:space="preserve"> </v>
      </c>
      <c r="B47" s="433"/>
      <c r="C47" s="427" t="s">
        <v>754</v>
      </c>
      <c r="D47" s="423" t="s">
        <v>58</v>
      </c>
      <c r="E47" s="410">
        <f>ROUNDUP(E43*F47,2)</f>
        <v>11499.29</v>
      </c>
      <c r="F47" s="424">
        <v>3.7</v>
      </c>
      <c r="G47" s="401"/>
      <c r="H47" s="401"/>
      <c r="I47" s="401"/>
      <c r="J47" s="401"/>
      <c r="K47" s="401"/>
      <c r="L47" s="402"/>
      <c r="M47" s="403"/>
      <c r="N47" s="403"/>
      <c r="O47" s="403"/>
      <c r="P47" s="403"/>
      <c r="Q47" s="403"/>
    </row>
    <row r="48" spans="1:17" s="421" customFormat="1" x14ac:dyDescent="0.25">
      <c r="A48" s="396" t="str">
        <f t="shared" si="2"/>
        <v xml:space="preserve"> </v>
      </c>
      <c r="B48" s="433"/>
      <c r="C48" s="427" t="s">
        <v>71</v>
      </c>
      <c r="D48" s="423" t="s">
        <v>70</v>
      </c>
      <c r="E48" s="410">
        <f>ROUNDUP(E43*F48,0)</f>
        <v>280</v>
      </c>
      <c r="F48" s="424">
        <v>0.09</v>
      </c>
      <c r="G48" s="401"/>
      <c r="H48" s="401"/>
      <c r="I48" s="401"/>
      <c r="J48" s="401"/>
      <c r="K48" s="424"/>
      <c r="L48" s="402"/>
      <c r="M48" s="403"/>
      <c r="N48" s="403"/>
      <c r="O48" s="403"/>
      <c r="P48" s="403"/>
      <c r="Q48" s="403"/>
    </row>
    <row r="49" spans="1:17" s="421" customFormat="1" ht="22.5" x14ac:dyDescent="0.25">
      <c r="A49" s="396">
        <f t="shared" si="2"/>
        <v>19</v>
      </c>
      <c r="B49" s="432" t="s">
        <v>40</v>
      </c>
      <c r="C49" s="436" t="s">
        <v>755</v>
      </c>
      <c r="D49" s="434" t="s">
        <v>47</v>
      </c>
      <c r="E49" s="437">
        <f>apjoms!M28</f>
        <v>416.92449999999997</v>
      </c>
      <c r="F49" s="424"/>
      <c r="G49" s="401"/>
      <c r="H49" s="401"/>
      <c r="I49" s="401"/>
      <c r="J49" s="401"/>
      <c r="K49" s="401"/>
      <c r="L49" s="402"/>
      <c r="M49" s="403"/>
      <c r="N49" s="403"/>
      <c r="O49" s="403"/>
      <c r="P49" s="403"/>
      <c r="Q49" s="403"/>
    </row>
    <row r="50" spans="1:17" s="421" customFormat="1" x14ac:dyDescent="0.25">
      <c r="A50" s="396" t="str">
        <f t="shared" si="2"/>
        <v xml:space="preserve"> </v>
      </c>
      <c r="B50" s="433"/>
      <c r="C50" s="427" t="s">
        <v>546</v>
      </c>
      <c r="D50" s="433" t="s">
        <v>58</v>
      </c>
      <c r="E50" s="424">
        <f>E49*F50</f>
        <v>125.07734999999998</v>
      </c>
      <c r="F50" s="424">
        <v>0.3</v>
      </c>
      <c r="G50" s="401"/>
      <c r="H50" s="401"/>
      <c r="I50" s="401"/>
      <c r="J50" s="401"/>
      <c r="K50" s="401"/>
      <c r="L50" s="402"/>
      <c r="M50" s="403"/>
      <c r="N50" s="403"/>
      <c r="O50" s="403"/>
      <c r="P50" s="403"/>
      <c r="Q50" s="403"/>
    </row>
    <row r="51" spans="1:17" s="421" customFormat="1" x14ac:dyDescent="0.25">
      <c r="A51" s="396" t="str">
        <f t="shared" si="2"/>
        <v xml:space="preserve"> </v>
      </c>
      <c r="B51" s="433"/>
      <c r="C51" s="427" t="s">
        <v>72</v>
      </c>
      <c r="D51" s="434" t="s">
        <v>47</v>
      </c>
      <c r="E51" s="424">
        <f>E49*F51</f>
        <v>437.77072499999997</v>
      </c>
      <c r="F51" s="424">
        <v>1.05</v>
      </c>
      <c r="G51" s="401"/>
      <c r="H51" s="401"/>
      <c r="I51" s="401"/>
      <c r="J51" s="401"/>
      <c r="K51" s="401"/>
      <c r="L51" s="402"/>
      <c r="M51" s="403"/>
      <c r="N51" s="403"/>
      <c r="O51" s="403"/>
      <c r="P51" s="403"/>
      <c r="Q51" s="403"/>
    </row>
    <row r="52" spans="1:17" s="421" customFormat="1" x14ac:dyDescent="0.25">
      <c r="A52" s="396" t="str">
        <f t="shared" si="2"/>
        <v xml:space="preserve"> </v>
      </c>
      <c r="B52" s="433"/>
      <c r="C52" s="427" t="s">
        <v>731</v>
      </c>
      <c r="D52" s="433" t="s">
        <v>58</v>
      </c>
      <c r="E52" s="424">
        <f>E49*F52</f>
        <v>2084.6224999999999</v>
      </c>
      <c r="F52" s="424">
        <v>5</v>
      </c>
      <c r="G52" s="401"/>
      <c r="H52" s="401"/>
      <c r="I52" s="401"/>
      <c r="J52" s="401"/>
      <c r="K52" s="401"/>
      <c r="L52" s="402"/>
      <c r="M52" s="403"/>
      <c r="N52" s="403"/>
      <c r="O52" s="403"/>
      <c r="P52" s="403"/>
      <c r="Q52" s="403"/>
    </row>
    <row r="53" spans="1:17" s="421" customFormat="1" ht="33.75" x14ac:dyDescent="0.25">
      <c r="A53" s="396" t="str">
        <f t="shared" si="2"/>
        <v xml:space="preserve"> </v>
      </c>
      <c r="B53" s="433"/>
      <c r="C53" s="427" t="s">
        <v>73</v>
      </c>
      <c r="D53" s="433" t="s">
        <v>67</v>
      </c>
      <c r="E53" s="424">
        <f>E49*F53</f>
        <v>2501.5469999999996</v>
      </c>
      <c r="F53" s="424">
        <v>6</v>
      </c>
      <c r="G53" s="401"/>
      <c r="H53" s="401"/>
      <c r="I53" s="401"/>
      <c r="J53" s="401"/>
      <c r="K53" s="401"/>
      <c r="L53" s="402"/>
      <c r="M53" s="403"/>
      <c r="N53" s="403"/>
      <c r="O53" s="403"/>
      <c r="P53" s="403"/>
      <c r="Q53" s="403"/>
    </row>
    <row r="54" spans="1:17" s="421" customFormat="1" x14ac:dyDescent="0.25">
      <c r="A54" s="396" t="str">
        <f t="shared" si="2"/>
        <v xml:space="preserve"> </v>
      </c>
      <c r="B54" s="433"/>
      <c r="C54" s="427" t="s">
        <v>731</v>
      </c>
      <c r="D54" s="433" t="s">
        <v>58</v>
      </c>
      <c r="E54" s="424">
        <f>E49*F54</f>
        <v>2084.6224999999999</v>
      </c>
      <c r="F54" s="424">
        <v>5</v>
      </c>
      <c r="G54" s="401"/>
      <c r="H54" s="401"/>
      <c r="I54" s="401"/>
      <c r="J54" s="401"/>
      <c r="K54" s="401"/>
      <c r="L54" s="402"/>
      <c r="M54" s="403"/>
      <c r="N54" s="403"/>
      <c r="O54" s="403"/>
      <c r="P54" s="403"/>
      <c r="Q54" s="403"/>
    </row>
    <row r="55" spans="1:17" s="421" customFormat="1" x14ac:dyDescent="0.25">
      <c r="A55" s="396" t="str">
        <f t="shared" si="2"/>
        <v xml:space="preserve"> </v>
      </c>
      <c r="B55" s="433"/>
      <c r="C55" s="427" t="s">
        <v>753</v>
      </c>
      <c r="D55" s="433" t="s">
        <v>664</v>
      </c>
      <c r="E55" s="424">
        <f>E49*F55</f>
        <v>917.23389999999995</v>
      </c>
      <c r="F55" s="424">
        <v>2.2000000000000002</v>
      </c>
      <c r="G55" s="424"/>
      <c r="H55" s="424"/>
      <c r="I55" s="424"/>
      <c r="J55" s="424"/>
      <c r="K55" s="424"/>
      <c r="L55" s="402"/>
      <c r="M55" s="403"/>
      <c r="N55" s="403"/>
      <c r="O55" s="403"/>
      <c r="P55" s="403"/>
      <c r="Q55" s="403"/>
    </row>
    <row r="56" spans="1:17" s="421" customFormat="1" ht="45" x14ac:dyDescent="0.25">
      <c r="A56" s="396">
        <f t="shared" si="2"/>
        <v>20</v>
      </c>
      <c r="B56" s="432" t="s">
        <v>40</v>
      </c>
      <c r="C56" s="430" t="s">
        <v>756</v>
      </c>
      <c r="D56" s="433" t="s">
        <v>664</v>
      </c>
      <c r="E56" s="407">
        <f>0.5*0.3*4*apjoms!V28</f>
        <v>150</v>
      </c>
      <c r="F56" s="438"/>
      <c r="G56" s="401"/>
      <c r="H56" s="401"/>
      <c r="I56" s="401"/>
      <c r="J56" s="401"/>
      <c r="K56" s="401"/>
      <c r="L56" s="402"/>
      <c r="M56" s="403"/>
      <c r="N56" s="403"/>
      <c r="O56" s="403"/>
      <c r="P56" s="403"/>
      <c r="Q56" s="403"/>
    </row>
    <row r="57" spans="1:17" s="421" customFormat="1" x14ac:dyDescent="0.25">
      <c r="A57" s="396" t="str">
        <f t="shared" si="2"/>
        <v xml:space="preserve"> </v>
      </c>
      <c r="B57" s="433"/>
      <c r="C57" s="427" t="s">
        <v>749</v>
      </c>
      <c r="D57" s="433" t="s">
        <v>58</v>
      </c>
      <c r="E57" s="424">
        <f>E56*F57</f>
        <v>750</v>
      </c>
      <c r="F57" s="424">
        <v>5</v>
      </c>
      <c r="G57" s="424"/>
      <c r="H57" s="424"/>
      <c r="I57" s="424"/>
      <c r="J57" s="401"/>
      <c r="K57" s="424"/>
      <c r="L57" s="402"/>
      <c r="M57" s="403"/>
      <c r="N57" s="403"/>
      <c r="O57" s="403"/>
      <c r="P57" s="403"/>
      <c r="Q57" s="403"/>
    </row>
    <row r="58" spans="1:17" s="421" customFormat="1" x14ac:dyDescent="0.25">
      <c r="A58" s="396" t="str">
        <f t="shared" si="2"/>
        <v xml:space="preserve"> </v>
      </c>
      <c r="B58" s="433"/>
      <c r="C58" s="427" t="s">
        <v>74</v>
      </c>
      <c r="D58" s="433" t="s">
        <v>664</v>
      </c>
      <c r="E58" s="410">
        <f>ROUNDUP(E56*F58,0)</f>
        <v>165</v>
      </c>
      <c r="F58" s="424">
        <v>1.1000000000000001</v>
      </c>
      <c r="G58" s="424"/>
      <c r="H58" s="424"/>
      <c r="I58" s="424"/>
      <c r="J58" s="424"/>
      <c r="K58" s="424"/>
      <c r="L58" s="402"/>
      <c r="M58" s="403"/>
      <c r="N58" s="403"/>
      <c r="O58" s="403"/>
      <c r="P58" s="403"/>
      <c r="Q58" s="403"/>
    </row>
    <row r="59" spans="1:17" s="421" customFormat="1" x14ac:dyDescent="0.25">
      <c r="A59" s="396">
        <f t="shared" si="2"/>
        <v>21</v>
      </c>
      <c r="B59" s="432" t="s">
        <v>40</v>
      </c>
      <c r="C59" s="430" t="s">
        <v>75</v>
      </c>
      <c r="D59" s="406" t="s">
        <v>42</v>
      </c>
      <c r="E59" s="407">
        <f>apjoms!K28</f>
        <v>1667.6979999999999</v>
      </c>
      <c r="F59" s="406"/>
      <c r="G59" s="424"/>
      <c r="H59" s="401"/>
      <c r="I59" s="424"/>
      <c r="J59" s="424"/>
      <c r="K59" s="424"/>
      <c r="L59" s="402"/>
      <c r="M59" s="403"/>
      <c r="N59" s="403"/>
      <c r="O59" s="403"/>
      <c r="P59" s="403"/>
      <c r="Q59" s="403"/>
    </row>
    <row r="60" spans="1:17" s="421" customFormat="1" x14ac:dyDescent="0.25">
      <c r="A60" s="396">
        <f t="shared" si="2"/>
        <v>22</v>
      </c>
      <c r="B60" s="432" t="s">
        <v>40</v>
      </c>
      <c r="C60" s="430" t="str">
        <f>apjoms!Q2</f>
        <v>Stūra profils</v>
      </c>
      <c r="D60" s="406" t="s">
        <v>42</v>
      </c>
      <c r="E60" s="407">
        <f>apjoms!Q28</f>
        <v>858.54000000000008</v>
      </c>
      <c r="F60" s="406"/>
      <c r="G60" s="424"/>
      <c r="H60" s="401"/>
      <c r="I60" s="424"/>
      <c r="J60" s="424"/>
      <c r="K60" s="424"/>
      <c r="L60" s="402"/>
      <c r="M60" s="403"/>
      <c r="N60" s="403"/>
      <c r="O60" s="403"/>
      <c r="P60" s="403"/>
      <c r="Q60" s="403"/>
    </row>
    <row r="61" spans="1:17" s="421" customFormat="1" x14ac:dyDescent="0.25">
      <c r="A61" s="396">
        <f t="shared" si="2"/>
        <v>23</v>
      </c>
      <c r="B61" s="432" t="s">
        <v>40</v>
      </c>
      <c r="C61" s="430" t="str">
        <f>apjoms!R2</f>
        <v>Pielaiduma profils</v>
      </c>
      <c r="D61" s="406" t="s">
        <v>42</v>
      </c>
      <c r="E61" s="414">
        <f>apjoms!R28</f>
        <v>1263.1190000000004</v>
      </c>
      <c r="F61" s="406"/>
      <c r="G61" s="424"/>
      <c r="H61" s="401"/>
      <c r="I61" s="424"/>
      <c r="J61" s="424"/>
      <c r="K61" s="424"/>
      <c r="L61" s="402"/>
      <c r="M61" s="403"/>
      <c r="N61" s="403"/>
      <c r="O61" s="403"/>
      <c r="P61" s="403"/>
      <c r="Q61" s="403"/>
    </row>
    <row r="62" spans="1:17" s="421" customFormat="1" x14ac:dyDescent="0.25">
      <c r="A62" s="396">
        <f t="shared" si="2"/>
        <v>24</v>
      </c>
      <c r="B62" s="432" t="s">
        <v>40</v>
      </c>
      <c r="C62" s="430" t="str">
        <f>apjoms!S2</f>
        <v>Stūra lāsenis</v>
      </c>
      <c r="D62" s="439" t="s">
        <v>42</v>
      </c>
      <c r="E62" s="414">
        <f>apjoms!S28</f>
        <v>394.42</v>
      </c>
      <c r="F62" s="406"/>
      <c r="G62" s="424"/>
      <c r="H62" s="401"/>
      <c r="I62" s="424"/>
      <c r="J62" s="424"/>
      <c r="K62" s="424"/>
      <c r="L62" s="402"/>
      <c r="M62" s="403"/>
      <c r="N62" s="403"/>
      <c r="O62" s="403"/>
      <c r="P62" s="403"/>
      <c r="Q62" s="403"/>
    </row>
    <row r="63" spans="1:17" s="421" customFormat="1" x14ac:dyDescent="0.25">
      <c r="A63" s="396">
        <f t="shared" si="2"/>
        <v>25</v>
      </c>
      <c r="B63" s="432" t="s">
        <v>40</v>
      </c>
      <c r="C63" s="430" t="str">
        <f>apjoms!T2</f>
        <v>Palodzes montāžas profils</v>
      </c>
      <c r="D63" s="439" t="s">
        <v>42</v>
      </c>
      <c r="E63" s="414">
        <f>apjoms!T28</f>
        <v>326.41999999999996</v>
      </c>
      <c r="F63" s="406"/>
      <c r="G63" s="424"/>
      <c r="H63" s="401"/>
      <c r="I63" s="424"/>
      <c r="J63" s="424"/>
      <c r="K63" s="424"/>
      <c r="L63" s="402"/>
      <c r="M63" s="403"/>
      <c r="N63" s="403"/>
      <c r="O63" s="403"/>
      <c r="P63" s="403"/>
      <c r="Q63" s="403"/>
    </row>
    <row r="64" spans="1:17" s="421" customFormat="1" x14ac:dyDescent="0.25">
      <c r="A64" s="396">
        <f t="shared" si="2"/>
        <v>26</v>
      </c>
      <c r="B64" s="432" t="s">
        <v>40</v>
      </c>
      <c r="C64" s="440" t="str">
        <f>apjoms!U2</f>
        <v>Cokola profils</v>
      </c>
      <c r="D64" s="406" t="s">
        <v>42</v>
      </c>
      <c r="E64" s="410">
        <f>apjoms!U28</f>
        <v>64</v>
      </c>
      <c r="F64" s="406"/>
      <c r="G64" s="424"/>
      <c r="H64" s="401"/>
      <c r="I64" s="424"/>
      <c r="J64" s="424"/>
      <c r="K64" s="424"/>
      <c r="L64" s="402"/>
      <c r="M64" s="403"/>
      <c r="N64" s="403"/>
      <c r="O64" s="403"/>
      <c r="P64" s="403"/>
      <c r="Q64" s="403"/>
    </row>
    <row r="65" spans="1:18" s="421" customFormat="1" x14ac:dyDescent="0.25">
      <c r="A65" s="396">
        <f t="shared" si="2"/>
        <v>27</v>
      </c>
      <c r="B65" s="432" t="s">
        <v>40</v>
      </c>
      <c r="C65" s="430" t="s">
        <v>76</v>
      </c>
      <c r="D65" s="416" t="s">
        <v>42</v>
      </c>
      <c r="E65" s="410">
        <v>291</v>
      </c>
      <c r="F65" s="424"/>
      <c r="G65" s="424"/>
      <c r="H65" s="401"/>
      <c r="I65" s="424"/>
      <c r="J65" s="424"/>
      <c r="K65" s="424"/>
      <c r="L65" s="402"/>
      <c r="M65" s="403"/>
      <c r="N65" s="403"/>
      <c r="O65" s="403"/>
      <c r="P65" s="403"/>
      <c r="Q65" s="403"/>
    </row>
    <row r="66" spans="1:18" s="421" customFormat="1" ht="22.5" x14ac:dyDescent="0.25">
      <c r="A66" s="396">
        <f t="shared" si="2"/>
        <v>28</v>
      </c>
      <c r="B66" s="432" t="s">
        <v>40</v>
      </c>
      <c r="C66" s="430" t="s">
        <v>654</v>
      </c>
      <c r="D66" s="416" t="s">
        <v>42</v>
      </c>
      <c r="E66" s="410">
        <v>416</v>
      </c>
      <c r="F66" s="424"/>
      <c r="G66" s="424"/>
      <c r="H66" s="401"/>
      <c r="I66" s="424"/>
      <c r="J66" s="424"/>
      <c r="K66" s="424"/>
      <c r="L66" s="402"/>
      <c r="M66" s="403"/>
      <c r="N66" s="403"/>
      <c r="O66" s="403"/>
      <c r="P66" s="403"/>
      <c r="Q66" s="403"/>
    </row>
    <row r="67" spans="1:18" x14ac:dyDescent="0.25">
      <c r="A67" s="396">
        <f t="shared" si="2"/>
        <v>29</v>
      </c>
      <c r="B67" s="404" t="s">
        <v>40</v>
      </c>
      <c r="C67" s="405" t="str">
        <f>apjoms!B29</f>
        <v>M1 - margas sendviča panelis; tonis RAL 7037</v>
      </c>
      <c r="D67" s="406" t="s">
        <v>47</v>
      </c>
      <c r="E67" s="410">
        <f>apjoms!J29</f>
        <v>274.56000000000006</v>
      </c>
      <c r="F67" s="406"/>
      <c r="G67" s="401"/>
      <c r="H67" s="401"/>
      <c r="I67" s="401"/>
      <c r="J67" s="401"/>
      <c r="K67" s="401"/>
      <c r="L67" s="402"/>
      <c r="M67" s="403"/>
      <c r="N67" s="403"/>
      <c r="O67" s="403"/>
      <c r="P67" s="403"/>
      <c r="Q67" s="403"/>
    </row>
    <row r="68" spans="1:18" x14ac:dyDescent="0.25">
      <c r="A68" s="396">
        <f t="shared" si="2"/>
        <v>30</v>
      </c>
      <c r="B68" s="404" t="s">
        <v>40</v>
      </c>
      <c r="C68" s="405" t="str">
        <f>apjoms!B30</f>
        <v>M2 - margas sendviča panelis; tonis RAL 3011</v>
      </c>
      <c r="D68" s="406" t="s">
        <v>47</v>
      </c>
      <c r="E68" s="410">
        <f>apjoms!J30</f>
        <v>253.96800000000002</v>
      </c>
      <c r="F68" s="406"/>
      <c r="G68" s="401"/>
      <c r="H68" s="401"/>
      <c r="I68" s="401"/>
      <c r="J68" s="401"/>
      <c r="K68" s="401"/>
      <c r="L68" s="402"/>
      <c r="M68" s="403"/>
      <c r="N68" s="403"/>
      <c r="O68" s="403"/>
      <c r="P68" s="403"/>
      <c r="Q68" s="403"/>
    </row>
    <row r="69" spans="1:18" x14ac:dyDescent="0.25">
      <c r="A69" s="396">
        <f t="shared" si="2"/>
        <v>31</v>
      </c>
      <c r="B69" s="404" t="s">
        <v>40</v>
      </c>
      <c r="C69" s="405" t="str">
        <f>apjoms!B31</f>
        <v>M3 - margas sendviča panelis; tonis RAL 3011</v>
      </c>
      <c r="D69" s="406" t="s">
        <v>47</v>
      </c>
      <c r="E69" s="410">
        <f>apjoms!J31</f>
        <v>50.160000000000004</v>
      </c>
      <c r="F69" s="406"/>
      <c r="G69" s="401"/>
      <c r="H69" s="401"/>
      <c r="I69" s="401"/>
      <c r="J69" s="401"/>
      <c r="K69" s="401"/>
      <c r="L69" s="402"/>
      <c r="M69" s="403"/>
      <c r="N69" s="403"/>
      <c r="O69" s="403"/>
      <c r="P69" s="403"/>
      <c r="Q69" s="403"/>
    </row>
    <row r="70" spans="1:18" ht="22.5" x14ac:dyDescent="0.25">
      <c r="A70" s="441"/>
      <c r="B70" s="442"/>
      <c r="C70" s="447" t="s">
        <v>77</v>
      </c>
      <c r="D70" s="448"/>
      <c r="E70" s="381"/>
      <c r="F70" s="381"/>
      <c r="G70" s="421"/>
      <c r="H70" s="381"/>
      <c r="I70" s="421"/>
      <c r="J70" s="421"/>
      <c r="K70" s="421"/>
      <c r="L70" s="421"/>
      <c r="M70" s="446">
        <f>SUM(M12:M66)</f>
        <v>0</v>
      </c>
      <c r="N70" s="446">
        <f>SUM(N12:N66)</f>
        <v>0</v>
      </c>
      <c r="O70" s="446">
        <f>SUM(O12:O66)</f>
        <v>0</v>
      </c>
      <c r="P70" s="446">
        <f>SUM(P12:P66)</f>
        <v>0</v>
      </c>
      <c r="Q70" s="446">
        <f>SUM(Q12:Q66)</f>
        <v>0</v>
      </c>
    </row>
    <row r="71" spans="1:18" x14ac:dyDescent="0.25">
      <c r="A71" s="441"/>
      <c r="B71" s="442"/>
      <c r="C71" s="385"/>
      <c r="D71" s="421"/>
      <c r="E71" s="443"/>
      <c r="F71" s="444"/>
      <c r="G71" s="443"/>
      <c r="H71" s="443"/>
      <c r="I71" s="445"/>
      <c r="J71" s="421"/>
      <c r="K71" s="443"/>
      <c r="L71" s="446"/>
      <c r="M71" s="446"/>
      <c r="N71" s="446"/>
      <c r="O71" s="446"/>
      <c r="P71" s="446"/>
      <c r="Q71" s="446"/>
    </row>
    <row r="72" spans="1:18" x14ac:dyDescent="0.25">
      <c r="A72" s="441"/>
      <c r="B72" s="442"/>
      <c r="C72" s="673" t="s">
        <v>680</v>
      </c>
      <c r="D72" s="421"/>
      <c r="E72" s="443"/>
      <c r="F72" s="444"/>
      <c r="G72" s="443"/>
      <c r="H72" s="443"/>
      <c r="I72" s="445"/>
      <c r="J72" s="421"/>
      <c r="K72" s="443"/>
      <c r="L72" s="446"/>
      <c r="M72" s="446"/>
      <c r="N72" s="446"/>
      <c r="O72" s="446"/>
      <c r="P72" s="446"/>
      <c r="Q72" s="446"/>
    </row>
    <row r="73" spans="1:18" x14ac:dyDescent="0.25">
      <c r="C73" s="674" t="s">
        <v>678</v>
      </c>
      <c r="D73" s="449"/>
      <c r="E73" s="450"/>
      <c r="F73" s="449"/>
      <c r="G73" s="449"/>
      <c r="H73" s="449"/>
      <c r="I73" s="449"/>
      <c r="J73" s="449"/>
      <c r="K73" s="449"/>
      <c r="L73" s="449"/>
      <c r="M73" s="449"/>
      <c r="N73" s="449"/>
      <c r="O73" s="449"/>
      <c r="P73" s="449"/>
      <c r="Q73" s="449"/>
    </row>
    <row r="74" spans="1:18" ht="15" x14ac:dyDescent="0.25">
      <c r="B74" s="451"/>
      <c r="C74" s="675"/>
      <c r="G74" s="449"/>
      <c r="H74" s="449"/>
      <c r="I74" s="449"/>
      <c r="J74" s="449"/>
      <c r="K74" s="449"/>
      <c r="L74" s="449"/>
      <c r="M74" s="449"/>
      <c r="N74" s="449"/>
      <c r="O74" s="449"/>
      <c r="P74" s="449"/>
      <c r="Q74" s="449"/>
    </row>
    <row r="75" spans="1:18" x14ac:dyDescent="0.25">
      <c r="B75" s="451"/>
      <c r="C75" s="673" t="s">
        <v>7</v>
      </c>
      <c r="G75" s="449"/>
      <c r="H75" s="449"/>
      <c r="I75" s="449"/>
      <c r="J75" s="449"/>
      <c r="K75" s="449"/>
      <c r="L75" s="449"/>
      <c r="M75" s="449"/>
      <c r="N75" s="449"/>
      <c r="O75" s="449"/>
      <c r="P75" s="449"/>
      <c r="Q75" s="449"/>
    </row>
    <row r="76" spans="1:18" x14ac:dyDescent="0.25">
      <c r="B76" s="452"/>
      <c r="C76" s="673" t="s">
        <v>681</v>
      </c>
      <c r="G76" s="449"/>
      <c r="H76" s="449"/>
      <c r="I76" s="449"/>
      <c r="J76" s="449"/>
      <c r="K76" s="449"/>
      <c r="L76" s="449"/>
      <c r="M76" s="449"/>
      <c r="N76" s="449"/>
      <c r="O76" s="449"/>
      <c r="P76" s="449"/>
      <c r="Q76" s="449"/>
    </row>
    <row r="77" spans="1:18" x14ac:dyDescent="0.25">
      <c r="C77" s="451"/>
      <c r="G77" s="454"/>
      <c r="H77" s="449"/>
      <c r="I77" s="449"/>
      <c r="J77" s="449"/>
      <c r="K77" s="449"/>
      <c r="L77" s="449"/>
      <c r="M77" s="449"/>
      <c r="N77" s="449"/>
      <c r="O77" s="449"/>
      <c r="P77" s="449"/>
      <c r="Q77" s="449"/>
    </row>
    <row r="78" spans="1:18" ht="12.75" x14ac:dyDescent="0.2">
      <c r="B78" s="452"/>
      <c r="C78" s="781" t="s">
        <v>838</v>
      </c>
      <c r="D78" s="782"/>
      <c r="E78" s="783"/>
      <c r="F78" s="783"/>
      <c r="G78" s="783"/>
      <c r="H78" s="783"/>
      <c r="I78" s="783"/>
      <c r="J78" s="783"/>
      <c r="K78" s="783"/>
      <c r="L78" s="783"/>
      <c r="M78" s="783"/>
      <c r="N78" s="783"/>
      <c r="O78" s="783"/>
      <c r="P78" s="783"/>
      <c r="Q78" s="783"/>
      <c r="R78" s="783"/>
    </row>
    <row r="79" spans="1:18" x14ac:dyDescent="0.25">
      <c r="B79" s="451"/>
      <c r="C79" s="784" t="s">
        <v>839</v>
      </c>
      <c r="D79" s="784"/>
      <c r="E79" s="784"/>
      <c r="F79" s="784"/>
      <c r="G79" s="784"/>
      <c r="H79" s="784"/>
      <c r="I79" s="784"/>
      <c r="J79" s="784"/>
      <c r="K79" s="784"/>
      <c r="L79" s="784"/>
      <c r="M79" s="784"/>
      <c r="N79" s="784"/>
      <c r="O79" s="784"/>
      <c r="P79" s="784"/>
      <c r="Q79" s="784"/>
      <c r="R79" s="784"/>
    </row>
    <row r="80" spans="1:18" x14ac:dyDescent="0.25">
      <c r="B80" s="451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4"/>
      <c r="R80" s="784"/>
    </row>
    <row r="81" spans="2:18" ht="19.5" customHeight="1" x14ac:dyDescent="0.25">
      <c r="B81" s="452"/>
      <c r="C81" s="784"/>
      <c r="D81" s="784"/>
      <c r="E81" s="784"/>
      <c r="F81" s="784"/>
      <c r="G81" s="784"/>
      <c r="H81" s="784"/>
      <c r="I81" s="784"/>
      <c r="J81" s="784"/>
      <c r="K81" s="784"/>
      <c r="L81" s="784"/>
      <c r="M81" s="784"/>
      <c r="N81" s="784"/>
      <c r="O81" s="784"/>
      <c r="P81" s="784"/>
      <c r="Q81" s="784"/>
      <c r="R81" s="784"/>
    </row>
  </sheetData>
  <sheetProtection selectLockedCells="1" selectUnlockedCells="1"/>
  <autoFilter ref="A11:IV69" xr:uid="{00000000-0009-0000-0000-000002000000}"/>
  <mergeCells count="8">
    <mergeCell ref="C79:R81"/>
    <mergeCell ref="M9:Q9"/>
    <mergeCell ref="A9:A10"/>
    <mergeCell ref="B9:B10"/>
    <mergeCell ref="C9:C10"/>
    <mergeCell ref="D9:D10"/>
    <mergeCell ref="E9:E10"/>
    <mergeCell ref="G9:L9"/>
  </mergeCells>
  <pageMargins left="0.2361111111111111" right="0.2361111111111111" top="0.74791666666666667" bottom="0.74861111111111112" header="0.51180555555555551" footer="0.31527777777777777"/>
  <pageSetup paperSize="9" scale="96" firstPageNumber="0" fitToHeight="0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T64"/>
  <sheetViews>
    <sheetView view="pageBreakPreview" topLeftCell="A40" zoomScaleNormal="115" zoomScaleSheetLayoutView="100" workbookViewId="0">
      <selection activeCell="C61" sqref="C61:R64"/>
    </sheetView>
  </sheetViews>
  <sheetFormatPr defaultColWidth="8.7109375" defaultRowHeight="11.25" x14ac:dyDescent="0.25"/>
  <cols>
    <col min="1" max="1" width="4.28515625" style="35" customWidth="1"/>
    <col min="2" max="2" width="6.85546875" style="35" customWidth="1"/>
    <col min="3" max="3" width="45.85546875" style="231" customWidth="1"/>
    <col min="4" max="4" width="7.140625" style="110" hidden="1" customWidth="1"/>
    <col min="5" max="5" width="7" style="110" hidden="1" customWidth="1"/>
    <col min="6" max="6" width="8.85546875" style="110" hidden="1" customWidth="1"/>
    <col min="7" max="7" width="5.42578125" style="35" customWidth="1"/>
    <col min="8" max="8" width="8.140625" style="35" customWidth="1"/>
    <col min="9" max="9" width="5.28515625" style="35" hidden="1" customWidth="1"/>
    <col min="10" max="10" width="7" style="35" customWidth="1"/>
    <col min="11" max="12" width="6.7109375" style="35" customWidth="1"/>
    <col min="13" max="13" width="6.140625" style="35" customWidth="1"/>
    <col min="14" max="15" width="7" style="35" customWidth="1"/>
    <col min="16" max="17" width="7.85546875" style="35" customWidth="1"/>
    <col min="18" max="18" width="9.140625" style="35" customWidth="1"/>
    <col min="19" max="19" width="7.85546875" style="35" customWidth="1"/>
    <col min="20" max="20" width="9.7109375" style="35" customWidth="1"/>
    <col min="21" max="16384" width="8.7109375" style="35"/>
  </cols>
  <sheetData>
    <row r="1" spans="1:20" s="32" customFormat="1" x14ac:dyDescent="0.25">
      <c r="A1" s="731" t="s">
        <v>27</v>
      </c>
      <c r="B1" s="731"/>
      <c r="C1" s="731"/>
      <c r="D1" s="731"/>
      <c r="E1" s="731"/>
      <c r="F1" s="731"/>
      <c r="G1" s="731"/>
      <c r="H1" s="731"/>
      <c r="I1" s="731"/>
      <c r="J1" s="731"/>
      <c r="K1" s="14">
        <f>KPDV!A14</f>
        <v>2</v>
      </c>
      <c r="L1" s="234"/>
      <c r="M1" s="234"/>
      <c r="N1" s="234"/>
      <c r="O1" s="234"/>
      <c r="P1" s="234"/>
    </row>
    <row r="2" spans="1:20" s="32" customFormat="1" x14ac:dyDescent="0.25">
      <c r="A2" s="232"/>
      <c r="B2" s="232"/>
      <c r="C2" s="118" t="s">
        <v>692</v>
      </c>
      <c r="D2" s="119"/>
      <c r="E2" s="119"/>
      <c r="F2" s="119"/>
      <c r="G2" s="232"/>
      <c r="H2" s="232"/>
      <c r="I2" s="232"/>
      <c r="J2" s="232"/>
      <c r="K2" s="14"/>
      <c r="L2" s="234"/>
      <c r="M2" s="234"/>
      <c r="N2" s="234"/>
      <c r="O2" s="234"/>
      <c r="P2" s="234"/>
    </row>
    <row r="3" spans="1:20" x14ac:dyDescent="0.25">
      <c r="A3" s="6" t="str">
        <f>obj</f>
        <v>Objekta nosaukums: Dzīvojamās ēkas fasādes vienkāršota atjaunošana</v>
      </c>
      <c r="B3" s="6"/>
      <c r="C3" s="8"/>
      <c r="D3" s="12"/>
      <c r="E3" s="12"/>
      <c r="F3" s="1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x14ac:dyDescent="0.25">
      <c r="A4" s="33" t="str">
        <f>nos</f>
        <v>Būves nosaukums: Daudzdzīvokļu dzīvojamā ēka</v>
      </c>
      <c r="B4" s="6"/>
      <c r="C4" s="8"/>
      <c r="D4" s="12"/>
      <c r="E4" s="12"/>
      <c r="F4" s="1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x14ac:dyDescent="0.25">
      <c r="A5" s="6" t="str">
        <f>adres</f>
        <v>Objekta adrese: Mirdzas Ķempes iela 22, Liepāja</v>
      </c>
      <c r="B5" s="6"/>
      <c r="C5" s="8"/>
      <c r="D5" s="12"/>
      <c r="E5" s="12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25">
      <c r="A6" s="6" t="str">
        <f>nr</f>
        <v>Pasūtījuma Nr.WS-77-16</v>
      </c>
      <c r="B6" s="6"/>
      <c r="C6" s="8"/>
      <c r="D6" s="12"/>
      <c r="E6" s="12"/>
      <c r="F6" s="12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A7" s="9"/>
      <c r="B7" s="32"/>
      <c r="C7" s="121" t="s">
        <v>689</v>
      </c>
      <c r="D7" s="122"/>
      <c r="E7" s="122"/>
      <c r="F7" s="122"/>
      <c r="G7" s="9"/>
      <c r="H7" s="14" t="s">
        <v>665</v>
      </c>
      <c r="I7" s="32" t="s">
        <v>30</v>
      </c>
      <c r="J7" s="687" t="s">
        <v>690</v>
      </c>
      <c r="K7" s="32"/>
      <c r="L7" s="32"/>
      <c r="M7" s="32"/>
      <c r="N7" s="32"/>
      <c r="O7" s="32"/>
      <c r="P7" s="32"/>
      <c r="Q7" s="32"/>
      <c r="R7" s="32"/>
      <c r="S7" s="68" t="s">
        <v>31</v>
      </c>
      <c r="T7" s="235">
        <f>T53</f>
        <v>0</v>
      </c>
    </row>
    <row r="8" spans="1:20" x14ac:dyDescent="0.25">
      <c r="A8" s="14"/>
      <c r="B8" s="14"/>
      <c r="C8" s="34"/>
      <c r="D8" s="96"/>
      <c r="E8" s="96"/>
      <c r="F8" s="96"/>
      <c r="G8" s="14"/>
      <c r="H8" s="14"/>
      <c r="I8" s="14"/>
      <c r="J8" s="14"/>
      <c r="K8" s="14"/>
      <c r="L8" s="14"/>
      <c r="M8" s="14"/>
      <c r="N8" s="14"/>
      <c r="O8" s="14"/>
      <c r="P8" s="14"/>
      <c r="Q8" s="9"/>
      <c r="R8" s="70"/>
      <c r="S8" s="71" t="str">
        <f>KPDV!C33</f>
        <v>Tāme sastādīta</v>
      </c>
      <c r="T8" s="6"/>
    </row>
    <row r="9" spans="1:20" s="237" customFormat="1" ht="10.15" customHeight="1" x14ac:dyDescent="0.25">
      <c r="A9" s="732" t="s">
        <v>1</v>
      </c>
      <c r="B9" s="732" t="s">
        <v>32</v>
      </c>
      <c r="C9" s="733" t="s">
        <v>33</v>
      </c>
      <c r="D9" s="733"/>
      <c r="E9" s="733"/>
      <c r="F9" s="733"/>
      <c r="G9" s="734" t="s">
        <v>34</v>
      </c>
      <c r="H9" s="732" t="s">
        <v>35</v>
      </c>
      <c r="I9" s="72"/>
      <c r="J9" s="729" t="s">
        <v>36</v>
      </c>
      <c r="K9" s="729"/>
      <c r="L9" s="729"/>
      <c r="M9" s="729"/>
      <c r="N9" s="729"/>
      <c r="O9" s="729"/>
      <c r="P9" s="729" t="s">
        <v>37</v>
      </c>
      <c r="Q9" s="729"/>
      <c r="R9" s="729"/>
      <c r="S9" s="729"/>
      <c r="T9" s="729"/>
    </row>
    <row r="10" spans="1:20" s="237" customFormat="1" ht="69" x14ac:dyDescent="0.25">
      <c r="A10" s="732"/>
      <c r="B10" s="732"/>
      <c r="C10" s="733"/>
      <c r="D10" s="733"/>
      <c r="E10" s="733"/>
      <c r="F10" s="733"/>
      <c r="G10" s="734"/>
      <c r="H10" s="732"/>
      <c r="I10" s="72"/>
      <c r="J10" s="75" t="s">
        <v>38</v>
      </c>
      <c r="K10" s="75" t="s">
        <v>660</v>
      </c>
      <c r="L10" s="75" t="s">
        <v>20</v>
      </c>
      <c r="M10" s="75" t="s">
        <v>657</v>
      </c>
      <c r="N10" s="75" t="s">
        <v>21</v>
      </c>
      <c r="O10" s="75" t="s">
        <v>658</v>
      </c>
      <c r="P10" s="75" t="s">
        <v>39</v>
      </c>
      <c r="Q10" s="75" t="s">
        <v>20</v>
      </c>
      <c r="R10" s="75" t="s">
        <v>657</v>
      </c>
      <c r="S10" s="75" t="s">
        <v>21</v>
      </c>
      <c r="T10" s="75" t="s">
        <v>659</v>
      </c>
    </row>
    <row r="11" spans="1:20" s="237" customFormat="1" x14ac:dyDescent="0.25">
      <c r="A11" s="461">
        <v>1</v>
      </c>
      <c r="B11" s="461">
        <f>A11+1</f>
        <v>2</v>
      </c>
      <c r="C11" s="730">
        <f>B11+1</f>
        <v>3</v>
      </c>
      <c r="D11" s="730"/>
      <c r="E11" s="730"/>
      <c r="F11" s="730"/>
      <c r="G11" s="461">
        <f>C11+1</f>
        <v>4</v>
      </c>
      <c r="H11" s="461">
        <f>G11+1</f>
        <v>5</v>
      </c>
      <c r="I11" s="463"/>
      <c r="J11" s="461">
        <f>H11+1</f>
        <v>6</v>
      </c>
      <c r="K11" s="461">
        <f t="shared" ref="K11:T11" si="0">J11+1</f>
        <v>7</v>
      </c>
      <c r="L11" s="461">
        <f t="shared" si="0"/>
        <v>8</v>
      </c>
      <c r="M11" s="461">
        <f t="shared" si="0"/>
        <v>9</v>
      </c>
      <c r="N11" s="461">
        <f t="shared" si="0"/>
        <v>10</v>
      </c>
      <c r="O11" s="461">
        <f t="shared" si="0"/>
        <v>11</v>
      </c>
      <c r="P11" s="461">
        <f t="shared" si="0"/>
        <v>12</v>
      </c>
      <c r="Q11" s="461">
        <f t="shared" si="0"/>
        <v>13</v>
      </c>
      <c r="R11" s="461">
        <f t="shared" si="0"/>
        <v>14</v>
      </c>
      <c r="S11" s="461">
        <f t="shared" si="0"/>
        <v>15</v>
      </c>
      <c r="T11" s="461">
        <f t="shared" si="0"/>
        <v>16</v>
      </c>
    </row>
    <row r="12" spans="1:20" s="237" customFormat="1" ht="22.5" x14ac:dyDescent="0.25">
      <c r="A12" s="461"/>
      <c r="B12" s="461"/>
      <c r="C12" s="462"/>
      <c r="D12" s="85" t="s">
        <v>641</v>
      </c>
      <c r="E12" s="85" t="s">
        <v>642</v>
      </c>
      <c r="F12" s="85" t="s">
        <v>643</v>
      </c>
      <c r="G12" s="461"/>
      <c r="H12" s="461"/>
      <c r="I12" s="463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</row>
    <row r="13" spans="1:20" x14ac:dyDescent="0.25">
      <c r="A13" s="85">
        <f t="shared" ref="A13:A52" si="1">IF(COUNTBLANK(B13)=1," ",COUNTA($B$12:B13))</f>
        <v>1</v>
      </c>
      <c r="B13" s="83" t="s">
        <v>40</v>
      </c>
      <c r="C13" s="84" t="s">
        <v>78</v>
      </c>
      <c r="D13" s="85"/>
      <c r="E13" s="85"/>
      <c r="F13" s="85"/>
      <c r="G13" s="85" t="s">
        <v>42</v>
      </c>
      <c r="H13" s="86">
        <f>apjoms!T28</f>
        <v>326.41999999999996</v>
      </c>
      <c r="I13" s="98"/>
      <c r="J13" s="92"/>
      <c r="K13" s="99"/>
      <c r="L13" s="92"/>
      <c r="M13" s="92"/>
      <c r="N13" s="92"/>
      <c r="O13" s="81"/>
      <c r="P13" s="82"/>
      <c r="Q13" s="82"/>
      <c r="R13" s="82"/>
      <c r="S13" s="82"/>
      <c r="T13" s="82"/>
    </row>
    <row r="14" spans="1:20" x14ac:dyDescent="0.25">
      <c r="A14" s="85">
        <f t="shared" si="1"/>
        <v>2</v>
      </c>
      <c r="B14" s="83" t="s">
        <v>40</v>
      </c>
      <c r="C14" s="84" t="s">
        <v>591</v>
      </c>
      <c r="D14" s="85"/>
      <c r="E14" s="85"/>
      <c r="F14" s="86"/>
      <c r="G14" s="85" t="s">
        <v>47</v>
      </c>
      <c r="H14" s="86">
        <f>apjoms!J35+apjoms!J36</f>
        <v>593.04</v>
      </c>
      <c r="I14" s="98"/>
      <c r="J14" s="125"/>
      <c r="K14" s="99"/>
      <c r="L14" s="125"/>
      <c r="M14" s="125"/>
      <c r="N14" s="125"/>
      <c r="O14" s="81"/>
      <c r="P14" s="82"/>
      <c r="Q14" s="82"/>
      <c r="R14" s="82"/>
      <c r="S14" s="82"/>
      <c r="T14" s="82"/>
    </row>
    <row r="15" spans="1:20" x14ac:dyDescent="0.25">
      <c r="A15" s="85"/>
      <c r="B15" s="83"/>
      <c r="C15" s="84" t="s">
        <v>647</v>
      </c>
      <c r="D15" s="85">
        <v>27</v>
      </c>
      <c r="E15" s="85">
        <v>1.5</v>
      </c>
      <c r="F15" s="85">
        <v>6.24</v>
      </c>
      <c r="G15" s="85" t="s">
        <v>47</v>
      </c>
      <c r="H15" s="86">
        <f>D15*E15*F15</f>
        <v>252.72</v>
      </c>
      <c r="I15" s="98"/>
      <c r="J15" s="125"/>
      <c r="K15" s="99"/>
      <c r="L15" s="125"/>
      <c r="M15" s="125"/>
      <c r="N15" s="125"/>
      <c r="O15" s="81"/>
      <c r="P15" s="82"/>
      <c r="Q15" s="82"/>
      <c r="R15" s="82"/>
      <c r="S15" s="82"/>
      <c r="T15" s="82"/>
    </row>
    <row r="16" spans="1:20" x14ac:dyDescent="0.25">
      <c r="A16" s="85"/>
      <c r="B16" s="83"/>
      <c r="C16" s="84" t="s">
        <v>650</v>
      </c>
      <c r="D16" s="85">
        <v>31</v>
      </c>
      <c r="E16" s="85">
        <v>1.5</v>
      </c>
      <c r="F16" s="85">
        <v>6.24</v>
      </c>
      <c r="G16" s="85" t="s">
        <v>47</v>
      </c>
      <c r="H16" s="86">
        <f>D16*E16*F16</f>
        <v>290.16000000000003</v>
      </c>
      <c r="I16" s="98"/>
      <c r="J16" s="125"/>
      <c r="K16" s="99"/>
      <c r="L16" s="125"/>
      <c r="M16" s="125"/>
      <c r="N16" s="125"/>
      <c r="O16" s="81"/>
      <c r="P16" s="82"/>
      <c r="Q16" s="82"/>
      <c r="R16" s="82"/>
      <c r="S16" s="82"/>
      <c r="T16" s="82"/>
    </row>
    <row r="17" spans="1:20" x14ac:dyDescent="0.25">
      <c r="A17" s="85"/>
      <c r="B17" s="83"/>
      <c r="C17" s="84" t="s">
        <v>651</v>
      </c>
      <c r="D17" s="85">
        <v>3</v>
      </c>
      <c r="E17" s="85">
        <v>1.5</v>
      </c>
      <c r="F17" s="85">
        <v>3.04</v>
      </c>
      <c r="G17" s="85" t="s">
        <v>47</v>
      </c>
      <c r="H17" s="86">
        <f>D17*E17*F17</f>
        <v>13.68</v>
      </c>
      <c r="I17" s="98"/>
      <c r="J17" s="125"/>
      <c r="K17" s="99"/>
      <c r="L17" s="125"/>
      <c r="M17" s="125"/>
      <c r="N17" s="125"/>
      <c r="O17" s="81"/>
      <c r="P17" s="82"/>
      <c r="Q17" s="82"/>
      <c r="R17" s="82"/>
      <c r="S17" s="82"/>
      <c r="T17" s="82"/>
    </row>
    <row r="18" spans="1:20" x14ac:dyDescent="0.25">
      <c r="A18" s="85"/>
      <c r="B18" s="83"/>
      <c r="C18" s="84" t="s">
        <v>652</v>
      </c>
      <c r="D18" s="85">
        <v>8</v>
      </c>
      <c r="E18" s="85">
        <v>1.5</v>
      </c>
      <c r="F18" s="85">
        <v>3.04</v>
      </c>
      <c r="G18" s="85" t="s">
        <v>47</v>
      </c>
      <c r="H18" s="86">
        <f>D18*E18*F18</f>
        <v>36.480000000000004</v>
      </c>
      <c r="I18" s="98"/>
      <c r="J18" s="125"/>
      <c r="K18" s="99"/>
      <c r="L18" s="125"/>
      <c r="M18" s="125"/>
      <c r="N18" s="125"/>
      <c r="O18" s="81"/>
      <c r="P18" s="82"/>
      <c r="Q18" s="82"/>
      <c r="R18" s="82"/>
      <c r="S18" s="82"/>
      <c r="T18" s="82"/>
    </row>
    <row r="19" spans="1:20" ht="22.5" x14ac:dyDescent="0.25">
      <c r="A19" s="85">
        <f t="shared" si="1"/>
        <v>3</v>
      </c>
      <c r="B19" s="83" t="s">
        <v>40</v>
      </c>
      <c r="C19" s="84" t="s">
        <v>646</v>
      </c>
      <c r="D19" s="85"/>
      <c r="E19" s="85"/>
      <c r="F19" s="85"/>
      <c r="G19" s="85" t="s">
        <v>44</v>
      </c>
      <c r="H19" s="86">
        <v>169</v>
      </c>
      <c r="I19" s="98"/>
      <c r="J19" s="125"/>
      <c r="K19" s="99"/>
      <c r="L19" s="125"/>
      <c r="M19" s="125"/>
      <c r="N19" s="125"/>
      <c r="O19" s="81"/>
      <c r="P19" s="82"/>
      <c r="Q19" s="82"/>
      <c r="R19" s="82"/>
      <c r="S19" s="82"/>
      <c r="T19" s="82"/>
    </row>
    <row r="20" spans="1:20" x14ac:dyDescent="0.25">
      <c r="A20" s="85"/>
      <c r="B20" s="83"/>
      <c r="C20" s="84" t="s">
        <v>648</v>
      </c>
      <c r="D20" s="85">
        <v>15</v>
      </c>
      <c r="E20" s="85">
        <v>3.2</v>
      </c>
      <c r="F20" s="85">
        <v>1.1000000000000001</v>
      </c>
      <c r="G20" s="85" t="s">
        <v>47</v>
      </c>
      <c r="H20" s="86">
        <f>D20*E20*F20</f>
        <v>52.800000000000004</v>
      </c>
      <c r="I20" s="98"/>
      <c r="J20" s="125"/>
      <c r="K20" s="99"/>
      <c r="L20" s="125"/>
      <c r="M20" s="125"/>
      <c r="N20" s="125"/>
      <c r="O20" s="81"/>
      <c r="P20" s="82"/>
      <c r="Q20" s="82"/>
      <c r="R20" s="82"/>
      <c r="S20" s="82"/>
      <c r="T20" s="82"/>
    </row>
    <row r="21" spans="1:20" ht="22.5" x14ac:dyDescent="0.25">
      <c r="A21" s="85"/>
      <c r="B21" s="83"/>
      <c r="C21" s="84" t="s">
        <v>649</v>
      </c>
      <c r="D21" s="85">
        <v>77</v>
      </c>
      <c r="E21" s="85">
        <v>6.4</v>
      </c>
      <c r="F21" s="85">
        <v>1.1000000000000001</v>
      </c>
      <c r="G21" s="85" t="s">
        <v>47</v>
      </c>
      <c r="H21" s="86">
        <f>D21*E21*F21</f>
        <v>542.08000000000004</v>
      </c>
      <c r="I21" s="98"/>
      <c r="J21" s="125"/>
      <c r="K21" s="99"/>
      <c r="L21" s="125"/>
      <c r="M21" s="125"/>
      <c r="N21" s="125"/>
      <c r="O21" s="81"/>
      <c r="P21" s="82"/>
      <c r="Q21" s="82"/>
      <c r="R21" s="82"/>
      <c r="S21" s="82"/>
      <c r="T21" s="82"/>
    </row>
    <row r="22" spans="1:20" ht="56.25" x14ac:dyDescent="0.25">
      <c r="A22" s="85">
        <f>IF(COUNTBLANK(B22)=1," ",COUNTA($B$12:B22))</f>
        <v>4</v>
      </c>
      <c r="B22" s="83" t="s">
        <v>40</v>
      </c>
      <c r="C22" s="104" t="s">
        <v>80</v>
      </c>
      <c r="D22" s="85" t="s">
        <v>44</v>
      </c>
      <c r="E22" s="85" t="s">
        <v>636</v>
      </c>
      <c r="F22" s="85" t="s">
        <v>637</v>
      </c>
      <c r="G22" s="85" t="s">
        <v>47</v>
      </c>
      <c r="H22" s="86">
        <f>SUM(H23:H24)</f>
        <v>10.238</v>
      </c>
      <c r="I22" s="98"/>
      <c r="J22" s="98"/>
      <c r="K22" s="127"/>
      <c r="L22" s="98"/>
      <c r="M22" s="98"/>
      <c r="N22" s="98"/>
      <c r="O22" s="81"/>
      <c r="P22" s="82"/>
      <c r="Q22" s="82"/>
      <c r="R22" s="82"/>
      <c r="S22" s="82"/>
      <c r="T22" s="82"/>
    </row>
    <row r="23" spans="1:20" x14ac:dyDescent="0.25">
      <c r="A23" s="85" t="str">
        <f t="shared" si="1"/>
        <v xml:space="preserve"> </v>
      </c>
      <c r="B23" s="83"/>
      <c r="C23" s="464" t="str">
        <f>apjoms!B20</f>
        <v>D1*</v>
      </c>
      <c r="D23" s="85">
        <f>apjoms!D20</f>
        <v>1</v>
      </c>
      <c r="E23" s="85">
        <f>apjoms!F20</f>
        <v>1.4590000000000001</v>
      </c>
      <c r="F23" s="85">
        <f>apjoms!G20</f>
        <v>2</v>
      </c>
      <c r="G23" s="85" t="s">
        <v>47</v>
      </c>
      <c r="H23" s="86">
        <f>apjoms!J20</f>
        <v>2.9180000000000001</v>
      </c>
      <c r="I23" s="98"/>
      <c r="J23" s="128"/>
      <c r="K23" s="99"/>
      <c r="L23" s="128"/>
      <c r="M23" s="128"/>
      <c r="N23" s="128"/>
      <c r="O23" s="81"/>
      <c r="P23" s="82"/>
      <c r="Q23" s="82"/>
      <c r="R23" s="82"/>
      <c r="S23" s="82"/>
      <c r="T23" s="82"/>
    </row>
    <row r="24" spans="1:20" x14ac:dyDescent="0.25">
      <c r="A24" s="85" t="str">
        <f t="shared" si="1"/>
        <v xml:space="preserve"> </v>
      </c>
      <c r="B24" s="83"/>
      <c r="C24" s="464" t="str">
        <f>apjoms!B21</f>
        <v>D1</v>
      </c>
      <c r="D24" s="85">
        <f>apjoms!D21</f>
        <v>3</v>
      </c>
      <c r="E24" s="85">
        <f>apjoms!F21</f>
        <v>1.22</v>
      </c>
      <c r="F24" s="85">
        <f>apjoms!G21</f>
        <v>2</v>
      </c>
      <c r="G24" s="85" t="s">
        <v>47</v>
      </c>
      <c r="H24" s="86">
        <f>apjoms!J21</f>
        <v>7.32</v>
      </c>
      <c r="I24" s="98"/>
      <c r="J24" s="128"/>
      <c r="K24" s="99"/>
      <c r="L24" s="128"/>
      <c r="M24" s="128"/>
      <c r="N24" s="128"/>
      <c r="O24" s="81"/>
      <c r="P24" s="82"/>
      <c r="Q24" s="82"/>
      <c r="R24" s="82"/>
      <c r="S24" s="82"/>
      <c r="T24" s="82"/>
    </row>
    <row r="25" spans="1:20" ht="22.5" x14ac:dyDescent="0.25">
      <c r="A25" s="85">
        <f t="shared" si="1"/>
        <v>5</v>
      </c>
      <c r="B25" s="83" t="s">
        <v>40</v>
      </c>
      <c r="C25" s="104" t="s">
        <v>639</v>
      </c>
      <c r="D25" s="85">
        <f>apjoms!E22</f>
        <v>1</v>
      </c>
      <c r="E25" s="85">
        <f>apjoms!F20</f>
        <v>1.4590000000000001</v>
      </c>
      <c r="F25" s="85">
        <f>apjoms!G22</f>
        <v>2</v>
      </c>
      <c r="G25" s="85" t="s">
        <v>47</v>
      </c>
      <c r="H25" s="86">
        <f>apjoms!J22</f>
        <v>2.52</v>
      </c>
      <c r="I25" s="98"/>
      <c r="J25" s="98"/>
      <c r="K25" s="127"/>
      <c r="L25" s="98"/>
      <c r="M25" s="98"/>
      <c r="N25" s="98"/>
      <c r="O25" s="81"/>
      <c r="P25" s="82"/>
      <c r="Q25" s="82"/>
      <c r="R25" s="82"/>
      <c r="S25" s="82"/>
      <c r="T25" s="82"/>
    </row>
    <row r="26" spans="1:20" ht="22.5" x14ac:dyDescent="0.25">
      <c r="A26" s="85">
        <f t="shared" si="1"/>
        <v>6</v>
      </c>
      <c r="B26" s="83" t="s">
        <v>40</v>
      </c>
      <c r="C26" s="104" t="s">
        <v>638</v>
      </c>
      <c r="D26" s="85">
        <v>4</v>
      </c>
      <c r="E26" s="85">
        <v>0.9</v>
      </c>
      <c r="F26" s="85">
        <v>2</v>
      </c>
      <c r="G26" s="85" t="s">
        <v>47</v>
      </c>
      <c r="H26" s="86">
        <f>apjoms!J23</f>
        <v>7.2</v>
      </c>
      <c r="I26" s="98"/>
      <c r="J26" s="128"/>
      <c r="K26" s="99"/>
      <c r="L26" s="128"/>
      <c r="M26" s="128"/>
      <c r="N26" s="128"/>
      <c r="O26" s="81"/>
      <c r="P26" s="82"/>
      <c r="Q26" s="82"/>
      <c r="R26" s="82"/>
      <c r="S26" s="82"/>
      <c r="T26" s="82"/>
    </row>
    <row r="27" spans="1:20" ht="22.5" x14ac:dyDescent="0.25">
      <c r="A27" s="85">
        <f t="shared" si="1"/>
        <v>7</v>
      </c>
      <c r="B27" s="83" t="s">
        <v>40</v>
      </c>
      <c r="C27" s="104" t="s">
        <v>640</v>
      </c>
      <c r="D27" s="85">
        <v>3</v>
      </c>
      <c r="E27" s="85">
        <v>1.26</v>
      </c>
      <c r="F27" s="85">
        <v>2</v>
      </c>
      <c r="G27" s="85" t="s">
        <v>47</v>
      </c>
      <c r="H27" s="86">
        <f>apjoms!J24</f>
        <v>7.5600000000000005</v>
      </c>
      <c r="I27" s="98"/>
      <c r="J27" s="128"/>
      <c r="K27" s="99"/>
      <c r="L27" s="128"/>
      <c r="M27" s="128"/>
      <c r="N27" s="128"/>
      <c r="O27" s="81"/>
      <c r="P27" s="82"/>
      <c r="Q27" s="82"/>
      <c r="R27" s="82"/>
      <c r="S27" s="82"/>
      <c r="T27" s="82"/>
    </row>
    <row r="28" spans="1:20" ht="33.75" x14ac:dyDescent="0.25">
      <c r="A28" s="85">
        <f t="shared" si="1"/>
        <v>8</v>
      </c>
      <c r="B28" s="83" t="s">
        <v>40</v>
      </c>
      <c r="C28" s="104" t="s">
        <v>81</v>
      </c>
      <c r="D28" s="85">
        <v>1</v>
      </c>
      <c r="E28" s="85">
        <v>1</v>
      </c>
      <c r="F28" s="85">
        <v>2</v>
      </c>
      <c r="G28" s="85" t="s">
        <v>47</v>
      </c>
      <c r="H28" s="269">
        <f>apjoms!J25</f>
        <v>2</v>
      </c>
      <c r="I28" s="98"/>
      <c r="J28" s="128"/>
      <c r="K28" s="99"/>
      <c r="L28" s="128"/>
      <c r="M28" s="128"/>
      <c r="N28" s="128"/>
      <c r="O28" s="81"/>
      <c r="P28" s="82"/>
      <c r="Q28" s="82"/>
      <c r="R28" s="82"/>
      <c r="S28" s="82"/>
      <c r="T28" s="82"/>
    </row>
    <row r="29" spans="1:20" s="133" customFormat="1" x14ac:dyDescent="0.25">
      <c r="A29" s="85">
        <f t="shared" si="1"/>
        <v>9</v>
      </c>
      <c r="B29" s="129" t="s">
        <v>40</v>
      </c>
      <c r="C29" s="130" t="s">
        <v>82</v>
      </c>
      <c r="D29" s="130"/>
      <c r="E29" s="130"/>
      <c r="F29" s="130"/>
      <c r="G29" s="85" t="s">
        <v>47</v>
      </c>
      <c r="H29" s="131">
        <f>SUM(H23:H28)</f>
        <v>29.518000000000001</v>
      </c>
      <c r="I29" s="131"/>
      <c r="J29" s="132"/>
      <c r="K29" s="99"/>
      <c r="L29" s="132"/>
      <c r="M29" s="132"/>
      <c r="N29" s="132"/>
      <c r="O29" s="81"/>
      <c r="P29" s="82"/>
      <c r="Q29" s="82"/>
      <c r="R29" s="82"/>
      <c r="S29" s="82"/>
      <c r="T29" s="82"/>
    </row>
    <row r="30" spans="1:20" s="133" customFormat="1" x14ac:dyDescent="0.25">
      <c r="A30" s="85" t="str">
        <f t="shared" si="1"/>
        <v xml:space="preserve"> </v>
      </c>
      <c r="B30" s="134"/>
      <c r="C30" s="101" t="s">
        <v>83</v>
      </c>
      <c r="D30" s="101"/>
      <c r="E30" s="101"/>
      <c r="F30" s="101"/>
      <c r="G30" s="85" t="s">
        <v>44</v>
      </c>
      <c r="H30" s="100">
        <f>ROUNDUP(H29*I30,0)</f>
        <v>77</v>
      </c>
      <c r="I30" s="100">
        <v>2.6</v>
      </c>
      <c r="J30" s="132"/>
      <c r="K30" s="99"/>
      <c r="L30" s="132"/>
      <c r="M30" s="99"/>
      <c r="N30" s="132"/>
      <c r="O30" s="81"/>
      <c r="P30" s="82"/>
      <c r="Q30" s="82"/>
      <c r="R30" s="82"/>
      <c r="S30" s="82"/>
      <c r="T30" s="82"/>
    </row>
    <row r="31" spans="1:20" s="133" customFormat="1" x14ac:dyDescent="0.25">
      <c r="A31" s="85" t="str">
        <f t="shared" si="1"/>
        <v xml:space="preserve"> </v>
      </c>
      <c r="B31" s="134"/>
      <c r="C31" s="130" t="s">
        <v>84</v>
      </c>
      <c r="D31" s="130"/>
      <c r="E31" s="130"/>
      <c r="F31" s="130"/>
      <c r="G31" s="85" t="s">
        <v>44</v>
      </c>
      <c r="H31" s="131">
        <f>ROUNDUP(H29*I31,0)</f>
        <v>60</v>
      </c>
      <c r="I31" s="131">
        <v>2</v>
      </c>
      <c r="J31" s="132"/>
      <c r="K31" s="99"/>
      <c r="L31" s="132"/>
      <c r="M31" s="99"/>
      <c r="N31" s="132"/>
      <c r="O31" s="81"/>
      <c r="P31" s="82"/>
      <c r="Q31" s="82"/>
      <c r="R31" s="82"/>
      <c r="S31" s="82"/>
      <c r="T31" s="82"/>
    </row>
    <row r="32" spans="1:20" s="133" customFormat="1" x14ac:dyDescent="0.25">
      <c r="A32" s="85" t="str">
        <f t="shared" si="1"/>
        <v xml:space="preserve"> </v>
      </c>
      <c r="B32" s="129"/>
      <c r="C32" s="101" t="s">
        <v>757</v>
      </c>
      <c r="D32" s="101"/>
      <c r="E32" s="101"/>
      <c r="F32" s="101"/>
      <c r="G32" s="134" t="s">
        <v>85</v>
      </c>
      <c r="H32" s="131">
        <f>ROUNDUP(H29*I32,0)</f>
        <v>12</v>
      </c>
      <c r="I32" s="131">
        <v>0.4</v>
      </c>
      <c r="J32" s="132"/>
      <c r="K32" s="99"/>
      <c r="L32" s="132"/>
      <c r="M32" s="99"/>
      <c r="N32" s="132"/>
      <c r="O32" s="81"/>
      <c r="P32" s="82"/>
      <c r="Q32" s="82"/>
      <c r="R32" s="82"/>
      <c r="S32" s="82"/>
      <c r="T32" s="82"/>
    </row>
    <row r="33" spans="1:20" s="133" customFormat="1" x14ac:dyDescent="0.25">
      <c r="A33" s="85" t="str">
        <f t="shared" si="1"/>
        <v xml:space="preserve"> </v>
      </c>
      <c r="B33" s="129"/>
      <c r="C33" s="101" t="s">
        <v>86</v>
      </c>
      <c r="D33" s="101"/>
      <c r="E33" s="101"/>
      <c r="F33" s="101"/>
      <c r="G33" s="85" t="s">
        <v>44</v>
      </c>
      <c r="H33" s="131">
        <f>ROUNDUP(H29*I33,0)</f>
        <v>74</v>
      </c>
      <c r="I33" s="131">
        <v>2.5</v>
      </c>
      <c r="J33" s="132"/>
      <c r="K33" s="99"/>
      <c r="L33" s="132"/>
      <c r="M33" s="99"/>
      <c r="N33" s="132"/>
      <c r="O33" s="81"/>
      <c r="P33" s="82"/>
      <c r="Q33" s="82"/>
      <c r="R33" s="82"/>
      <c r="S33" s="82"/>
      <c r="T33" s="82"/>
    </row>
    <row r="34" spans="1:20" s="133" customFormat="1" x14ac:dyDescent="0.25">
      <c r="A34" s="85" t="str">
        <f t="shared" si="1"/>
        <v xml:space="preserve"> </v>
      </c>
      <c r="B34" s="129"/>
      <c r="C34" s="101" t="s">
        <v>758</v>
      </c>
      <c r="D34" s="101"/>
      <c r="E34" s="101"/>
      <c r="F34" s="101"/>
      <c r="G34" s="134" t="s">
        <v>85</v>
      </c>
      <c r="H34" s="131">
        <f>ROUNDUP(H29*I34,2)</f>
        <v>7.38</v>
      </c>
      <c r="I34" s="131">
        <v>0.25</v>
      </c>
      <c r="J34" s="132"/>
      <c r="K34" s="125"/>
      <c r="L34" s="350"/>
      <c r="M34" s="125"/>
      <c r="N34" s="350"/>
      <c r="O34" s="351"/>
      <c r="P34" s="82"/>
      <c r="Q34" s="82"/>
      <c r="R34" s="82"/>
      <c r="S34" s="82"/>
      <c r="T34" s="82"/>
    </row>
    <row r="35" spans="1:20" ht="22.5" x14ac:dyDescent="0.25">
      <c r="A35" s="85">
        <f t="shared" si="1"/>
        <v>10</v>
      </c>
      <c r="B35" s="83" t="s">
        <v>40</v>
      </c>
      <c r="C35" s="84" t="s">
        <v>759</v>
      </c>
      <c r="D35" s="85"/>
      <c r="E35" s="85"/>
      <c r="F35" s="85"/>
      <c r="G35" s="85" t="s">
        <v>79</v>
      </c>
      <c r="H35" s="86">
        <v>301</v>
      </c>
      <c r="I35" s="85"/>
      <c r="J35" s="456"/>
      <c r="K35" s="457"/>
      <c r="L35" s="458"/>
      <c r="M35" s="458"/>
      <c r="N35" s="458"/>
      <c r="O35" s="353"/>
      <c r="P35" s="349"/>
      <c r="Q35" s="82"/>
      <c r="R35" s="82"/>
      <c r="S35" s="82"/>
      <c r="T35" s="82"/>
    </row>
    <row r="36" spans="1:20" x14ac:dyDescent="0.25">
      <c r="A36" s="85">
        <f t="shared" si="1"/>
        <v>11</v>
      </c>
      <c r="B36" s="83" t="s">
        <v>40</v>
      </c>
      <c r="C36" s="236" t="s">
        <v>87</v>
      </c>
      <c r="D36" s="465"/>
      <c r="E36" s="465"/>
      <c r="F36" s="85"/>
      <c r="G36" s="123" t="s">
        <v>88</v>
      </c>
      <c r="H36" s="106">
        <f>H19*1*3*0.05+H14*0.04</f>
        <v>49.071600000000004</v>
      </c>
      <c r="I36" s="85"/>
      <c r="J36" s="466"/>
      <c r="K36" s="457"/>
      <c r="L36" s="467"/>
      <c r="M36" s="468"/>
      <c r="N36" s="469"/>
      <c r="O36" s="353"/>
      <c r="P36" s="349"/>
      <c r="Q36" s="82"/>
      <c r="R36" s="82"/>
      <c r="S36" s="82"/>
      <c r="T36" s="82"/>
    </row>
    <row r="37" spans="1:20" x14ac:dyDescent="0.25">
      <c r="A37" s="85" t="str">
        <f t="shared" si="1"/>
        <v xml:space="preserve"> </v>
      </c>
      <c r="B37" s="83"/>
      <c r="C37" s="236" t="s">
        <v>89</v>
      </c>
      <c r="D37" s="465"/>
      <c r="E37" s="465"/>
      <c r="F37" s="85"/>
      <c r="G37" s="123" t="s">
        <v>44</v>
      </c>
      <c r="H37" s="98">
        <f>ROUNDUP(H36*I37,0)</f>
        <v>8</v>
      </c>
      <c r="I37" s="131">
        <v>0.14285714285714299</v>
      </c>
      <c r="J37" s="470"/>
      <c r="K37" s="469"/>
      <c r="L37" s="467"/>
      <c r="M37" s="468"/>
      <c r="N37" s="469"/>
      <c r="O37" s="353"/>
      <c r="P37" s="349"/>
      <c r="Q37" s="82"/>
      <c r="R37" s="82"/>
      <c r="S37" s="82"/>
      <c r="T37" s="82"/>
    </row>
    <row r="38" spans="1:20" x14ac:dyDescent="0.25">
      <c r="A38" s="142">
        <f t="shared" si="1"/>
        <v>12</v>
      </c>
      <c r="B38" s="471" t="s">
        <v>40</v>
      </c>
      <c r="C38" s="472" t="s">
        <v>90</v>
      </c>
      <c r="D38" s="473"/>
      <c r="E38" s="473"/>
      <c r="F38" s="142"/>
      <c r="G38" s="474" t="s">
        <v>44</v>
      </c>
      <c r="H38" s="475">
        <v>50</v>
      </c>
      <c r="I38" s="142"/>
      <c r="J38" s="456"/>
      <c r="K38" s="457"/>
      <c r="L38" s="458"/>
      <c r="M38" s="458"/>
      <c r="N38" s="458"/>
      <c r="O38" s="353"/>
      <c r="P38" s="349"/>
      <c r="Q38" s="82"/>
      <c r="R38" s="82"/>
      <c r="S38" s="82"/>
      <c r="T38" s="82"/>
    </row>
    <row r="39" spans="1:20" ht="22.5" x14ac:dyDescent="0.25">
      <c r="A39" s="85">
        <f t="shared" si="1"/>
        <v>13</v>
      </c>
      <c r="B39" s="83" t="s">
        <v>40</v>
      </c>
      <c r="C39" s="236" t="s">
        <v>593</v>
      </c>
      <c r="D39" s="465"/>
      <c r="E39" s="465"/>
      <c r="F39" s="85"/>
      <c r="G39" s="123" t="s">
        <v>44</v>
      </c>
      <c r="H39" s="106">
        <v>26</v>
      </c>
      <c r="I39" s="85"/>
      <c r="J39" s="92"/>
      <c r="K39" s="128"/>
      <c r="L39" s="459"/>
      <c r="M39" s="459"/>
      <c r="N39" s="459"/>
      <c r="O39" s="352"/>
      <c r="P39" s="82"/>
      <c r="Q39" s="82"/>
      <c r="R39" s="82"/>
      <c r="S39" s="82"/>
      <c r="T39" s="82"/>
    </row>
    <row r="40" spans="1:20" ht="22.5" x14ac:dyDescent="0.25">
      <c r="A40" s="85">
        <f t="shared" si="1"/>
        <v>14</v>
      </c>
      <c r="B40" s="83" t="s">
        <v>40</v>
      </c>
      <c r="C40" s="236" t="s">
        <v>592</v>
      </c>
      <c r="D40" s="465"/>
      <c r="E40" s="465"/>
      <c r="F40" s="85"/>
      <c r="G40" s="123" t="s">
        <v>44</v>
      </c>
      <c r="H40" s="106">
        <v>54</v>
      </c>
      <c r="I40" s="85"/>
      <c r="J40" s="92"/>
      <c r="K40" s="99"/>
      <c r="L40" s="460"/>
      <c r="M40" s="460"/>
      <c r="N40" s="460"/>
      <c r="O40" s="81"/>
      <c r="P40" s="82"/>
      <c r="Q40" s="82"/>
      <c r="R40" s="82"/>
      <c r="S40" s="82"/>
      <c r="T40" s="82"/>
    </row>
    <row r="41" spans="1:20" ht="22.5" x14ac:dyDescent="0.25">
      <c r="A41" s="85">
        <f t="shared" si="1"/>
        <v>15</v>
      </c>
      <c r="B41" s="83" t="s">
        <v>40</v>
      </c>
      <c r="C41" s="236" t="s">
        <v>91</v>
      </c>
      <c r="D41" s="90">
        <v>46</v>
      </c>
      <c r="E41" s="318">
        <v>6.24</v>
      </c>
      <c r="F41" s="85">
        <v>1.5</v>
      </c>
      <c r="G41" s="98" t="s">
        <v>47</v>
      </c>
      <c r="H41" s="106">
        <f>D41*E41*F41</f>
        <v>430.56000000000006</v>
      </c>
      <c r="I41" s="85"/>
      <c r="J41" s="99"/>
      <c r="K41" s="99"/>
      <c r="L41" s="125"/>
      <c r="M41" s="99"/>
      <c r="N41" s="99"/>
      <c r="O41" s="81"/>
      <c r="P41" s="82"/>
      <c r="Q41" s="82"/>
      <c r="R41" s="82"/>
      <c r="S41" s="82"/>
      <c r="T41" s="82"/>
    </row>
    <row r="42" spans="1:20" ht="22.15" customHeight="1" x14ac:dyDescent="0.25">
      <c r="A42" s="85">
        <f t="shared" si="1"/>
        <v>16</v>
      </c>
      <c r="B42" s="83" t="s">
        <v>40</v>
      </c>
      <c r="C42" s="236" t="s">
        <v>92</v>
      </c>
      <c r="D42" s="85">
        <v>7</v>
      </c>
      <c r="E42" s="85">
        <v>3.04</v>
      </c>
      <c r="F42" s="85">
        <v>1.5</v>
      </c>
      <c r="G42" s="98" t="s">
        <v>47</v>
      </c>
      <c r="H42" s="98">
        <f>D42*E42*F42</f>
        <v>31.92</v>
      </c>
      <c r="I42" s="85"/>
      <c r="J42" s="99"/>
      <c r="K42" s="99"/>
      <c r="L42" s="125"/>
      <c r="M42" s="99"/>
      <c r="N42" s="99"/>
      <c r="O42" s="81"/>
      <c r="P42" s="82"/>
      <c r="Q42" s="82"/>
      <c r="R42" s="82"/>
      <c r="S42" s="82"/>
      <c r="T42" s="82"/>
    </row>
    <row r="43" spans="1:20" ht="33.75" x14ac:dyDescent="0.25">
      <c r="A43" s="85">
        <f t="shared" si="1"/>
        <v>17</v>
      </c>
      <c r="B43" s="126" t="s">
        <v>40</v>
      </c>
      <c r="C43" s="143" t="s">
        <v>644</v>
      </c>
      <c r="D43" s="143"/>
      <c r="E43" s="143"/>
      <c r="F43" s="143"/>
      <c r="G43" s="144" t="s">
        <v>47</v>
      </c>
      <c r="H43" s="100">
        <f>apjoms!I32+apjoms!I33+apjoms!J32+apjoms!J33</f>
        <v>789.11999999999989</v>
      </c>
      <c r="I43" s="100"/>
      <c r="J43" s="99"/>
      <c r="K43" s="99"/>
      <c r="L43" s="99"/>
      <c r="M43" s="99"/>
      <c r="N43" s="99"/>
      <c r="O43" s="81"/>
      <c r="P43" s="82"/>
      <c r="Q43" s="82"/>
      <c r="R43" s="82"/>
      <c r="S43" s="82"/>
      <c r="T43" s="82"/>
    </row>
    <row r="44" spans="1:20" x14ac:dyDescent="0.25">
      <c r="A44" s="85" t="str">
        <f t="shared" si="1"/>
        <v xml:space="preserve"> </v>
      </c>
      <c r="B44" s="134"/>
      <c r="C44" s="101" t="s">
        <v>83</v>
      </c>
      <c r="D44" s="97"/>
      <c r="E44" s="97"/>
      <c r="F44" s="97"/>
      <c r="G44" s="144" t="s">
        <v>44</v>
      </c>
      <c r="H44" s="100">
        <f>ROUNDUP(H43*I44,0)</f>
        <v>2052</v>
      </c>
      <c r="I44" s="100">
        <v>2.6</v>
      </c>
      <c r="J44" s="99"/>
      <c r="K44" s="99"/>
      <c r="L44" s="99"/>
      <c r="M44" s="99"/>
      <c r="N44" s="99"/>
      <c r="O44" s="81"/>
      <c r="P44" s="82"/>
      <c r="Q44" s="82"/>
      <c r="R44" s="82"/>
      <c r="S44" s="82"/>
      <c r="T44" s="82"/>
    </row>
    <row r="45" spans="1:20" x14ac:dyDescent="0.25">
      <c r="A45" s="85" t="str">
        <f t="shared" si="1"/>
        <v xml:space="preserve"> </v>
      </c>
      <c r="B45" s="134"/>
      <c r="C45" s="130" t="s">
        <v>84</v>
      </c>
      <c r="D45" s="130"/>
      <c r="E45" s="130"/>
      <c r="F45" s="130"/>
      <c r="G45" s="144" t="s">
        <v>44</v>
      </c>
      <c r="H45" s="131">
        <f>ROUNDUP(H43*I45,0)</f>
        <v>1579</v>
      </c>
      <c r="I45" s="131">
        <v>2</v>
      </c>
      <c r="J45" s="99"/>
      <c r="K45" s="99"/>
      <c r="L45" s="99"/>
      <c r="M45" s="99"/>
      <c r="N45" s="99"/>
      <c r="O45" s="81"/>
      <c r="P45" s="82"/>
      <c r="Q45" s="82"/>
      <c r="R45" s="82"/>
      <c r="S45" s="82"/>
      <c r="T45" s="82"/>
    </row>
    <row r="46" spans="1:20" x14ac:dyDescent="0.25">
      <c r="A46" s="85" t="str">
        <f t="shared" si="1"/>
        <v xml:space="preserve"> </v>
      </c>
      <c r="B46" s="134"/>
      <c r="C46" s="101" t="s">
        <v>757</v>
      </c>
      <c r="D46" s="101"/>
      <c r="E46" s="101"/>
      <c r="F46" s="101"/>
      <c r="G46" s="134" t="s">
        <v>85</v>
      </c>
      <c r="H46" s="131">
        <f>ROUNDUP(H43*I46,0)</f>
        <v>316</v>
      </c>
      <c r="I46" s="131">
        <v>0.4</v>
      </c>
      <c r="J46" s="99"/>
      <c r="K46" s="99"/>
      <c r="L46" s="99"/>
      <c r="M46" s="99"/>
      <c r="N46" s="99"/>
      <c r="O46" s="81"/>
      <c r="P46" s="82"/>
      <c r="Q46" s="82"/>
      <c r="R46" s="82"/>
      <c r="S46" s="82"/>
      <c r="T46" s="82"/>
    </row>
    <row r="47" spans="1:20" x14ac:dyDescent="0.25">
      <c r="A47" s="85" t="str">
        <f t="shared" si="1"/>
        <v xml:space="preserve"> </v>
      </c>
      <c r="B47" s="134"/>
      <c r="C47" s="101" t="s">
        <v>86</v>
      </c>
      <c r="D47" s="101"/>
      <c r="E47" s="101"/>
      <c r="F47" s="101"/>
      <c r="G47" s="144" t="s">
        <v>44</v>
      </c>
      <c r="H47" s="131">
        <f>ROUNDUP(H43*I47,0)</f>
        <v>1973</v>
      </c>
      <c r="I47" s="131">
        <v>2.5</v>
      </c>
      <c r="J47" s="145"/>
      <c r="K47" s="99"/>
      <c r="L47" s="128"/>
      <c r="M47" s="128"/>
      <c r="N47" s="145"/>
      <c r="O47" s="81"/>
      <c r="P47" s="82"/>
      <c r="Q47" s="82"/>
      <c r="R47" s="82"/>
      <c r="S47" s="82"/>
      <c r="T47" s="82"/>
    </row>
    <row r="48" spans="1:20" x14ac:dyDescent="0.25">
      <c r="A48" s="142" t="str">
        <f t="shared" si="1"/>
        <v xml:space="preserve"> </v>
      </c>
      <c r="B48" s="688"/>
      <c r="C48" s="689" t="s">
        <v>758</v>
      </c>
      <c r="D48" s="689"/>
      <c r="E48" s="689"/>
      <c r="F48" s="689"/>
      <c r="G48" s="688" t="s">
        <v>85</v>
      </c>
      <c r="H48" s="690">
        <f>ROUNDUP(H43*I48,2)</f>
        <v>197.28</v>
      </c>
      <c r="I48" s="690">
        <v>0.25</v>
      </c>
      <c r="J48" s="460"/>
      <c r="K48" s="125"/>
      <c r="L48" s="125"/>
      <c r="M48" s="125"/>
      <c r="N48" s="460"/>
      <c r="O48" s="351"/>
      <c r="P48" s="691"/>
      <c r="Q48" s="691"/>
      <c r="R48" s="691"/>
      <c r="S48" s="691"/>
      <c r="T48" s="691"/>
    </row>
    <row r="49" spans="1:20" x14ac:dyDescent="0.25">
      <c r="A49" s="85">
        <f t="shared" si="1"/>
        <v>18</v>
      </c>
      <c r="B49" s="126" t="s">
        <v>40</v>
      </c>
      <c r="C49" s="694" t="s">
        <v>715</v>
      </c>
      <c r="D49" s="695" t="s">
        <v>47</v>
      </c>
      <c r="E49" s="696">
        <v>0</v>
      </c>
      <c r="F49" s="697"/>
      <c r="G49" s="698" t="s">
        <v>47</v>
      </c>
      <c r="H49" s="699">
        <f>apjoms!J20+apjoms!J21+apjoms!J22+apjoms!J23+apjoms!J24+apjoms!J25</f>
        <v>29.518000000000001</v>
      </c>
      <c r="I49" s="692"/>
      <c r="J49" s="458"/>
      <c r="K49" s="457"/>
      <c r="L49" s="457"/>
      <c r="M49" s="457"/>
      <c r="N49" s="458"/>
      <c r="O49" s="353"/>
      <c r="P49" s="693"/>
      <c r="Q49" s="693"/>
      <c r="R49" s="693"/>
      <c r="S49" s="693"/>
      <c r="T49" s="693"/>
    </row>
    <row r="50" spans="1:20" x14ac:dyDescent="0.25">
      <c r="A50" s="85">
        <f t="shared" si="1"/>
        <v>19</v>
      </c>
      <c r="B50" s="126" t="s">
        <v>40</v>
      </c>
      <c r="C50" s="700" t="s">
        <v>716</v>
      </c>
      <c r="D50" s="701"/>
      <c r="E50" s="697"/>
      <c r="F50" s="697"/>
      <c r="G50" s="698" t="s">
        <v>42</v>
      </c>
      <c r="H50" s="702">
        <f>apjoms!K28</f>
        <v>1667.6979999999999</v>
      </c>
      <c r="I50" s="692"/>
      <c r="J50" s="458"/>
      <c r="K50" s="457"/>
      <c r="L50" s="457"/>
      <c r="M50" s="457"/>
      <c r="N50" s="458"/>
      <c r="O50" s="353"/>
      <c r="P50" s="693"/>
      <c r="Q50" s="693"/>
      <c r="R50" s="693"/>
      <c r="S50" s="693"/>
      <c r="T50" s="693"/>
    </row>
    <row r="51" spans="1:20" ht="22.5" x14ac:dyDescent="0.25">
      <c r="A51" s="85">
        <f t="shared" si="1"/>
        <v>20</v>
      </c>
      <c r="B51" s="126" t="s">
        <v>40</v>
      </c>
      <c r="C51" s="703" t="s">
        <v>717</v>
      </c>
      <c r="D51" s="701"/>
      <c r="E51" s="697"/>
      <c r="F51" s="697"/>
      <c r="G51" s="704" t="s">
        <v>42</v>
      </c>
      <c r="H51" s="705">
        <f>apjoms!P28</f>
        <v>342.74100000000004</v>
      </c>
      <c r="I51" s="692"/>
      <c r="J51" s="458"/>
      <c r="K51" s="457"/>
      <c r="L51" s="457"/>
      <c r="M51" s="457"/>
      <c r="N51" s="458"/>
      <c r="O51" s="353"/>
      <c r="P51" s="693"/>
      <c r="Q51" s="693"/>
      <c r="R51" s="693"/>
      <c r="S51" s="693"/>
      <c r="T51" s="693"/>
    </row>
    <row r="52" spans="1:20" x14ac:dyDescent="0.25">
      <c r="A52" s="85">
        <f t="shared" si="1"/>
        <v>21</v>
      </c>
      <c r="B52" s="126" t="s">
        <v>40</v>
      </c>
      <c r="C52" s="703" t="s">
        <v>718</v>
      </c>
      <c r="D52" s="706"/>
      <c r="E52" s="706"/>
      <c r="F52" s="706"/>
      <c r="G52" s="704" t="s">
        <v>44</v>
      </c>
      <c r="H52" s="707">
        <f>(apjoms!E4+apjoms!E6+apjoms!E8+apjoms!E9+apjoms!E10+apjoms!E12+apjoms!E14+apjoms!E15+apjoms!E16+apjoms!E17+apjoms!E18+apjoms!E19)*2</f>
        <v>500</v>
      </c>
      <c r="I52" s="692"/>
      <c r="J52" s="458"/>
      <c r="K52" s="457"/>
      <c r="L52" s="457"/>
      <c r="M52" s="457"/>
      <c r="N52" s="458"/>
      <c r="O52" s="353"/>
      <c r="P52" s="693"/>
      <c r="Q52" s="693"/>
      <c r="R52" s="693"/>
      <c r="S52" s="693"/>
      <c r="T52" s="693"/>
    </row>
    <row r="53" spans="1:20" ht="22.5" x14ac:dyDescent="0.25">
      <c r="A53" s="110"/>
      <c r="B53" s="111"/>
      <c r="C53" s="113" t="s">
        <v>77</v>
      </c>
      <c r="D53" s="115"/>
      <c r="E53" s="9"/>
      <c r="F53" s="9"/>
      <c r="G53" s="96"/>
      <c r="H53" s="9"/>
      <c r="I53" s="96"/>
      <c r="J53" s="96"/>
      <c r="K53" s="96"/>
      <c r="L53" s="96"/>
      <c r="M53" s="116"/>
      <c r="N53" s="96"/>
      <c r="O53" s="116"/>
      <c r="P53" s="114">
        <f>SUM(P13:P52)</f>
        <v>0</v>
      </c>
      <c r="Q53" s="114">
        <f>SUM(Q13:Q52)</f>
        <v>0</v>
      </c>
      <c r="R53" s="114">
        <f>SUM(R13:R52)</f>
        <v>0</v>
      </c>
      <c r="S53" s="114">
        <f>SUM(S13:S52)</f>
        <v>0</v>
      </c>
      <c r="T53" s="114">
        <f>SUM(T13:T52)</f>
        <v>0</v>
      </c>
    </row>
    <row r="54" spans="1:20" x14ac:dyDescent="0.25">
      <c r="A54" s="110"/>
      <c r="B54" s="111"/>
      <c r="C54" s="69"/>
      <c r="D54" s="96"/>
      <c r="E54" s="112"/>
      <c r="F54" s="476"/>
      <c r="G54" s="112"/>
      <c r="H54" s="112"/>
      <c r="I54" s="477"/>
      <c r="J54" s="96"/>
      <c r="K54" s="112"/>
      <c r="L54" s="114"/>
      <c r="M54" s="114"/>
      <c r="N54" s="114"/>
      <c r="O54" s="114"/>
      <c r="P54" s="114"/>
      <c r="Q54" s="114"/>
    </row>
    <row r="55" spans="1:20" x14ac:dyDescent="0.25">
      <c r="A55" s="110"/>
      <c r="B55" s="111"/>
      <c r="C55" s="673" t="s">
        <v>680</v>
      </c>
      <c r="D55" s="96"/>
      <c r="E55" s="112"/>
      <c r="F55" s="476"/>
      <c r="G55" s="112"/>
      <c r="H55" s="112"/>
      <c r="I55" s="477"/>
      <c r="J55" s="96"/>
      <c r="K55" s="112"/>
      <c r="L55" s="114"/>
      <c r="M55" s="114"/>
      <c r="N55" s="114"/>
      <c r="O55" s="114"/>
      <c r="P55" s="114"/>
      <c r="Q55" s="114"/>
    </row>
    <row r="56" spans="1:20" x14ac:dyDescent="0.25">
      <c r="C56" s="674" t="s">
        <v>678</v>
      </c>
      <c r="D56" s="478"/>
      <c r="E56" s="479"/>
      <c r="F56" s="478"/>
      <c r="G56" s="478"/>
      <c r="H56" s="478"/>
      <c r="I56" s="478"/>
      <c r="J56" s="478"/>
      <c r="K56" s="478"/>
      <c r="L56" s="478"/>
      <c r="M56" s="478"/>
      <c r="N56" s="478"/>
      <c r="O56" s="478"/>
      <c r="P56" s="478"/>
      <c r="Q56" s="478"/>
    </row>
    <row r="57" spans="1:20" ht="15" x14ac:dyDescent="0.25">
      <c r="B57" s="57"/>
      <c r="C57" s="675"/>
      <c r="D57" s="35"/>
      <c r="E57" s="35"/>
      <c r="F57" s="35"/>
      <c r="G57" s="478"/>
      <c r="H57" s="478"/>
      <c r="I57" s="478"/>
      <c r="J57" s="478"/>
      <c r="K57" s="478"/>
      <c r="L57" s="478"/>
      <c r="M57" s="478"/>
      <c r="N57" s="478"/>
      <c r="O57" s="478"/>
      <c r="P57" s="478"/>
      <c r="Q57" s="478"/>
    </row>
    <row r="58" spans="1:20" x14ac:dyDescent="0.25">
      <c r="B58" s="57"/>
      <c r="C58" s="673" t="s">
        <v>7</v>
      </c>
      <c r="D58" s="35"/>
      <c r="E58" s="35"/>
      <c r="F58" s="35"/>
      <c r="G58" s="478"/>
      <c r="H58" s="478"/>
      <c r="I58" s="478"/>
      <c r="J58" s="478"/>
      <c r="K58" s="478"/>
      <c r="L58" s="478"/>
      <c r="M58" s="478"/>
      <c r="N58" s="478"/>
      <c r="O58" s="478"/>
      <c r="P58" s="478"/>
      <c r="Q58" s="478"/>
    </row>
    <row r="59" spans="1:20" x14ac:dyDescent="0.25">
      <c r="B59" s="1"/>
      <c r="C59" s="673" t="s">
        <v>681</v>
      </c>
      <c r="D59" s="35"/>
      <c r="E59" s="35"/>
      <c r="F59" s="35"/>
      <c r="G59" s="478"/>
      <c r="H59" s="478"/>
      <c r="I59" s="478"/>
      <c r="J59" s="478"/>
      <c r="K59" s="478"/>
      <c r="L59" s="478"/>
      <c r="M59" s="478"/>
      <c r="N59" s="478"/>
      <c r="O59" s="478"/>
      <c r="P59" s="478"/>
      <c r="Q59" s="478"/>
    </row>
    <row r="60" spans="1:20" x14ac:dyDescent="0.25">
      <c r="C60" s="57"/>
      <c r="D60" s="35"/>
      <c r="E60" s="35"/>
      <c r="F60" s="35"/>
      <c r="G60" s="480"/>
      <c r="H60" s="478"/>
      <c r="I60" s="478"/>
      <c r="J60" s="478"/>
      <c r="K60" s="478"/>
      <c r="L60" s="478"/>
      <c r="M60" s="478"/>
      <c r="N60" s="478"/>
      <c r="O60" s="478"/>
      <c r="P60" s="478"/>
      <c r="Q60" s="478"/>
    </row>
    <row r="61" spans="1:20" ht="12.75" x14ac:dyDescent="0.2">
      <c r="B61" s="1"/>
      <c r="C61" s="781" t="s">
        <v>838</v>
      </c>
      <c r="D61" s="782"/>
      <c r="E61" s="783"/>
      <c r="F61" s="783"/>
      <c r="G61" s="783"/>
      <c r="H61" s="783"/>
      <c r="I61" s="783"/>
      <c r="J61" s="783"/>
      <c r="K61" s="783"/>
      <c r="L61" s="783"/>
      <c r="M61" s="783"/>
      <c r="N61" s="783"/>
      <c r="O61" s="783"/>
      <c r="P61" s="783"/>
      <c r="Q61" s="783"/>
      <c r="R61" s="783"/>
    </row>
    <row r="62" spans="1:20" x14ac:dyDescent="0.25">
      <c r="B62" s="57"/>
      <c r="C62" s="784" t="s">
        <v>839</v>
      </c>
      <c r="D62" s="784"/>
      <c r="E62" s="784"/>
      <c r="F62" s="784"/>
      <c r="G62" s="784"/>
      <c r="H62" s="784"/>
      <c r="I62" s="784"/>
      <c r="J62" s="784"/>
      <c r="K62" s="784"/>
      <c r="L62" s="784"/>
      <c r="M62" s="784"/>
      <c r="N62" s="784"/>
      <c r="O62" s="784"/>
      <c r="P62" s="784"/>
      <c r="Q62" s="784"/>
      <c r="R62" s="784"/>
    </row>
    <row r="63" spans="1:20" x14ac:dyDescent="0.25">
      <c r="B63" s="57"/>
      <c r="C63" s="784"/>
      <c r="D63" s="784"/>
      <c r="E63" s="784"/>
      <c r="F63" s="784"/>
      <c r="G63" s="784"/>
      <c r="H63" s="784"/>
      <c r="I63" s="784"/>
      <c r="J63" s="784"/>
      <c r="K63" s="784"/>
      <c r="L63" s="784"/>
      <c r="M63" s="784"/>
      <c r="N63" s="784"/>
      <c r="O63" s="784"/>
      <c r="P63" s="784"/>
      <c r="Q63" s="784"/>
      <c r="R63" s="784"/>
    </row>
    <row r="64" spans="1:20" ht="31.5" customHeight="1" x14ac:dyDescent="0.25">
      <c r="B64" s="1"/>
      <c r="C64" s="784"/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N64" s="784"/>
      <c r="O64" s="784"/>
      <c r="P64" s="784"/>
      <c r="Q64" s="784"/>
      <c r="R64" s="784"/>
    </row>
  </sheetData>
  <sheetProtection selectLockedCells="1" selectUnlockedCells="1"/>
  <autoFilter ref="A11:IV48" xr:uid="{00000000-0009-0000-0000-000003000000}"/>
  <mergeCells count="10">
    <mergeCell ref="C62:R64"/>
    <mergeCell ref="P9:T9"/>
    <mergeCell ref="C11:F11"/>
    <mergeCell ref="A1:J1"/>
    <mergeCell ref="A9:A10"/>
    <mergeCell ref="B9:B10"/>
    <mergeCell ref="C9:F10"/>
    <mergeCell ref="G9:G10"/>
    <mergeCell ref="H9:H10"/>
    <mergeCell ref="J9:O9"/>
  </mergeCells>
  <pageMargins left="0.2361111111111111" right="0.2361111111111111" top="0.74791666666666667" bottom="0.74861111111111112" header="0.51180555555555551" footer="0.31527777777777777"/>
  <pageSetup paperSize="9" scale="93" firstPageNumber="0" fitToHeight="0" orientation="landscape" horizontalDpi="300" verticalDpi="3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IV51"/>
  <sheetViews>
    <sheetView view="pageBreakPreview" topLeftCell="A45" zoomScaleSheetLayoutView="100" workbookViewId="0">
      <selection activeCell="B51" sqref="B51"/>
    </sheetView>
  </sheetViews>
  <sheetFormatPr defaultColWidth="9" defaultRowHeight="11.25" x14ac:dyDescent="0.2"/>
  <cols>
    <col min="1" max="1" width="27.42578125" style="146" customWidth="1"/>
    <col min="2" max="2" width="38.7109375" style="147" customWidth="1"/>
    <col min="3" max="4" width="5.85546875" style="148" customWidth="1"/>
    <col min="5" max="5" width="5.42578125" style="148" customWidth="1"/>
    <col min="6" max="6" width="8.28515625" style="148" customWidth="1"/>
    <col min="7" max="7" width="5.42578125" style="148" customWidth="1"/>
    <col min="8" max="8" width="6" style="148" customWidth="1"/>
    <col min="9" max="9" width="6.28515625" style="148" customWidth="1"/>
    <col min="10" max="10" width="8.42578125" style="148" customWidth="1"/>
    <col min="11" max="11" width="10.5703125" style="148" customWidth="1"/>
    <col min="12" max="12" width="9.42578125" style="148" customWidth="1"/>
    <col min="13" max="17" width="7" style="148" customWidth="1"/>
    <col min="18" max="21" width="10.28515625" style="148" customWidth="1"/>
    <col min="22" max="22" width="14.140625" style="148" customWidth="1"/>
    <col min="23" max="243" width="9" style="148" customWidth="1"/>
    <col min="244" max="16384" width="9" style="146"/>
  </cols>
  <sheetData>
    <row r="1" spans="1:256" s="151" customFormat="1" x14ac:dyDescent="0.2">
      <c r="A1" s="146"/>
      <c r="B1" s="149"/>
      <c r="C1" s="150"/>
      <c r="D1" s="150"/>
      <c r="E1" s="150"/>
      <c r="F1" s="150"/>
      <c r="G1" s="150"/>
      <c r="H1" s="150"/>
      <c r="I1" s="150"/>
      <c r="J1" s="150"/>
      <c r="K1" s="745" t="s">
        <v>93</v>
      </c>
      <c r="L1" s="745"/>
      <c r="M1" s="745" t="s">
        <v>94</v>
      </c>
      <c r="N1" s="745"/>
      <c r="O1" s="745" t="s">
        <v>95</v>
      </c>
      <c r="P1" s="745"/>
      <c r="Q1" s="746" t="s">
        <v>96</v>
      </c>
      <c r="R1" s="746"/>
      <c r="S1" s="746"/>
      <c r="T1" s="746"/>
      <c r="U1" s="746"/>
      <c r="II1" s="146"/>
      <c r="IJ1" s="146"/>
      <c r="IK1" s="146"/>
      <c r="IL1" s="146"/>
      <c r="IM1" s="146"/>
      <c r="IN1" s="146"/>
      <c r="IO1" s="146"/>
      <c r="IP1" s="146"/>
      <c r="IQ1" s="146"/>
      <c r="IR1" s="146"/>
      <c r="IS1" s="146"/>
      <c r="IT1" s="146"/>
      <c r="IU1" s="146"/>
      <c r="IV1" s="146"/>
    </row>
    <row r="2" spans="1:256" s="148" customFormat="1" ht="10.5" customHeight="1" x14ac:dyDescent="0.2">
      <c r="A2" s="146"/>
      <c r="B2" s="747" t="s">
        <v>97</v>
      </c>
      <c r="C2" s="748" t="s">
        <v>98</v>
      </c>
      <c r="D2" s="748"/>
      <c r="E2" s="748"/>
      <c r="F2" s="748" t="s">
        <v>99</v>
      </c>
      <c r="G2" s="748"/>
      <c r="H2" s="748" t="s">
        <v>100</v>
      </c>
      <c r="I2" s="748"/>
      <c r="J2" s="748"/>
      <c r="K2" s="153"/>
      <c r="L2" s="153"/>
      <c r="M2" s="153" t="s">
        <v>101</v>
      </c>
      <c r="N2" s="153" t="s">
        <v>102</v>
      </c>
      <c r="O2" s="153" t="s">
        <v>102</v>
      </c>
      <c r="P2" s="153" t="s">
        <v>101</v>
      </c>
      <c r="Q2" s="735" t="s">
        <v>732</v>
      </c>
      <c r="R2" s="736" t="s">
        <v>733</v>
      </c>
      <c r="S2" s="736" t="s">
        <v>734</v>
      </c>
      <c r="T2" s="736" t="s">
        <v>735</v>
      </c>
      <c r="U2" s="743" t="s">
        <v>736</v>
      </c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</row>
    <row r="3" spans="1:256" ht="33.75" x14ac:dyDescent="0.2">
      <c r="B3" s="747"/>
      <c r="C3" s="154" t="s">
        <v>103</v>
      </c>
      <c r="D3" s="154" t="s">
        <v>104</v>
      </c>
      <c r="E3" s="153" t="s">
        <v>105</v>
      </c>
      <c r="F3" s="153" t="s">
        <v>106</v>
      </c>
      <c r="G3" s="153" t="s">
        <v>107</v>
      </c>
      <c r="H3" s="153" t="s">
        <v>108</v>
      </c>
      <c r="I3" s="154" t="s">
        <v>103</v>
      </c>
      <c r="J3" s="156" t="s">
        <v>104</v>
      </c>
      <c r="K3" s="153" t="s">
        <v>109</v>
      </c>
      <c r="L3" s="153" t="s">
        <v>110</v>
      </c>
      <c r="M3" s="157">
        <v>0.25</v>
      </c>
      <c r="N3" s="157">
        <v>0.35</v>
      </c>
      <c r="O3" s="153"/>
      <c r="P3" s="153"/>
      <c r="Q3" s="735"/>
      <c r="R3" s="736"/>
      <c r="S3" s="736"/>
      <c r="T3" s="736"/>
      <c r="U3" s="743"/>
      <c r="V3" s="364" t="s">
        <v>653</v>
      </c>
      <c r="II3" s="146"/>
    </row>
    <row r="4" spans="1:256" x14ac:dyDescent="0.2">
      <c r="B4" s="152" t="s">
        <v>111</v>
      </c>
      <c r="C4" s="158">
        <f t="shared" ref="C4:C27" si="0">E4-D4</f>
        <v>13</v>
      </c>
      <c r="D4" s="157">
        <v>2</v>
      </c>
      <c r="E4" s="157">
        <v>15</v>
      </c>
      <c r="F4" s="157">
        <v>1.66</v>
      </c>
      <c r="G4" s="157">
        <v>1.43</v>
      </c>
      <c r="H4" s="159">
        <f t="shared" ref="H4:H27" si="1">F4*G4</f>
        <v>2.3737999999999997</v>
      </c>
      <c r="I4" s="159">
        <f t="shared" ref="I4:I27" si="2">H4*C4</f>
        <v>30.859399999999997</v>
      </c>
      <c r="J4" s="160">
        <f t="shared" ref="J4:J26" si="3">H4*D4</f>
        <v>4.7475999999999994</v>
      </c>
      <c r="K4" s="159">
        <f>(F4*2+G4)*E4</f>
        <v>71.25</v>
      </c>
      <c r="L4" s="159">
        <f>(F4*2+G4)*D4</f>
        <v>9.5</v>
      </c>
      <c r="M4" s="159">
        <f>K4*M3</f>
        <v>17.8125</v>
      </c>
      <c r="N4" s="159">
        <f>L4*N3</f>
        <v>3.3249999999999997</v>
      </c>
      <c r="O4" s="159">
        <f>F4*D4</f>
        <v>3.32</v>
      </c>
      <c r="P4" s="159">
        <f>E4*F4*1.05</f>
        <v>26.145</v>
      </c>
      <c r="Q4" s="161">
        <f>E4*G4</f>
        <v>21.45</v>
      </c>
      <c r="R4" s="159">
        <f>E4*(F4+G4)</f>
        <v>46.349999999999994</v>
      </c>
      <c r="S4" s="159">
        <f t="shared" ref="S4:S23" si="4">E4*F4</f>
        <v>24.9</v>
      </c>
      <c r="T4" s="159">
        <f>S4</f>
        <v>24.9</v>
      </c>
      <c r="U4" s="155"/>
      <c r="V4" s="148">
        <f>E4</f>
        <v>15</v>
      </c>
      <c r="II4" s="146"/>
    </row>
    <row r="5" spans="1:256" x14ac:dyDescent="0.2">
      <c r="B5" s="152" t="s">
        <v>112</v>
      </c>
      <c r="C5" s="162">
        <f t="shared" si="0"/>
        <v>13</v>
      </c>
      <c r="D5" s="163">
        <f>D4</f>
        <v>2</v>
      </c>
      <c r="E5" s="163">
        <f>E4</f>
        <v>15</v>
      </c>
      <c r="F5" s="163">
        <v>0.7</v>
      </c>
      <c r="G5" s="163">
        <v>2.2999999999999998</v>
      </c>
      <c r="H5" s="164">
        <f t="shared" si="1"/>
        <v>1.6099999999999999</v>
      </c>
      <c r="I5" s="164">
        <f t="shared" si="2"/>
        <v>20.93</v>
      </c>
      <c r="J5" s="160">
        <f t="shared" si="3"/>
        <v>3.2199999999999998</v>
      </c>
      <c r="K5" s="164">
        <f>(F5*2+G5*2-G4)*E5</f>
        <v>68.550000000000011</v>
      </c>
      <c r="L5" s="164">
        <f>(F5*2+G5*2-G4)*D5</f>
        <v>9.14</v>
      </c>
      <c r="M5" s="164">
        <f>K5*M3</f>
        <v>17.137500000000003</v>
      </c>
      <c r="N5" s="164">
        <f>L5*N3</f>
        <v>3.1989999999999998</v>
      </c>
      <c r="O5" s="164"/>
      <c r="P5" s="164"/>
      <c r="Q5" s="161">
        <f>E5*(2*G5-G4)</f>
        <v>47.55</v>
      </c>
      <c r="R5" s="164">
        <f>E5*(F5+2*G5-G4)</f>
        <v>58.050000000000004</v>
      </c>
      <c r="S5" s="164">
        <f t="shared" si="4"/>
        <v>10.5</v>
      </c>
      <c r="T5" s="164"/>
      <c r="U5" s="165"/>
      <c r="II5" s="146"/>
    </row>
    <row r="6" spans="1:256" x14ac:dyDescent="0.2">
      <c r="B6" s="152" t="s">
        <v>113</v>
      </c>
      <c r="C6" s="158">
        <f t="shared" si="0"/>
        <v>11</v>
      </c>
      <c r="D6" s="157">
        <v>1</v>
      </c>
      <c r="E6" s="157">
        <v>12</v>
      </c>
      <c r="F6" s="157">
        <v>1.66</v>
      </c>
      <c r="G6" s="157">
        <v>1.43</v>
      </c>
      <c r="H6" s="159">
        <f t="shared" si="1"/>
        <v>2.3737999999999997</v>
      </c>
      <c r="I6" s="159">
        <f t="shared" si="2"/>
        <v>26.111799999999995</v>
      </c>
      <c r="J6" s="160">
        <f t="shared" si="3"/>
        <v>2.3737999999999997</v>
      </c>
      <c r="K6" s="159">
        <f>(F6*2+G6)*E6</f>
        <v>57</v>
      </c>
      <c r="L6" s="159">
        <f>(F6*2+G6)*D6</f>
        <v>4.75</v>
      </c>
      <c r="M6" s="159">
        <f>K6*M3</f>
        <v>14.25</v>
      </c>
      <c r="N6" s="159">
        <f>L6*N3</f>
        <v>1.6624999999999999</v>
      </c>
      <c r="O6" s="159">
        <f>F6*D6</f>
        <v>1.66</v>
      </c>
      <c r="P6" s="159">
        <f>E6*F6*1.05</f>
        <v>20.916</v>
      </c>
      <c r="Q6" s="161">
        <f>E6*G6</f>
        <v>17.16</v>
      </c>
      <c r="R6" s="159">
        <f>E6*(F6+G6)</f>
        <v>37.08</v>
      </c>
      <c r="S6" s="159">
        <f t="shared" si="4"/>
        <v>19.919999999999998</v>
      </c>
      <c r="T6" s="159">
        <f>S6</f>
        <v>19.919999999999998</v>
      </c>
      <c r="U6" s="155"/>
      <c r="V6" s="148">
        <f>E6</f>
        <v>12</v>
      </c>
      <c r="II6" s="146"/>
    </row>
    <row r="7" spans="1:256" x14ac:dyDescent="0.2">
      <c r="B7" s="152" t="s">
        <v>114</v>
      </c>
      <c r="C7" s="162">
        <f t="shared" si="0"/>
        <v>11</v>
      </c>
      <c r="D7" s="163">
        <f>D6</f>
        <v>1</v>
      </c>
      <c r="E7" s="163">
        <f>E6</f>
        <v>12</v>
      </c>
      <c r="F7" s="163">
        <v>0.7</v>
      </c>
      <c r="G7" s="163">
        <v>2.2999999999999998</v>
      </c>
      <c r="H7" s="164">
        <f t="shared" si="1"/>
        <v>1.6099999999999999</v>
      </c>
      <c r="I7" s="164">
        <f t="shared" si="2"/>
        <v>17.709999999999997</v>
      </c>
      <c r="J7" s="160">
        <f t="shared" si="3"/>
        <v>1.6099999999999999</v>
      </c>
      <c r="K7" s="164">
        <f>(F7*2+G7*2-G6)*E7</f>
        <v>54.84</v>
      </c>
      <c r="L7" s="164">
        <f>(F7*2+G7*2-G6)*D7</f>
        <v>4.57</v>
      </c>
      <c r="M7" s="164">
        <f>K7*M3</f>
        <v>13.71</v>
      </c>
      <c r="N7" s="164">
        <f>L7*N3</f>
        <v>1.5994999999999999</v>
      </c>
      <c r="O7" s="164"/>
      <c r="P7" s="164"/>
      <c r="Q7" s="161">
        <f>E7*(2*G7-G6)</f>
        <v>38.04</v>
      </c>
      <c r="R7" s="164">
        <f>E7*(F7+2*G7-G6)</f>
        <v>46.44</v>
      </c>
      <c r="S7" s="164">
        <f t="shared" si="4"/>
        <v>8.3999999999999986</v>
      </c>
      <c r="T7" s="164"/>
      <c r="U7" s="165"/>
      <c r="II7" s="146"/>
    </row>
    <row r="8" spans="1:256" x14ac:dyDescent="0.2">
      <c r="B8" s="152" t="s">
        <v>115</v>
      </c>
      <c r="C8" s="158">
        <f t="shared" si="0"/>
        <v>81</v>
      </c>
      <c r="D8" s="157">
        <v>19</v>
      </c>
      <c r="E8" s="157">
        <v>100</v>
      </c>
      <c r="F8" s="157">
        <v>1.23</v>
      </c>
      <c r="G8" s="157">
        <v>1.43</v>
      </c>
      <c r="H8" s="159">
        <f t="shared" si="1"/>
        <v>1.7588999999999999</v>
      </c>
      <c r="I8" s="159">
        <f t="shared" si="2"/>
        <v>142.4709</v>
      </c>
      <c r="J8" s="160">
        <f t="shared" si="3"/>
        <v>33.4191</v>
      </c>
      <c r="K8" s="159">
        <f>(F8*2+G8*2)*E8</f>
        <v>532</v>
      </c>
      <c r="L8" s="159">
        <f>(F8*2+G8*2)*D8</f>
        <v>101.08000000000001</v>
      </c>
      <c r="M8" s="159">
        <f>K8*M3</f>
        <v>133</v>
      </c>
      <c r="N8" s="159">
        <f>L8*N3</f>
        <v>35.378</v>
      </c>
      <c r="O8" s="159">
        <f>F8*D8</f>
        <v>23.37</v>
      </c>
      <c r="P8" s="159">
        <f>E8*F8*1.05</f>
        <v>129.15</v>
      </c>
      <c r="Q8" s="161">
        <f>E8*(2*G8)</f>
        <v>286</v>
      </c>
      <c r="R8" s="159">
        <f>E8*(F8+2*G8)</f>
        <v>409</v>
      </c>
      <c r="S8" s="159">
        <f t="shared" si="4"/>
        <v>123</v>
      </c>
      <c r="T8" s="159">
        <f>S8</f>
        <v>123</v>
      </c>
      <c r="U8" s="155"/>
      <c r="V8" s="148">
        <f>E8</f>
        <v>100</v>
      </c>
      <c r="II8" s="146"/>
    </row>
    <row r="9" spans="1:256" x14ac:dyDescent="0.2">
      <c r="B9" s="152" t="s">
        <v>116</v>
      </c>
      <c r="C9" s="158">
        <f t="shared" si="0"/>
        <v>8</v>
      </c>
      <c r="D9" s="157">
        <v>2</v>
      </c>
      <c r="E9" s="157">
        <v>10</v>
      </c>
      <c r="F9" s="157">
        <v>1.1000000000000001</v>
      </c>
      <c r="G9" s="157">
        <v>1.43</v>
      </c>
      <c r="H9" s="159">
        <f t="shared" si="1"/>
        <v>1.573</v>
      </c>
      <c r="I9" s="159">
        <f t="shared" si="2"/>
        <v>12.584</v>
      </c>
      <c r="J9" s="160">
        <f t="shared" si="3"/>
        <v>3.1459999999999999</v>
      </c>
      <c r="K9" s="159">
        <f>(F9*2+G9*2)*E9</f>
        <v>50.600000000000009</v>
      </c>
      <c r="L9" s="159">
        <f>(F9*2+G9*2)*D9</f>
        <v>10.120000000000001</v>
      </c>
      <c r="M9" s="159">
        <f>K9*M3</f>
        <v>12.650000000000002</v>
      </c>
      <c r="N9" s="159">
        <f>L9*N3</f>
        <v>3.5420000000000003</v>
      </c>
      <c r="O9" s="159">
        <f>F9*D9</f>
        <v>2.2000000000000002</v>
      </c>
      <c r="P9" s="159">
        <f>E9*F9*1.05</f>
        <v>11.55</v>
      </c>
      <c r="Q9" s="161">
        <f>E9*(2*G9)</f>
        <v>28.599999999999998</v>
      </c>
      <c r="R9" s="159">
        <f>E9*(F9+2*G9)</f>
        <v>39.6</v>
      </c>
      <c r="S9" s="159">
        <f t="shared" si="4"/>
        <v>11</v>
      </c>
      <c r="T9" s="159">
        <f>S9</f>
        <v>11</v>
      </c>
      <c r="U9" s="155"/>
      <c r="V9" s="148">
        <f>E9</f>
        <v>10</v>
      </c>
      <c r="II9" s="146"/>
    </row>
    <row r="10" spans="1:256" x14ac:dyDescent="0.2">
      <c r="B10" s="152" t="s">
        <v>117</v>
      </c>
      <c r="C10" s="158">
        <f t="shared" si="0"/>
        <v>22</v>
      </c>
      <c r="D10" s="157">
        <v>8</v>
      </c>
      <c r="E10" s="157">
        <v>30</v>
      </c>
      <c r="F10" s="157">
        <v>1.23</v>
      </c>
      <c r="G10" s="157">
        <v>1.43</v>
      </c>
      <c r="H10" s="159">
        <f t="shared" si="1"/>
        <v>1.7588999999999999</v>
      </c>
      <c r="I10" s="159">
        <f t="shared" si="2"/>
        <v>38.695799999999998</v>
      </c>
      <c r="J10" s="160">
        <f t="shared" si="3"/>
        <v>14.071199999999999</v>
      </c>
      <c r="K10" s="159">
        <f>(F10*2+G10)*E10</f>
        <v>116.69999999999999</v>
      </c>
      <c r="L10" s="159">
        <f>(F10*2+G10)*D10</f>
        <v>31.119999999999997</v>
      </c>
      <c r="M10" s="159">
        <f>K10*M3</f>
        <v>29.174999999999997</v>
      </c>
      <c r="N10" s="159">
        <f>L10*N3</f>
        <v>10.891999999999998</v>
      </c>
      <c r="O10" s="159">
        <f>F10*D10</f>
        <v>9.84</v>
      </c>
      <c r="P10" s="159">
        <f>E10*F10*1.05</f>
        <v>38.744999999999997</v>
      </c>
      <c r="Q10" s="161">
        <f>E10*G10</f>
        <v>42.9</v>
      </c>
      <c r="R10" s="159">
        <f>E10*(F10+G10)</f>
        <v>79.800000000000011</v>
      </c>
      <c r="S10" s="159">
        <f t="shared" si="4"/>
        <v>36.9</v>
      </c>
      <c r="T10" s="159">
        <f>S10</f>
        <v>36.9</v>
      </c>
      <c r="U10" s="155"/>
      <c r="V10" s="148">
        <f>E10</f>
        <v>30</v>
      </c>
      <c r="II10" s="146"/>
    </row>
    <row r="11" spans="1:256" x14ac:dyDescent="0.2">
      <c r="B11" s="152" t="s">
        <v>118</v>
      </c>
      <c r="C11" s="162">
        <f t="shared" si="0"/>
        <v>22</v>
      </c>
      <c r="D11" s="163">
        <f>D10</f>
        <v>8</v>
      </c>
      <c r="E11" s="163">
        <f>E10</f>
        <v>30</v>
      </c>
      <c r="F11" s="163">
        <v>0.7</v>
      </c>
      <c r="G11" s="163">
        <v>2.2999999999999998</v>
      </c>
      <c r="H11" s="164">
        <f t="shared" si="1"/>
        <v>1.6099999999999999</v>
      </c>
      <c r="I11" s="164">
        <f t="shared" si="2"/>
        <v>35.419999999999995</v>
      </c>
      <c r="J11" s="160">
        <f t="shared" si="3"/>
        <v>12.879999999999999</v>
      </c>
      <c r="K11" s="164">
        <f>(F11*2+G11*2-G10)*E11</f>
        <v>137.10000000000002</v>
      </c>
      <c r="L11" s="164">
        <f>(F11*2+G11*2-G10)*D11</f>
        <v>36.56</v>
      </c>
      <c r="M11" s="164">
        <f>K11*M3</f>
        <v>34.275000000000006</v>
      </c>
      <c r="N11" s="164">
        <f>L11*N3</f>
        <v>12.795999999999999</v>
      </c>
      <c r="O11" s="164"/>
      <c r="P11" s="164"/>
      <c r="Q11" s="161">
        <f>E11*(2*G11-G10)</f>
        <v>95.1</v>
      </c>
      <c r="R11" s="164">
        <f>E11*(F11+2*G11-G10)</f>
        <v>116.10000000000001</v>
      </c>
      <c r="S11" s="164">
        <f t="shared" si="4"/>
        <v>21</v>
      </c>
      <c r="T11" s="164"/>
      <c r="U11" s="165"/>
      <c r="II11" s="146"/>
    </row>
    <row r="12" spans="1:256" x14ac:dyDescent="0.2">
      <c r="B12" s="152" t="s">
        <v>119</v>
      </c>
      <c r="C12" s="158">
        <f t="shared" si="0"/>
        <v>28</v>
      </c>
      <c r="D12" s="157">
        <v>7</v>
      </c>
      <c r="E12" s="157">
        <v>35</v>
      </c>
      <c r="F12" s="157">
        <v>1.23</v>
      </c>
      <c r="G12" s="157">
        <v>1.43</v>
      </c>
      <c r="H12" s="159">
        <f t="shared" si="1"/>
        <v>1.7588999999999999</v>
      </c>
      <c r="I12" s="159">
        <f t="shared" si="2"/>
        <v>49.249199999999995</v>
      </c>
      <c r="J12" s="160">
        <f t="shared" si="3"/>
        <v>12.312299999999999</v>
      </c>
      <c r="K12" s="159">
        <f>(F12*2+G12)*E12</f>
        <v>136.14999999999998</v>
      </c>
      <c r="L12" s="159">
        <f>(F12*2+G12)*D12</f>
        <v>27.229999999999997</v>
      </c>
      <c r="M12" s="159">
        <f>K12*M3</f>
        <v>34.037499999999994</v>
      </c>
      <c r="N12" s="159">
        <f>L12*N3</f>
        <v>9.5304999999999982</v>
      </c>
      <c r="O12" s="159">
        <f>F12*D12</f>
        <v>8.61</v>
      </c>
      <c r="P12" s="159">
        <f>E12*F12*1.05</f>
        <v>45.202500000000001</v>
      </c>
      <c r="Q12" s="161">
        <f>E12*G12</f>
        <v>50.05</v>
      </c>
      <c r="R12" s="159">
        <f>E12*(F12+G12)</f>
        <v>93.100000000000009</v>
      </c>
      <c r="S12" s="159">
        <f t="shared" si="4"/>
        <v>43.05</v>
      </c>
      <c r="T12" s="159">
        <f>S12</f>
        <v>43.05</v>
      </c>
      <c r="U12" s="155"/>
      <c r="V12" s="148">
        <f>E12</f>
        <v>35</v>
      </c>
      <c r="II12" s="146"/>
    </row>
    <row r="13" spans="1:256" x14ac:dyDescent="0.2">
      <c r="B13" s="152" t="s">
        <v>120</v>
      </c>
      <c r="C13" s="162">
        <f t="shared" si="0"/>
        <v>28</v>
      </c>
      <c r="D13" s="163">
        <f>D12</f>
        <v>7</v>
      </c>
      <c r="E13" s="163">
        <f>E12</f>
        <v>35</v>
      </c>
      <c r="F13" s="163">
        <v>0.7</v>
      </c>
      <c r="G13" s="163">
        <v>2.2999999999999998</v>
      </c>
      <c r="H13" s="164">
        <f t="shared" si="1"/>
        <v>1.6099999999999999</v>
      </c>
      <c r="I13" s="164">
        <f t="shared" si="2"/>
        <v>45.08</v>
      </c>
      <c r="J13" s="160">
        <f t="shared" si="3"/>
        <v>11.27</v>
      </c>
      <c r="K13" s="164">
        <f>(F13*2+G13*2-G12)*E13</f>
        <v>159.95000000000002</v>
      </c>
      <c r="L13" s="164">
        <f>(F13*2+G13*2-G12)*D13</f>
        <v>31.990000000000002</v>
      </c>
      <c r="M13" s="164">
        <f>K13*M3</f>
        <v>39.987500000000004</v>
      </c>
      <c r="N13" s="164">
        <f>L13*N3</f>
        <v>11.1965</v>
      </c>
      <c r="O13" s="164"/>
      <c r="P13" s="164"/>
      <c r="Q13" s="161">
        <f>E13*(2*G13-G12)</f>
        <v>110.95</v>
      </c>
      <c r="R13" s="164">
        <f>E13*(F13+2*G13-G12)</f>
        <v>135.45000000000002</v>
      </c>
      <c r="S13" s="164">
        <f t="shared" si="4"/>
        <v>24.5</v>
      </c>
      <c r="T13" s="164"/>
      <c r="U13" s="165"/>
      <c r="II13" s="146"/>
    </row>
    <row r="14" spans="1:256" x14ac:dyDescent="0.2">
      <c r="B14" s="152" t="s">
        <v>121</v>
      </c>
      <c r="C14" s="158">
        <f t="shared" si="0"/>
        <v>32</v>
      </c>
      <c r="D14" s="157">
        <v>0</v>
      </c>
      <c r="E14" s="157">
        <v>32</v>
      </c>
      <c r="F14" s="157">
        <v>1.35</v>
      </c>
      <c r="G14" s="157">
        <v>0.6</v>
      </c>
      <c r="H14" s="159">
        <f t="shared" si="1"/>
        <v>0.81</v>
      </c>
      <c r="I14" s="159">
        <f t="shared" si="2"/>
        <v>25.92</v>
      </c>
      <c r="J14" s="160">
        <f t="shared" si="3"/>
        <v>0</v>
      </c>
      <c r="K14" s="159">
        <f t="shared" ref="K14:K24" si="5">(F14*2+G14*2)*E14</f>
        <v>124.80000000000001</v>
      </c>
      <c r="L14" s="159">
        <f t="shared" ref="L14:L19" si="6">(F14*2+G14*2)*D14</f>
        <v>0</v>
      </c>
      <c r="M14" s="159">
        <f>K14*M3</f>
        <v>31.200000000000003</v>
      </c>
      <c r="N14" s="159">
        <f>L14*N3</f>
        <v>0</v>
      </c>
      <c r="O14" s="159">
        <f t="shared" ref="O14:O19" si="7">F14*D14</f>
        <v>0</v>
      </c>
      <c r="P14" s="159">
        <f t="shared" ref="P14:P19" si="8">E14*F14*1.05</f>
        <v>45.360000000000007</v>
      </c>
      <c r="Q14" s="161">
        <f t="shared" ref="Q14:Q24" si="9">E14*(2*G14)</f>
        <v>38.4</v>
      </c>
      <c r="R14" s="159">
        <f t="shared" ref="R14:R24" si="10">E14*(F14+2*G14)</f>
        <v>81.599999999999994</v>
      </c>
      <c r="S14" s="159">
        <f t="shared" si="4"/>
        <v>43.2</v>
      </c>
      <c r="T14" s="159">
        <f t="shared" ref="T14:T19" si="11">S14</f>
        <v>43.2</v>
      </c>
      <c r="U14" s="155"/>
      <c r="V14" s="148">
        <f t="shared" ref="V14:V19" si="12">E14</f>
        <v>32</v>
      </c>
      <c r="II14" s="146"/>
    </row>
    <row r="15" spans="1:256" x14ac:dyDescent="0.2">
      <c r="B15" s="152" t="s">
        <v>122</v>
      </c>
      <c r="C15" s="158">
        <f t="shared" si="0"/>
        <v>3</v>
      </c>
      <c r="D15" s="157">
        <v>0</v>
      </c>
      <c r="E15" s="157">
        <v>3</v>
      </c>
      <c r="F15" s="157">
        <v>2.37</v>
      </c>
      <c r="G15" s="157">
        <v>1.43</v>
      </c>
      <c r="H15" s="159">
        <f t="shared" si="1"/>
        <v>3.3891</v>
      </c>
      <c r="I15" s="159">
        <f t="shared" si="2"/>
        <v>10.167300000000001</v>
      </c>
      <c r="J15" s="160">
        <f t="shared" si="3"/>
        <v>0</v>
      </c>
      <c r="K15" s="159">
        <f t="shared" si="5"/>
        <v>22.799999999999997</v>
      </c>
      <c r="L15" s="159">
        <f t="shared" si="6"/>
        <v>0</v>
      </c>
      <c r="M15" s="159">
        <f>K15*M3</f>
        <v>5.6999999999999993</v>
      </c>
      <c r="N15" s="159">
        <f>L15*N3</f>
        <v>0</v>
      </c>
      <c r="O15" s="159">
        <f t="shared" si="7"/>
        <v>0</v>
      </c>
      <c r="P15" s="159">
        <f t="shared" si="8"/>
        <v>7.4655000000000005</v>
      </c>
      <c r="Q15" s="161">
        <f t="shared" si="9"/>
        <v>8.58</v>
      </c>
      <c r="R15" s="159">
        <f t="shared" si="10"/>
        <v>15.690000000000001</v>
      </c>
      <c r="S15" s="159">
        <f t="shared" si="4"/>
        <v>7.11</v>
      </c>
      <c r="T15" s="159">
        <f t="shared" si="11"/>
        <v>7.11</v>
      </c>
      <c r="U15" s="155"/>
      <c r="V15" s="148">
        <f t="shared" si="12"/>
        <v>3</v>
      </c>
      <c r="II15" s="146"/>
    </row>
    <row r="16" spans="1:256" x14ac:dyDescent="0.2">
      <c r="B16" s="152" t="s">
        <v>123</v>
      </c>
      <c r="C16" s="158">
        <f t="shared" si="0"/>
        <v>4</v>
      </c>
      <c r="D16" s="157">
        <v>0</v>
      </c>
      <c r="E16" s="157">
        <v>4</v>
      </c>
      <c r="F16" s="157">
        <v>1.5</v>
      </c>
      <c r="G16" s="157">
        <v>1.43</v>
      </c>
      <c r="H16" s="159">
        <f t="shared" si="1"/>
        <v>2.145</v>
      </c>
      <c r="I16" s="159">
        <f t="shared" si="2"/>
        <v>8.58</v>
      </c>
      <c r="J16" s="160">
        <f t="shared" si="3"/>
        <v>0</v>
      </c>
      <c r="K16" s="159">
        <f t="shared" si="5"/>
        <v>23.439999999999998</v>
      </c>
      <c r="L16" s="159">
        <f t="shared" si="6"/>
        <v>0</v>
      </c>
      <c r="M16" s="159">
        <f>K16*M3</f>
        <v>5.8599999999999994</v>
      </c>
      <c r="N16" s="159">
        <f>L16*N3</f>
        <v>0</v>
      </c>
      <c r="O16" s="159">
        <f t="shared" si="7"/>
        <v>0</v>
      </c>
      <c r="P16" s="159">
        <f>E16*F16*1.05</f>
        <v>6.3000000000000007</v>
      </c>
      <c r="Q16" s="161">
        <f t="shared" si="9"/>
        <v>11.44</v>
      </c>
      <c r="R16" s="159">
        <f t="shared" si="10"/>
        <v>17.439999999999998</v>
      </c>
      <c r="S16" s="159">
        <f t="shared" si="4"/>
        <v>6</v>
      </c>
      <c r="T16" s="159">
        <f t="shared" si="11"/>
        <v>6</v>
      </c>
      <c r="U16" s="155"/>
      <c r="V16" s="148">
        <f t="shared" si="12"/>
        <v>4</v>
      </c>
      <c r="II16" s="146"/>
    </row>
    <row r="17" spans="1:243" x14ac:dyDescent="0.2">
      <c r="B17" s="152" t="s">
        <v>124</v>
      </c>
      <c r="C17" s="158">
        <f t="shared" si="0"/>
        <v>1</v>
      </c>
      <c r="D17" s="157">
        <v>0</v>
      </c>
      <c r="E17" s="157">
        <v>1</v>
      </c>
      <c r="F17" s="157">
        <v>1.5</v>
      </c>
      <c r="G17" s="157">
        <v>0.6</v>
      </c>
      <c r="H17" s="159">
        <f t="shared" si="1"/>
        <v>0.89999999999999991</v>
      </c>
      <c r="I17" s="159">
        <f t="shared" si="2"/>
        <v>0.89999999999999991</v>
      </c>
      <c r="J17" s="160">
        <f t="shared" si="3"/>
        <v>0</v>
      </c>
      <c r="K17" s="159">
        <f t="shared" si="5"/>
        <v>4.2</v>
      </c>
      <c r="L17" s="159">
        <f t="shared" si="6"/>
        <v>0</v>
      </c>
      <c r="M17" s="159">
        <f>K17*M3</f>
        <v>1.05</v>
      </c>
      <c r="N17" s="159">
        <f>L17*N3</f>
        <v>0</v>
      </c>
      <c r="O17" s="159">
        <f t="shared" si="7"/>
        <v>0</v>
      </c>
      <c r="P17" s="159">
        <f t="shared" si="8"/>
        <v>1.5750000000000002</v>
      </c>
      <c r="Q17" s="161">
        <f t="shared" si="9"/>
        <v>1.2</v>
      </c>
      <c r="R17" s="159">
        <f t="shared" si="10"/>
        <v>2.7</v>
      </c>
      <c r="S17" s="159">
        <f t="shared" si="4"/>
        <v>1.5</v>
      </c>
      <c r="T17" s="159">
        <f t="shared" si="11"/>
        <v>1.5</v>
      </c>
      <c r="U17" s="155"/>
      <c r="V17" s="148">
        <f t="shared" si="12"/>
        <v>1</v>
      </c>
      <c r="II17" s="146"/>
    </row>
    <row r="18" spans="1:243" x14ac:dyDescent="0.2">
      <c r="B18" s="152" t="s">
        <v>125</v>
      </c>
      <c r="C18" s="158">
        <f t="shared" si="0"/>
        <v>4</v>
      </c>
      <c r="D18" s="157">
        <v>0</v>
      </c>
      <c r="E18" s="157">
        <v>4</v>
      </c>
      <c r="F18" s="157">
        <v>1.21</v>
      </c>
      <c r="G18" s="157">
        <v>1.1399999999999999</v>
      </c>
      <c r="H18" s="159">
        <f t="shared" si="1"/>
        <v>1.3793999999999997</v>
      </c>
      <c r="I18" s="159">
        <f t="shared" si="2"/>
        <v>5.5175999999999989</v>
      </c>
      <c r="J18" s="160">
        <f t="shared" si="3"/>
        <v>0</v>
      </c>
      <c r="K18" s="159">
        <f t="shared" si="5"/>
        <v>18.799999999999997</v>
      </c>
      <c r="L18" s="159">
        <f t="shared" si="6"/>
        <v>0</v>
      </c>
      <c r="M18" s="159">
        <f>K18*M3</f>
        <v>4.6999999999999993</v>
      </c>
      <c r="N18" s="159">
        <f>L18*N3</f>
        <v>0</v>
      </c>
      <c r="O18" s="159">
        <f t="shared" si="7"/>
        <v>0</v>
      </c>
      <c r="P18" s="159">
        <f t="shared" si="8"/>
        <v>5.0819999999999999</v>
      </c>
      <c r="Q18" s="161">
        <f t="shared" si="9"/>
        <v>9.1199999999999992</v>
      </c>
      <c r="R18" s="159">
        <f t="shared" si="10"/>
        <v>13.959999999999999</v>
      </c>
      <c r="S18" s="159">
        <f t="shared" si="4"/>
        <v>4.84</v>
      </c>
      <c r="T18" s="159">
        <f t="shared" si="11"/>
        <v>4.84</v>
      </c>
      <c r="U18" s="155"/>
      <c r="V18" s="148">
        <f t="shared" si="12"/>
        <v>4</v>
      </c>
      <c r="II18" s="146"/>
    </row>
    <row r="19" spans="1:243" x14ac:dyDescent="0.2">
      <c r="B19" s="152" t="s">
        <v>126</v>
      </c>
      <c r="C19" s="158">
        <f t="shared" si="0"/>
        <v>4</v>
      </c>
      <c r="D19" s="157">
        <v>0</v>
      </c>
      <c r="E19" s="157">
        <v>4</v>
      </c>
      <c r="F19" s="157">
        <v>1.25</v>
      </c>
      <c r="G19" s="157">
        <v>0.5</v>
      </c>
      <c r="H19" s="159">
        <f t="shared" si="1"/>
        <v>0.625</v>
      </c>
      <c r="I19" s="159">
        <f t="shared" si="2"/>
        <v>2.5</v>
      </c>
      <c r="J19" s="160">
        <f t="shared" si="3"/>
        <v>0</v>
      </c>
      <c r="K19" s="159">
        <f t="shared" si="5"/>
        <v>14</v>
      </c>
      <c r="L19" s="159">
        <f t="shared" si="6"/>
        <v>0</v>
      </c>
      <c r="M19" s="159">
        <f>K19*M3</f>
        <v>3.5</v>
      </c>
      <c r="N19" s="159">
        <f>L19*N3</f>
        <v>0</v>
      </c>
      <c r="O19" s="159">
        <f t="shared" si="7"/>
        <v>0</v>
      </c>
      <c r="P19" s="159">
        <f t="shared" si="8"/>
        <v>5.25</v>
      </c>
      <c r="Q19" s="161">
        <f t="shared" si="9"/>
        <v>4</v>
      </c>
      <c r="R19" s="159">
        <f t="shared" si="10"/>
        <v>9</v>
      </c>
      <c r="S19" s="159">
        <f t="shared" si="4"/>
        <v>5</v>
      </c>
      <c r="T19" s="159">
        <f t="shared" si="11"/>
        <v>5</v>
      </c>
      <c r="U19" s="155"/>
      <c r="V19" s="148">
        <f t="shared" si="12"/>
        <v>4</v>
      </c>
      <c r="II19" s="146"/>
    </row>
    <row r="20" spans="1:243" x14ac:dyDescent="0.2">
      <c r="B20" s="166" t="s">
        <v>127</v>
      </c>
      <c r="C20" s="158">
        <f t="shared" si="0"/>
        <v>0</v>
      </c>
      <c r="D20" s="157">
        <v>1</v>
      </c>
      <c r="E20" s="167">
        <v>1</v>
      </c>
      <c r="F20" s="167">
        <v>1.4590000000000001</v>
      </c>
      <c r="G20" s="167">
        <v>2</v>
      </c>
      <c r="H20" s="168">
        <f t="shared" si="1"/>
        <v>2.9180000000000001</v>
      </c>
      <c r="I20" s="168">
        <f t="shared" si="2"/>
        <v>0</v>
      </c>
      <c r="J20" s="160">
        <f t="shared" si="3"/>
        <v>2.9180000000000001</v>
      </c>
      <c r="K20" s="159">
        <f t="shared" si="5"/>
        <v>6.9180000000000001</v>
      </c>
      <c r="L20" s="168">
        <f>(F20*2+G20*2)*E20</f>
        <v>6.9180000000000001</v>
      </c>
      <c r="M20" s="159">
        <f>K20*M3</f>
        <v>1.7295</v>
      </c>
      <c r="N20" s="168">
        <f>L20*N3</f>
        <v>2.4213</v>
      </c>
      <c r="O20" s="168"/>
      <c r="P20" s="159"/>
      <c r="Q20" s="161">
        <f t="shared" si="9"/>
        <v>4</v>
      </c>
      <c r="R20" s="159">
        <f t="shared" si="10"/>
        <v>5.4589999999999996</v>
      </c>
      <c r="S20" s="159"/>
      <c r="T20" s="168"/>
      <c r="U20" s="169"/>
      <c r="II20" s="146"/>
    </row>
    <row r="21" spans="1:243" x14ac:dyDescent="0.2">
      <c r="B21" s="166" t="s">
        <v>128</v>
      </c>
      <c r="C21" s="158">
        <f t="shared" si="0"/>
        <v>0</v>
      </c>
      <c r="D21" s="157">
        <v>3</v>
      </c>
      <c r="E21" s="167">
        <v>3</v>
      </c>
      <c r="F21" s="167">
        <v>1.22</v>
      </c>
      <c r="G21" s="167">
        <v>2</v>
      </c>
      <c r="H21" s="168">
        <f t="shared" si="1"/>
        <v>2.44</v>
      </c>
      <c r="I21" s="168">
        <f t="shared" si="2"/>
        <v>0</v>
      </c>
      <c r="J21" s="160">
        <f t="shared" si="3"/>
        <v>7.32</v>
      </c>
      <c r="K21" s="159">
        <f t="shared" si="5"/>
        <v>19.32</v>
      </c>
      <c r="L21" s="168">
        <f>(F21*2+G21*2)*E21</f>
        <v>19.32</v>
      </c>
      <c r="M21" s="159">
        <f>K21*M3</f>
        <v>4.83</v>
      </c>
      <c r="N21" s="168">
        <f>L21*N3</f>
        <v>6.7619999999999996</v>
      </c>
      <c r="O21" s="168"/>
      <c r="P21" s="159"/>
      <c r="Q21" s="161">
        <f t="shared" si="9"/>
        <v>12</v>
      </c>
      <c r="R21" s="159">
        <f t="shared" si="10"/>
        <v>15.66</v>
      </c>
      <c r="S21" s="159"/>
      <c r="T21" s="168"/>
      <c r="U21" s="169"/>
      <c r="II21" s="146"/>
    </row>
    <row r="22" spans="1:243" x14ac:dyDescent="0.2">
      <c r="B22" s="166" t="s">
        <v>129</v>
      </c>
      <c r="C22" s="158">
        <f t="shared" si="0"/>
        <v>0</v>
      </c>
      <c r="D22" s="157">
        <v>1</v>
      </c>
      <c r="E22" s="167">
        <v>1</v>
      </c>
      <c r="F22" s="167">
        <v>1.26</v>
      </c>
      <c r="G22" s="167">
        <v>2</v>
      </c>
      <c r="H22" s="168">
        <f t="shared" si="1"/>
        <v>2.52</v>
      </c>
      <c r="I22" s="168">
        <f t="shared" si="2"/>
        <v>0</v>
      </c>
      <c r="J22" s="160">
        <f t="shared" si="3"/>
        <v>2.52</v>
      </c>
      <c r="K22" s="159">
        <f t="shared" si="5"/>
        <v>6.52</v>
      </c>
      <c r="L22" s="168">
        <f>(F22*2+G22*2)*E22</f>
        <v>6.52</v>
      </c>
      <c r="M22" s="159">
        <f>K22*M3</f>
        <v>1.63</v>
      </c>
      <c r="N22" s="168">
        <f>L22*N3</f>
        <v>2.2819999999999996</v>
      </c>
      <c r="O22" s="168"/>
      <c r="P22" s="159"/>
      <c r="Q22" s="161">
        <f t="shared" si="9"/>
        <v>4</v>
      </c>
      <c r="R22" s="159">
        <f t="shared" si="10"/>
        <v>5.26</v>
      </c>
      <c r="S22" s="159"/>
      <c r="T22" s="168"/>
      <c r="U22" s="169"/>
      <c r="II22" s="146"/>
    </row>
    <row r="23" spans="1:243" x14ac:dyDescent="0.2">
      <c r="B23" s="166" t="s">
        <v>130</v>
      </c>
      <c r="C23" s="158">
        <f t="shared" si="0"/>
        <v>0</v>
      </c>
      <c r="D23" s="157">
        <v>4</v>
      </c>
      <c r="E23" s="167">
        <v>4</v>
      </c>
      <c r="F23" s="167">
        <v>0.9</v>
      </c>
      <c r="G23" s="167">
        <v>2</v>
      </c>
      <c r="H23" s="168">
        <f t="shared" si="1"/>
        <v>1.8</v>
      </c>
      <c r="I23" s="168">
        <f t="shared" si="2"/>
        <v>0</v>
      </c>
      <c r="J23" s="160">
        <f t="shared" si="3"/>
        <v>7.2</v>
      </c>
      <c r="K23" s="159">
        <f t="shared" si="5"/>
        <v>23.2</v>
      </c>
      <c r="L23" s="168">
        <f>(F23*2+G23*2)*E23</f>
        <v>23.2</v>
      </c>
      <c r="M23" s="159">
        <f>K23*M3</f>
        <v>5.8</v>
      </c>
      <c r="N23" s="168">
        <f>L23*N3</f>
        <v>8.1199999999999992</v>
      </c>
      <c r="O23" s="168"/>
      <c r="P23" s="159"/>
      <c r="Q23" s="161">
        <f t="shared" si="9"/>
        <v>16</v>
      </c>
      <c r="R23" s="159">
        <f t="shared" si="10"/>
        <v>19.600000000000001</v>
      </c>
      <c r="S23" s="159">
        <f t="shared" si="4"/>
        <v>3.6</v>
      </c>
      <c r="T23" s="168"/>
      <c r="U23" s="169"/>
      <c r="II23" s="146"/>
    </row>
    <row r="24" spans="1:243" x14ac:dyDescent="0.2">
      <c r="B24" s="166" t="s">
        <v>131</v>
      </c>
      <c r="C24" s="158">
        <f t="shared" si="0"/>
        <v>0</v>
      </c>
      <c r="D24" s="157">
        <v>3</v>
      </c>
      <c r="E24" s="167">
        <v>3</v>
      </c>
      <c r="F24" s="167">
        <v>1.26</v>
      </c>
      <c r="G24" s="167">
        <v>2</v>
      </c>
      <c r="H24" s="168">
        <f t="shared" si="1"/>
        <v>2.52</v>
      </c>
      <c r="I24" s="168">
        <f t="shared" si="2"/>
        <v>0</v>
      </c>
      <c r="J24" s="160">
        <f t="shared" si="3"/>
        <v>7.5600000000000005</v>
      </c>
      <c r="K24" s="159">
        <f t="shared" si="5"/>
        <v>19.559999999999999</v>
      </c>
      <c r="L24" s="168">
        <f>(F24*2+G24*2)*E24</f>
        <v>19.559999999999999</v>
      </c>
      <c r="M24" s="159">
        <f>K24*M3</f>
        <v>4.8899999999999997</v>
      </c>
      <c r="N24" s="168">
        <f>L24*N3</f>
        <v>6.8459999999999992</v>
      </c>
      <c r="O24" s="168"/>
      <c r="P24" s="159"/>
      <c r="Q24" s="161">
        <f t="shared" si="9"/>
        <v>12</v>
      </c>
      <c r="R24" s="159">
        <f t="shared" si="10"/>
        <v>15.78</v>
      </c>
      <c r="S24" s="159"/>
      <c r="T24" s="168"/>
      <c r="U24" s="169"/>
      <c r="II24" s="146"/>
    </row>
    <row r="25" spans="1:243" x14ac:dyDescent="0.2">
      <c r="B25" s="166" t="s">
        <v>132</v>
      </c>
      <c r="C25" s="158">
        <f t="shared" si="0"/>
        <v>0</v>
      </c>
      <c r="D25" s="157">
        <v>1</v>
      </c>
      <c r="E25" s="167">
        <v>1</v>
      </c>
      <c r="F25" s="167">
        <v>1</v>
      </c>
      <c r="G25" s="167">
        <v>2</v>
      </c>
      <c r="H25" s="168">
        <f t="shared" si="1"/>
        <v>2</v>
      </c>
      <c r="I25" s="168">
        <f t="shared" si="2"/>
        <v>0</v>
      </c>
      <c r="J25" s="160">
        <f t="shared" si="3"/>
        <v>2</v>
      </c>
      <c r="K25" s="159"/>
      <c r="L25" s="168"/>
      <c r="M25" s="159"/>
      <c r="N25" s="168"/>
      <c r="O25" s="168"/>
      <c r="P25" s="159"/>
      <c r="Q25" s="161"/>
      <c r="R25" s="159"/>
      <c r="S25" s="159"/>
      <c r="T25" s="168"/>
      <c r="U25" s="169"/>
      <c r="II25" s="146"/>
    </row>
    <row r="26" spans="1:243" x14ac:dyDescent="0.2">
      <c r="B26" s="152" t="s">
        <v>133</v>
      </c>
      <c r="C26" s="158">
        <f t="shared" si="0"/>
        <v>0</v>
      </c>
      <c r="D26" s="157">
        <v>46</v>
      </c>
      <c r="E26" s="157">
        <v>46</v>
      </c>
      <c r="F26" s="157">
        <v>0.16</v>
      </c>
      <c r="G26" s="157">
        <v>0.16</v>
      </c>
      <c r="H26" s="159">
        <f t="shared" si="1"/>
        <v>2.5600000000000001E-2</v>
      </c>
      <c r="I26" s="159">
        <f t="shared" si="2"/>
        <v>0</v>
      </c>
      <c r="J26" s="160">
        <f t="shared" si="3"/>
        <v>1.1776</v>
      </c>
      <c r="K26" s="159"/>
      <c r="L26" s="159"/>
      <c r="M26" s="159"/>
      <c r="N26" s="159"/>
      <c r="O26" s="159"/>
      <c r="P26" s="159"/>
      <c r="Q26" s="161"/>
      <c r="R26" s="159"/>
      <c r="S26" s="159"/>
      <c r="T26" s="159"/>
      <c r="U26" s="155"/>
      <c r="II26" s="146"/>
    </row>
    <row r="27" spans="1:243" x14ac:dyDescent="0.2">
      <c r="B27" s="152" t="s">
        <v>134</v>
      </c>
      <c r="C27" s="158">
        <f t="shared" si="0"/>
        <v>0</v>
      </c>
      <c r="D27" s="157">
        <v>26</v>
      </c>
      <c r="E27" s="157">
        <v>26</v>
      </c>
      <c r="F27" s="157">
        <v>0.26</v>
      </c>
      <c r="G27" s="157">
        <v>0.26</v>
      </c>
      <c r="H27" s="159">
        <f t="shared" si="1"/>
        <v>6.7600000000000007E-2</v>
      </c>
      <c r="I27" s="159">
        <f t="shared" si="2"/>
        <v>0</v>
      </c>
      <c r="J27" s="160"/>
      <c r="K27" s="159"/>
      <c r="L27" s="159"/>
      <c r="M27" s="159"/>
      <c r="N27" s="159"/>
      <c r="O27" s="159"/>
      <c r="P27" s="159"/>
      <c r="Q27" s="161"/>
      <c r="R27" s="159"/>
      <c r="S27" s="159"/>
      <c r="T27" s="159"/>
      <c r="U27" s="155"/>
      <c r="II27" s="146"/>
    </row>
    <row r="28" spans="1:243" ht="33.75" x14ac:dyDescent="0.2">
      <c r="B28" s="170" t="s">
        <v>135</v>
      </c>
      <c r="C28" s="171"/>
      <c r="D28" s="172"/>
      <c r="E28" s="173">
        <f>SUM(E4:E25)</f>
        <v>355</v>
      </c>
      <c r="F28" s="172"/>
      <c r="G28" s="172"/>
      <c r="H28" s="172"/>
      <c r="I28" s="173"/>
      <c r="J28" s="173">
        <f>SUM(J4:J25)</f>
        <v>128.56799999999998</v>
      </c>
      <c r="K28" s="173">
        <f t="shared" ref="K28:T28" si="13">SUM(K4:K27)</f>
        <v>1667.6979999999999</v>
      </c>
      <c r="L28" s="173">
        <f t="shared" si="13"/>
        <v>341.57799999999997</v>
      </c>
      <c r="M28" s="173">
        <f>SUM(M4:M27)</f>
        <v>416.92449999999997</v>
      </c>
      <c r="N28" s="173">
        <f t="shared" si="13"/>
        <v>119.55230000000002</v>
      </c>
      <c r="O28" s="173">
        <f t="shared" si="13"/>
        <v>49</v>
      </c>
      <c r="P28" s="173">
        <f t="shared" si="13"/>
        <v>342.74100000000004</v>
      </c>
      <c r="Q28" s="173">
        <f t="shared" si="13"/>
        <v>858.54000000000008</v>
      </c>
      <c r="R28" s="173">
        <f t="shared" si="13"/>
        <v>1263.1190000000004</v>
      </c>
      <c r="S28" s="173">
        <f t="shared" si="13"/>
        <v>394.42</v>
      </c>
      <c r="T28" s="173">
        <f t="shared" si="13"/>
        <v>326.41999999999996</v>
      </c>
      <c r="U28" s="174">
        <v>64</v>
      </c>
      <c r="V28" s="148">
        <f>SUM(V4:V26)</f>
        <v>250</v>
      </c>
      <c r="II28" s="146"/>
    </row>
    <row r="29" spans="1:243" ht="180" x14ac:dyDescent="0.2">
      <c r="A29" s="170" t="s">
        <v>136</v>
      </c>
      <c r="B29" s="175" t="s">
        <v>137</v>
      </c>
      <c r="C29" s="176"/>
      <c r="D29" s="150">
        <v>40</v>
      </c>
      <c r="E29" s="150">
        <v>40</v>
      </c>
      <c r="F29" s="150">
        <v>6.24</v>
      </c>
      <c r="G29" s="177">
        <v>1.1000000000000001</v>
      </c>
      <c r="H29" s="159">
        <f>F29*G29</f>
        <v>6.8640000000000008</v>
      </c>
      <c r="J29" s="178">
        <f>H29*E29</f>
        <v>274.56000000000006</v>
      </c>
      <c r="II29" s="146"/>
    </row>
    <row r="30" spans="1:243" x14ac:dyDescent="0.2">
      <c r="B30" s="175" t="s">
        <v>138</v>
      </c>
      <c r="C30" s="179"/>
      <c r="D30" s="153">
        <v>37</v>
      </c>
      <c r="E30" s="153">
        <v>37</v>
      </c>
      <c r="F30" s="153">
        <v>6.24</v>
      </c>
      <c r="G30" s="180">
        <v>1.1000000000000001</v>
      </c>
      <c r="H30" s="159">
        <f>F30*G30</f>
        <v>6.8640000000000008</v>
      </c>
      <c r="J30" s="178">
        <f>H30*E30</f>
        <v>253.96800000000002</v>
      </c>
      <c r="II30" s="146"/>
    </row>
    <row r="31" spans="1:243" x14ac:dyDescent="0.2">
      <c r="B31" s="181" t="s">
        <v>139</v>
      </c>
      <c r="C31" s="182"/>
      <c r="D31" s="183">
        <v>15</v>
      </c>
      <c r="E31" s="183">
        <v>15</v>
      </c>
      <c r="F31" s="183">
        <v>3.04</v>
      </c>
      <c r="G31" s="184">
        <v>1.1000000000000001</v>
      </c>
      <c r="H31" s="185">
        <f>F31*G31</f>
        <v>3.3440000000000003</v>
      </c>
      <c r="J31" s="186">
        <f>H31*E31</f>
        <v>50.160000000000004</v>
      </c>
      <c r="II31" s="146"/>
    </row>
    <row r="32" spans="1:243" x14ac:dyDescent="0.2">
      <c r="B32" s="187" t="s">
        <v>140</v>
      </c>
      <c r="C32" s="158">
        <f>E32-D32</f>
        <v>31</v>
      </c>
      <c r="D32" s="157">
        <v>46</v>
      </c>
      <c r="E32" s="157">
        <v>77</v>
      </c>
      <c r="F32" s="157">
        <v>6.24</v>
      </c>
      <c r="G32" s="157">
        <v>1.5</v>
      </c>
      <c r="H32" s="159">
        <f>F32*G32</f>
        <v>9.36</v>
      </c>
      <c r="I32" s="159">
        <f>H32*C32</f>
        <v>290.15999999999997</v>
      </c>
      <c r="J32" s="160">
        <f>H32*D32</f>
        <v>430.55999999999995</v>
      </c>
      <c r="II32" s="146"/>
    </row>
    <row r="33" spans="1:243" x14ac:dyDescent="0.2">
      <c r="B33" s="187" t="s">
        <v>141</v>
      </c>
      <c r="C33" s="188">
        <f>E33-D33</f>
        <v>8</v>
      </c>
      <c r="D33" s="189">
        <v>7</v>
      </c>
      <c r="E33" s="189">
        <v>15</v>
      </c>
      <c r="F33" s="189">
        <v>3.04</v>
      </c>
      <c r="G33" s="189">
        <v>1.5</v>
      </c>
      <c r="H33" s="185">
        <f>F33*G33</f>
        <v>4.5600000000000005</v>
      </c>
      <c r="I33" s="185">
        <f>H33*C33</f>
        <v>36.480000000000004</v>
      </c>
      <c r="J33" s="190">
        <f>H33*D33</f>
        <v>31.92</v>
      </c>
      <c r="II33" s="146"/>
    </row>
    <row r="34" spans="1:243" x14ac:dyDescent="0.2">
      <c r="B34" s="148"/>
      <c r="C34" s="191"/>
      <c r="D34" s="192"/>
      <c r="E34" s="192"/>
      <c r="F34" s="192"/>
      <c r="G34" s="192"/>
      <c r="H34" s="193"/>
      <c r="I34" s="193"/>
      <c r="J34" s="194"/>
      <c r="II34" s="146"/>
    </row>
    <row r="35" spans="1:243" x14ac:dyDescent="0.2">
      <c r="B35" s="148"/>
      <c r="C35" s="195" t="s">
        <v>590</v>
      </c>
      <c r="D35" s="196" t="s">
        <v>142</v>
      </c>
      <c r="E35" s="196">
        <v>58</v>
      </c>
      <c r="F35" s="196"/>
      <c r="G35" s="196"/>
      <c r="H35" s="196"/>
      <c r="I35" s="196"/>
      <c r="J35" s="197">
        <f>E35*H32</f>
        <v>542.88</v>
      </c>
      <c r="II35" s="146"/>
    </row>
    <row r="36" spans="1:243" x14ac:dyDescent="0.2">
      <c r="B36" s="148"/>
      <c r="C36" s="198"/>
      <c r="D36" s="199" t="s">
        <v>143</v>
      </c>
      <c r="E36" s="199">
        <v>11</v>
      </c>
      <c r="F36" s="199"/>
      <c r="G36" s="199"/>
      <c r="H36" s="199"/>
      <c r="I36" s="199"/>
      <c r="J36" s="200">
        <f>E36*H33</f>
        <v>50.160000000000004</v>
      </c>
      <c r="II36" s="146"/>
    </row>
    <row r="37" spans="1:243" x14ac:dyDescent="0.2">
      <c r="B37" s="148"/>
      <c r="J37" s="201"/>
      <c r="II37" s="146"/>
    </row>
    <row r="38" spans="1:243" x14ac:dyDescent="0.2">
      <c r="A38" s="744" t="s">
        <v>144</v>
      </c>
      <c r="B38" s="744"/>
      <c r="C38" s="744"/>
      <c r="D38" s="744"/>
      <c r="E38" s="187"/>
      <c r="F38" s="187"/>
    </row>
    <row r="39" spans="1:243" ht="21" x14ac:dyDescent="0.2">
      <c r="A39" s="203" t="s">
        <v>145</v>
      </c>
      <c r="B39" s="202" t="s">
        <v>146</v>
      </c>
      <c r="C39" s="202" t="s">
        <v>147</v>
      </c>
      <c r="D39" s="202" t="s">
        <v>148</v>
      </c>
      <c r="E39" s="202" t="s">
        <v>149</v>
      </c>
      <c r="F39" s="203" t="s">
        <v>150</v>
      </c>
      <c r="I39" s="363">
        <f>I32+I33</f>
        <v>326.64</v>
      </c>
      <c r="J39" s="363">
        <f>J32+J33</f>
        <v>462.47999999999996</v>
      </c>
      <c r="II39" s="146"/>
    </row>
    <row r="40" spans="1:243" ht="56.25" x14ac:dyDescent="0.2">
      <c r="A40" s="204" t="s">
        <v>151</v>
      </c>
      <c r="B40" s="204" t="s">
        <v>737</v>
      </c>
      <c r="C40" s="153" t="s">
        <v>47</v>
      </c>
      <c r="D40" s="205"/>
      <c r="E40" s="205">
        <v>926.1</v>
      </c>
      <c r="F40" s="187"/>
      <c r="II40" s="146"/>
    </row>
    <row r="41" spans="1:243" ht="45" x14ac:dyDescent="0.2">
      <c r="A41" s="204" t="s">
        <v>152</v>
      </c>
      <c r="B41" s="204" t="s">
        <v>738</v>
      </c>
      <c r="C41" s="153" t="s">
        <v>47</v>
      </c>
      <c r="D41" s="153">
        <v>29.8</v>
      </c>
      <c r="E41" s="153">
        <v>102.8</v>
      </c>
      <c r="F41" s="153">
        <v>134.80000000000001</v>
      </c>
      <c r="G41" s="148">
        <f>D41+E41+F41</f>
        <v>267.39999999999998</v>
      </c>
      <c r="II41" s="146"/>
    </row>
    <row r="42" spans="1:243" ht="78.75" x14ac:dyDescent="0.2">
      <c r="A42" s="204" t="s">
        <v>153</v>
      </c>
      <c r="B42" s="204" t="s">
        <v>739</v>
      </c>
      <c r="C42" s="153" t="s">
        <v>47</v>
      </c>
      <c r="D42" s="737">
        <v>131.5</v>
      </c>
      <c r="E42" s="738"/>
      <c r="F42" s="739"/>
      <c r="G42" s="206"/>
      <c r="II42" s="146"/>
    </row>
    <row r="43" spans="1:243" ht="67.5" x14ac:dyDescent="0.2">
      <c r="A43" s="207" t="s">
        <v>154</v>
      </c>
      <c r="B43" s="207" t="s">
        <v>740</v>
      </c>
      <c r="C43" s="153" t="s">
        <v>47</v>
      </c>
      <c r="D43" s="740">
        <v>490</v>
      </c>
      <c r="E43" s="741"/>
      <c r="F43" s="742"/>
      <c r="II43" s="146"/>
    </row>
    <row r="44" spans="1:243" ht="56.25" x14ac:dyDescent="0.2">
      <c r="A44" s="204" t="s">
        <v>155</v>
      </c>
      <c r="B44" s="204" t="s">
        <v>741</v>
      </c>
      <c r="C44" s="153" t="s">
        <v>47</v>
      </c>
      <c r="D44" s="208"/>
      <c r="E44" s="208">
        <v>953.8</v>
      </c>
      <c r="F44" s="187"/>
      <c r="II44" s="146"/>
    </row>
    <row r="45" spans="1:243" ht="45" x14ac:dyDescent="0.2">
      <c r="A45" s="204" t="s">
        <v>156</v>
      </c>
      <c r="B45" s="204" t="s">
        <v>742</v>
      </c>
      <c r="C45" s="153" t="s">
        <v>47</v>
      </c>
      <c r="D45" s="187"/>
      <c r="E45" s="208">
        <v>398</v>
      </c>
      <c r="F45" s="187"/>
      <c r="II45" s="146"/>
    </row>
    <row r="46" spans="1:243" ht="56.25" x14ac:dyDescent="0.2">
      <c r="A46" s="204" t="s">
        <v>157</v>
      </c>
      <c r="B46" s="204" t="s">
        <v>743</v>
      </c>
      <c r="C46" s="153" t="s">
        <v>47</v>
      </c>
      <c r="D46" s="208">
        <f>48.5</f>
        <v>48.5</v>
      </c>
      <c r="E46" s="187"/>
      <c r="F46" s="187"/>
      <c r="II46" s="146"/>
    </row>
    <row r="47" spans="1:243" ht="45" x14ac:dyDescent="0.2">
      <c r="A47" s="204" t="s">
        <v>158</v>
      </c>
      <c r="B47" s="204" t="s">
        <v>744</v>
      </c>
      <c r="C47" s="153" t="s">
        <v>47</v>
      </c>
      <c r="D47" s="208">
        <f>733.8+7</f>
        <v>740.8</v>
      </c>
      <c r="E47" s="187"/>
      <c r="F47" s="187"/>
      <c r="II47" s="146"/>
    </row>
    <row r="48" spans="1:243" ht="90" x14ac:dyDescent="0.2">
      <c r="A48" s="204" t="s">
        <v>159</v>
      </c>
      <c r="B48" s="204" t="s">
        <v>745</v>
      </c>
      <c r="C48" s="153" t="s">
        <v>47</v>
      </c>
      <c r="D48" s="208">
        <v>316.39999999999998</v>
      </c>
      <c r="E48" s="187"/>
      <c r="F48" s="187"/>
      <c r="II48" s="146"/>
    </row>
    <row r="49" spans="1:243" ht="67.5" x14ac:dyDescent="0.2">
      <c r="A49" s="204" t="s">
        <v>160</v>
      </c>
      <c r="B49" s="204" t="s">
        <v>746</v>
      </c>
      <c r="C49" s="153" t="s">
        <v>47</v>
      </c>
      <c r="D49" s="208">
        <v>147.30000000000001</v>
      </c>
      <c r="E49" s="187"/>
      <c r="F49" s="187"/>
      <c r="II49" s="146"/>
    </row>
    <row r="50" spans="1:243" ht="56.25" x14ac:dyDescent="0.2">
      <c r="A50" s="204" t="s">
        <v>161</v>
      </c>
      <c r="B50" s="204" t="s">
        <v>747</v>
      </c>
      <c r="C50" s="153" t="s">
        <v>47</v>
      </c>
      <c r="D50" s="208">
        <v>140.19999999999999</v>
      </c>
      <c r="E50" s="187"/>
      <c r="F50" s="187"/>
      <c r="II50" s="146"/>
    </row>
    <row r="51" spans="1:243" x14ac:dyDescent="0.2">
      <c r="D51" s="209">
        <f>SUM(D40:D46)+D50</f>
        <v>840</v>
      </c>
      <c r="E51" s="209">
        <f>SUM(E40:E43)+E45+E44</f>
        <v>2380.6999999999998</v>
      </c>
      <c r="II51" s="146"/>
    </row>
  </sheetData>
  <sheetProtection selectLockedCells="1" selectUnlockedCells="1"/>
  <mergeCells count="16">
    <mergeCell ref="D43:F43"/>
    <mergeCell ref="U2:U3"/>
    <mergeCell ref="A38:D38"/>
    <mergeCell ref="K1:L1"/>
    <mergeCell ref="M1:N1"/>
    <mergeCell ref="O1:P1"/>
    <mergeCell ref="Q1:U1"/>
    <mergeCell ref="B2:B3"/>
    <mergeCell ref="C2:E2"/>
    <mergeCell ref="F2:G2"/>
    <mergeCell ref="H2:J2"/>
    <mergeCell ref="Q2:Q3"/>
    <mergeCell ref="R2:R3"/>
    <mergeCell ref="S2:S3"/>
    <mergeCell ref="T2:T3"/>
    <mergeCell ref="D42:F42"/>
  </mergeCells>
  <pageMargins left="0.7" right="0.7" top="0.75" bottom="0.75" header="0.51180555555555551" footer="0.51180555555555551"/>
  <pageSetup paperSize="9" scale="41" firstPageNumber="0" orientation="portrait" horizontalDpi="300" verticalDpi="300" r:id="rId1"/>
  <headerFooter alignWithMargins="0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R59"/>
  <sheetViews>
    <sheetView view="pageBreakPreview" topLeftCell="A28" zoomScale="110" zoomScaleNormal="115" zoomScaleSheetLayoutView="110" workbookViewId="0">
      <selection activeCell="C59" sqref="C59"/>
    </sheetView>
  </sheetViews>
  <sheetFormatPr defaultColWidth="8.5703125" defaultRowHeight="11.25" x14ac:dyDescent="0.25"/>
  <cols>
    <col min="1" max="1" width="4.42578125" style="35" customWidth="1"/>
    <col min="2" max="2" width="4.7109375" style="35" customWidth="1"/>
    <col min="3" max="3" width="47.85546875" style="231" customWidth="1"/>
    <col min="4" max="4" width="5.85546875" style="35" customWidth="1"/>
    <col min="5" max="5" width="6.85546875" style="35" customWidth="1"/>
    <col min="6" max="6" width="5.42578125" style="35" hidden="1" customWidth="1"/>
    <col min="7" max="7" width="5.42578125" style="35" customWidth="1"/>
    <col min="8" max="9" width="6.5703125" style="35" customWidth="1"/>
    <col min="10" max="10" width="5.7109375" style="35" customWidth="1"/>
    <col min="11" max="11" width="5.5703125" style="35" customWidth="1"/>
    <col min="12" max="12" width="6.140625" style="35" customWidth="1"/>
    <col min="13" max="16" width="7" style="35" customWidth="1"/>
    <col min="17" max="17" width="7.85546875" style="35" customWidth="1"/>
    <col min="18" max="16384" width="8.5703125" style="35"/>
  </cols>
  <sheetData>
    <row r="1" spans="1:17" s="32" customFormat="1" x14ac:dyDescent="0.25">
      <c r="A1" s="731" t="s">
        <v>27</v>
      </c>
      <c r="B1" s="731"/>
      <c r="C1" s="731"/>
      <c r="D1" s="731"/>
      <c r="E1" s="731"/>
      <c r="F1" s="731"/>
      <c r="G1" s="731"/>
      <c r="H1" s="233">
        <f>KPDV!A15</f>
        <v>3</v>
      </c>
      <c r="I1" s="234"/>
      <c r="J1" s="234"/>
      <c r="K1" s="234"/>
      <c r="L1" s="234"/>
      <c r="M1" s="234"/>
    </row>
    <row r="2" spans="1:17" s="32" customFormat="1" x14ac:dyDescent="0.25">
      <c r="A2" s="232"/>
      <c r="B2" s="232"/>
      <c r="C2" s="234" t="s">
        <v>162</v>
      </c>
      <c r="D2" s="232"/>
      <c r="E2" s="232"/>
      <c r="F2" s="232"/>
      <c r="G2" s="232"/>
      <c r="H2" s="233"/>
      <c r="I2" s="234"/>
      <c r="J2" s="234"/>
      <c r="K2" s="234"/>
      <c r="L2" s="234"/>
      <c r="M2" s="234"/>
    </row>
    <row r="3" spans="1:17" x14ac:dyDescent="0.25">
      <c r="A3" s="6" t="str">
        <f>obj</f>
        <v>Objekta nosaukums: Dzīvojamās ēkas fasādes vienkāršota atjaunošana</v>
      </c>
      <c r="B3" s="6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33" t="str">
        <f>nos</f>
        <v>Būves nosaukums: Daudzdzīvokļu dzīvojamā ēka</v>
      </c>
      <c r="B4" s="6"/>
      <c r="C4" s="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 t="str">
        <f>adres</f>
        <v>Objekta adrese: Mirdzas Ķempes iela 22, Liepāja</v>
      </c>
      <c r="B5" s="6"/>
      <c r="C5" s="8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 t="str">
        <f>nr</f>
        <v>Pasūtījuma Nr.WS-77-16</v>
      </c>
      <c r="B6" s="6"/>
      <c r="C6" s="8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">
      <c r="A7" s="9"/>
      <c r="B7" s="32"/>
      <c r="C7" s="121" t="s">
        <v>689</v>
      </c>
      <c r="D7" s="9"/>
      <c r="E7" s="232" t="s">
        <v>665</v>
      </c>
      <c r="F7" s="32" t="s">
        <v>30</v>
      </c>
      <c r="G7" s="687" t="s">
        <v>690</v>
      </c>
      <c r="H7" s="32"/>
      <c r="I7" s="32"/>
      <c r="J7" s="32"/>
      <c r="K7" s="32"/>
      <c r="L7" s="32"/>
      <c r="M7" s="32"/>
      <c r="N7" s="32"/>
      <c r="O7" s="32"/>
      <c r="P7" s="68" t="s">
        <v>31</v>
      </c>
      <c r="Q7" s="235">
        <f>Q46</f>
        <v>0</v>
      </c>
    </row>
    <row r="8" spans="1:17" s="32" customFormat="1" x14ac:dyDescent="0.25">
      <c r="A8" s="14"/>
      <c r="B8" s="14"/>
      <c r="C8" s="34"/>
      <c r="D8" s="14"/>
      <c r="E8" s="14"/>
      <c r="F8" s="14"/>
      <c r="G8" s="14"/>
      <c r="H8" s="14"/>
      <c r="I8" s="14"/>
      <c r="J8" s="14"/>
      <c r="K8" s="14"/>
      <c r="L8" s="14"/>
      <c r="M8" s="14"/>
      <c r="N8" s="9"/>
      <c r="O8" s="70"/>
      <c r="P8" s="71" t="str">
        <f>KPDV!C33</f>
        <v>Tāme sastādīta</v>
      </c>
    </row>
    <row r="9" spans="1:17" s="237" customFormat="1" ht="10.5" customHeight="1" x14ac:dyDescent="0.25">
      <c r="A9" s="732" t="s">
        <v>1</v>
      </c>
      <c r="B9" s="732" t="s">
        <v>32</v>
      </c>
      <c r="C9" s="733" t="s">
        <v>33</v>
      </c>
      <c r="D9" s="734" t="s">
        <v>34</v>
      </c>
      <c r="E9" s="732" t="s">
        <v>35</v>
      </c>
      <c r="F9" s="72"/>
      <c r="G9" s="729" t="s">
        <v>36</v>
      </c>
      <c r="H9" s="729"/>
      <c r="I9" s="729"/>
      <c r="J9" s="729"/>
      <c r="K9" s="729"/>
      <c r="L9" s="729"/>
      <c r="M9" s="729" t="s">
        <v>37</v>
      </c>
      <c r="N9" s="729"/>
      <c r="O9" s="729"/>
      <c r="P9" s="729"/>
      <c r="Q9" s="729"/>
    </row>
    <row r="10" spans="1:17" s="237" customFormat="1" ht="68.25" x14ac:dyDescent="0.25">
      <c r="A10" s="732"/>
      <c r="B10" s="732"/>
      <c r="C10" s="733"/>
      <c r="D10" s="734"/>
      <c r="E10" s="732"/>
      <c r="F10" s="72"/>
      <c r="G10" s="75" t="s">
        <v>38</v>
      </c>
      <c r="H10" s="75" t="s">
        <v>660</v>
      </c>
      <c r="I10" s="75" t="s">
        <v>20</v>
      </c>
      <c r="J10" s="75" t="s">
        <v>657</v>
      </c>
      <c r="K10" s="75" t="s">
        <v>21</v>
      </c>
      <c r="L10" s="75" t="s">
        <v>658</v>
      </c>
      <c r="M10" s="75" t="s">
        <v>39</v>
      </c>
      <c r="N10" s="75" t="s">
        <v>20</v>
      </c>
      <c r="O10" s="75" t="s">
        <v>657</v>
      </c>
      <c r="P10" s="75" t="s">
        <v>21</v>
      </c>
      <c r="Q10" s="75" t="s">
        <v>659</v>
      </c>
    </row>
    <row r="11" spans="1:17" s="237" customFormat="1" x14ac:dyDescent="0.25">
      <c r="A11" s="461">
        <v>1</v>
      </c>
      <c r="B11" s="461">
        <f>A11+1</f>
        <v>2</v>
      </c>
      <c r="C11" s="462">
        <v>3</v>
      </c>
      <c r="D11" s="461">
        <f>C11+1</f>
        <v>4</v>
      </c>
      <c r="E11" s="461">
        <f>D11+1</f>
        <v>5</v>
      </c>
      <c r="F11" s="463"/>
      <c r="G11" s="461">
        <f>E11+1</f>
        <v>6</v>
      </c>
      <c r="H11" s="461">
        <f t="shared" ref="H11:Q11" si="0">G11+1</f>
        <v>7</v>
      </c>
      <c r="I11" s="461">
        <f t="shared" si="0"/>
        <v>8</v>
      </c>
      <c r="J11" s="461">
        <f t="shared" si="0"/>
        <v>9</v>
      </c>
      <c r="K11" s="461">
        <f t="shared" si="0"/>
        <v>10</v>
      </c>
      <c r="L11" s="461">
        <f t="shared" si="0"/>
        <v>11</v>
      </c>
      <c r="M11" s="461">
        <f t="shared" si="0"/>
        <v>12</v>
      </c>
      <c r="N11" s="461">
        <f t="shared" si="0"/>
        <v>13</v>
      </c>
      <c r="O11" s="461">
        <f t="shared" si="0"/>
        <v>14</v>
      </c>
      <c r="P11" s="461">
        <f t="shared" si="0"/>
        <v>15</v>
      </c>
      <c r="Q11" s="461">
        <f t="shared" si="0"/>
        <v>16</v>
      </c>
    </row>
    <row r="12" spans="1:17" x14ac:dyDescent="0.25">
      <c r="A12" s="85">
        <f t="shared" ref="A12:A19" si="1">IF(COUNTBLANK(B12)=1," ",COUNTA($B$12:B12))</f>
        <v>1</v>
      </c>
      <c r="B12" s="83" t="s">
        <v>40</v>
      </c>
      <c r="C12" s="84" t="s">
        <v>163</v>
      </c>
      <c r="D12" s="85" t="s">
        <v>666</v>
      </c>
      <c r="E12" s="85">
        <f>130.9*F12</f>
        <v>143.99</v>
      </c>
      <c r="F12" s="85">
        <v>1.1000000000000001</v>
      </c>
      <c r="G12" s="106"/>
      <c r="H12" s="127"/>
      <c r="I12" s="106"/>
      <c r="J12" s="106"/>
      <c r="K12" s="106"/>
      <c r="L12" s="211"/>
      <c r="M12" s="211"/>
      <c r="N12" s="211"/>
      <c r="O12" s="211"/>
      <c r="P12" s="211"/>
      <c r="Q12" s="211"/>
    </row>
    <row r="13" spans="1:17" x14ac:dyDescent="0.25">
      <c r="A13" s="85">
        <f t="shared" si="1"/>
        <v>2</v>
      </c>
      <c r="B13" s="83" t="s">
        <v>40</v>
      </c>
      <c r="C13" s="84" t="s">
        <v>164</v>
      </c>
      <c r="D13" s="85" t="s">
        <v>666</v>
      </c>
      <c r="E13" s="85">
        <v>131.9</v>
      </c>
      <c r="F13" s="90"/>
      <c r="G13" s="106"/>
      <c r="H13" s="127"/>
      <c r="I13" s="106"/>
      <c r="J13" s="106"/>
      <c r="K13" s="106"/>
      <c r="L13" s="211"/>
      <c r="M13" s="211"/>
      <c r="N13" s="211"/>
      <c r="O13" s="211"/>
      <c r="P13" s="211"/>
      <c r="Q13" s="211"/>
    </row>
    <row r="14" spans="1:17" x14ac:dyDescent="0.25">
      <c r="A14" s="85">
        <f t="shared" si="1"/>
        <v>3</v>
      </c>
      <c r="B14" s="83" t="s">
        <v>40</v>
      </c>
      <c r="C14" s="84" t="s">
        <v>165</v>
      </c>
      <c r="D14" s="85" t="s">
        <v>88</v>
      </c>
      <c r="E14" s="85">
        <f>177.4*1.2*1</f>
        <v>212.88</v>
      </c>
      <c r="F14" s="90"/>
      <c r="G14" s="98"/>
      <c r="H14" s="127"/>
      <c r="I14" s="98"/>
      <c r="J14" s="98"/>
      <c r="K14" s="98"/>
      <c r="L14" s="211"/>
      <c r="M14" s="211"/>
      <c r="N14" s="211"/>
      <c r="O14" s="211"/>
      <c r="P14" s="211"/>
      <c r="Q14" s="211"/>
    </row>
    <row r="15" spans="1:17" s="234" customFormat="1" ht="22.5" x14ac:dyDescent="0.25">
      <c r="A15" s="85">
        <f t="shared" si="1"/>
        <v>4</v>
      </c>
      <c r="B15" s="83" t="s">
        <v>40</v>
      </c>
      <c r="C15" s="84" t="s">
        <v>166</v>
      </c>
      <c r="D15" s="85" t="s">
        <v>666</v>
      </c>
      <c r="E15" s="86">
        <f>E13+138.4</f>
        <v>270.3</v>
      </c>
      <c r="F15" s="106"/>
      <c r="G15" s="481"/>
      <c r="H15" s="127"/>
      <c r="I15" s="481"/>
      <c r="J15" s="481"/>
      <c r="K15" s="481"/>
      <c r="L15" s="211"/>
      <c r="M15" s="211"/>
      <c r="N15" s="211"/>
      <c r="O15" s="211"/>
      <c r="P15" s="211"/>
      <c r="Q15" s="211"/>
    </row>
    <row r="16" spans="1:17" s="32" customFormat="1" x14ac:dyDescent="0.2">
      <c r="A16" s="85" t="str">
        <f t="shared" si="1"/>
        <v xml:space="preserve"> </v>
      </c>
      <c r="B16" s="123"/>
      <c r="C16" s="73" t="s">
        <v>167</v>
      </c>
      <c r="D16" s="123" t="s">
        <v>58</v>
      </c>
      <c r="E16" s="106">
        <f>E15*F16</f>
        <v>81.09</v>
      </c>
      <c r="F16" s="106">
        <v>0.3</v>
      </c>
      <c r="G16" s="482"/>
      <c r="H16" s="482"/>
      <c r="I16" s="482"/>
      <c r="J16" s="482"/>
      <c r="K16" s="482"/>
      <c r="L16" s="211"/>
      <c r="M16" s="211"/>
      <c r="N16" s="211"/>
      <c r="O16" s="211"/>
      <c r="P16" s="211"/>
      <c r="Q16" s="211"/>
    </row>
    <row r="17" spans="1:17" s="110" customFormat="1" ht="22.5" x14ac:dyDescent="0.25">
      <c r="A17" s="85">
        <f t="shared" si="1"/>
        <v>5</v>
      </c>
      <c r="B17" s="83" t="s">
        <v>40</v>
      </c>
      <c r="C17" s="84" t="s">
        <v>168</v>
      </c>
      <c r="D17" s="85" t="s">
        <v>47</v>
      </c>
      <c r="E17" s="86">
        <f>E15</f>
        <v>270.3</v>
      </c>
      <c r="F17" s="98"/>
      <c r="G17" s="98"/>
      <c r="H17" s="127"/>
      <c r="I17" s="98"/>
      <c r="J17" s="98"/>
      <c r="K17" s="98"/>
      <c r="L17" s="211"/>
      <c r="M17" s="211"/>
      <c r="N17" s="211"/>
      <c r="O17" s="211"/>
      <c r="P17" s="211"/>
      <c r="Q17" s="211"/>
    </row>
    <row r="18" spans="1:17" s="110" customFormat="1" ht="12.75" customHeight="1" x14ac:dyDescent="0.25">
      <c r="A18" s="85" t="str">
        <f t="shared" si="1"/>
        <v xml:space="preserve"> </v>
      </c>
      <c r="B18" s="85"/>
      <c r="C18" s="84" t="s">
        <v>169</v>
      </c>
      <c r="D18" s="98" t="s">
        <v>58</v>
      </c>
      <c r="E18" s="98">
        <f>E17*F18</f>
        <v>810.90000000000009</v>
      </c>
      <c r="F18" s="98">
        <v>3</v>
      </c>
      <c r="G18" s="98"/>
      <c r="H18" s="98"/>
      <c r="I18" s="98"/>
      <c r="J18" s="98"/>
      <c r="K18" s="98"/>
      <c r="L18" s="211"/>
      <c r="M18" s="211"/>
      <c r="N18" s="211"/>
      <c r="O18" s="211"/>
      <c r="P18" s="211"/>
      <c r="Q18" s="211"/>
    </row>
    <row r="19" spans="1:17" x14ac:dyDescent="0.25">
      <c r="A19" s="85">
        <f t="shared" si="1"/>
        <v>6</v>
      </c>
      <c r="B19" s="83" t="s">
        <v>40</v>
      </c>
      <c r="C19" s="84" t="s">
        <v>170</v>
      </c>
      <c r="D19" s="85" t="s">
        <v>88</v>
      </c>
      <c r="E19" s="86">
        <f>E14</f>
        <v>212.88</v>
      </c>
      <c r="F19" s="85"/>
      <c r="G19" s="98"/>
      <c r="H19" s="127"/>
      <c r="I19" s="106"/>
      <c r="J19" s="98"/>
      <c r="K19" s="98"/>
      <c r="L19" s="211"/>
      <c r="M19" s="211"/>
      <c r="N19" s="211"/>
      <c r="O19" s="211"/>
      <c r="P19" s="211"/>
      <c r="Q19" s="211"/>
    </row>
    <row r="20" spans="1:17" x14ac:dyDescent="0.25">
      <c r="A20" s="85"/>
      <c r="B20" s="83"/>
      <c r="C20" s="214" t="s">
        <v>171</v>
      </c>
      <c r="D20" s="85"/>
      <c r="E20" s="86"/>
      <c r="F20" s="85"/>
      <c r="G20" s="106"/>
      <c r="H20" s="127"/>
      <c r="I20" s="106"/>
      <c r="J20" s="98"/>
      <c r="K20" s="98"/>
      <c r="L20" s="211"/>
      <c r="M20" s="211"/>
      <c r="N20" s="211"/>
      <c r="O20" s="211"/>
      <c r="P20" s="211"/>
      <c r="Q20" s="211"/>
    </row>
    <row r="21" spans="1:17" ht="45" x14ac:dyDescent="0.25">
      <c r="A21" s="85">
        <f>IF(COUNTBLANK(B21)=1," ",COUNTA($B$12:B21))</f>
        <v>7</v>
      </c>
      <c r="B21" s="483" t="s">
        <v>172</v>
      </c>
      <c r="C21" s="484" t="str">
        <f>apjoms!B41</f>
        <v xml:space="preserve">Apmetuma sistēma virs siltinājuma (AS-1 vai AS-2), b=7mm; Grunts; putupolistirola plāksne,; λ=0,037* W/mK, b=100mm; Līmjava; Vertikālā hidroizolācija; Grunts; Esošā siena -ribotais panelis, b=450mm                                    </v>
      </c>
      <c r="D21" s="366"/>
      <c r="E21" s="219"/>
      <c r="F21" s="142"/>
      <c r="G21" s="80"/>
      <c r="H21" s="127"/>
      <c r="I21" s="79"/>
      <c r="J21" s="79"/>
      <c r="K21" s="95"/>
      <c r="L21" s="211"/>
      <c r="M21" s="211"/>
      <c r="N21" s="211"/>
      <c r="O21" s="211"/>
      <c r="P21" s="211"/>
      <c r="Q21" s="211"/>
    </row>
    <row r="22" spans="1:17" x14ac:dyDescent="0.25">
      <c r="A22" s="85"/>
      <c r="B22" s="483"/>
      <c r="C22" s="485" t="s">
        <v>656</v>
      </c>
      <c r="D22" s="368" t="s">
        <v>666</v>
      </c>
      <c r="E22" s="486">
        <v>132.6</v>
      </c>
      <c r="F22" s="368"/>
      <c r="G22" s="487"/>
      <c r="H22" s="488"/>
      <c r="I22" s="489"/>
      <c r="J22" s="489"/>
      <c r="K22" s="365"/>
      <c r="L22" s="211"/>
      <c r="M22" s="211"/>
      <c r="N22" s="211"/>
      <c r="O22" s="211"/>
      <c r="P22" s="211"/>
      <c r="Q22" s="211"/>
    </row>
    <row r="23" spans="1:17" x14ac:dyDescent="0.25">
      <c r="A23" s="85"/>
      <c r="B23" s="483"/>
      <c r="C23" s="490" t="s">
        <v>655</v>
      </c>
      <c r="D23" s="369" t="s">
        <v>667</v>
      </c>
      <c r="E23" s="491">
        <f>(E22+139.45)*F23</f>
        <v>285.65249999999997</v>
      </c>
      <c r="F23" s="369">
        <v>1.05</v>
      </c>
      <c r="G23" s="216"/>
      <c r="H23" s="216"/>
      <c r="I23" s="215"/>
      <c r="J23" s="215"/>
      <c r="K23" s="215"/>
      <c r="L23" s="211"/>
      <c r="M23" s="211"/>
      <c r="N23" s="211"/>
      <c r="O23" s="211"/>
      <c r="P23" s="211"/>
      <c r="Q23" s="211"/>
    </row>
    <row r="24" spans="1:17" x14ac:dyDescent="0.25">
      <c r="A24" s="85"/>
      <c r="B24" s="83"/>
      <c r="C24" s="492" t="s">
        <v>749</v>
      </c>
      <c r="D24" s="367" t="s">
        <v>58</v>
      </c>
      <c r="E24" s="493">
        <f>E23*F24</f>
        <v>1999.5674999999999</v>
      </c>
      <c r="F24" s="128">
        <v>7</v>
      </c>
      <c r="G24" s="102"/>
      <c r="H24" s="103"/>
      <c r="I24" s="102"/>
      <c r="J24" s="102"/>
      <c r="K24" s="102"/>
      <c r="L24" s="211"/>
      <c r="M24" s="211"/>
      <c r="N24" s="211"/>
      <c r="O24" s="211"/>
      <c r="P24" s="211"/>
      <c r="Q24" s="211"/>
    </row>
    <row r="25" spans="1:17" x14ac:dyDescent="0.25">
      <c r="A25" s="85">
        <f>IF(COUNTBLANK(B25)=1," ",COUNTA($B$12:B25))</f>
        <v>8</v>
      </c>
      <c r="B25" s="83" t="s">
        <v>40</v>
      </c>
      <c r="C25" s="494" t="s">
        <v>174</v>
      </c>
      <c r="D25" s="109" t="s">
        <v>47</v>
      </c>
      <c r="E25" s="495">
        <v>45</v>
      </c>
      <c r="F25" s="123"/>
      <c r="G25" s="98"/>
      <c r="H25" s="127"/>
      <c r="I25" s="98"/>
      <c r="J25" s="98"/>
      <c r="K25" s="99"/>
      <c r="L25" s="211"/>
      <c r="M25" s="211"/>
      <c r="N25" s="211"/>
      <c r="O25" s="211"/>
      <c r="P25" s="211"/>
      <c r="Q25" s="211"/>
    </row>
    <row r="26" spans="1:17" ht="22.5" x14ac:dyDescent="0.25">
      <c r="A26" s="77" t="str">
        <f>IF(COUNTBLANK(B26)=1," ",COUNTA(B$12:B26))</f>
        <v xml:space="preserve"> </v>
      </c>
      <c r="B26" s="83"/>
      <c r="C26" s="84" t="s">
        <v>175</v>
      </c>
      <c r="D26" s="109" t="s">
        <v>88</v>
      </c>
      <c r="E26" s="86">
        <f>E25*F26</f>
        <v>4.95</v>
      </c>
      <c r="F26" s="217">
        <v>0.11</v>
      </c>
      <c r="G26" s="123"/>
      <c r="H26" s="106"/>
      <c r="I26" s="123"/>
      <c r="J26" s="123"/>
      <c r="K26" s="123"/>
      <c r="L26" s="211"/>
      <c r="M26" s="211"/>
      <c r="N26" s="211"/>
      <c r="O26" s="211"/>
      <c r="P26" s="211"/>
      <c r="Q26" s="211"/>
    </row>
    <row r="27" spans="1:17" x14ac:dyDescent="0.25">
      <c r="A27" s="77" t="str">
        <f>IF(COUNTBLANK(B27)=1," ",COUNTA(B$12:B27))</f>
        <v xml:space="preserve"> </v>
      </c>
      <c r="B27" s="83"/>
      <c r="C27" s="84" t="s">
        <v>176</v>
      </c>
      <c r="D27" s="109" t="s">
        <v>47</v>
      </c>
      <c r="E27" s="86">
        <f>E25*F27</f>
        <v>49.500000000000007</v>
      </c>
      <c r="F27" s="217">
        <v>1.1000000000000001</v>
      </c>
      <c r="G27" s="123"/>
      <c r="H27" s="106"/>
      <c r="I27" s="123"/>
      <c r="J27" s="123"/>
      <c r="K27" s="123"/>
      <c r="L27" s="211"/>
      <c r="M27" s="211"/>
      <c r="N27" s="211"/>
      <c r="O27" s="211"/>
      <c r="P27" s="211"/>
      <c r="Q27" s="211"/>
    </row>
    <row r="28" spans="1:17" x14ac:dyDescent="0.25">
      <c r="A28" s="85" t="str">
        <f>IF(COUNTBLANK(B28)=1," ",COUNTA($B$12:B28))</f>
        <v xml:space="preserve"> </v>
      </c>
      <c r="B28" s="83"/>
      <c r="C28" s="84" t="s">
        <v>694</v>
      </c>
      <c r="D28" s="109" t="s">
        <v>88</v>
      </c>
      <c r="E28" s="86">
        <f>E25*F28</f>
        <v>4.95</v>
      </c>
      <c r="F28" s="218">
        <v>0.11</v>
      </c>
      <c r="G28" s="106"/>
      <c r="H28" s="127"/>
      <c r="I28" s="106"/>
      <c r="J28" s="106"/>
      <c r="K28" s="106"/>
      <c r="L28" s="211"/>
      <c r="M28" s="211"/>
      <c r="N28" s="211"/>
      <c r="O28" s="211"/>
      <c r="P28" s="211"/>
      <c r="Q28" s="211"/>
    </row>
    <row r="29" spans="1:17" x14ac:dyDescent="0.25">
      <c r="A29" s="85" t="str">
        <f>IF(COUNTBLANK(B29)=1," ",COUNTA($B$12:B29))</f>
        <v xml:space="preserve"> </v>
      </c>
      <c r="B29" s="83"/>
      <c r="C29" s="84" t="s">
        <v>177</v>
      </c>
      <c r="D29" s="109" t="s">
        <v>88</v>
      </c>
      <c r="E29" s="219">
        <f>E25*F29</f>
        <v>4.95</v>
      </c>
      <c r="F29" s="98">
        <v>0.11</v>
      </c>
      <c r="G29" s="98"/>
      <c r="H29" s="98"/>
      <c r="I29" s="98"/>
      <c r="J29" s="106"/>
      <c r="K29" s="98"/>
      <c r="L29" s="211"/>
      <c r="M29" s="211"/>
      <c r="N29" s="211"/>
      <c r="O29" s="211"/>
      <c r="P29" s="211"/>
      <c r="Q29" s="211"/>
    </row>
    <row r="30" spans="1:17" x14ac:dyDescent="0.25">
      <c r="A30" s="85">
        <f>IF(COUNTBLANK(B30)=1," ",COUNTA($B$12:B30))</f>
        <v>9</v>
      </c>
      <c r="B30" s="83" t="s">
        <v>40</v>
      </c>
      <c r="C30" s="220" t="s">
        <v>178</v>
      </c>
      <c r="D30" s="109" t="s">
        <v>47</v>
      </c>
      <c r="E30" s="86">
        <v>89.2</v>
      </c>
      <c r="F30" s="98">
        <v>1.1000000000000001</v>
      </c>
      <c r="G30" s="98"/>
      <c r="H30" s="98"/>
      <c r="I30" s="98"/>
      <c r="J30" s="106"/>
      <c r="K30" s="98"/>
      <c r="L30" s="211"/>
      <c r="M30" s="211"/>
      <c r="N30" s="211"/>
      <c r="O30" s="211"/>
      <c r="P30" s="211"/>
      <c r="Q30" s="211"/>
    </row>
    <row r="31" spans="1:17" x14ac:dyDescent="0.25">
      <c r="A31" s="85"/>
      <c r="B31" s="83"/>
      <c r="C31" s="221" t="s">
        <v>179</v>
      </c>
      <c r="D31" s="109" t="s">
        <v>88</v>
      </c>
      <c r="E31" s="86">
        <f>E30*F31</f>
        <v>8.92</v>
      </c>
      <c r="F31" s="98">
        <v>0.1</v>
      </c>
      <c r="G31" s="98"/>
      <c r="H31" s="98"/>
      <c r="I31" s="98"/>
      <c r="J31" s="106"/>
      <c r="K31" s="98"/>
      <c r="L31" s="211"/>
      <c r="M31" s="211"/>
      <c r="N31" s="211"/>
      <c r="O31" s="211"/>
      <c r="P31" s="211"/>
      <c r="Q31" s="211"/>
    </row>
    <row r="32" spans="1:17" x14ac:dyDescent="0.25">
      <c r="A32" s="85"/>
      <c r="B32" s="83"/>
      <c r="C32" s="221" t="s">
        <v>180</v>
      </c>
      <c r="D32" s="109" t="s">
        <v>88</v>
      </c>
      <c r="E32" s="86">
        <f>E30*F32</f>
        <v>13.38</v>
      </c>
      <c r="F32" s="98">
        <v>0.15</v>
      </c>
      <c r="G32" s="98"/>
      <c r="H32" s="98"/>
      <c r="I32" s="98"/>
      <c r="J32" s="106"/>
      <c r="K32" s="98"/>
      <c r="L32" s="211"/>
      <c r="M32" s="211"/>
      <c r="N32" s="211"/>
      <c r="O32" s="211"/>
      <c r="P32" s="211"/>
      <c r="Q32" s="211"/>
    </row>
    <row r="33" spans="1:17" x14ac:dyDescent="0.25">
      <c r="A33" s="85"/>
      <c r="B33" s="83"/>
      <c r="C33" s="221" t="s">
        <v>181</v>
      </c>
      <c r="D33" s="109" t="s">
        <v>47</v>
      </c>
      <c r="E33" s="86">
        <f>E30*F33</f>
        <v>93.660000000000011</v>
      </c>
      <c r="F33" s="98">
        <v>1.05</v>
      </c>
      <c r="G33" s="98"/>
      <c r="H33" s="98"/>
      <c r="I33" s="98"/>
      <c r="J33" s="106"/>
      <c r="K33" s="98"/>
      <c r="L33" s="211"/>
      <c r="M33" s="211"/>
      <c r="N33" s="211"/>
      <c r="O33" s="211"/>
      <c r="P33" s="211"/>
      <c r="Q33" s="211"/>
    </row>
    <row r="34" spans="1:17" x14ac:dyDescent="0.25">
      <c r="A34" s="85">
        <f>IF(COUNTBLANK(B34)=1," ",COUNTA($B$12:B34))</f>
        <v>10</v>
      </c>
      <c r="B34" s="83" t="s">
        <v>40</v>
      </c>
      <c r="C34" s="220" t="s">
        <v>695</v>
      </c>
      <c r="D34" s="222" t="s">
        <v>42</v>
      </c>
      <c r="E34" s="86">
        <v>88.5</v>
      </c>
      <c r="F34" s="98"/>
      <c r="G34" s="98"/>
      <c r="H34" s="98"/>
      <c r="I34" s="98"/>
      <c r="J34" s="106"/>
      <c r="K34" s="98"/>
      <c r="L34" s="211"/>
      <c r="M34" s="211"/>
      <c r="N34" s="211"/>
      <c r="O34" s="211"/>
      <c r="P34" s="211"/>
      <c r="Q34" s="211"/>
    </row>
    <row r="35" spans="1:17" x14ac:dyDescent="0.25">
      <c r="A35" s="85"/>
      <c r="B35" s="83"/>
      <c r="C35" s="221" t="s">
        <v>696</v>
      </c>
      <c r="D35" s="222" t="s">
        <v>44</v>
      </c>
      <c r="E35" s="86">
        <f>ROUNDUP(E34*F35,0)</f>
        <v>98</v>
      </c>
      <c r="F35" s="98">
        <v>1.1000000000000001</v>
      </c>
      <c r="G35" s="98"/>
      <c r="H35" s="98"/>
      <c r="I35" s="98"/>
      <c r="J35" s="106"/>
      <c r="K35" s="98"/>
      <c r="L35" s="211"/>
      <c r="M35" s="211"/>
      <c r="N35" s="211"/>
      <c r="O35" s="211"/>
      <c r="P35" s="211"/>
      <c r="Q35" s="211"/>
    </row>
    <row r="36" spans="1:17" x14ac:dyDescent="0.25">
      <c r="A36" s="85"/>
      <c r="B36" s="83"/>
      <c r="C36" s="221" t="s">
        <v>182</v>
      </c>
      <c r="D36" s="109" t="s">
        <v>88</v>
      </c>
      <c r="E36" s="223">
        <f>E34*F36</f>
        <v>4.4249999999999998</v>
      </c>
      <c r="F36" s="98">
        <v>0.05</v>
      </c>
      <c r="G36" s="98"/>
      <c r="H36" s="98"/>
      <c r="I36" s="98"/>
      <c r="J36" s="106"/>
      <c r="K36" s="98"/>
      <c r="L36" s="211"/>
      <c r="M36" s="211"/>
      <c r="N36" s="211"/>
      <c r="O36" s="211"/>
      <c r="P36" s="211"/>
      <c r="Q36" s="211"/>
    </row>
    <row r="37" spans="1:17" s="133" customFormat="1" x14ac:dyDescent="0.25">
      <c r="A37" s="85" t="str">
        <f t="shared" ref="A37:A45" si="2">IF(COUNTBLANK(B37)=1," ",COUNTA($B$12:B37))</f>
        <v xml:space="preserve"> </v>
      </c>
      <c r="B37" s="83"/>
      <c r="C37" s="494" t="s">
        <v>183</v>
      </c>
      <c r="D37" s="496"/>
      <c r="E37" s="497"/>
      <c r="F37" s="224"/>
      <c r="G37" s="224"/>
      <c r="H37" s="224"/>
      <c r="I37" s="224"/>
      <c r="J37" s="224"/>
      <c r="K37" s="224"/>
      <c r="L37" s="211"/>
      <c r="M37" s="211"/>
      <c r="N37" s="211"/>
      <c r="O37" s="211"/>
      <c r="P37" s="211"/>
      <c r="Q37" s="211"/>
    </row>
    <row r="38" spans="1:17" s="133" customFormat="1" x14ac:dyDescent="0.25">
      <c r="A38" s="85">
        <f t="shared" si="2"/>
        <v>11</v>
      </c>
      <c r="B38" s="83" t="s">
        <v>40</v>
      </c>
      <c r="C38" s="225" t="s">
        <v>184</v>
      </c>
      <c r="D38" s="226" t="s">
        <v>47</v>
      </c>
      <c r="E38" s="227">
        <v>4</v>
      </c>
      <c r="F38" s="224"/>
      <c r="G38" s="106"/>
      <c r="H38" s="127"/>
      <c r="I38" s="106"/>
      <c r="J38" s="106"/>
      <c r="K38" s="106"/>
      <c r="L38" s="211"/>
      <c r="M38" s="211"/>
      <c r="N38" s="211"/>
      <c r="O38" s="211"/>
      <c r="P38" s="211"/>
      <c r="Q38" s="211"/>
    </row>
    <row r="39" spans="1:17" s="110" customFormat="1" x14ac:dyDescent="0.25">
      <c r="A39" s="85">
        <f t="shared" si="2"/>
        <v>12</v>
      </c>
      <c r="B39" s="83" t="s">
        <v>40</v>
      </c>
      <c r="C39" s="225" t="s">
        <v>697</v>
      </c>
      <c r="D39" s="226" t="s">
        <v>47</v>
      </c>
      <c r="E39" s="227">
        <f>E38</f>
        <v>4</v>
      </c>
      <c r="F39" s="98"/>
      <c r="G39" s="106"/>
      <c r="H39" s="127"/>
      <c r="I39" s="106"/>
      <c r="J39" s="106"/>
      <c r="K39" s="106"/>
      <c r="L39" s="211"/>
      <c r="M39" s="211"/>
      <c r="N39" s="211"/>
      <c r="O39" s="211"/>
      <c r="P39" s="211"/>
      <c r="Q39" s="211"/>
    </row>
    <row r="40" spans="1:17" s="110" customFormat="1" x14ac:dyDescent="0.25">
      <c r="A40" s="85" t="str">
        <f t="shared" si="2"/>
        <v xml:space="preserve"> </v>
      </c>
      <c r="B40" s="83"/>
      <c r="C40" s="84" t="s">
        <v>185</v>
      </c>
      <c r="D40" s="226" t="s">
        <v>88</v>
      </c>
      <c r="E40" s="98">
        <f>E39*F40</f>
        <v>0.12</v>
      </c>
      <c r="F40" s="98">
        <v>0.03</v>
      </c>
      <c r="G40" s="85"/>
      <c r="H40" s="98"/>
      <c r="I40" s="98"/>
      <c r="J40" s="98"/>
      <c r="K40" s="98"/>
      <c r="L40" s="211"/>
      <c r="M40" s="211"/>
      <c r="N40" s="211"/>
      <c r="O40" s="211"/>
      <c r="P40" s="211"/>
      <c r="Q40" s="211"/>
    </row>
    <row r="41" spans="1:17" s="110" customFormat="1" ht="22.5" x14ac:dyDescent="0.25">
      <c r="A41" s="85">
        <f t="shared" si="2"/>
        <v>13</v>
      </c>
      <c r="B41" s="83" t="s">
        <v>40</v>
      </c>
      <c r="C41" s="84" t="s">
        <v>760</v>
      </c>
      <c r="D41" s="226" t="s">
        <v>47</v>
      </c>
      <c r="E41" s="98">
        <f>178.34*0.375*F41</f>
        <v>73.565250000000006</v>
      </c>
      <c r="F41" s="98">
        <v>1.1000000000000001</v>
      </c>
      <c r="G41" s="98"/>
      <c r="H41" s="127"/>
      <c r="I41" s="98"/>
      <c r="J41" s="98"/>
      <c r="K41" s="98"/>
      <c r="L41" s="211"/>
      <c r="M41" s="211"/>
      <c r="N41" s="211"/>
      <c r="O41" s="211"/>
      <c r="P41" s="211"/>
      <c r="Q41" s="211"/>
    </row>
    <row r="42" spans="1:17" s="133" customFormat="1" ht="22.5" x14ac:dyDescent="0.25">
      <c r="A42" s="85">
        <f t="shared" si="2"/>
        <v>14</v>
      </c>
      <c r="B42" s="83" t="s">
        <v>40</v>
      </c>
      <c r="C42" s="84" t="s">
        <v>186</v>
      </c>
      <c r="D42" s="90" t="s">
        <v>187</v>
      </c>
      <c r="E42" s="91">
        <v>23</v>
      </c>
      <c r="F42" s="224"/>
      <c r="G42" s="106"/>
      <c r="H42" s="127"/>
      <c r="I42" s="106"/>
      <c r="J42" s="106"/>
      <c r="K42" s="106"/>
      <c r="L42" s="211"/>
      <c r="M42" s="211"/>
      <c r="N42" s="211"/>
      <c r="O42" s="211"/>
      <c r="P42" s="211"/>
      <c r="Q42" s="211"/>
    </row>
    <row r="43" spans="1:17" s="133" customFormat="1" x14ac:dyDescent="0.25">
      <c r="A43" s="85">
        <f t="shared" si="2"/>
        <v>15</v>
      </c>
      <c r="B43" s="83" t="s">
        <v>40</v>
      </c>
      <c r="C43" s="225" t="s">
        <v>188</v>
      </c>
      <c r="D43" s="228" t="s">
        <v>42</v>
      </c>
      <c r="E43" s="105">
        <f>E42*0.3</f>
        <v>6.8999999999999995</v>
      </c>
      <c r="F43" s="224"/>
      <c r="G43" s="98"/>
      <c r="H43" s="127"/>
      <c r="I43" s="98"/>
      <c r="J43" s="98"/>
      <c r="K43" s="98"/>
      <c r="L43" s="211"/>
      <c r="M43" s="211"/>
      <c r="N43" s="211"/>
      <c r="O43" s="211"/>
      <c r="P43" s="211"/>
      <c r="Q43" s="211"/>
    </row>
    <row r="44" spans="1:17" s="499" customFormat="1" x14ac:dyDescent="0.25">
      <c r="A44" s="85">
        <f t="shared" si="2"/>
        <v>16</v>
      </c>
      <c r="B44" s="83" t="s">
        <v>40</v>
      </c>
      <c r="C44" s="229" t="s">
        <v>189</v>
      </c>
      <c r="D44" s="228" t="s">
        <v>88</v>
      </c>
      <c r="E44" s="105">
        <f>E42*0.5</f>
        <v>11.5</v>
      </c>
      <c r="F44" s="498"/>
      <c r="G44" s="98"/>
      <c r="H44" s="127"/>
      <c r="I44" s="98"/>
      <c r="J44" s="106"/>
      <c r="K44" s="98"/>
      <c r="L44" s="211"/>
      <c r="M44" s="211"/>
      <c r="N44" s="211"/>
      <c r="O44" s="211"/>
      <c r="P44" s="211"/>
      <c r="Q44" s="211"/>
    </row>
    <row r="45" spans="1:17" s="110" customFormat="1" x14ac:dyDescent="0.25">
      <c r="A45" s="85" t="str">
        <f t="shared" si="2"/>
        <v xml:space="preserve"> </v>
      </c>
      <c r="B45" s="85"/>
      <c r="C45" s="84" t="s">
        <v>190</v>
      </c>
      <c r="D45" s="123" t="s">
        <v>88</v>
      </c>
      <c r="E45" s="98">
        <f>E44*F45</f>
        <v>12.65</v>
      </c>
      <c r="F45" s="98">
        <v>1.1000000000000001</v>
      </c>
      <c r="G45" s="98"/>
      <c r="H45" s="98"/>
      <c r="I45" s="98"/>
      <c r="J45" s="98"/>
      <c r="K45" s="98"/>
      <c r="L45" s="211"/>
      <c r="M45" s="211"/>
      <c r="N45" s="211"/>
      <c r="O45" s="211"/>
      <c r="P45" s="211"/>
      <c r="Q45" s="211"/>
    </row>
    <row r="46" spans="1:17" x14ac:dyDescent="0.25">
      <c r="A46" s="96" t="str">
        <f>IF(COUNTBLANK(I46)=1," ",COUNTA($I$17:I46))</f>
        <v xml:space="preserve"> </v>
      </c>
      <c r="B46" s="110"/>
      <c r="C46" s="113" t="s">
        <v>77</v>
      </c>
      <c r="D46" s="115"/>
      <c r="E46" s="9"/>
      <c r="F46" s="9"/>
      <c r="G46" s="96"/>
      <c r="H46" s="9"/>
      <c r="I46" s="96"/>
      <c r="J46" s="96"/>
      <c r="K46" s="96"/>
      <c r="L46" s="96"/>
      <c r="M46" s="114">
        <f>SUM(M12:M45)</f>
        <v>0</v>
      </c>
      <c r="N46" s="114">
        <f>SUM(N12:N45)</f>
        <v>0</v>
      </c>
      <c r="O46" s="114">
        <f>SUM(O12:O45)</f>
        <v>0</v>
      </c>
      <c r="P46" s="114">
        <f>SUM(P12:P45)</f>
        <v>0</v>
      </c>
      <c r="Q46" s="114">
        <f>SUM(Q12:Q45)</f>
        <v>0</v>
      </c>
    </row>
    <row r="47" spans="1:17" x14ac:dyDescent="0.25">
      <c r="A47" s="96"/>
      <c r="B47" s="110"/>
      <c r="C47" s="230"/>
      <c r="D47" s="115"/>
      <c r="E47" s="9"/>
      <c r="F47" s="9"/>
      <c r="G47" s="96"/>
      <c r="H47" s="9"/>
      <c r="I47" s="96"/>
      <c r="J47" s="96"/>
      <c r="K47" s="96"/>
      <c r="L47" s="96"/>
      <c r="M47" s="116"/>
      <c r="N47" s="96"/>
      <c r="O47" s="116"/>
      <c r="P47" s="116"/>
      <c r="Q47" s="116"/>
    </row>
    <row r="48" spans="1:17" x14ac:dyDescent="0.25">
      <c r="A48" s="96"/>
      <c r="B48" s="110"/>
      <c r="C48" s="673" t="s">
        <v>680</v>
      </c>
      <c r="D48" s="115"/>
      <c r="E48" s="9"/>
      <c r="F48" s="9"/>
      <c r="G48" s="96"/>
      <c r="H48" s="9"/>
      <c r="I48" s="96"/>
      <c r="J48" s="96"/>
      <c r="K48" s="96"/>
      <c r="L48" s="96"/>
      <c r="M48" s="116"/>
      <c r="N48" s="96"/>
      <c r="O48" s="116"/>
      <c r="P48" s="116"/>
      <c r="Q48" s="116"/>
    </row>
    <row r="49" spans="1:18" x14ac:dyDescent="0.25">
      <c r="A49" s="96"/>
      <c r="B49" s="110"/>
      <c r="C49" s="674" t="s">
        <v>678</v>
      </c>
      <c r="D49" s="115"/>
      <c r="E49" s="9"/>
      <c r="F49" s="9"/>
      <c r="G49" s="96"/>
      <c r="H49" s="9"/>
      <c r="I49" s="96"/>
      <c r="J49" s="96"/>
      <c r="K49" s="96"/>
      <c r="L49" s="96"/>
      <c r="M49" s="116"/>
      <c r="N49" s="96"/>
      <c r="O49" s="116"/>
      <c r="P49" s="116"/>
      <c r="Q49" s="116"/>
    </row>
    <row r="50" spans="1:18" ht="15" x14ac:dyDescent="0.25">
      <c r="A50" s="96"/>
      <c r="B50" s="110"/>
      <c r="C50" s="675"/>
      <c r="D50" s="115"/>
      <c r="E50" s="9"/>
      <c r="F50" s="9"/>
      <c r="G50" s="96"/>
      <c r="H50" s="9"/>
      <c r="I50" s="96"/>
      <c r="J50" s="96"/>
      <c r="K50" s="96"/>
      <c r="L50" s="96"/>
      <c r="M50" s="116"/>
      <c r="N50" s="96"/>
      <c r="O50" s="116"/>
      <c r="P50" s="116"/>
      <c r="Q50" s="116"/>
    </row>
    <row r="51" spans="1:18" x14ac:dyDescent="0.25">
      <c r="C51" s="673" t="s">
        <v>7</v>
      </c>
    </row>
    <row r="52" spans="1:18" x14ac:dyDescent="0.25">
      <c r="B52" s="57"/>
      <c r="C52" s="673" t="s">
        <v>681</v>
      </c>
    </row>
    <row r="53" spans="1:18" x14ac:dyDescent="0.25">
      <c r="B53" s="57"/>
      <c r="C53" s="61"/>
    </row>
    <row r="54" spans="1:18" ht="12.75" x14ac:dyDescent="0.2">
      <c r="B54" s="1"/>
      <c r="C54" s="781" t="s">
        <v>838</v>
      </c>
      <c r="D54" s="782"/>
      <c r="E54" s="783"/>
      <c r="F54" s="783"/>
      <c r="G54" s="783"/>
      <c r="H54" s="783"/>
      <c r="I54" s="783"/>
      <c r="J54" s="783"/>
      <c r="K54" s="783"/>
      <c r="L54" s="783"/>
      <c r="M54" s="783"/>
      <c r="N54" s="783"/>
      <c r="O54" s="783"/>
      <c r="P54" s="783"/>
      <c r="Q54" s="783"/>
      <c r="R54" s="783"/>
    </row>
    <row r="55" spans="1:18" x14ac:dyDescent="0.25">
      <c r="C55" s="784" t="s">
        <v>839</v>
      </c>
      <c r="D55" s="784"/>
      <c r="E55" s="784"/>
      <c r="F55" s="784"/>
      <c r="G55" s="784"/>
      <c r="H55" s="784"/>
      <c r="I55" s="784"/>
      <c r="J55" s="784"/>
      <c r="K55" s="784"/>
      <c r="L55" s="784"/>
      <c r="M55" s="784"/>
      <c r="N55" s="784"/>
      <c r="O55" s="784"/>
      <c r="P55" s="784"/>
      <c r="Q55" s="784"/>
      <c r="R55" s="784"/>
    </row>
    <row r="56" spans="1:18" x14ac:dyDescent="0.25">
      <c r="B56" s="1"/>
      <c r="C56" s="784"/>
      <c r="D56" s="784"/>
      <c r="E56" s="784"/>
      <c r="F56" s="784"/>
      <c r="G56" s="784"/>
      <c r="H56" s="784"/>
      <c r="I56" s="784"/>
      <c r="J56" s="784"/>
      <c r="K56" s="784"/>
      <c r="L56" s="784"/>
      <c r="M56" s="784"/>
      <c r="N56" s="784"/>
      <c r="O56" s="784"/>
      <c r="P56" s="784"/>
      <c r="Q56" s="784"/>
      <c r="R56" s="784"/>
    </row>
    <row r="57" spans="1:18" ht="29.25" customHeight="1" x14ac:dyDescent="0.25">
      <c r="B57" s="57"/>
      <c r="C57" s="784"/>
      <c r="D57" s="784"/>
      <c r="E57" s="784"/>
      <c r="F57" s="784"/>
      <c r="G57" s="784"/>
      <c r="H57" s="784"/>
      <c r="I57" s="784"/>
      <c r="J57" s="784"/>
      <c r="K57" s="784"/>
      <c r="L57" s="784"/>
      <c r="M57" s="784"/>
      <c r="N57" s="784"/>
      <c r="O57" s="784"/>
      <c r="P57" s="784"/>
      <c r="Q57" s="784"/>
      <c r="R57" s="784"/>
    </row>
    <row r="58" spans="1:18" x14ac:dyDescent="0.25">
      <c r="B58" s="57"/>
      <c r="C58" s="61"/>
    </row>
    <row r="59" spans="1:18" x14ac:dyDescent="0.25">
      <c r="B59" s="1"/>
      <c r="C59" s="57"/>
    </row>
  </sheetData>
  <sheetProtection selectLockedCells="1" selectUnlockedCells="1"/>
  <autoFilter ref="A11:Q45" xr:uid="{00000000-0009-0000-0000-000005000000}"/>
  <mergeCells count="9">
    <mergeCell ref="C55:R57"/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1111111111111" right="0.2361111111111111" top="0.74791666666666667" bottom="0.74861111111111112" header="0.51180555555555551" footer="0.31527777777777777"/>
  <pageSetup paperSize="9" firstPageNumber="0" fitToHeight="0" orientation="landscape" horizontalDpi="300" verticalDpi="30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R37"/>
  <sheetViews>
    <sheetView view="pageBreakPreview" topLeftCell="A4" zoomScale="110" zoomScaleNormal="115" zoomScaleSheetLayoutView="110" workbookViewId="0">
      <selection activeCell="C32" sqref="C32"/>
    </sheetView>
  </sheetViews>
  <sheetFormatPr defaultColWidth="8.5703125" defaultRowHeight="11.25" x14ac:dyDescent="0.25"/>
  <cols>
    <col min="1" max="1" width="4.42578125" style="35" customWidth="1"/>
    <col min="2" max="2" width="4.140625" style="35" customWidth="1"/>
    <col min="3" max="3" width="55.28515625" style="231" customWidth="1"/>
    <col min="4" max="4" width="5.85546875" style="35" customWidth="1"/>
    <col min="5" max="5" width="8.42578125" style="35" customWidth="1"/>
    <col min="6" max="6" width="4.42578125" style="35" hidden="1" customWidth="1"/>
    <col min="7" max="7" width="5.42578125" style="35" customWidth="1"/>
    <col min="8" max="9" width="6.5703125" style="35" customWidth="1"/>
    <col min="10" max="10" width="7.5703125" style="35" customWidth="1"/>
    <col min="11" max="11" width="5.5703125" style="35" customWidth="1"/>
    <col min="12" max="12" width="8.7109375" style="35" customWidth="1"/>
    <col min="13" max="13" width="7" style="35" customWidth="1"/>
    <col min="14" max="14" width="8" style="35" customWidth="1"/>
    <col min="15" max="15" width="7.5703125" style="35" customWidth="1"/>
    <col min="16" max="16" width="7" style="35" customWidth="1"/>
    <col min="17" max="17" width="8.28515625" style="35" customWidth="1"/>
    <col min="18" max="16384" width="8.5703125" style="35"/>
  </cols>
  <sheetData>
    <row r="1" spans="1:18" s="32" customFormat="1" x14ac:dyDescent="0.25">
      <c r="A1" s="731" t="s">
        <v>27</v>
      </c>
      <c r="B1" s="731"/>
      <c r="C1" s="731"/>
      <c r="D1" s="731"/>
      <c r="E1" s="731"/>
      <c r="F1" s="731"/>
      <c r="G1" s="731"/>
      <c r="H1" s="233">
        <f>KPDV!A16</f>
        <v>4</v>
      </c>
      <c r="I1" s="234"/>
      <c r="J1" s="234"/>
      <c r="K1" s="234"/>
      <c r="L1" s="234"/>
      <c r="M1" s="234"/>
    </row>
    <row r="2" spans="1:18" s="32" customFormat="1" x14ac:dyDescent="0.25">
      <c r="A2" s="232"/>
      <c r="B2" s="232"/>
      <c r="C2" s="234" t="s">
        <v>191</v>
      </c>
      <c r="D2" s="232"/>
      <c r="E2" s="232"/>
      <c r="F2" s="232"/>
      <c r="G2" s="232"/>
      <c r="H2" s="233"/>
      <c r="I2" s="234"/>
      <c r="J2" s="234"/>
      <c r="K2" s="234"/>
      <c r="L2" s="234"/>
      <c r="M2" s="234"/>
    </row>
    <row r="3" spans="1:18" x14ac:dyDescent="0.25">
      <c r="A3" s="6" t="str">
        <f>obj</f>
        <v>Objekta nosaukums: Dzīvojamās ēkas fasādes vienkāršota atjaunošana</v>
      </c>
      <c r="B3" s="6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x14ac:dyDescent="0.25">
      <c r="A4" s="33" t="str">
        <f>nos</f>
        <v>Būves nosaukums: Daudzdzīvokļu dzīvojamā ēka</v>
      </c>
      <c r="B4" s="6"/>
      <c r="C4" s="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8" x14ac:dyDescent="0.25">
      <c r="A5" s="6" t="str">
        <f>adres</f>
        <v>Objekta adrese: Mirdzas Ķempes iela 22, Liepāja</v>
      </c>
      <c r="B5" s="6"/>
      <c r="C5" s="8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8" x14ac:dyDescent="0.25">
      <c r="A6" s="6" t="str">
        <f>nr</f>
        <v>Pasūtījuma Nr.WS-77-16</v>
      </c>
      <c r="B6" s="6"/>
      <c r="C6" s="8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8" x14ac:dyDescent="0.2">
      <c r="A7" s="9"/>
      <c r="B7" s="32"/>
      <c r="C7" s="121" t="s">
        <v>689</v>
      </c>
      <c r="D7" s="9"/>
      <c r="E7" s="14" t="s">
        <v>29</v>
      </c>
      <c r="F7" s="32" t="s">
        <v>30</v>
      </c>
      <c r="G7" s="687" t="s">
        <v>690</v>
      </c>
      <c r="H7" s="32"/>
      <c r="I7" s="32"/>
      <c r="J7" s="32"/>
      <c r="K7" s="32"/>
      <c r="L7" s="32"/>
      <c r="M7" s="32"/>
      <c r="N7" s="32"/>
      <c r="O7" s="32"/>
      <c r="P7" s="68" t="s">
        <v>31</v>
      </c>
      <c r="Q7" s="235">
        <f>Q26</f>
        <v>0</v>
      </c>
    </row>
    <row r="8" spans="1:18" s="32" customFormat="1" x14ac:dyDescent="0.25">
      <c r="A8" s="14"/>
      <c r="B8" s="14"/>
      <c r="C8" s="34"/>
      <c r="D8" s="14"/>
      <c r="E8" s="14"/>
      <c r="F8" s="14"/>
      <c r="G8" s="14"/>
      <c r="H8" s="14"/>
      <c r="I8" s="14"/>
      <c r="J8" s="14"/>
      <c r="K8" s="14"/>
      <c r="L8" s="14"/>
      <c r="M8" s="14"/>
      <c r="N8" s="9"/>
      <c r="O8" s="70"/>
      <c r="P8" s="71" t="str">
        <f>KPDV!C33</f>
        <v>Tāme sastādīta</v>
      </c>
    </row>
    <row r="9" spans="1:18" s="237" customFormat="1" ht="10.5" customHeight="1" x14ac:dyDescent="0.25">
      <c r="A9" s="732" t="s">
        <v>1</v>
      </c>
      <c r="B9" s="732" t="s">
        <v>32</v>
      </c>
      <c r="C9" s="749" t="s">
        <v>33</v>
      </c>
      <c r="D9" s="734" t="s">
        <v>34</v>
      </c>
      <c r="E9" s="732" t="s">
        <v>35</v>
      </c>
      <c r="F9" s="72"/>
      <c r="G9" s="729" t="s">
        <v>36</v>
      </c>
      <c r="H9" s="729"/>
      <c r="I9" s="729"/>
      <c r="J9" s="729"/>
      <c r="K9" s="729"/>
      <c r="L9" s="729"/>
      <c r="M9" s="729" t="s">
        <v>37</v>
      </c>
      <c r="N9" s="729"/>
      <c r="O9" s="729"/>
      <c r="P9" s="729"/>
      <c r="Q9" s="729"/>
    </row>
    <row r="10" spans="1:18" s="237" customFormat="1" ht="64.5" customHeight="1" x14ac:dyDescent="0.25">
      <c r="A10" s="732"/>
      <c r="B10" s="732"/>
      <c r="C10" s="749"/>
      <c r="D10" s="734"/>
      <c r="E10" s="732"/>
      <c r="F10" s="72"/>
      <c r="G10" s="75" t="s">
        <v>38</v>
      </c>
      <c r="H10" s="75" t="s">
        <v>660</v>
      </c>
      <c r="I10" s="75" t="s">
        <v>20</v>
      </c>
      <c r="J10" s="75" t="s">
        <v>657</v>
      </c>
      <c r="K10" s="75" t="s">
        <v>21</v>
      </c>
      <c r="L10" s="75" t="s">
        <v>658</v>
      </c>
      <c r="M10" s="75" t="s">
        <v>39</v>
      </c>
      <c r="N10" s="75" t="s">
        <v>20</v>
      </c>
      <c r="O10" s="75" t="s">
        <v>657</v>
      </c>
      <c r="P10" s="75" t="s">
        <v>21</v>
      </c>
      <c r="Q10" s="75" t="s">
        <v>659</v>
      </c>
    </row>
    <row r="11" spans="1:18" s="237" customFormat="1" ht="10.15" customHeight="1" x14ac:dyDescent="0.25">
      <c r="A11" s="238">
        <v>1</v>
      </c>
      <c r="B11" s="238">
        <f>A11+1</f>
        <v>2</v>
      </c>
      <c r="C11" s="238">
        <f>B11+1</f>
        <v>3</v>
      </c>
      <c r="D11" s="238">
        <f>C11+1</f>
        <v>4</v>
      </c>
      <c r="E11" s="238">
        <f>D11+1</f>
        <v>5</v>
      </c>
      <c r="F11" s="239"/>
      <c r="G11" s="240">
        <f>E11+1</f>
        <v>6</v>
      </c>
      <c r="H11" s="241">
        <f t="shared" ref="H11:Q11" si="0">G11+1</f>
        <v>7</v>
      </c>
      <c r="I11" s="241">
        <f t="shared" si="0"/>
        <v>8</v>
      </c>
      <c r="J11" s="241">
        <f t="shared" si="0"/>
        <v>9</v>
      </c>
      <c r="K11" s="242">
        <f t="shared" si="0"/>
        <v>10</v>
      </c>
      <c r="L11" s="238">
        <f t="shared" si="0"/>
        <v>11</v>
      </c>
      <c r="M11" s="240">
        <f t="shared" si="0"/>
        <v>12</v>
      </c>
      <c r="N11" s="241">
        <f t="shared" si="0"/>
        <v>13</v>
      </c>
      <c r="O11" s="241">
        <f t="shared" si="0"/>
        <v>14</v>
      </c>
      <c r="P11" s="241">
        <f t="shared" si="0"/>
        <v>15</v>
      </c>
      <c r="Q11" s="242">
        <f t="shared" si="0"/>
        <v>16</v>
      </c>
    </row>
    <row r="12" spans="1:18" s="32" customFormat="1" x14ac:dyDescent="0.25">
      <c r="A12" s="41">
        <f>IF(COUNTBLANK(B12)=1," ",COUNTA($B$12:B12))</f>
        <v>1</v>
      </c>
      <c r="B12" s="124" t="s">
        <v>40</v>
      </c>
      <c r="C12" s="245" t="s">
        <v>192</v>
      </c>
      <c r="D12" s="246" t="s">
        <v>88</v>
      </c>
      <c r="E12" s="246">
        <f>36*0.15*0.03</f>
        <v>0.16199999999999998</v>
      </c>
      <c r="F12" s="106"/>
      <c r="G12" s="87"/>
      <c r="H12" s="210"/>
      <c r="I12" s="87"/>
      <c r="J12" s="87"/>
      <c r="K12" s="87"/>
      <c r="L12" s="243"/>
      <c r="M12" s="244"/>
      <c r="N12" s="244"/>
      <c r="O12" s="244"/>
      <c r="P12" s="244"/>
      <c r="Q12" s="244"/>
      <c r="R12" s="348"/>
    </row>
    <row r="13" spans="1:18" s="234" customFormat="1" x14ac:dyDescent="0.25">
      <c r="A13" s="41">
        <f>IF(COUNTBLANK(B13)=1," ",COUNTA($B$12:B13))</f>
        <v>2</v>
      </c>
      <c r="B13" s="124" t="s">
        <v>40</v>
      </c>
      <c r="C13" s="245" t="s">
        <v>193</v>
      </c>
      <c r="D13" s="247" t="s">
        <v>194</v>
      </c>
      <c r="E13" s="246">
        <f>17*2</f>
        <v>34</v>
      </c>
      <c r="F13" s="109"/>
      <c r="G13" s="87"/>
      <c r="H13" s="210"/>
      <c r="I13" s="87"/>
      <c r="J13" s="87"/>
      <c r="K13" s="87"/>
      <c r="L13" s="243"/>
      <c r="M13" s="244"/>
      <c r="N13" s="244"/>
      <c r="O13" s="244"/>
      <c r="P13" s="244"/>
      <c r="Q13" s="244"/>
      <c r="R13" s="348"/>
    </row>
    <row r="14" spans="1:18" s="234" customFormat="1" x14ac:dyDescent="0.25">
      <c r="A14" s="41">
        <f>IF(COUNTBLANK(B14)=1," ",COUNTA($B$12:B14))</f>
        <v>3</v>
      </c>
      <c r="B14" s="124" t="s">
        <v>40</v>
      </c>
      <c r="C14" s="245" t="s">
        <v>631</v>
      </c>
      <c r="D14" s="246" t="s">
        <v>88</v>
      </c>
      <c r="E14" s="246">
        <f>93.78*0.15*0.12</f>
        <v>1.68804</v>
      </c>
      <c r="F14" s="109"/>
      <c r="G14" s="87"/>
      <c r="H14" s="210"/>
      <c r="I14" s="87"/>
      <c r="J14" s="87"/>
      <c r="K14" s="87"/>
      <c r="L14" s="243"/>
      <c r="M14" s="244"/>
      <c r="N14" s="244"/>
      <c r="O14" s="244"/>
      <c r="P14" s="244"/>
      <c r="Q14" s="244"/>
      <c r="R14" s="348"/>
    </row>
    <row r="15" spans="1:18" s="32" customFormat="1" ht="22.5" x14ac:dyDescent="0.25">
      <c r="A15" s="41">
        <f>IF(COUNTBLANK(B15)=1," ",COUNTA($B$12:B15))</f>
        <v>4</v>
      </c>
      <c r="B15" s="124" t="s">
        <v>40</v>
      </c>
      <c r="C15" s="204" t="s">
        <v>195</v>
      </c>
      <c r="D15" s="41" t="s">
        <v>47</v>
      </c>
      <c r="E15" s="89">
        <f>apjoms!D47</f>
        <v>740.8</v>
      </c>
      <c r="F15" s="106"/>
      <c r="G15" s="139"/>
      <c r="H15" s="210"/>
      <c r="I15" s="139"/>
      <c r="J15" s="248"/>
      <c r="K15" s="139"/>
      <c r="L15" s="243"/>
      <c r="M15" s="244"/>
      <c r="N15" s="244"/>
      <c r="O15" s="244"/>
      <c r="P15" s="244"/>
      <c r="Q15" s="244"/>
      <c r="R15" s="348"/>
    </row>
    <row r="16" spans="1:18" x14ac:dyDescent="0.25">
      <c r="A16" s="41" t="str">
        <f>IF(COUNTBLANK(B16)=1," ",COUNTA($B$12:B16))</f>
        <v xml:space="preserve"> </v>
      </c>
      <c r="B16" s="135"/>
      <c r="C16" s="249" t="s">
        <v>546</v>
      </c>
      <c r="D16" s="135" t="s">
        <v>57</v>
      </c>
      <c r="E16" s="88">
        <f>E15*F16</f>
        <v>244.464</v>
      </c>
      <c r="F16" s="106">
        <v>0.33</v>
      </c>
      <c r="G16" s="139"/>
      <c r="H16" s="139"/>
      <c r="I16" s="139"/>
      <c r="J16" s="139"/>
      <c r="K16" s="139"/>
      <c r="L16" s="243"/>
      <c r="M16" s="244"/>
      <c r="N16" s="244"/>
      <c r="O16" s="244"/>
      <c r="P16" s="244"/>
      <c r="Q16" s="244"/>
      <c r="R16" s="348"/>
    </row>
    <row r="17" spans="1:18" ht="22.5" x14ac:dyDescent="0.25">
      <c r="A17" s="41">
        <f>IF(COUNTBLANK(B17)=1," ",COUNTA($B$12:B17))</f>
        <v>5</v>
      </c>
      <c r="B17" s="124" t="s">
        <v>40</v>
      </c>
      <c r="C17" s="204" t="s">
        <v>761</v>
      </c>
      <c r="D17" s="41" t="s">
        <v>47</v>
      </c>
      <c r="E17" s="89">
        <f>apjoms!D47</f>
        <v>740.8</v>
      </c>
      <c r="F17" s="88"/>
      <c r="G17" s="139"/>
      <c r="H17" s="210"/>
      <c r="I17" s="139"/>
      <c r="J17" s="139"/>
      <c r="K17" s="141"/>
      <c r="L17" s="243"/>
      <c r="M17" s="244"/>
      <c r="N17" s="244"/>
      <c r="O17" s="244"/>
      <c r="P17" s="244"/>
      <c r="Q17" s="244"/>
      <c r="R17" s="348"/>
    </row>
    <row r="18" spans="1:18" x14ac:dyDescent="0.25">
      <c r="A18" s="41" t="str">
        <f>IF(COUNTBLANK(B18)=1," ",COUNTA($B$12:B18))</f>
        <v xml:space="preserve"> </v>
      </c>
      <c r="B18" s="135"/>
      <c r="C18" s="250" t="s">
        <v>196</v>
      </c>
      <c r="D18" s="41" t="s">
        <v>47</v>
      </c>
      <c r="E18" s="88">
        <f>E17*F18</f>
        <v>777.84</v>
      </c>
      <c r="F18" s="88">
        <v>1.05</v>
      </c>
      <c r="G18" s="139"/>
      <c r="H18" s="139"/>
      <c r="I18" s="139"/>
      <c r="J18" s="139"/>
      <c r="K18" s="139"/>
      <c r="L18" s="243"/>
      <c r="M18" s="244"/>
      <c r="N18" s="244"/>
      <c r="O18" s="244"/>
      <c r="P18" s="244"/>
      <c r="Q18" s="244"/>
      <c r="R18" s="348"/>
    </row>
    <row r="19" spans="1:18" s="32" customFormat="1" x14ac:dyDescent="0.25">
      <c r="A19" s="41" t="str">
        <f>IF(COUNTBLANK(B19)=1," ",COUNTA($B$12:B19))</f>
        <v xml:space="preserve"> </v>
      </c>
      <c r="B19" s="135"/>
      <c r="C19" s="249" t="s">
        <v>731</v>
      </c>
      <c r="D19" s="135" t="s">
        <v>58</v>
      </c>
      <c r="E19" s="251">
        <f>E17*F19</f>
        <v>3704</v>
      </c>
      <c r="F19" s="88">
        <v>5</v>
      </c>
      <c r="G19" s="141"/>
      <c r="H19" s="141"/>
      <c r="I19" s="141"/>
      <c r="J19" s="139"/>
      <c r="K19" s="139"/>
      <c r="L19" s="243"/>
      <c r="M19" s="244"/>
      <c r="N19" s="244"/>
      <c r="O19" s="244"/>
      <c r="P19" s="244"/>
      <c r="Q19" s="244"/>
      <c r="R19" s="348"/>
    </row>
    <row r="20" spans="1:18" s="32" customFormat="1" x14ac:dyDescent="0.2">
      <c r="A20" s="41">
        <f>IF(COUNTBLANK(B20)=1," ",COUNTA($B$12:B20))</f>
        <v>6</v>
      </c>
      <c r="B20" s="124" t="s">
        <v>40</v>
      </c>
      <c r="C20" s="252" t="s">
        <v>197</v>
      </c>
      <c r="D20" s="253" t="s">
        <v>67</v>
      </c>
      <c r="E20" s="253">
        <v>30</v>
      </c>
      <c r="F20" s="41"/>
      <c r="G20" s="139"/>
      <c r="H20" s="210"/>
      <c r="I20" s="139"/>
      <c r="J20" s="139"/>
      <c r="K20" s="141"/>
      <c r="L20" s="243"/>
      <c r="M20" s="244"/>
      <c r="N20" s="244"/>
      <c r="O20" s="244"/>
      <c r="P20" s="244"/>
      <c r="Q20" s="244"/>
      <c r="R20" s="348"/>
    </row>
    <row r="21" spans="1:18" s="32" customFormat="1" x14ac:dyDescent="0.2">
      <c r="A21" s="41">
        <f>IF(COUNTBLANK(B21)=1," ",COUNTA($B$12:B21))</f>
        <v>7</v>
      </c>
      <c r="B21" s="124" t="s">
        <v>40</v>
      </c>
      <c r="C21" s="252" t="s">
        <v>633</v>
      </c>
      <c r="D21" s="253" t="s">
        <v>42</v>
      </c>
      <c r="E21" s="253">
        <v>203</v>
      </c>
      <c r="F21" s="41"/>
      <c r="G21" s="254"/>
      <c r="H21" s="210"/>
      <c r="I21" s="255"/>
      <c r="J21" s="87"/>
      <c r="K21" s="87"/>
      <c r="L21" s="243"/>
      <c r="M21" s="244"/>
      <c r="N21" s="244"/>
      <c r="O21" s="244"/>
      <c r="P21" s="244"/>
      <c r="Q21" s="244"/>
      <c r="R21" s="348"/>
    </row>
    <row r="22" spans="1:18" s="32" customFormat="1" x14ac:dyDescent="0.2">
      <c r="A22" s="41"/>
      <c r="B22" s="124"/>
      <c r="C22" s="252" t="s">
        <v>634</v>
      </c>
      <c r="D22" s="253" t="s">
        <v>67</v>
      </c>
      <c r="E22" s="253">
        <f>ROUNDUP(E21/1.5,0)</f>
        <v>136</v>
      </c>
      <c r="F22" s="117"/>
      <c r="G22" s="254"/>
      <c r="H22" s="210"/>
      <c r="I22" s="255"/>
      <c r="J22" s="87"/>
      <c r="K22" s="87"/>
      <c r="L22" s="243"/>
      <c r="M22" s="244"/>
      <c r="N22" s="244"/>
      <c r="O22" s="244"/>
      <c r="P22" s="244"/>
      <c r="Q22" s="244"/>
      <c r="R22" s="348"/>
    </row>
    <row r="23" spans="1:18" s="32" customFormat="1" x14ac:dyDescent="0.2">
      <c r="A23" s="41">
        <f>IF(COUNTBLANK(B23)=1," ",COUNTA($B$12:B23))</f>
        <v>8</v>
      </c>
      <c r="B23" s="257" t="s">
        <v>40</v>
      </c>
      <c r="C23" s="258" t="s">
        <v>762</v>
      </c>
      <c r="D23" s="90" t="s">
        <v>67</v>
      </c>
      <c r="E23" s="90">
        <v>30</v>
      </c>
      <c r="F23" s="117"/>
      <c r="G23" s="256"/>
      <c r="H23" s="210"/>
      <c r="I23" s="256"/>
      <c r="J23" s="256"/>
      <c r="K23" s="87"/>
      <c r="L23" s="243"/>
      <c r="M23" s="244"/>
      <c r="N23" s="244"/>
      <c r="O23" s="244"/>
      <c r="P23" s="244"/>
      <c r="Q23" s="244"/>
      <c r="R23" s="348"/>
    </row>
    <row r="24" spans="1:18" s="32" customFormat="1" ht="10.15" customHeight="1" x14ac:dyDescent="0.25">
      <c r="A24" s="41">
        <f>IF(COUNTBLANK(B24)=1," ",COUNTA($B$12:B24))</f>
        <v>9</v>
      </c>
      <c r="B24" s="124" t="s">
        <v>40</v>
      </c>
      <c r="C24" s="213" t="s">
        <v>87</v>
      </c>
      <c r="D24" s="246" t="s">
        <v>88</v>
      </c>
      <c r="E24" s="88">
        <f>E12+E14</f>
        <v>1.8500399999999999</v>
      </c>
      <c r="F24" s="106"/>
      <c r="G24" s="136"/>
      <c r="H24" s="210"/>
      <c r="I24" s="137"/>
      <c r="J24" s="138"/>
      <c r="K24" s="136"/>
      <c r="L24" s="243"/>
      <c r="M24" s="244"/>
      <c r="N24" s="244"/>
      <c r="O24" s="244"/>
      <c r="P24" s="244"/>
      <c r="Q24" s="244"/>
      <c r="R24" s="348"/>
    </row>
    <row r="25" spans="1:18" s="32" customFormat="1" x14ac:dyDescent="0.25">
      <c r="A25" s="41" t="str">
        <f>IF(COUNTBLANK(B25)=1," ",COUNTA($B$12:B25))</f>
        <v xml:space="preserve"> </v>
      </c>
      <c r="B25" s="124"/>
      <c r="C25" s="213" t="s">
        <v>198</v>
      </c>
      <c r="D25" s="135" t="s">
        <v>44</v>
      </c>
      <c r="E25" s="98">
        <f>ROUNDUP(E24*F25,0)</f>
        <v>1</v>
      </c>
      <c r="F25" s="131">
        <v>0.14285714285714299</v>
      </c>
      <c r="G25" s="139"/>
      <c r="H25" s="139"/>
      <c r="I25" s="140"/>
      <c r="J25" s="141"/>
      <c r="K25" s="139"/>
      <c r="L25" s="243"/>
      <c r="M25" s="244"/>
      <c r="N25" s="244"/>
      <c r="O25" s="244"/>
      <c r="P25" s="244"/>
      <c r="Q25" s="244"/>
      <c r="R25" s="348"/>
    </row>
    <row r="26" spans="1:18" x14ac:dyDescent="0.25">
      <c r="A26" s="96" t="str">
        <f>IF(COUNTBLANK(I26)=1," ",COUNTA($I$25:I26))</f>
        <v xml:space="preserve"> </v>
      </c>
      <c r="B26" s="110"/>
      <c r="C26" s="113" t="s">
        <v>77</v>
      </c>
      <c r="D26" s="115"/>
      <c r="E26" s="9"/>
      <c r="F26" s="9"/>
      <c r="G26" s="96"/>
      <c r="H26" s="9"/>
      <c r="I26" s="96"/>
      <c r="J26" s="96"/>
      <c r="K26" s="96"/>
      <c r="L26" s="96"/>
      <c r="M26" s="114">
        <f>SUM(M12:M25)</f>
        <v>0</v>
      </c>
      <c r="N26" s="114">
        <f>SUM(N12:N25)</f>
        <v>0</v>
      </c>
      <c r="O26" s="114">
        <f>SUM(O12:O25)</f>
        <v>0</v>
      </c>
      <c r="P26" s="114">
        <f>SUM(P12:P25)</f>
        <v>0</v>
      </c>
      <c r="Q26" s="114">
        <f>SUM(Q12:Q25)</f>
        <v>0</v>
      </c>
    </row>
    <row r="27" spans="1:18" x14ac:dyDescent="0.25">
      <c r="A27" s="96"/>
      <c r="B27" s="110"/>
      <c r="C27" s="230"/>
      <c r="D27" s="115"/>
      <c r="E27" s="9"/>
      <c r="F27" s="9"/>
      <c r="G27" s="96"/>
      <c r="H27" s="9"/>
      <c r="I27" s="96"/>
      <c r="J27" s="96"/>
      <c r="K27" s="96"/>
      <c r="L27" s="96"/>
      <c r="M27" s="116"/>
      <c r="N27" s="96"/>
      <c r="O27" s="116"/>
      <c r="P27" s="116"/>
      <c r="Q27" s="116"/>
    </row>
    <row r="28" spans="1:18" x14ac:dyDescent="0.25">
      <c r="A28" s="96"/>
      <c r="B28" s="110"/>
      <c r="C28" s="673" t="s">
        <v>680</v>
      </c>
      <c r="D28" s="115"/>
      <c r="E28" s="9"/>
      <c r="F28" s="9"/>
      <c r="G28" s="96"/>
      <c r="H28" s="9"/>
      <c r="I28" s="96"/>
      <c r="J28" s="96"/>
      <c r="K28" s="96"/>
      <c r="L28" s="96"/>
      <c r="M28" s="116"/>
      <c r="N28" s="96"/>
      <c r="O28" s="116"/>
      <c r="P28" s="116"/>
      <c r="Q28" s="116"/>
    </row>
    <row r="29" spans="1:18" x14ac:dyDescent="0.25">
      <c r="B29" s="57"/>
      <c r="C29" s="674" t="s">
        <v>678</v>
      </c>
    </row>
    <row r="30" spans="1:18" ht="15" x14ac:dyDescent="0.25">
      <c r="B30" s="57"/>
      <c r="C30" s="675"/>
    </row>
    <row r="31" spans="1:18" x14ac:dyDescent="0.25">
      <c r="B31" s="1"/>
      <c r="C31" s="673" t="s">
        <v>7</v>
      </c>
    </row>
    <row r="32" spans="1:18" x14ac:dyDescent="0.25">
      <c r="C32" s="673" t="s">
        <v>681</v>
      </c>
    </row>
    <row r="33" spans="2:18" x14ac:dyDescent="0.25">
      <c r="B33" s="1"/>
      <c r="C33" s="1"/>
    </row>
    <row r="34" spans="2:18" ht="12.75" x14ac:dyDescent="0.2">
      <c r="B34" s="57"/>
      <c r="C34" s="781" t="s">
        <v>838</v>
      </c>
      <c r="D34" s="782"/>
      <c r="E34" s="783"/>
      <c r="F34" s="783"/>
      <c r="G34" s="783"/>
      <c r="H34" s="783"/>
      <c r="I34" s="783"/>
      <c r="J34" s="783"/>
      <c r="K34" s="783"/>
      <c r="L34" s="783"/>
      <c r="M34" s="783"/>
      <c r="N34" s="783"/>
      <c r="O34" s="783"/>
      <c r="P34" s="783"/>
      <c r="Q34" s="783"/>
      <c r="R34" s="783"/>
    </row>
    <row r="35" spans="2:18" x14ac:dyDescent="0.25">
      <c r="B35" s="57"/>
      <c r="C35" s="784" t="s">
        <v>839</v>
      </c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</row>
    <row r="36" spans="2:18" x14ac:dyDescent="0.25">
      <c r="B36" s="1"/>
      <c r="C36" s="784"/>
      <c r="D36" s="784"/>
      <c r="E36" s="784"/>
      <c r="F36" s="784"/>
      <c r="G36" s="784"/>
      <c r="H36" s="784"/>
      <c r="I36" s="784"/>
      <c r="J36" s="784"/>
      <c r="K36" s="784"/>
      <c r="L36" s="784"/>
      <c r="M36" s="784"/>
      <c r="N36" s="784"/>
      <c r="O36" s="784"/>
      <c r="P36" s="784"/>
      <c r="Q36" s="784"/>
      <c r="R36" s="784"/>
    </row>
    <row r="37" spans="2:18" ht="39" customHeight="1" x14ac:dyDescent="0.25">
      <c r="C37" s="784"/>
      <c r="D37" s="784"/>
      <c r="E37" s="784"/>
      <c r="F37" s="784"/>
      <c r="G37" s="784"/>
      <c r="H37" s="784"/>
      <c r="I37" s="784"/>
      <c r="J37" s="784"/>
      <c r="K37" s="784"/>
      <c r="L37" s="784"/>
      <c r="M37" s="784"/>
      <c r="N37" s="784"/>
      <c r="O37" s="784"/>
      <c r="P37" s="784"/>
      <c r="Q37" s="784"/>
      <c r="R37" s="784"/>
    </row>
  </sheetData>
  <sheetProtection selectLockedCells="1" selectUnlockedCells="1"/>
  <mergeCells count="9">
    <mergeCell ref="C35:R37"/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1111111111111" right="0.2361111111111111" top="0.74791666666666667" bottom="0.74861111111111112" header="0.51180555555555551" footer="0.31527777777777777"/>
  <pageSetup paperSize="9" scale="91" firstPageNumber="0" fitToHeight="0" orientation="landscape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A1:R81"/>
  <sheetViews>
    <sheetView view="pageBreakPreview" topLeftCell="A48" zoomScale="110" zoomScaleNormal="115" zoomScaleSheetLayoutView="110" workbookViewId="0">
      <selection activeCell="C74" sqref="C74"/>
    </sheetView>
  </sheetViews>
  <sheetFormatPr defaultColWidth="8.5703125" defaultRowHeight="11.25" x14ac:dyDescent="0.25"/>
  <cols>
    <col min="1" max="1" width="3.42578125" style="35" customWidth="1"/>
    <col min="2" max="2" width="4" style="35" customWidth="1"/>
    <col min="3" max="3" width="55.28515625" style="231" customWidth="1"/>
    <col min="4" max="4" width="5.85546875" style="35" customWidth="1"/>
    <col min="5" max="5" width="7.28515625" style="35" customWidth="1"/>
    <col min="6" max="6" width="4.85546875" style="35" hidden="1" customWidth="1"/>
    <col min="7" max="7" width="5.42578125" style="35" customWidth="1"/>
    <col min="8" max="9" width="6.5703125" style="35" customWidth="1"/>
    <col min="10" max="10" width="7.5703125" style="35" customWidth="1"/>
    <col min="11" max="11" width="5.5703125" style="35" customWidth="1"/>
    <col min="12" max="12" width="7.28515625" style="35" customWidth="1"/>
    <col min="13" max="13" width="7" style="35" customWidth="1"/>
    <col min="14" max="14" width="7.7109375" style="35" customWidth="1"/>
    <col min="15" max="15" width="7.85546875" style="35" customWidth="1"/>
    <col min="16" max="16" width="7" style="35" customWidth="1"/>
    <col min="17" max="17" width="8.42578125" style="35" customWidth="1"/>
    <col min="18" max="16384" width="8.5703125" style="35"/>
  </cols>
  <sheetData>
    <row r="1" spans="1:17" s="32" customFormat="1" x14ac:dyDescent="0.25">
      <c r="A1" s="731" t="s">
        <v>27</v>
      </c>
      <c r="B1" s="731"/>
      <c r="C1" s="731"/>
      <c r="D1" s="731"/>
      <c r="E1" s="731"/>
      <c r="F1" s="731"/>
      <c r="G1" s="731"/>
      <c r="H1" s="233">
        <f>KPDV!A17</f>
        <v>5</v>
      </c>
      <c r="I1" s="234"/>
      <c r="J1" s="234"/>
      <c r="K1" s="234"/>
      <c r="L1" s="234"/>
      <c r="M1" s="234"/>
    </row>
    <row r="2" spans="1:17" s="32" customFormat="1" x14ac:dyDescent="0.25">
      <c r="A2" s="232"/>
      <c r="B2" s="232"/>
      <c r="C2" s="307" t="s">
        <v>199</v>
      </c>
      <c r="D2" s="232"/>
      <c r="E2" s="232"/>
      <c r="F2" s="232"/>
      <c r="G2" s="232"/>
      <c r="H2" s="233"/>
      <c r="I2" s="234"/>
      <c r="J2" s="234"/>
      <c r="K2" s="234"/>
      <c r="L2" s="234"/>
      <c r="M2" s="234"/>
    </row>
    <row r="3" spans="1:17" x14ac:dyDescent="0.25">
      <c r="A3" s="6" t="str">
        <f>obj</f>
        <v>Objekta nosaukums: Dzīvojamās ēkas fasādes vienkāršota atjaunošana</v>
      </c>
      <c r="B3" s="6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33" t="str">
        <f>nos</f>
        <v>Būves nosaukums: Daudzdzīvokļu dzīvojamā ēka</v>
      </c>
      <c r="B4" s="6"/>
      <c r="C4" s="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 t="str">
        <f>adres</f>
        <v>Objekta adrese: Mirdzas Ķempes iela 22, Liepāja</v>
      </c>
      <c r="B5" s="6"/>
      <c r="C5" s="8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 t="str">
        <f>nr</f>
        <v>Pasūtījuma Nr.WS-77-16</v>
      </c>
      <c r="B6" s="6"/>
      <c r="C6" s="8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">
      <c r="A7" s="9"/>
      <c r="B7" s="32"/>
      <c r="C7" s="121" t="s">
        <v>689</v>
      </c>
      <c r="D7" s="9"/>
      <c r="E7" s="14" t="s">
        <v>665</v>
      </c>
      <c r="F7" s="32" t="s">
        <v>30</v>
      </c>
      <c r="G7" s="687" t="s">
        <v>690</v>
      </c>
      <c r="H7" s="32"/>
      <c r="I7" s="32"/>
      <c r="J7" s="32"/>
      <c r="K7" s="32"/>
      <c r="L7" s="32"/>
      <c r="M7" s="32"/>
      <c r="N7" s="32"/>
      <c r="O7" s="32"/>
      <c r="P7" s="68" t="s">
        <v>31</v>
      </c>
      <c r="Q7" s="235">
        <f>Q68</f>
        <v>0</v>
      </c>
    </row>
    <row r="8" spans="1:17" s="32" customFormat="1" x14ac:dyDescent="0.25">
      <c r="A8" s="14"/>
      <c r="B8" s="14"/>
      <c r="C8" s="34"/>
      <c r="D8" s="14"/>
      <c r="E8" s="14"/>
      <c r="F8" s="14"/>
      <c r="G8" s="14"/>
      <c r="H8" s="14"/>
      <c r="I8" s="14"/>
      <c r="J8" s="14"/>
      <c r="K8" s="14"/>
      <c r="L8" s="14"/>
      <c r="M8" s="14"/>
      <c r="N8" s="9"/>
      <c r="O8" s="70"/>
      <c r="P8" s="71" t="str">
        <f>KPDV!C33</f>
        <v>Tāme sastādīta</v>
      </c>
    </row>
    <row r="9" spans="1:17" s="237" customFormat="1" ht="10.15" customHeight="1" x14ac:dyDescent="0.25">
      <c r="A9" s="732" t="s">
        <v>1</v>
      </c>
      <c r="B9" s="732" t="s">
        <v>32</v>
      </c>
      <c r="C9" s="749" t="s">
        <v>33</v>
      </c>
      <c r="D9" s="734" t="s">
        <v>34</v>
      </c>
      <c r="E9" s="732" t="s">
        <v>35</v>
      </c>
      <c r="F9" s="72"/>
      <c r="G9" s="729" t="s">
        <v>36</v>
      </c>
      <c r="H9" s="729"/>
      <c r="I9" s="729"/>
      <c r="J9" s="729"/>
      <c r="K9" s="729"/>
      <c r="L9" s="729"/>
      <c r="M9" s="729" t="s">
        <v>37</v>
      </c>
      <c r="N9" s="729"/>
      <c r="O9" s="729"/>
      <c r="P9" s="729"/>
      <c r="Q9" s="729"/>
    </row>
    <row r="10" spans="1:17" s="237" customFormat="1" ht="68.25" x14ac:dyDescent="0.25">
      <c r="A10" s="732"/>
      <c r="B10" s="732"/>
      <c r="C10" s="749"/>
      <c r="D10" s="734"/>
      <c r="E10" s="732"/>
      <c r="F10" s="72"/>
      <c r="G10" s="75" t="s">
        <v>38</v>
      </c>
      <c r="H10" s="75" t="s">
        <v>660</v>
      </c>
      <c r="I10" s="75" t="s">
        <v>20</v>
      </c>
      <c r="J10" s="75" t="s">
        <v>657</v>
      </c>
      <c r="K10" s="75" t="s">
        <v>21</v>
      </c>
      <c r="L10" s="75" t="s">
        <v>658</v>
      </c>
      <c r="M10" s="75" t="s">
        <v>39</v>
      </c>
      <c r="N10" s="75" t="s">
        <v>20</v>
      </c>
      <c r="O10" s="75" t="s">
        <v>657</v>
      </c>
      <c r="P10" s="75" t="s">
        <v>21</v>
      </c>
      <c r="Q10" s="75" t="s">
        <v>659</v>
      </c>
    </row>
    <row r="11" spans="1:17" s="237" customFormat="1" x14ac:dyDescent="0.25">
      <c r="A11" s="461">
        <v>1</v>
      </c>
      <c r="B11" s="461">
        <f>A11+1</f>
        <v>2</v>
      </c>
      <c r="C11" s="462">
        <f>B11+1</f>
        <v>3</v>
      </c>
      <c r="D11" s="461">
        <f>C11+1</f>
        <v>4</v>
      </c>
      <c r="E11" s="461">
        <f>D11+1</f>
        <v>5</v>
      </c>
      <c r="F11" s="463">
        <v>1</v>
      </c>
      <c r="G11" s="461">
        <f>E11+1</f>
        <v>6</v>
      </c>
      <c r="H11" s="461">
        <f t="shared" ref="H11:Q11" si="0">G11+1</f>
        <v>7</v>
      </c>
      <c r="I11" s="461">
        <f t="shared" si="0"/>
        <v>8</v>
      </c>
      <c r="J11" s="461">
        <f t="shared" si="0"/>
        <v>9</v>
      </c>
      <c r="K11" s="461">
        <f t="shared" si="0"/>
        <v>10</v>
      </c>
      <c r="L11" s="461">
        <f t="shared" si="0"/>
        <v>11</v>
      </c>
      <c r="M11" s="461">
        <f t="shared" si="0"/>
        <v>12</v>
      </c>
      <c r="N11" s="461">
        <f t="shared" si="0"/>
        <v>13</v>
      </c>
      <c r="O11" s="461">
        <f t="shared" si="0"/>
        <v>14</v>
      </c>
      <c r="P11" s="461">
        <f t="shared" si="0"/>
        <v>15</v>
      </c>
      <c r="Q11" s="461">
        <f t="shared" si="0"/>
        <v>16</v>
      </c>
    </row>
    <row r="12" spans="1:17" ht="22.5" x14ac:dyDescent="0.25">
      <c r="A12" s="85"/>
      <c r="B12" s="465"/>
      <c r="C12" s="259" t="s">
        <v>200</v>
      </c>
      <c r="D12" s="85"/>
      <c r="E12" s="85"/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</row>
    <row r="13" spans="1:17" ht="22.5" x14ac:dyDescent="0.25">
      <c r="A13" s="85">
        <f t="shared" ref="A13:A67" si="1">IF(COUNTBLANK(B13)=1," ",COUNTA($B$13:B13))</f>
        <v>1</v>
      </c>
      <c r="B13" s="83" t="s">
        <v>40</v>
      </c>
      <c r="C13" s="260" t="s">
        <v>201</v>
      </c>
      <c r="D13" s="261" t="s">
        <v>44</v>
      </c>
      <c r="E13" s="261">
        <v>4</v>
      </c>
      <c r="F13" s="465"/>
      <c r="G13" s="80"/>
      <c r="H13" s="95"/>
      <c r="I13" s="80"/>
      <c r="J13" s="80"/>
      <c r="K13" s="80"/>
      <c r="L13" s="81"/>
      <c r="M13" s="82"/>
      <c r="N13" s="82"/>
      <c r="O13" s="82"/>
      <c r="P13" s="82"/>
      <c r="Q13" s="82"/>
    </row>
    <row r="14" spans="1:17" s="69" customFormat="1" ht="22.5" x14ac:dyDescent="0.25">
      <c r="A14" s="85">
        <f t="shared" si="1"/>
        <v>2</v>
      </c>
      <c r="B14" s="83" t="s">
        <v>40</v>
      </c>
      <c r="C14" s="260" t="s">
        <v>202</v>
      </c>
      <c r="D14" s="261" t="s">
        <v>668</v>
      </c>
      <c r="E14" s="262">
        <f>0.36*4</f>
        <v>1.44</v>
      </c>
      <c r="F14" s="106"/>
      <c r="G14" s="106"/>
      <c r="H14" s="127"/>
      <c r="I14" s="106"/>
      <c r="J14" s="272"/>
      <c r="K14" s="106"/>
      <c r="L14" s="81"/>
      <c r="M14" s="82"/>
      <c r="N14" s="82"/>
      <c r="O14" s="82"/>
      <c r="P14" s="82"/>
      <c r="Q14" s="82"/>
    </row>
    <row r="15" spans="1:17" s="69" customFormat="1" x14ac:dyDescent="0.25">
      <c r="A15" s="85" t="str">
        <f t="shared" si="1"/>
        <v xml:space="preserve"> </v>
      </c>
      <c r="B15" s="83"/>
      <c r="C15" s="123" t="s">
        <v>203</v>
      </c>
      <c r="D15" s="85" t="s">
        <v>88</v>
      </c>
      <c r="E15" s="98">
        <f>ROUNDUP(E14*F15,2)</f>
        <v>0.22</v>
      </c>
      <c r="F15" s="106">
        <v>0.15</v>
      </c>
      <c r="G15" s="106"/>
      <c r="H15" s="106"/>
      <c r="I15" s="106"/>
      <c r="J15" s="106"/>
      <c r="K15" s="106"/>
      <c r="L15" s="81"/>
      <c r="M15" s="82"/>
      <c r="N15" s="82"/>
      <c r="O15" s="82"/>
      <c r="P15" s="82"/>
      <c r="Q15" s="82"/>
    </row>
    <row r="16" spans="1:17" s="234" customFormat="1" x14ac:dyDescent="0.25">
      <c r="A16" s="85" t="str">
        <f t="shared" si="1"/>
        <v xml:space="preserve"> </v>
      </c>
      <c r="B16" s="83"/>
      <c r="C16" s="123" t="s">
        <v>204</v>
      </c>
      <c r="D16" s="85" t="s">
        <v>88</v>
      </c>
      <c r="E16" s="98">
        <f>ROUNDUP(E14*F16,2)</f>
        <v>1.34</v>
      </c>
      <c r="F16" s="106">
        <v>0.93</v>
      </c>
      <c r="G16" s="106"/>
      <c r="H16" s="106"/>
      <c r="I16" s="106"/>
      <c r="J16" s="106"/>
      <c r="K16" s="106"/>
      <c r="L16" s="81"/>
      <c r="M16" s="82"/>
      <c r="N16" s="82"/>
      <c r="O16" s="82"/>
      <c r="P16" s="82"/>
      <c r="Q16" s="82"/>
    </row>
    <row r="17" spans="1:17" s="32" customFormat="1" x14ac:dyDescent="0.25">
      <c r="A17" s="85" t="str">
        <f t="shared" si="1"/>
        <v xml:space="preserve"> </v>
      </c>
      <c r="B17" s="83"/>
      <c r="C17" s="123" t="s">
        <v>71</v>
      </c>
      <c r="D17" s="123" t="s">
        <v>205</v>
      </c>
      <c r="E17" s="98">
        <f>ROUNDUP(E14*F17,0)</f>
        <v>1</v>
      </c>
      <c r="F17" s="106">
        <v>0.25</v>
      </c>
      <c r="G17" s="106"/>
      <c r="H17" s="106"/>
      <c r="I17" s="106"/>
      <c r="J17" s="106"/>
      <c r="K17" s="106"/>
      <c r="L17" s="81"/>
      <c r="M17" s="82"/>
      <c r="N17" s="82"/>
      <c r="O17" s="82"/>
      <c r="P17" s="82"/>
      <c r="Q17" s="82"/>
    </row>
    <row r="18" spans="1:17" ht="22.5" x14ac:dyDescent="0.25">
      <c r="A18" s="85">
        <f t="shared" si="1"/>
        <v>3</v>
      </c>
      <c r="B18" s="83" t="s">
        <v>40</v>
      </c>
      <c r="C18" s="260" t="s">
        <v>206</v>
      </c>
      <c r="D18" s="261" t="s">
        <v>44</v>
      </c>
      <c r="E18" s="263">
        <f>10*4</f>
        <v>40</v>
      </c>
      <c r="F18" s="465"/>
      <c r="G18" s="106"/>
      <c r="H18" s="127"/>
      <c r="I18" s="106"/>
      <c r="J18" s="106"/>
      <c r="K18" s="106"/>
      <c r="L18" s="81"/>
      <c r="M18" s="82"/>
      <c r="N18" s="82"/>
      <c r="O18" s="82"/>
      <c r="P18" s="82"/>
      <c r="Q18" s="82"/>
    </row>
    <row r="19" spans="1:17" ht="22.5" x14ac:dyDescent="0.25">
      <c r="A19" s="85">
        <f t="shared" si="1"/>
        <v>4</v>
      </c>
      <c r="B19" s="83" t="s">
        <v>40</v>
      </c>
      <c r="C19" s="260" t="s">
        <v>763</v>
      </c>
      <c r="D19" s="261" t="s">
        <v>44</v>
      </c>
      <c r="E19" s="261">
        <v>4</v>
      </c>
      <c r="F19" s="465"/>
      <c r="G19" s="106"/>
      <c r="H19" s="127"/>
      <c r="I19" s="106"/>
      <c r="J19" s="106"/>
      <c r="K19" s="106"/>
      <c r="L19" s="81"/>
      <c r="M19" s="82"/>
      <c r="N19" s="82"/>
      <c r="O19" s="82"/>
      <c r="P19" s="82"/>
      <c r="Q19" s="82"/>
    </row>
    <row r="20" spans="1:17" ht="22.5" x14ac:dyDescent="0.25">
      <c r="A20" s="85">
        <f t="shared" si="1"/>
        <v>5</v>
      </c>
      <c r="B20" s="83" t="s">
        <v>40</v>
      </c>
      <c r="C20" s="260" t="s">
        <v>207</v>
      </c>
      <c r="D20" s="261" t="s">
        <v>47</v>
      </c>
      <c r="E20" s="262">
        <v>791</v>
      </c>
      <c r="F20" s="465"/>
      <c r="G20" s="80"/>
      <c r="H20" s="127"/>
      <c r="I20" s="80"/>
      <c r="J20" s="80"/>
      <c r="K20" s="80"/>
      <c r="L20" s="81"/>
      <c r="M20" s="82"/>
      <c r="N20" s="82"/>
      <c r="O20" s="82"/>
      <c r="P20" s="82"/>
      <c r="Q20" s="82"/>
    </row>
    <row r="21" spans="1:17" ht="22.5" x14ac:dyDescent="0.25">
      <c r="A21" s="85">
        <f t="shared" si="1"/>
        <v>6</v>
      </c>
      <c r="B21" s="83" t="s">
        <v>40</v>
      </c>
      <c r="C21" s="260" t="s">
        <v>764</v>
      </c>
      <c r="D21" s="261" t="s">
        <v>47</v>
      </c>
      <c r="E21" s="262">
        <v>910</v>
      </c>
      <c r="F21" s="99"/>
      <c r="G21" s="99"/>
      <c r="H21" s="127"/>
      <c r="I21" s="99"/>
      <c r="J21" s="99"/>
      <c r="K21" s="99"/>
      <c r="L21" s="81"/>
      <c r="M21" s="82"/>
      <c r="N21" s="82"/>
      <c r="O21" s="82"/>
      <c r="P21" s="82"/>
      <c r="Q21" s="82"/>
    </row>
    <row r="22" spans="1:17" x14ac:dyDescent="0.25">
      <c r="A22" s="85" t="str">
        <f t="shared" si="1"/>
        <v xml:space="preserve"> </v>
      </c>
      <c r="B22" s="108"/>
      <c r="C22" s="264" t="s">
        <v>208</v>
      </c>
      <c r="D22" s="108" t="s">
        <v>209</v>
      </c>
      <c r="E22" s="98">
        <f>ROUNDUP(E21*F22,2)</f>
        <v>1001</v>
      </c>
      <c r="F22" s="99">
        <v>1.1000000000000001</v>
      </c>
      <c r="G22" s="99"/>
      <c r="H22" s="99"/>
      <c r="I22" s="99"/>
      <c r="J22" s="99"/>
      <c r="K22" s="99"/>
      <c r="L22" s="81"/>
      <c r="M22" s="82"/>
      <c r="N22" s="82"/>
      <c r="O22" s="82"/>
      <c r="P22" s="82"/>
      <c r="Q22" s="82"/>
    </row>
    <row r="23" spans="1:17" x14ac:dyDescent="0.25">
      <c r="A23" s="85" t="str">
        <f t="shared" si="1"/>
        <v xml:space="preserve"> </v>
      </c>
      <c r="B23" s="108"/>
      <c r="C23" s="264" t="s">
        <v>71</v>
      </c>
      <c r="D23" s="108" t="s">
        <v>205</v>
      </c>
      <c r="E23" s="98">
        <f>ROUNDUP(E21*F23,0)</f>
        <v>10</v>
      </c>
      <c r="F23" s="99">
        <v>0.01</v>
      </c>
      <c r="G23" s="99"/>
      <c r="H23" s="99"/>
      <c r="I23" s="99"/>
      <c r="J23" s="99"/>
      <c r="K23" s="99"/>
      <c r="L23" s="81"/>
      <c r="M23" s="82"/>
      <c r="N23" s="82"/>
      <c r="O23" s="82"/>
      <c r="P23" s="82"/>
      <c r="Q23" s="82"/>
    </row>
    <row r="24" spans="1:17" s="267" customFormat="1" ht="22.5" x14ac:dyDescent="0.25">
      <c r="A24" s="85">
        <f t="shared" si="1"/>
        <v>7</v>
      </c>
      <c r="B24" s="83" t="s">
        <v>40</v>
      </c>
      <c r="C24" s="260" t="s">
        <v>765</v>
      </c>
      <c r="D24" s="261" t="s">
        <v>88</v>
      </c>
      <c r="E24" s="262">
        <f>0.4*791</f>
        <v>316.40000000000003</v>
      </c>
      <c r="F24" s="265"/>
      <c r="G24" s="98"/>
      <c r="H24" s="127"/>
      <c r="I24" s="98"/>
      <c r="J24" s="266"/>
      <c r="K24" s="98"/>
      <c r="L24" s="81"/>
      <c r="M24" s="82"/>
      <c r="N24" s="82"/>
      <c r="O24" s="82"/>
      <c r="P24" s="82"/>
      <c r="Q24" s="82"/>
    </row>
    <row r="25" spans="1:17" s="267" customFormat="1" x14ac:dyDescent="0.25">
      <c r="A25" s="85" t="str">
        <f t="shared" si="1"/>
        <v xml:space="preserve"> </v>
      </c>
      <c r="B25" s="108"/>
      <c r="C25" s="107" t="s">
        <v>173</v>
      </c>
      <c r="D25" s="108" t="s">
        <v>88</v>
      </c>
      <c r="E25" s="99">
        <f>E24*F25</f>
        <v>348.04000000000008</v>
      </c>
      <c r="F25" s="99">
        <v>1.1000000000000001</v>
      </c>
      <c r="G25" s="98"/>
      <c r="H25" s="99"/>
      <c r="I25" s="98"/>
      <c r="J25" s="98"/>
      <c r="K25" s="98"/>
      <c r="L25" s="81"/>
      <c r="M25" s="82"/>
      <c r="N25" s="82"/>
      <c r="O25" s="82"/>
      <c r="P25" s="82"/>
      <c r="Q25" s="82"/>
    </row>
    <row r="26" spans="1:17" ht="22.5" x14ac:dyDescent="0.25">
      <c r="A26" s="85">
        <f t="shared" si="1"/>
        <v>8</v>
      </c>
      <c r="B26" s="83" t="s">
        <v>40</v>
      </c>
      <c r="C26" s="260" t="s">
        <v>210</v>
      </c>
      <c r="D26" s="261" t="s">
        <v>44</v>
      </c>
      <c r="E26" s="263">
        <v>65</v>
      </c>
      <c r="F26" s="465"/>
      <c r="G26" s="106"/>
      <c r="H26" s="127"/>
      <c r="I26" s="106"/>
      <c r="J26" s="272"/>
      <c r="K26" s="106"/>
      <c r="L26" s="81"/>
      <c r="M26" s="82"/>
      <c r="N26" s="82"/>
      <c r="O26" s="82"/>
      <c r="P26" s="82"/>
      <c r="Q26" s="82"/>
    </row>
    <row r="27" spans="1:17" x14ac:dyDescent="0.25">
      <c r="A27" s="85" t="str">
        <f t="shared" si="1"/>
        <v xml:space="preserve"> </v>
      </c>
      <c r="B27" s="465"/>
      <c r="C27" s="260" t="s">
        <v>211</v>
      </c>
      <c r="D27" s="261" t="s">
        <v>88</v>
      </c>
      <c r="E27" s="262">
        <v>2.2000000000000002</v>
      </c>
      <c r="F27" s="465"/>
      <c r="G27" s="90"/>
      <c r="H27" s="90"/>
      <c r="I27" s="90"/>
      <c r="J27" s="90"/>
      <c r="K27" s="90"/>
      <c r="L27" s="81"/>
      <c r="M27" s="82"/>
      <c r="N27" s="82"/>
      <c r="O27" s="82"/>
      <c r="P27" s="82"/>
      <c r="Q27" s="82"/>
    </row>
    <row r="28" spans="1:17" x14ac:dyDescent="0.25">
      <c r="A28" s="85" t="str">
        <f t="shared" si="1"/>
        <v xml:space="preserve"> </v>
      </c>
      <c r="B28" s="465"/>
      <c r="C28" s="260" t="s">
        <v>212</v>
      </c>
      <c r="D28" s="261" t="s">
        <v>88</v>
      </c>
      <c r="E28" s="262">
        <v>1.9</v>
      </c>
      <c r="F28" s="465"/>
      <c r="G28" s="90"/>
      <c r="H28" s="90"/>
      <c r="I28" s="90"/>
      <c r="J28" s="90"/>
      <c r="K28" s="90"/>
      <c r="L28" s="81"/>
      <c r="M28" s="82"/>
      <c r="N28" s="82"/>
      <c r="O28" s="82"/>
      <c r="P28" s="82"/>
      <c r="Q28" s="82"/>
    </row>
    <row r="29" spans="1:17" ht="22.5" x14ac:dyDescent="0.25">
      <c r="A29" s="85">
        <f t="shared" si="1"/>
        <v>9</v>
      </c>
      <c r="B29" s="83" t="s">
        <v>40</v>
      </c>
      <c r="C29" s="260" t="s">
        <v>766</v>
      </c>
      <c r="D29" s="261" t="s">
        <v>88</v>
      </c>
      <c r="E29" s="262">
        <v>3.9</v>
      </c>
      <c r="F29" s="465"/>
      <c r="G29" s="106"/>
      <c r="H29" s="127"/>
      <c r="I29" s="106"/>
      <c r="J29" s="272"/>
      <c r="K29" s="106"/>
      <c r="L29" s="81"/>
      <c r="M29" s="82"/>
      <c r="N29" s="82"/>
      <c r="O29" s="82"/>
      <c r="P29" s="82"/>
      <c r="Q29" s="82"/>
    </row>
    <row r="30" spans="1:17" ht="22.5" x14ac:dyDescent="0.25">
      <c r="A30" s="85">
        <f t="shared" si="1"/>
        <v>10</v>
      </c>
      <c r="B30" s="83" t="s">
        <v>40</v>
      </c>
      <c r="C30" s="260" t="s">
        <v>213</v>
      </c>
      <c r="D30" s="261" t="s">
        <v>47</v>
      </c>
      <c r="E30" s="262">
        <v>15.6</v>
      </c>
      <c r="F30" s="465"/>
      <c r="G30" s="106"/>
      <c r="H30" s="127"/>
      <c r="I30" s="106"/>
      <c r="J30" s="272"/>
      <c r="K30" s="106"/>
      <c r="L30" s="81"/>
      <c r="M30" s="82"/>
      <c r="N30" s="82"/>
      <c r="O30" s="82"/>
      <c r="P30" s="82"/>
      <c r="Q30" s="82"/>
    </row>
    <row r="31" spans="1:17" s="26" customFormat="1" ht="22.5" x14ac:dyDescent="0.25">
      <c r="A31" s="85">
        <f t="shared" si="1"/>
        <v>11</v>
      </c>
      <c r="B31" s="83" t="s">
        <v>40</v>
      </c>
      <c r="C31" s="268" t="s">
        <v>214</v>
      </c>
      <c r="D31" s="261" t="s">
        <v>47</v>
      </c>
      <c r="E31" s="263">
        <v>17</v>
      </c>
      <c r="F31" s="99"/>
      <c r="G31" s="99"/>
      <c r="H31" s="127"/>
      <c r="I31" s="99"/>
      <c r="J31" s="99"/>
      <c r="K31" s="99"/>
      <c r="L31" s="81"/>
      <c r="M31" s="82"/>
      <c r="N31" s="82"/>
      <c r="O31" s="82"/>
      <c r="P31" s="82"/>
      <c r="Q31" s="82"/>
    </row>
    <row r="32" spans="1:17" x14ac:dyDescent="0.25">
      <c r="A32" s="85" t="str">
        <f t="shared" si="1"/>
        <v xml:space="preserve"> </v>
      </c>
      <c r="B32" s="108"/>
      <c r="C32" s="264" t="s">
        <v>215</v>
      </c>
      <c r="D32" s="108" t="s">
        <v>58</v>
      </c>
      <c r="E32" s="265">
        <f>E31*F32</f>
        <v>20.399999999999999</v>
      </c>
      <c r="F32" s="99">
        <v>1.2</v>
      </c>
      <c r="G32" s="90"/>
      <c r="H32" s="90"/>
      <c r="I32" s="90"/>
      <c r="J32" s="90"/>
      <c r="K32" s="90"/>
      <c r="L32" s="81"/>
      <c r="M32" s="82"/>
      <c r="N32" s="82"/>
      <c r="O32" s="82"/>
      <c r="P32" s="82"/>
      <c r="Q32" s="82"/>
    </row>
    <row r="33" spans="1:17" x14ac:dyDescent="0.25">
      <c r="A33" s="85" t="str">
        <f t="shared" si="1"/>
        <v xml:space="preserve"> </v>
      </c>
      <c r="B33" s="108"/>
      <c r="C33" s="264" t="s">
        <v>216</v>
      </c>
      <c r="D33" s="108" t="s">
        <v>58</v>
      </c>
      <c r="E33" s="98">
        <f>ROUNDUP(E31*F33,0)</f>
        <v>11</v>
      </c>
      <c r="F33" s="99">
        <v>0.6</v>
      </c>
      <c r="G33" s="99"/>
      <c r="H33" s="127"/>
      <c r="I33" s="99"/>
      <c r="J33" s="99"/>
      <c r="K33" s="99"/>
      <c r="L33" s="81"/>
      <c r="M33" s="82"/>
      <c r="N33" s="82"/>
      <c r="O33" s="82"/>
      <c r="P33" s="82"/>
      <c r="Q33" s="82"/>
    </row>
    <row r="34" spans="1:17" ht="22.5" x14ac:dyDescent="0.25">
      <c r="A34" s="85">
        <f t="shared" si="1"/>
        <v>12</v>
      </c>
      <c r="B34" s="83" t="s">
        <v>40</v>
      </c>
      <c r="C34" s="268" t="s">
        <v>217</v>
      </c>
      <c r="D34" s="263" t="s">
        <v>44</v>
      </c>
      <c r="E34" s="269">
        <v>20</v>
      </c>
      <c r="F34" s="465"/>
      <c r="G34" s="99"/>
      <c r="H34" s="127"/>
      <c r="I34" s="99"/>
      <c r="J34" s="99"/>
      <c r="K34" s="99"/>
      <c r="L34" s="81"/>
      <c r="M34" s="82"/>
      <c r="N34" s="82"/>
      <c r="O34" s="82"/>
      <c r="P34" s="82"/>
      <c r="Q34" s="82"/>
    </row>
    <row r="35" spans="1:17" ht="22.5" x14ac:dyDescent="0.25">
      <c r="A35" s="85" t="str">
        <f t="shared" si="1"/>
        <v xml:space="preserve"> </v>
      </c>
      <c r="B35" s="465"/>
      <c r="C35" s="268" t="s">
        <v>218</v>
      </c>
      <c r="D35" s="263" t="s">
        <v>58</v>
      </c>
      <c r="E35" s="86">
        <f>0.004*0.04*44.8*7800</f>
        <v>55.910399999999996</v>
      </c>
      <c r="F35" s="465"/>
      <c r="G35" s="90"/>
      <c r="H35" s="90"/>
      <c r="I35" s="90"/>
      <c r="J35" s="90"/>
      <c r="K35" s="90"/>
      <c r="L35" s="81"/>
      <c r="M35" s="82"/>
      <c r="N35" s="82"/>
      <c r="O35" s="82"/>
      <c r="P35" s="82"/>
      <c r="Q35" s="82"/>
    </row>
    <row r="36" spans="1:17" x14ac:dyDescent="0.25">
      <c r="A36" s="85" t="str">
        <f t="shared" si="1"/>
        <v xml:space="preserve"> </v>
      </c>
      <c r="B36" s="465"/>
      <c r="C36" s="268" t="s">
        <v>219</v>
      </c>
      <c r="D36" s="263" t="s">
        <v>44</v>
      </c>
      <c r="E36" s="269">
        <f>80*2</f>
        <v>160</v>
      </c>
      <c r="F36" s="465"/>
      <c r="G36" s="90"/>
      <c r="H36" s="90"/>
      <c r="I36" s="90"/>
      <c r="J36" s="90"/>
      <c r="K36" s="90"/>
      <c r="L36" s="81"/>
      <c r="M36" s="82"/>
      <c r="N36" s="82"/>
      <c r="O36" s="82"/>
      <c r="P36" s="82"/>
      <c r="Q36" s="82"/>
    </row>
    <row r="37" spans="1:17" ht="22.5" x14ac:dyDescent="0.25">
      <c r="A37" s="85" t="str">
        <f t="shared" si="1"/>
        <v xml:space="preserve"> </v>
      </c>
      <c r="B37" s="465"/>
      <c r="C37" s="268" t="s">
        <v>220</v>
      </c>
      <c r="D37" s="263" t="s">
        <v>58</v>
      </c>
      <c r="E37" s="86">
        <f>0.004*0.04*8*7800</f>
        <v>9.984</v>
      </c>
      <c r="F37" s="465"/>
      <c r="G37" s="90"/>
      <c r="H37" s="90"/>
      <c r="I37" s="90"/>
      <c r="J37" s="90"/>
      <c r="K37" s="90"/>
      <c r="L37" s="81"/>
      <c r="M37" s="82"/>
      <c r="N37" s="82"/>
      <c r="O37" s="82"/>
      <c r="P37" s="82"/>
      <c r="Q37" s="82"/>
    </row>
    <row r="38" spans="1:17" ht="22.5" x14ac:dyDescent="0.25">
      <c r="A38" s="85" t="str">
        <f t="shared" si="1"/>
        <v xml:space="preserve"> </v>
      </c>
      <c r="B38" s="465"/>
      <c r="C38" s="268" t="s">
        <v>221</v>
      </c>
      <c r="D38" s="263" t="s">
        <v>58</v>
      </c>
      <c r="E38" s="86">
        <f>0.004*0.04*40*7800</f>
        <v>49.92</v>
      </c>
      <c r="F38" s="465"/>
      <c r="G38" s="90"/>
      <c r="H38" s="90"/>
      <c r="I38" s="90"/>
      <c r="J38" s="90"/>
      <c r="K38" s="90"/>
      <c r="L38" s="81"/>
      <c r="M38" s="82"/>
      <c r="N38" s="82"/>
      <c r="O38" s="82"/>
      <c r="P38" s="82"/>
      <c r="Q38" s="82"/>
    </row>
    <row r="39" spans="1:17" ht="22.5" x14ac:dyDescent="0.25">
      <c r="A39" s="85" t="str">
        <f t="shared" si="1"/>
        <v xml:space="preserve"> </v>
      </c>
      <c r="B39" s="465"/>
      <c r="C39" s="268" t="s">
        <v>222</v>
      </c>
      <c r="D39" s="263" t="s">
        <v>58</v>
      </c>
      <c r="E39" s="86">
        <f>0.004*0.05*4.4*7800</f>
        <v>6.8640000000000008</v>
      </c>
      <c r="F39" s="465"/>
      <c r="G39" s="90"/>
      <c r="H39" s="90"/>
      <c r="I39" s="90"/>
      <c r="J39" s="90"/>
      <c r="K39" s="90"/>
      <c r="L39" s="81"/>
      <c r="M39" s="82"/>
      <c r="N39" s="82"/>
      <c r="O39" s="82"/>
      <c r="P39" s="82"/>
      <c r="Q39" s="82"/>
    </row>
    <row r="40" spans="1:17" ht="22.5" x14ac:dyDescent="0.25">
      <c r="A40" s="85" t="str">
        <f t="shared" si="1"/>
        <v xml:space="preserve"> </v>
      </c>
      <c r="B40" s="465"/>
      <c r="C40" s="268" t="s">
        <v>223</v>
      </c>
      <c r="D40" s="263" t="s">
        <v>58</v>
      </c>
      <c r="E40" s="86">
        <f>0.004*0.05*23*7800</f>
        <v>35.880000000000003</v>
      </c>
      <c r="F40" s="465"/>
      <c r="G40" s="90"/>
      <c r="H40" s="90"/>
      <c r="I40" s="90"/>
      <c r="J40" s="90"/>
      <c r="K40" s="90"/>
      <c r="L40" s="81"/>
      <c r="M40" s="82"/>
      <c r="N40" s="82"/>
      <c r="O40" s="82"/>
      <c r="P40" s="82"/>
      <c r="Q40" s="82"/>
    </row>
    <row r="41" spans="1:17" x14ac:dyDescent="0.25">
      <c r="A41" s="85" t="str">
        <f t="shared" si="1"/>
        <v xml:space="preserve"> </v>
      </c>
      <c r="B41" s="465"/>
      <c r="C41" s="268" t="s">
        <v>224</v>
      </c>
      <c r="D41" s="263" t="s">
        <v>44</v>
      </c>
      <c r="E41" s="269">
        <f>2*20</f>
        <v>40</v>
      </c>
      <c r="F41" s="465"/>
      <c r="G41" s="90"/>
      <c r="H41" s="90"/>
      <c r="I41" s="90"/>
      <c r="J41" s="90"/>
      <c r="K41" s="90"/>
      <c r="L41" s="81"/>
      <c r="M41" s="82"/>
      <c r="N41" s="82"/>
      <c r="O41" s="82"/>
      <c r="P41" s="82"/>
      <c r="Q41" s="82"/>
    </row>
    <row r="42" spans="1:17" x14ac:dyDescent="0.25">
      <c r="A42" s="85" t="str">
        <f t="shared" si="1"/>
        <v xml:space="preserve"> </v>
      </c>
      <c r="B42" s="465"/>
      <c r="C42" s="268" t="s">
        <v>225</v>
      </c>
      <c r="D42" s="263" t="s">
        <v>42</v>
      </c>
      <c r="E42" s="269">
        <v>25</v>
      </c>
      <c r="F42" s="465"/>
      <c r="G42" s="90"/>
      <c r="H42" s="90"/>
      <c r="I42" s="90"/>
      <c r="J42" s="90"/>
      <c r="K42" s="90"/>
      <c r="L42" s="81"/>
      <c r="M42" s="82"/>
      <c r="N42" s="82"/>
      <c r="O42" s="82"/>
      <c r="P42" s="82"/>
      <c r="Q42" s="82"/>
    </row>
    <row r="43" spans="1:17" ht="22.5" x14ac:dyDescent="0.25">
      <c r="A43" s="85" t="str">
        <f t="shared" si="1"/>
        <v xml:space="preserve"> </v>
      </c>
      <c r="B43" s="465"/>
      <c r="C43" s="268" t="s">
        <v>226</v>
      </c>
      <c r="D43" s="263" t="s">
        <v>47</v>
      </c>
      <c r="E43" s="86">
        <f>0.55*4+0.6*16</f>
        <v>11.8</v>
      </c>
      <c r="F43" s="465"/>
      <c r="G43" s="90"/>
      <c r="H43" s="90"/>
      <c r="I43" s="90"/>
      <c r="J43" s="90"/>
      <c r="K43" s="90"/>
      <c r="L43" s="81"/>
      <c r="M43" s="82"/>
      <c r="N43" s="82"/>
      <c r="O43" s="82"/>
      <c r="P43" s="82"/>
      <c r="Q43" s="82"/>
    </row>
    <row r="44" spans="1:17" ht="22.5" x14ac:dyDescent="0.25">
      <c r="A44" s="85">
        <f t="shared" si="1"/>
        <v>13</v>
      </c>
      <c r="B44" s="83" t="s">
        <v>40</v>
      </c>
      <c r="C44" s="268" t="s">
        <v>227</v>
      </c>
      <c r="D44" s="263" t="s">
        <v>47</v>
      </c>
      <c r="E44" s="86">
        <v>11.2</v>
      </c>
      <c r="F44" s="99"/>
      <c r="G44" s="99"/>
      <c r="H44" s="127"/>
      <c r="I44" s="99"/>
      <c r="J44" s="266"/>
      <c r="K44" s="99"/>
      <c r="L44" s="81"/>
      <c r="M44" s="82"/>
      <c r="N44" s="82"/>
      <c r="O44" s="82"/>
      <c r="P44" s="82"/>
      <c r="Q44" s="82"/>
    </row>
    <row r="45" spans="1:17" x14ac:dyDescent="0.25">
      <c r="A45" s="85" t="str">
        <f t="shared" si="1"/>
        <v xml:space="preserve"> </v>
      </c>
      <c r="B45" s="93"/>
      <c r="C45" s="264" t="s">
        <v>322</v>
      </c>
      <c r="D45" s="108" t="s">
        <v>58</v>
      </c>
      <c r="E45" s="99">
        <f>E44*F45</f>
        <v>4.4799999999999995</v>
      </c>
      <c r="F45" s="99">
        <v>0.4</v>
      </c>
      <c r="G45" s="99"/>
      <c r="H45" s="99"/>
      <c r="I45" s="99"/>
      <c r="J45" s="99"/>
      <c r="K45" s="99"/>
      <c r="L45" s="81"/>
      <c r="M45" s="82"/>
      <c r="N45" s="82"/>
      <c r="O45" s="82"/>
      <c r="P45" s="82"/>
      <c r="Q45" s="82"/>
    </row>
    <row r="46" spans="1:17" ht="22.5" x14ac:dyDescent="0.25">
      <c r="A46" s="85">
        <f t="shared" si="1"/>
        <v>14</v>
      </c>
      <c r="B46" s="83" t="s">
        <v>40</v>
      </c>
      <c r="C46" s="268" t="s">
        <v>228</v>
      </c>
      <c r="D46" s="263" t="s">
        <v>205</v>
      </c>
      <c r="E46" s="86">
        <v>1</v>
      </c>
      <c r="F46" s="465"/>
      <c r="G46" s="99"/>
      <c r="H46" s="127"/>
      <c r="I46" s="99"/>
      <c r="J46" s="266"/>
      <c r="K46" s="99"/>
      <c r="L46" s="81"/>
      <c r="M46" s="82"/>
      <c r="N46" s="82"/>
      <c r="O46" s="82"/>
      <c r="P46" s="82"/>
      <c r="Q46" s="82"/>
    </row>
    <row r="47" spans="1:17" x14ac:dyDescent="0.25">
      <c r="A47" s="85" t="str">
        <f t="shared" si="1"/>
        <v xml:space="preserve"> </v>
      </c>
      <c r="B47" s="465"/>
      <c r="C47" s="236" t="s">
        <v>229</v>
      </c>
      <c r="D47" s="123" t="s">
        <v>44</v>
      </c>
      <c r="E47" s="277">
        <v>4</v>
      </c>
      <c r="F47" s="465"/>
      <c r="G47" s="90"/>
      <c r="H47" s="90"/>
      <c r="I47" s="90"/>
      <c r="J47" s="90"/>
      <c r="K47" s="90"/>
      <c r="L47" s="81"/>
      <c r="M47" s="82"/>
      <c r="N47" s="82"/>
      <c r="O47" s="82"/>
      <c r="P47" s="82"/>
      <c r="Q47" s="82"/>
    </row>
    <row r="48" spans="1:17" x14ac:dyDescent="0.25">
      <c r="A48" s="85" t="str">
        <f t="shared" si="1"/>
        <v xml:space="preserve"> </v>
      </c>
      <c r="B48" s="465"/>
      <c r="C48" s="236" t="s">
        <v>230</v>
      </c>
      <c r="D48" s="123" t="s">
        <v>44</v>
      </c>
      <c r="E48" s="277">
        <v>4</v>
      </c>
      <c r="F48" s="465"/>
      <c r="G48" s="90"/>
      <c r="H48" s="90"/>
      <c r="I48" s="90"/>
      <c r="J48" s="90"/>
      <c r="K48" s="90"/>
      <c r="L48" s="81"/>
      <c r="M48" s="82"/>
      <c r="N48" s="82"/>
      <c r="O48" s="82"/>
      <c r="P48" s="82"/>
      <c r="Q48" s="82"/>
    </row>
    <row r="49" spans="1:17" ht="22.5" x14ac:dyDescent="0.25">
      <c r="A49" s="85" t="str">
        <f t="shared" si="1"/>
        <v xml:space="preserve"> </v>
      </c>
      <c r="B49" s="465"/>
      <c r="C49" s="236" t="s">
        <v>231</v>
      </c>
      <c r="D49" s="123" t="s">
        <v>669</v>
      </c>
      <c r="E49" s="106">
        <v>0.15</v>
      </c>
      <c r="F49" s="465"/>
      <c r="G49" s="90"/>
      <c r="H49" s="90"/>
      <c r="I49" s="90"/>
      <c r="J49" s="90"/>
      <c r="K49" s="90"/>
      <c r="L49" s="81"/>
      <c r="M49" s="82"/>
      <c r="N49" s="82"/>
      <c r="O49" s="82"/>
      <c r="P49" s="82"/>
      <c r="Q49" s="82"/>
    </row>
    <row r="50" spans="1:17" x14ac:dyDescent="0.25">
      <c r="A50" s="85" t="str">
        <f t="shared" si="1"/>
        <v xml:space="preserve"> </v>
      </c>
      <c r="B50" s="465"/>
      <c r="C50" s="236" t="s">
        <v>232</v>
      </c>
      <c r="D50" s="123" t="s">
        <v>44</v>
      </c>
      <c r="E50" s="277">
        <v>4</v>
      </c>
      <c r="F50" s="465"/>
      <c r="G50" s="90"/>
      <c r="H50" s="90"/>
      <c r="I50" s="90"/>
      <c r="J50" s="90"/>
      <c r="K50" s="90"/>
      <c r="L50" s="81"/>
      <c r="M50" s="82"/>
      <c r="N50" s="82"/>
      <c r="O50" s="82"/>
      <c r="P50" s="82"/>
      <c r="Q50" s="82"/>
    </row>
    <row r="51" spans="1:17" x14ac:dyDescent="0.25">
      <c r="A51" s="85" t="str">
        <f t="shared" si="1"/>
        <v xml:space="preserve"> </v>
      </c>
      <c r="B51" s="465"/>
      <c r="C51" s="236" t="s">
        <v>233</v>
      </c>
      <c r="D51" s="123" t="s">
        <v>44</v>
      </c>
      <c r="E51" s="277">
        <v>4</v>
      </c>
      <c r="F51" s="465"/>
      <c r="G51" s="90"/>
      <c r="H51" s="90"/>
      <c r="I51" s="90"/>
      <c r="J51" s="90"/>
      <c r="K51" s="90"/>
      <c r="L51" s="81"/>
      <c r="M51" s="82"/>
      <c r="N51" s="82"/>
      <c r="O51" s="82"/>
      <c r="P51" s="82"/>
      <c r="Q51" s="82"/>
    </row>
    <row r="52" spans="1:17" x14ac:dyDescent="0.25">
      <c r="A52" s="85" t="str">
        <f t="shared" si="1"/>
        <v xml:space="preserve"> </v>
      </c>
      <c r="B52" s="465"/>
      <c r="C52" s="236" t="s">
        <v>234</v>
      </c>
      <c r="D52" s="123" t="s">
        <v>58</v>
      </c>
      <c r="E52" s="276">
        <f>6*5.8</f>
        <v>34.799999999999997</v>
      </c>
      <c r="F52" s="465"/>
      <c r="G52" s="90"/>
      <c r="H52" s="90"/>
      <c r="I52" s="90"/>
      <c r="J52" s="90"/>
      <c r="K52" s="90"/>
      <c r="L52" s="81"/>
      <c r="M52" s="82"/>
      <c r="N52" s="82"/>
      <c r="O52" s="82"/>
      <c r="P52" s="82"/>
      <c r="Q52" s="82"/>
    </row>
    <row r="53" spans="1:17" x14ac:dyDescent="0.25">
      <c r="A53" s="85" t="str">
        <f t="shared" si="1"/>
        <v xml:space="preserve"> </v>
      </c>
      <c r="B53" s="465"/>
      <c r="C53" s="236" t="s">
        <v>235</v>
      </c>
      <c r="D53" s="123" t="s">
        <v>44</v>
      </c>
      <c r="E53" s="277">
        <v>48</v>
      </c>
      <c r="F53" s="465"/>
      <c r="G53" s="90"/>
      <c r="H53" s="90"/>
      <c r="I53" s="90"/>
      <c r="J53" s="90"/>
      <c r="K53" s="90"/>
      <c r="L53" s="81"/>
      <c r="M53" s="82"/>
      <c r="N53" s="82"/>
      <c r="O53" s="82"/>
      <c r="P53" s="82"/>
      <c r="Q53" s="82"/>
    </row>
    <row r="54" spans="1:17" ht="22.5" x14ac:dyDescent="0.25">
      <c r="A54" s="85">
        <f t="shared" si="1"/>
        <v>15</v>
      </c>
      <c r="B54" s="83" t="s">
        <v>40</v>
      </c>
      <c r="C54" s="236" t="s">
        <v>236</v>
      </c>
      <c r="D54" s="123" t="s">
        <v>47</v>
      </c>
      <c r="E54" s="276">
        <v>1.2</v>
      </c>
      <c r="F54" s="99"/>
      <c r="G54" s="99"/>
      <c r="H54" s="127"/>
      <c r="I54" s="99"/>
      <c r="J54" s="266"/>
      <c r="K54" s="99"/>
      <c r="L54" s="81"/>
      <c r="M54" s="82"/>
      <c r="N54" s="82"/>
      <c r="O54" s="82"/>
      <c r="P54" s="82"/>
      <c r="Q54" s="82"/>
    </row>
    <row r="55" spans="1:17" x14ac:dyDescent="0.25">
      <c r="A55" s="85" t="str">
        <f t="shared" si="1"/>
        <v xml:space="preserve"> </v>
      </c>
      <c r="B55" s="93"/>
      <c r="C55" s="264" t="s">
        <v>322</v>
      </c>
      <c r="D55" s="108" t="s">
        <v>58</v>
      </c>
      <c r="E55" s="99">
        <f>E54*F55</f>
        <v>0.48</v>
      </c>
      <c r="F55" s="99">
        <v>0.4</v>
      </c>
      <c r="G55" s="99"/>
      <c r="H55" s="99"/>
      <c r="I55" s="99"/>
      <c r="J55" s="99"/>
      <c r="K55" s="99"/>
      <c r="L55" s="81"/>
      <c r="M55" s="82"/>
      <c r="N55" s="82"/>
      <c r="O55" s="82"/>
      <c r="P55" s="82"/>
      <c r="Q55" s="82"/>
    </row>
    <row r="56" spans="1:17" ht="22.5" x14ac:dyDescent="0.25">
      <c r="A56" s="85" t="str">
        <f t="shared" si="1"/>
        <v xml:space="preserve"> </v>
      </c>
      <c r="B56" s="465"/>
      <c r="C56" s="84" t="s">
        <v>767</v>
      </c>
      <c r="D56" s="261" t="s">
        <v>42</v>
      </c>
      <c r="E56" s="262">
        <v>7</v>
      </c>
      <c r="F56" s="465"/>
      <c r="G56" s="90"/>
      <c r="H56" s="90"/>
      <c r="I56" s="90"/>
      <c r="J56" s="90"/>
      <c r="K56" s="90"/>
      <c r="L56" s="81"/>
      <c r="M56" s="82"/>
      <c r="N56" s="82"/>
      <c r="O56" s="82"/>
      <c r="P56" s="82"/>
      <c r="Q56" s="82"/>
    </row>
    <row r="57" spans="1:17" ht="22.5" x14ac:dyDescent="0.25">
      <c r="A57" s="85">
        <f t="shared" si="1"/>
        <v>16</v>
      </c>
      <c r="B57" s="83" t="s">
        <v>40</v>
      </c>
      <c r="C57" s="84" t="s">
        <v>237</v>
      </c>
      <c r="D57" s="261" t="s">
        <v>47</v>
      </c>
      <c r="E57" s="262">
        <v>1</v>
      </c>
      <c r="F57" s="465"/>
      <c r="G57" s="99"/>
      <c r="H57" s="127"/>
      <c r="I57" s="99"/>
      <c r="J57" s="266"/>
      <c r="K57" s="99"/>
      <c r="L57" s="81"/>
      <c r="M57" s="82"/>
      <c r="N57" s="82"/>
      <c r="O57" s="82"/>
      <c r="P57" s="82"/>
      <c r="Q57" s="82"/>
    </row>
    <row r="58" spans="1:17" ht="22.5" x14ac:dyDescent="0.25">
      <c r="A58" s="85">
        <f t="shared" si="1"/>
        <v>17</v>
      </c>
      <c r="B58" s="83" t="s">
        <v>40</v>
      </c>
      <c r="C58" s="84" t="s">
        <v>238</v>
      </c>
      <c r="D58" s="261" t="s">
        <v>44</v>
      </c>
      <c r="E58" s="263">
        <v>44</v>
      </c>
      <c r="F58" s="465"/>
      <c r="G58" s="99"/>
      <c r="H58" s="127"/>
      <c r="I58" s="99"/>
      <c r="J58" s="266"/>
      <c r="K58" s="99"/>
      <c r="L58" s="81"/>
      <c r="M58" s="82"/>
      <c r="N58" s="82"/>
      <c r="O58" s="82"/>
      <c r="P58" s="82"/>
      <c r="Q58" s="82"/>
    </row>
    <row r="59" spans="1:17" ht="22.5" x14ac:dyDescent="0.25">
      <c r="A59" s="85">
        <f t="shared" si="1"/>
        <v>18</v>
      </c>
      <c r="B59" s="83" t="s">
        <v>40</v>
      </c>
      <c r="C59" s="84" t="s">
        <v>239</v>
      </c>
      <c r="D59" s="261" t="s">
        <v>42</v>
      </c>
      <c r="E59" s="262">
        <v>182</v>
      </c>
      <c r="F59" s="465"/>
      <c r="G59" s="99"/>
      <c r="H59" s="127"/>
      <c r="I59" s="99"/>
      <c r="J59" s="266"/>
      <c r="K59" s="99"/>
      <c r="L59" s="81"/>
      <c r="M59" s="82"/>
      <c r="N59" s="82"/>
      <c r="O59" s="82"/>
      <c r="P59" s="82"/>
      <c r="Q59" s="82"/>
    </row>
    <row r="60" spans="1:17" x14ac:dyDescent="0.25">
      <c r="A60" s="85" t="str">
        <f t="shared" si="1"/>
        <v xml:space="preserve"> </v>
      </c>
      <c r="B60" s="465"/>
      <c r="C60" s="84" t="s">
        <v>240</v>
      </c>
      <c r="D60" s="261" t="s">
        <v>42</v>
      </c>
      <c r="E60" s="262">
        <v>182</v>
      </c>
      <c r="F60" s="465"/>
      <c r="G60" s="90"/>
      <c r="H60" s="90"/>
      <c r="I60" s="90"/>
      <c r="J60" s="90"/>
      <c r="K60" s="90"/>
      <c r="L60" s="81"/>
      <c r="M60" s="82"/>
      <c r="N60" s="82"/>
      <c r="O60" s="82"/>
      <c r="P60" s="82"/>
      <c r="Q60" s="82"/>
    </row>
    <row r="61" spans="1:17" x14ac:dyDescent="0.25">
      <c r="A61" s="85" t="str">
        <f t="shared" si="1"/>
        <v xml:space="preserve"> </v>
      </c>
      <c r="B61" s="465"/>
      <c r="C61" s="84" t="s">
        <v>241</v>
      </c>
      <c r="D61" s="261" t="s">
        <v>42</v>
      </c>
      <c r="E61" s="262">
        <v>182</v>
      </c>
      <c r="F61" s="465"/>
      <c r="G61" s="270"/>
      <c r="H61" s="127"/>
      <c r="I61" s="271"/>
      <c r="J61" s="272"/>
      <c r="K61" s="106"/>
      <c r="L61" s="81"/>
      <c r="M61" s="82"/>
      <c r="N61" s="82"/>
      <c r="O61" s="82"/>
      <c r="P61" s="82"/>
      <c r="Q61" s="82"/>
    </row>
    <row r="62" spans="1:17" ht="22.5" x14ac:dyDescent="0.25">
      <c r="A62" s="85" t="str">
        <f t="shared" si="1"/>
        <v xml:space="preserve"> </v>
      </c>
      <c r="B62" s="465"/>
      <c r="C62" s="84" t="s">
        <v>242</v>
      </c>
      <c r="D62" s="261" t="s">
        <v>58</v>
      </c>
      <c r="E62" s="86">
        <f>0.004*0.04*109*7800</f>
        <v>136.03200000000001</v>
      </c>
      <c r="F62" s="465"/>
      <c r="G62" s="90"/>
      <c r="H62" s="90"/>
      <c r="I62" s="90"/>
      <c r="J62" s="90"/>
      <c r="K62" s="90"/>
      <c r="L62" s="81"/>
      <c r="M62" s="82"/>
      <c r="N62" s="82"/>
      <c r="O62" s="82"/>
      <c r="P62" s="82"/>
      <c r="Q62" s="82"/>
    </row>
    <row r="63" spans="1:17" ht="22.5" x14ac:dyDescent="0.25">
      <c r="A63" s="85">
        <f t="shared" si="1"/>
        <v>19</v>
      </c>
      <c r="B63" s="83" t="s">
        <v>40</v>
      </c>
      <c r="C63" s="84" t="s">
        <v>243</v>
      </c>
      <c r="D63" s="261" t="s">
        <v>47</v>
      </c>
      <c r="E63" s="86">
        <f>0.42*182</f>
        <v>76.44</v>
      </c>
      <c r="F63" s="99"/>
      <c r="G63" s="500"/>
      <c r="H63" s="127"/>
      <c r="I63" s="80"/>
      <c r="J63" s="500"/>
      <c r="K63" s="500"/>
      <c r="L63" s="81"/>
      <c r="M63" s="82"/>
      <c r="N63" s="82"/>
      <c r="O63" s="82"/>
      <c r="P63" s="82"/>
      <c r="Q63" s="82"/>
    </row>
    <row r="64" spans="1:17" x14ac:dyDescent="0.25">
      <c r="A64" s="85" t="str">
        <f t="shared" si="1"/>
        <v xml:space="preserve"> </v>
      </c>
      <c r="B64" s="93"/>
      <c r="C64" s="274" t="s">
        <v>71</v>
      </c>
      <c r="D64" s="99" t="s">
        <v>205</v>
      </c>
      <c r="E64" s="79">
        <f>ROUNDUP(E63*F64,0)</f>
        <v>7</v>
      </c>
      <c r="F64" s="99">
        <v>8.2100000000000006E-2</v>
      </c>
      <c r="G64" s="275"/>
      <c r="H64" s="275"/>
      <c r="I64" s="275"/>
      <c r="J64" s="275"/>
      <c r="K64" s="275"/>
      <c r="L64" s="81"/>
      <c r="M64" s="82"/>
      <c r="N64" s="82"/>
      <c r="O64" s="82"/>
      <c r="P64" s="82"/>
      <c r="Q64" s="82"/>
    </row>
    <row r="65" spans="1:18" x14ac:dyDescent="0.25">
      <c r="A65" s="85" t="str">
        <f t="shared" si="1"/>
        <v xml:space="preserve"> </v>
      </c>
      <c r="B65" s="93"/>
      <c r="C65" s="274" t="s">
        <v>244</v>
      </c>
      <c r="D65" s="108" t="s">
        <v>667</v>
      </c>
      <c r="E65" s="99">
        <f>E63*F65</f>
        <v>22.931999999999999</v>
      </c>
      <c r="F65" s="99">
        <v>0.3</v>
      </c>
      <c r="G65" s="275"/>
      <c r="H65" s="275"/>
      <c r="I65" s="275"/>
      <c r="J65" s="275"/>
      <c r="K65" s="275"/>
      <c r="L65" s="81"/>
      <c r="M65" s="82"/>
      <c r="N65" s="82"/>
      <c r="O65" s="82"/>
      <c r="P65" s="82"/>
      <c r="Q65" s="82"/>
    </row>
    <row r="66" spans="1:18" x14ac:dyDescent="0.25">
      <c r="A66" s="85" t="str">
        <f t="shared" si="1"/>
        <v xml:space="preserve"> </v>
      </c>
      <c r="B66" s="465"/>
      <c r="C66" s="84" t="s">
        <v>245</v>
      </c>
      <c r="D66" s="261"/>
      <c r="E66" s="86"/>
      <c r="F66" s="465"/>
      <c r="G66" s="90"/>
      <c r="H66" s="90"/>
      <c r="I66" s="90"/>
      <c r="J66" s="90"/>
      <c r="K66" s="90"/>
      <c r="L66" s="81"/>
      <c r="M66" s="82"/>
      <c r="N66" s="82"/>
      <c r="O66" s="82"/>
      <c r="P66" s="82"/>
      <c r="Q66" s="82"/>
    </row>
    <row r="67" spans="1:18" ht="22.5" x14ac:dyDescent="0.25">
      <c r="A67" s="85" t="str">
        <f t="shared" si="1"/>
        <v xml:space="preserve"> </v>
      </c>
      <c r="B67" s="465"/>
      <c r="C67" s="84" t="s">
        <v>246</v>
      </c>
      <c r="D67" s="261"/>
      <c r="E67" s="262"/>
      <c r="F67" s="465"/>
      <c r="G67" s="90"/>
      <c r="H67" s="90"/>
      <c r="I67" s="90"/>
      <c r="J67" s="90"/>
      <c r="K67" s="90"/>
      <c r="L67" s="81"/>
      <c r="M67" s="82"/>
      <c r="N67" s="82"/>
      <c r="O67" s="82"/>
      <c r="P67" s="82"/>
      <c r="Q67" s="82"/>
    </row>
    <row r="68" spans="1:18" x14ac:dyDescent="0.25">
      <c r="A68" s="96" t="str">
        <f>IF(COUNTBLANK(I68)=1," ",COUNTA($I$25:I68))</f>
        <v xml:space="preserve"> </v>
      </c>
      <c r="B68" s="110"/>
      <c r="C68" s="113" t="s">
        <v>77</v>
      </c>
      <c r="D68" s="115"/>
      <c r="E68" s="9"/>
      <c r="F68" s="9"/>
      <c r="G68" s="96"/>
      <c r="H68" s="9"/>
      <c r="I68" s="96"/>
      <c r="J68" s="96"/>
      <c r="K68" s="96"/>
      <c r="L68" s="96"/>
      <c r="M68" s="114">
        <f>SUM(M13:M67)</f>
        <v>0</v>
      </c>
      <c r="N68" s="114">
        <f>SUM(N13:N67)</f>
        <v>0</v>
      </c>
      <c r="O68" s="114">
        <f>SUM(O13:O67)</f>
        <v>0</v>
      </c>
      <c r="P68" s="114">
        <f>SUM(P13:P67)</f>
        <v>0</v>
      </c>
      <c r="Q68" s="114">
        <f>SUM(Q13:Q67)</f>
        <v>0</v>
      </c>
    </row>
    <row r="69" spans="1:18" x14ac:dyDescent="0.25">
      <c r="A69" s="96"/>
      <c r="B69" s="110"/>
      <c r="C69" s="230"/>
      <c r="D69" s="115"/>
      <c r="E69" s="9"/>
      <c r="F69" s="9"/>
      <c r="G69" s="96"/>
      <c r="H69" s="9"/>
      <c r="I69" s="96"/>
      <c r="J69" s="96"/>
      <c r="K69" s="96"/>
      <c r="L69" s="96"/>
      <c r="M69" s="116"/>
      <c r="N69" s="96"/>
      <c r="O69" s="116"/>
      <c r="P69" s="116"/>
      <c r="Q69" s="116"/>
    </row>
    <row r="70" spans="1:18" x14ac:dyDescent="0.25">
      <c r="A70" s="96"/>
      <c r="B70" s="110"/>
      <c r="C70" s="673" t="s">
        <v>680</v>
      </c>
      <c r="D70" s="115"/>
      <c r="E70" s="9"/>
      <c r="F70" s="9"/>
      <c r="G70" s="96"/>
      <c r="H70" s="9"/>
      <c r="I70" s="96"/>
      <c r="J70" s="96"/>
      <c r="K70" s="96"/>
      <c r="L70" s="96"/>
      <c r="M70" s="116"/>
      <c r="N70" s="96"/>
      <c r="O70" s="116"/>
      <c r="P70" s="116"/>
      <c r="Q70" s="116"/>
    </row>
    <row r="71" spans="1:18" x14ac:dyDescent="0.25">
      <c r="A71" s="96"/>
      <c r="B71" s="110"/>
      <c r="C71" s="674" t="s">
        <v>678</v>
      </c>
      <c r="D71" s="115"/>
      <c r="E71" s="9"/>
      <c r="F71" s="9"/>
      <c r="G71" s="96"/>
      <c r="H71" s="9"/>
      <c r="I71" s="96"/>
      <c r="J71" s="96"/>
      <c r="K71" s="96"/>
      <c r="L71" s="96"/>
      <c r="M71" s="116"/>
      <c r="N71" s="96"/>
      <c r="O71" s="116"/>
      <c r="P71" s="116"/>
      <c r="Q71" s="116"/>
    </row>
    <row r="72" spans="1:18" ht="15" x14ac:dyDescent="0.25">
      <c r="A72" s="96"/>
      <c r="B72" s="110"/>
      <c r="C72" s="675"/>
      <c r="D72" s="115"/>
      <c r="E72" s="9"/>
      <c r="F72" s="9"/>
      <c r="G72" s="96"/>
      <c r="H72" s="9"/>
      <c r="I72" s="96"/>
      <c r="J72" s="96"/>
      <c r="K72" s="96"/>
      <c r="L72" s="96"/>
      <c r="M72" s="116"/>
      <c r="N72" s="96"/>
      <c r="O72" s="116"/>
      <c r="P72" s="116"/>
      <c r="Q72" s="116"/>
    </row>
    <row r="73" spans="1:18" x14ac:dyDescent="0.25">
      <c r="C73" s="673" t="s">
        <v>7</v>
      </c>
      <c r="M73" s="118"/>
      <c r="N73" s="118"/>
      <c r="O73" s="118"/>
      <c r="P73" s="118"/>
      <c r="Q73" s="118"/>
    </row>
    <row r="74" spans="1:18" x14ac:dyDescent="0.25">
      <c r="B74" s="57"/>
      <c r="C74" s="673" t="s">
        <v>681</v>
      </c>
    </row>
    <row r="75" spans="1:18" x14ac:dyDescent="0.25">
      <c r="B75" s="57"/>
      <c r="C75" s="61"/>
    </row>
    <row r="76" spans="1:18" ht="12.75" x14ac:dyDescent="0.2">
      <c r="B76" s="1"/>
      <c r="C76" s="781" t="s">
        <v>838</v>
      </c>
      <c r="D76" s="782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783"/>
      <c r="P76" s="783"/>
      <c r="Q76" s="783"/>
      <c r="R76" s="783"/>
    </row>
    <row r="77" spans="1:18" x14ac:dyDescent="0.25">
      <c r="C77" s="784" t="s">
        <v>839</v>
      </c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784"/>
      <c r="P77" s="784"/>
      <c r="Q77" s="784"/>
      <c r="R77" s="784"/>
    </row>
    <row r="78" spans="1:18" x14ac:dyDescent="0.25">
      <c r="B78" s="1"/>
      <c r="C78" s="784"/>
      <c r="D78" s="784"/>
      <c r="E78" s="784"/>
      <c r="F78" s="784"/>
      <c r="G78" s="784"/>
      <c r="H78" s="784"/>
      <c r="I78" s="784"/>
      <c r="J78" s="784"/>
      <c r="K78" s="784"/>
      <c r="L78" s="784"/>
      <c r="M78" s="784"/>
      <c r="N78" s="784"/>
      <c r="O78" s="784"/>
      <c r="P78" s="784"/>
      <c r="Q78" s="784"/>
      <c r="R78" s="784"/>
    </row>
    <row r="79" spans="1:18" ht="27" customHeight="1" x14ac:dyDescent="0.25">
      <c r="B79" s="57"/>
      <c r="C79" s="784"/>
      <c r="D79" s="784"/>
      <c r="E79" s="784"/>
      <c r="F79" s="784"/>
      <c r="G79" s="784"/>
      <c r="H79" s="784"/>
      <c r="I79" s="784"/>
      <c r="J79" s="784"/>
      <c r="K79" s="784"/>
      <c r="L79" s="784"/>
      <c r="M79" s="784"/>
      <c r="N79" s="784"/>
      <c r="O79" s="784"/>
      <c r="P79" s="784"/>
      <c r="Q79" s="784"/>
      <c r="R79" s="784"/>
    </row>
    <row r="80" spans="1:18" x14ac:dyDescent="0.25">
      <c r="B80" s="57"/>
      <c r="C80" s="61"/>
    </row>
    <row r="81" spans="2:3" x14ac:dyDescent="0.25">
      <c r="B81" s="1"/>
      <c r="C81" s="57"/>
    </row>
  </sheetData>
  <sheetProtection selectLockedCells="1" selectUnlockedCells="1"/>
  <autoFilter ref="A11:IV67" xr:uid="{00000000-0009-0000-0000-000007000000}"/>
  <mergeCells count="9">
    <mergeCell ref="C77:R79"/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1111111111111" right="0.2361111111111111" top="0.74791666666666667" bottom="0.74861111111111112" header="0.51180555555555551" footer="0.31527777777777777"/>
  <pageSetup paperSize="9" scale="93" firstPageNumber="0" fitToHeight="0" orientation="landscape" horizontalDpi="300" verticalDpi="300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A1:R285"/>
  <sheetViews>
    <sheetView view="pageBreakPreview" topLeftCell="A257" zoomScale="130" zoomScaleNormal="115" zoomScaleSheetLayoutView="130" workbookViewId="0">
      <selection activeCell="C278" sqref="C278"/>
    </sheetView>
  </sheetViews>
  <sheetFormatPr defaultColWidth="8.85546875" defaultRowHeight="11.25" x14ac:dyDescent="0.25"/>
  <cols>
    <col min="1" max="2" width="4.140625" style="379" customWidth="1"/>
    <col min="3" max="3" width="55.28515625" style="455" customWidth="1"/>
    <col min="4" max="4" width="5.85546875" style="379" customWidth="1"/>
    <col min="5" max="5" width="8.28515625" style="559" customWidth="1"/>
    <col min="6" max="6" width="4" style="379" hidden="1" customWidth="1"/>
    <col min="7" max="7" width="5.42578125" style="379" customWidth="1"/>
    <col min="8" max="8" width="7" style="379" customWidth="1"/>
    <col min="9" max="9" width="5.42578125" style="379" customWidth="1"/>
    <col min="10" max="10" width="7" style="379" customWidth="1"/>
    <col min="11" max="11" width="5.42578125" style="379" customWidth="1"/>
    <col min="12" max="12" width="7.5703125" style="379" customWidth="1"/>
    <col min="13" max="13" width="8.42578125" style="379" customWidth="1"/>
    <col min="14" max="14" width="9.28515625" style="379" customWidth="1"/>
    <col min="15" max="15" width="7.7109375" style="379" customWidth="1"/>
    <col min="16" max="16" width="7" style="379" customWidth="1"/>
    <col min="17" max="17" width="9" style="379" customWidth="1"/>
    <col min="18" max="16384" width="8.85546875" style="379"/>
  </cols>
  <sheetData>
    <row r="1" spans="1:17" s="373" customFormat="1" x14ac:dyDescent="0.25">
      <c r="A1" s="751" t="s">
        <v>27</v>
      </c>
      <c r="B1" s="751"/>
      <c r="C1" s="751"/>
      <c r="D1" s="751"/>
      <c r="E1" s="751"/>
      <c r="F1" s="751"/>
      <c r="G1" s="751"/>
      <c r="H1" s="382">
        <f>KPDV!B18</f>
        <v>6</v>
      </c>
      <c r="I1" s="374"/>
      <c r="J1" s="374"/>
      <c r="K1" s="374"/>
      <c r="L1" s="374"/>
      <c r="M1" s="374"/>
    </row>
    <row r="2" spans="1:17" s="373" customFormat="1" x14ac:dyDescent="0.25">
      <c r="A2" s="375"/>
      <c r="B2" s="375"/>
      <c r="C2" s="420" t="s">
        <v>247</v>
      </c>
      <c r="D2" s="375"/>
      <c r="E2" s="375"/>
      <c r="F2" s="375"/>
      <c r="G2" s="375"/>
      <c r="H2" s="382"/>
      <c r="I2" s="374"/>
      <c r="J2" s="374"/>
      <c r="K2" s="374"/>
      <c r="L2" s="374"/>
      <c r="M2" s="374"/>
    </row>
    <row r="3" spans="1:17" x14ac:dyDescent="0.25">
      <c r="A3" s="377" t="str">
        <f>obj</f>
        <v>Objekta nosaukums: Dzīvojamās ēkas fasādes vienkāršota atjaunošana</v>
      </c>
      <c r="B3" s="377"/>
      <c r="C3" s="378"/>
      <c r="D3" s="377"/>
      <c r="E3" s="501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x14ac:dyDescent="0.25">
      <c r="A4" s="380" t="str">
        <f>nos</f>
        <v>Būves nosaukums: Daudzdzīvokļu dzīvojamā ēka</v>
      </c>
      <c r="B4" s="377"/>
      <c r="C4" s="378"/>
      <c r="D4" s="377"/>
      <c r="E4" s="501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5" spans="1:17" x14ac:dyDescent="0.25">
      <c r="A5" s="377" t="str">
        <f>adres</f>
        <v>Objekta adrese: Mirdzas Ķempes iela 22, Liepāja</v>
      </c>
      <c r="B5" s="377"/>
      <c r="C5" s="378"/>
      <c r="D5" s="377"/>
      <c r="E5" s="501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x14ac:dyDescent="0.25">
      <c r="A6" s="377" t="str">
        <f>nr</f>
        <v>Pasūtījuma Nr.WS-77-16</v>
      </c>
      <c r="B6" s="377"/>
      <c r="C6" s="378"/>
      <c r="D6" s="377"/>
      <c r="E6" s="501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</row>
    <row r="7" spans="1:17" x14ac:dyDescent="0.2">
      <c r="A7" s="381"/>
      <c r="B7" s="373"/>
      <c r="C7" s="502" t="s">
        <v>689</v>
      </c>
      <c r="D7" s="381"/>
      <c r="E7" s="382" t="s">
        <v>662</v>
      </c>
      <c r="F7" s="373" t="s">
        <v>30</v>
      </c>
      <c r="G7" s="687" t="s">
        <v>690</v>
      </c>
      <c r="H7" s="373"/>
      <c r="I7" s="373"/>
      <c r="J7" s="373"/>
      <c r="K7" s="373"/>
      <c r="L7" s="373"/>
      <c r="M7" s="373"/>
      <c r="N7" s="373"/>
      <c r="O7" s="373"/>
      <c r="P7" s="383" t="s">
        <v>31</v>
      </c>
      <c r="Q7" s="384">
        <f>Q272</f>
        <v>0</v>
      </c>
    </row>
    <row r="8" spans="1:17" x14ac:dyDescent="0.25">
      <c r="A8" s="382"/>
      <c r="B8" s="382"/>
      <c r="C8" s="419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1"/>
      <c r="O8" s="386"/>
      <c r="P8" s="387" t="str">
        <f>KPDV!C33</f>
        <v>Tāme sastādīta</v>
      </c>
      <c r="Q8" s="377"/>
    </row>
    <row r="9" spans="1:17" s="391" customFormat="1" ht="10.5" customHeight="1" x14ac:dyDescent="0.25">
      <c r="A9" s="726" t="s">
        <v>1</v>
      </c>
      <c r="B9" s="726" t="s">
        <v>32</v>
      </c>
      <c r="C9" s="752" t="s">
        <v>33</v>
      </c>
      <c r="D9" s="728" t="s">
        <v>34</v>
      </c>
      <c r="E9" s="726" t="s">
        <v>35</v>
      </c>
      <c r="F9" s="388"/>
      <c r="G9" s="725" t="s">
        <v>36</v>
      </c>
      <c r="H9" s="725"/>
      <c r="I9" s="725"/>
      <c r="J9" s="725"/>
      <c r="K9" s="725"/>
      <c r="L9" s="725"/>
      <c r="M9" s="750" t="s">
        <v>37</v>
      </c>
      <c r="N9" s="750"/>
      <c r="O9" s="750"/>
      <c r="P9" s="750"/>
      <c r="Q9" s="750"/>
    </row>
    <row r="10" spans="1:17" s="391" customFormat="1" ht="68.25" x14ac:dyDescent="0.25">
      <c r="A10" s="726"/>
      <c r="B10" s="726"/>
      <c r="C10" s="752"/>
      <c r="D10" s="728"/>
      <c r="E10" s="726"/>
      <c r="F10" s="388"/>
      <c r="G10" s="392" t="s">
        <v>38</v>
      </c>
      <c r="H10" s="392" t="s">
        <v>663</v>
      </c>
      <c r="I10" s="392" t="s">
        <v>20</v>
      </c>
      <c r="J10" s="392" t="s">
        <v>657</v>
      </c>
      <c r="K10" s="392" t="s">
        <v>21</v>
      </c>
      <c r="L10" s="392" t="s">
        <v>658</v>
      </c>
      <c r="M10" s="392" t="s">
        <v>39</v>
      </c>
      <c r="N10" s="392" t="s">
        <v>20</v>
      </c>
      <c r="O10" s="392" t="s">
        <v>657</v>
      </c>
      <c r="P10" s="392" t="s">
        <v>21</v>
      </c>
      <c r="Q10" s="392" t="s">
        <v>659</v>
      </c>
    </row>
    <row r="11" spans="1:17" s="391" customFormat="1" x14ac:dyDescent="0.25">
      <c r="A11" s="504">
        <v>1</v>
      </c>
      <c r="B11" s="504">
        <f>A11+1</f>
        <v>2</v>
      </c>
      <c r="C11" s="389">
        <f>B11+1</f>
        <v>3</v>
      </c>
      <c r="D11" s="504">
        <f>C11+1</f>
        <v>4</v>
      </c>
      <c r="E11" s="505">
        <f>D11+1</f>
        <v>5</v>
      </c>
      <c r="F11" s="395">
        <v>1</v>
      </c>
      <c r="G11" s="504">
        <f>E11+1</f>
        <v>6</v>
      </c>
      <c r="H11" s="504">
        <f t="shared" ref="H11:Q11" si="0">G11+1</f>
        <v>7</v>
      </c>
      <c r="I11" s="504">
        <f t="shared" si="0"/>
        <v>8</v>
      </c>
      <c r="J11" s="504">
        <f t="shared" si="0"/>
        <v>9</v>
      </c>
      <c r="K11" s="504">
        <f t="shared" si="0"/>
        <v>10</v>
      </c>
      <c r="L11" s="504">
        <f t="shared" si="0"/>
        <v>11</v>
      </c>
      <c r="M11" s="506">
        <f t="shared" si="0"/>
        <v>12</v>
      </c>
      <c r="N11" s="504">
        <f t="shared" si="0"/>
        <v>13</v>
      </c>
      <c r="O11" s="504">
        <f t="shared" si="0"/>
        <v>14</v>
      </c>
      <c r="P11" s="504">
        <f t="shared" si="0"/>
        <v>15</v>
      </c>
      <c r="Q11" s="504">
        <f t="shared" si="0"/>
        <v>16</v>
      </c>
    </row>
    <row r="12" spans="1:17" ht="23.25" customHeight="1" x14ac:dyDescent="0.25">
      <c r="C12" s="507" t="s">
        <v>670</v>
      </c>
      <c r="D12" s="507"/>
      <c r="E12" s="507"/>
    </row>
    <row r="13" spans="1:17" x14ac:dyDescent="0.25">
      <c r="A13" s="406">
        <f t="shared" ref="A13:A57" si="1">IF(COUNTBLANK(B13)=1," ",COUNTA($B$13:B13))</f>
        <v>1</v>
      </c>
      <c r="B13" s="404" t="s">
        <v>40</v>
      </c>
      <c r="C13" s="508" t="s">
        <v>248</v>
      </c>
      <c r="D13" s="407" t="s">
        <v>249</v>
      </c>
      <c r="E13" s="407">
        <f>0.31*6</f>
        <v>1.8599999999999999</v>
      </c>
      <c r="F13" s="509"/>
      <c r="G13" s="401"/>
      <c r="H13" s="418"/>
      <c r="I13" s="401"/>
      <c r="J13" s="401"/>
      <c r="K13" s="401"/>
      <c r="L13" s="402"/>
      <c r="M13" s="403"/>
      <c r="N13" s="403"/>
      <c r="O13" s="403"/>
      <c r="P13" s="403"/>
      <c r="Q13" s="403"/>
    </row>
    <row r="14" spans="1:17" ht="22.5" x14ac:dyDescent="0.25">
      <c r="A14" s="406">
        <f t="shared" si="1"/>
        <v>2</v>
      </c>
      <c r="B14" s="404" t="s">
        <v>40</v>
      </c>
      <c r="C14" s="508" t="s">
        <v>250</v>
      </c>
      <c r="D14" s="407" t="s">
        <v>249</v>
      </c>
      <c r="E14" s="407">
        <f>3*3</f>
        <v>9</v>
      </c>
      <c r="F14" s="509"/>
      <c r="G14" s="401"/>
      <c r="H14" s="510"/>
      <c r="I14" s="401"/>
      <c r="J14" s="401"/>
      <c r="K14" s="401"/>
      <c r="L14" s="402"/>
      <c r="M14" s="403"/>
      <c r="N14" s="403"/>
      <c r="O14" s="403"/>
      <c r="P14" s="403"/>
      <c r="Q14" s="403"/>
    </row>
    <row r="15" spans="1:17" x14ac:dyDescent="0.25">
      <c r="A15" s="406">
        <f t="shared" si="1"/>
        <v>3</v>
      </c>
      <c r="B15" s="404" t="s">
        <v>40</v>
      </c>
      <c r="C15" s="508" t="s">
        <v>251</v>
      </c>
      <c r="D15" s="407" t="s">
        <v>44</v>
      </c>
      <c r="E15" s="511">
        <v>4</v>
      </c>
      <c r="F15" s="509"/>
      <c r="G15" s="401"/>
      <c r="H15" s="510"/>
      <c r="I15" s="401"/>
      <c r="J15" s="401"/>
      <c r="K15" s="401"/>
      <c r="L15" s="402"/>
      <c r="M15" s="403"/>
      <c r="N15" s="403"/>
      <c r="O15" s="403"/>
      <c r="P15" s="403"/>
      <c r="Q15" s="403"/>
    </row>
    <row r="16" spans="1:17" x14ac:dyDescent="0.25">
      <c r="A16" s="406">
        <f t="shared" si="1"/>
        <v>4</v>
      </c>
      <c r="B16" s="404" t="s">
        <v>40</v>
      </c>
      <c r="C16" s="508" t="s">
        <v>252</v>
      </c>
      <c r="D16" s="407" t="s">
        <v>44</v>
      </c>
      <c r="E16" s="511">
        <v>4</v>
      </c>
      <c r="F16" s="509"/>
      <c r="G16" s="401"/>
      <c r="H16" s="510"/>
      <c r="I16" s="401"/>
      <c r="J16" s="401"/>
      <c r="K16" s="401"/>
      <c r="L16" s="402"/>
      <c r="M16" s="403"/>
      <c r="N16" s="403"/>
      <c r="O16" s="403"/>
      <c r="P16" s="403"/>
      <c r="Q16" s="403"/>
    </row>
    <row r="17" spans="1:17" ht="22.5" x14ac:dyDescent="0.25">
      <c r="A17" s="406">
        <f t="shared" si="1"/>
        <v>5</v>
      </c>
      <c r="B17" s="404" t="s">
        <v>40</v>
      </c>
      <c r="C17" s="508" t="s">
        <v>253</v>
      </c>
      <c r="D17" s="407" t="s">
        <v>44</v>
      </c>
      <c r="E17" s="511">
        <v>2</v>
      </c>
      <c r="F17" s="509"/>
      <c r="G17" s="401"/>
      <c r="H17" s="510"/>
      <c r="I17" s="401"/>
      <c r="J17" s="401"/>
      <c r="K17" s="401"/>
      <c r="L17" s="402"/>
      <c r="M17" s="403"/>
      <c r="N17" s="403"/>
      <c r="O17" s="403"/>
      <c r="P17" s="403"/>
      <c r="Q17" s="403"/>
    </row>
    <row r="18" spans="1:17" x14ac:dyDescent="0.25">
      <c r="A18" s="406">
        <f t="shared" si="1"/>
        <v>6</v>
      </c>
      <c r="B18" s="404" t="s">
        <v>40</v>
      </c>
      <c r="C18" s="508" t="s">
        <v>698</v>
      </c>
      <c r="D18" s="407" t="s">
        <v>205</v>
      </c>
      <c r="E18" s="407">
        <v>1</v>
      </c>
      <c r="F18" s="509"/>
      <c r="G18" s="401"/>
      <c r="H18" s="510"/>
      <c r="I18" s="401"/>
      <c r="J18" s="401"/>
      <c r="K18" s="401"/>
      <c r="L18" s="402"/>
      <c r="M18" s="403"/>
      <c r="N18" s="403"/>
      <c r="O18" s="403"/>
      <c r="P18" s="403"/>
      <c r="Q18" s="403"/>
    </row>
    <row r="19" spans="1:17" ht="22.5" x14ac:dyDescent="0.25">
      <c r="A19" s="406" t="str">
        <f t="shared" si="1"/>
        <v xml:space="preserve"> </v>
      </c>
      <c r="B19" s="509"/>
      <c r="C19" s="405" t="s">
        <v>254</v>
      </c>
      <c r="D19" s="407" t="s">
        <v>58</v>
      </c>
      <c r="E19" s="407">
        <f>14.25*8</f>
        <v>114</v>
      </c>
      <c r="F19" s="509"/>
      <c r="G19" s="509"/>
      <c r="H19" s="509"/>
      <c r="I19" s="509"/>
      <c r="J19" s="416"/>
      <c r="K19" s="509"/>
      <c r="L19" s="402"/>
      <c r="M19" s="403"/>
      <c r="N19" s="403"/>
      <c r="O19" s="403"/>
      <c r="P19" s="403"/>
      <c r="Q19" s="403"/>
    </row>
    <row r="20" spans="1:17" ht="22.5" x14ac:dyDescent="0.25">
      <c r="A20" s="406" t="str">
        <f t="shared" si="1"/>
        <v xml:space="preserve"> </v>
      </c>
      <c r="B20" s="509"/>
      <c r="C20" s="405" t="s">
        <v>255</v>
      </c>
      <c r="D20" s="407" t="s">
        <v>58</v>
      </c>
      <c r="E20" s="407">
        <f>14.25*11</f>
        <v>156.75</v>
      </c>
      <c r="F20" s="509"/>
      <c r="G20" s="509"/>
      <c r="H20" s="509"/>
      <c r="I20" s="509"/>
      <c r="J20" s="416"/>
      <c r="K20" s="509"/>
      <c r="L20" s="402"/>
      <c r="M20" s="403"/>
      <c r="N20" s="403"/>
      <c r="O20" s="403"/>
      <c r="P20" s="403"/>
      <c r="Q20" s="403"/>
    </row>
    <row r="21" spans="1:17" x14ac:dyDescent="0.25">
      <c r="A21" s="406" t="str">
        <f t="shared" si="1"/>
        <v xml:space="preserve"> </v>
      </c>
      <c r="B21" s="509"/>
      <c r="C21" s="405" t="s">
        <v>256</v>
      </c>
      <c r="D21" s="407" t="s">
        <v>58</v>
      </c>
      <c r="E21" s="512">
        <f>0.01*0.3*0.3*11*7800</f>
        <v>77.22</v>
      </c>
      <c r="F21" s="509"/>
      <c r="G21" s="509"/>
      <c r="H21" s="509"/>
      <c r="I21" s="509"/>
      <c r="J21" s="416"/>
      <c r="K21" s="509"/>
      <c r="L21" s="402"/>
      <c r="M21" s="403"/>
      <c r="N21" s="403"/>
      <c r="O21" s="403"/>
      <c r="P21" s="403"/>
      <c r="Q21" s="403"/>
    </row>
    <row r="22" spans="1:17" x14ac:dyDescent="0.25">
      <c r="A22" s="406" t="str">
        <f t="shared" si="1"/>
        <v xml:space="preserve"> </v>
      </c>
      <c r="B22" s="509"/>
      <c r="C22" s="405" t="s">
        <v>768</v>
      </c>
      <c r="D22" s="513" t="s">
        <v>44</v>
      </c>
      <c r="E22" s="514">
        <v>44</v>
      </c>
      <c r="F22" s="509"/>
      <c r="G22" s="509"/>
      <c r="H22" s="509"/>
      <c r="I22" s="509"/>
      <c r="J22" s="416"/>
      <c r="K22" s="509"/>
      <c r="L22" s="402"/>
      <c r="M22" s="403"/>
      <c r="N22" s="403"/>
      <c r="O22" s="403"/>
      <c r="P22" s="403"/>
      <c r="Q22" s="403"/>
    </row>
    <row r="23" spans="1:17" x14ac:dyDescent="0.25">
      <c r="A23" s="406" t="str">
        <f t="shared" si="1"/>
        <v xml:space="preserve"> </v>
      </c>
      <c r="B23" s="509"/>
      <c r="C23" s="405" t="s">
        <v>257</v>
      </c>
      <c r="D23" s="407" t="s">
        <v>58</v>
      </c>
      <c r="E23" s="512">
        <f>0.01*0.2*0.2*11*7800</f>
        <v>34.32</v>
      </c>
      <c r="F23" s="509"/>
      <c r="G23" s="509"/>
      <c r="H23" s="509"/>
      <c r="I23" s="509"/>
      <c r="J23" s="416"/>
      <c r="K23" s="509"/>
      <c r="L23" s="402"/>
      <c r="M23" s="403"/>
      <c r="N23" s="403"/>
      <c r="O23" s="403"/>
      <c r="P23" s="403"/>
      <c r="Q23" s="403"/>
    </row>
    <row r="24" spans="1:17" x14ac:dyDescent="0.25">
      <c r="A24" s="406" t="str">
        <f t="shared" si="1"/>
        <v xml:space="preserve"> </v>
      </c>
      <c r="B24" s="509"/>
      <c r="C24" s="405" t="s">
        <v>258</v>
      </c>
      <c r="D24" s="407" t="s">
        <v>58</v>
      </c>
      <c r="E24" s="512">
        <f>0.008*0.04*0.1*6*7800</f>
        <v>1.4976000000000003</v>
      </c>
      <c r="F24" s="509"/>
      <c r="G24" s="509"/>
      <c r="H24" s="509"/>
      <c r="I24" s="509"/>
      <c r="J24" s="416"/>
      <c r="K24" s="509"/>
      <c r="L24" s="402"/>
      <c r="M24" s="403"/>
      <c r="N24" s="403"/>
      <c r="O24" s="403"/>
      <c r="P24" s="403"/>
      <c r="Q24" s="403"/>
    </row>
    <row r="25" spans="1:17" x14ac:dyDescent="0.25">
      <c r="A25" s="406" t="str">
        <f t="shared" si="1"/>
        <v xml:space="preserve"> </v>
      </c>
      <c r="B25" s="509"/>
      <c r="C25" s="405" t="s">
        <v>259</v>
      </c>
      <c r="D25" s="407" t="s">
        <v>58</v>
      </c>
      <c r="E25" s="512">
        <f>0.008*0.04*0.1*19*7800</f>
        <v>4.7424000000000008</v>
      </c>
      <c r="F25" s="509"/>
      <c r="G25" s="509"/>
      <c r="H25" s="509"/>
      <c r="I25" s="509"/>
      <c r="J25" s="416"/>
      <c r="K25" s="509"/>
      <c r="L25" s="402"/>
      <c r="M25" s="403"/>
      <c r="N25" s="403"/>
      <c r="O25" s="403"/>
      <c r="P25" s="403"/>
      <c r="Q25" s="403"/>
    </row>
    <row r="26" spans="1:17" ht="22.5" x14ac:dyDescent="0.25">
      <c r="A26" s="406" t="str">
        <f t="shared" si="1"/>
        <v xml:space="preserve"> </v>
      </c>
      <c r="B26" s="509"/>
      <c r="C26" s="405" t="s">
        <v>260</v>
      </c>
      <c r="D26" s="406" t="s">
        <v>58</v>
      </c>
      <c r="E26" s="514">
        <f>6*6.6*20.4</f>
        <v>807.8399999999998</v>
      </c>
      <c r="F26" s="509"/>
      <c r="G26" s="509"/>
      <c r="H26" s="509"/>
      <c r="I26" s="509"/>
      <c r="J26" s="416"/>
      <c r="K26" s="509"/>
      <c r="L26" s="402"/>
      <c r="M26" s="403"/>
      <c r="N26" s="403"/>
      <c r="O26" s="403"/>
      <c r="P26" s="403"/>
      <c r="Q26" s="403"/>
    </row>
    <row r="27" spans="1:17" ht="22.5" x14ac:dyDescent="0.25">
      <c r="A27" s="406" t="str">
        <f t="shared" si="1"/>
        <v xml:space="preserve"> </v>
      </c>
      <c r="B27" s="509"/>
      <c r="C27" s="405" t="s">
        <v>261</v>
      </c>
      <c r="D27" s="406" t="s">
        <v>58</v>
      </c>
      <c r="E27" s="514">
        <f>6*3.5*20.4</f>
        <v>428.4</v>
      </c>
      <c r="F27" s="509"/>
      <c r="G27" s="509"/>
      <c r="H27" s="509"/>
      <c r="I27" s="509"/>
      <c r="J27" s="416"/>
      <c r="K27" s="509"/>
      <c r="L27" s="402"/>
      <c r="M27" s="403"/>
      <c r="N27" s="403"/>
      <c r="O27" s="403"/>
      <c r="P27" s="403"/>
      <c r="Q27" s="403"/>
    </row>
    <row r="28" spans="1:17" x14ac:dyDescent="0.25">
      <c r="A28" s="406" t="str">
        <f t="shared" si="1"/>
        <v xml:space="preserve"> </v>
      </c>
      <c r="B28" s="509"/>
      <c r="C28" s="405" t="s">
        <v>262</v>
      </c>
      <c r="D28" s="406" t="s">
        <v>44</v>
      </c>
      <c r="E28" s="514">
        <f>12*4</f>
        <v>48</v>
      </c>
      <c r="F28" s="509"/>
      <c r="G28" s="509"/>
      <c r="H28" s="509"/>
      <c r="I28" s="509"/>
      <c r="J28" s="416"/>
      <c r="K28" s="509"/>
      <c r="L28" s="402"/>
      <c r="M28" s="403"/>
      <c r="N28" s="403"/>
      <c r="O28" s="403"/>
      <c r="P28" s="403"/>
      <c r="Q28" s="403"/>
    </row>
    <row r="29" spans="1:17" x14ac:dyDescent="0.25">
      <c r="A29" s="406" t="str">
        <f t="shared" si="1"/>
        <v xml:space="preserve"> </v>
      </c>
      <c r="B29" s="509"/>
      <c r="C29" s="405" t="s">
        <v>263</v>
      </c>
      <c r="D29" s="406" t="s">
        <v>44</v>
      </c>
      <c r="E29" s="514">
        <v>12</v>
      </c>
      <c r="F29" s="509"/>
      <c r="G29" s="509"/>
      <c r="H29" s="509"/>
      <c r="I29" s="509"/>
      <c r="J29" s="416"/>
      <c r="K29" s="509"/>
      <c r="L29" s="402"/>
      <c r="M29" s="403"/>
      <c r="N29" s="403"/>
      <c r="O29" s="403"/>
      <c r="P29" s="403"/>
      <c r="Q29" s="403"/>
    </row>
    <row r="30" spans="1:17" x14ac:dyDescent="0.25">
      <c r="A30" s="406" t="str">
        <f t="shared" si="1"/>
        <v xml:space="preserve"> </v>
      </c>
      <c r="B30" s="509"/>
      <c r="C30" s="405" t="s">
        <v>264</v>
      </c>
      <c r="D30" s="406" t="s">
        <v>42</v>
      </c>
      <c r="E30" s="514">
        <f>12*3.2</f>
        <v>38.400000000000006</v>
      </c>
      <c r="F30" s="509"/>
      <c r="G30" s="509"/>
      <c r="H30" s="509"/>
      <c r="I30" s="509"/>
      <c r="J30" s="416"/>
      <c r="K30" s="509"/>
      <c r="L30" s="402"/>
      <c r="M30" s="403"/>
      <c r="N30" s="403"/>
      <c r="O30" s="403"/>
      <c r="P30" s="403"/>
      <c r="Q30" s="403"/>
    </row>
    <row r="31" spans="1:17" ht="22.5" x14ac:dyDescent="0.25">
      <c r="A31" s="406" t="str">
        <f t="shared" si="1"/>
        <v xml:space="preserve"> </v>
      </c>
      <c r="B31" s="509"/>
      <c r="C31" s="405" t="s">
        <v>265</v>
      </c>
      <c r="D31" s="406" t="s">
        <v>58</v>
      </c>
      <c r="E31" s="512">
        <f>0.004*0.05*0.1*24*7800</f>
        <v>3.7440000000000007</v>
      </c>
      <c r="F31" s="509"/>
      <c r="G31" s="509"/>
      <c r="H31" s="509"/>
      <c r="I31" s="509"/>
      <c r="J31" s="416"/>
      <c r="K31" s="509"/>
      <c r="L31" s="402"/>
      <c r="M31" s="403"/>
      <c r="N31" s="403"/>
      <c r="O31" s="403"/>
      <c r="P31" s="403"/>
      <c r="Q31" s="403"/>
    </row>
    <row r="32" spans="1:17" ht="22.5" x14ac:dyDescent="0.25">
      <c r="A32" s="406" t="str">
        <f t="shared" si="1"/>
        <v xml:space="preserve"> </v>
      </c>
      <c r="B32" s="509"/>
      <c r="C32" s="405" t="s">
        <v>266</v>
      </c>
      <c r="D32" s="406" t="s">
        <v>58</v>
      </c>
      <c r="E32" s="512">
        <f>0.2*7.53</f>
        <v>1.5060000000000002</v>
      </c>
      <c r="F32" s="509"/>
      <c r="G32" s="509"/>
      <c r="H32" s="509"/>
      <c r="I32" s="509"/>
      <c r="J32" s="416"/>
      <c r="K32" s="509"/>
      <c r="L32" s="402"/>
      <c r="M32" s="403"/>
      <c r="N32" s="403"/>
      <c r="O32" s="403"/>
      <c r="P32" s="403"/>
      <c r="Q32" s="403"/>
    </row>
    <row r="33" spans="1:17" x14ac:dyDescent="0.25">
      <c r="A33" s="406" t="str">
        <f t="shared" si="1"/>
        <v xml:space="preserve"> </v>
      </c>
      <c r="B33" s="509"/>
      <c r="C33" s="405" t="s">
        <v>267</v>
      </c>
      <c r="D33" s="406" t="s">
        <v>44</v>
      </c>
      <c r="E33" s="512">
        <v>2</v>
      </c>
      <c r="F33" s="509"/>
      <c r="G33" s="509"/>
      <c r="H33" s="509"/>
      <c r="I33" s="509"/>
      <c r="J33" s="416"/>
      <c r="K33" s="509"/>
      <c r="L33" s="402"/>
      <c r="M33" s="403"/>
      <c r="N33" s="403"/>
      <c r="O33" s="403"/>
      <c r="P33" s="403"/>
      <c r="Q33" s="403"/>
    </row>
    <row r="34" spans="1:17" x14ac:dyDescent="0.25">
      <c r="A34" s="406" t="str">
        <f t="shared" si="1"/>
        <v xml:space="preserve"> </v>
      </c>
      <c r="B34" s="509"/>
      <c r="C34" s="405" t="s">
        <v>268</v>
      </c>
      <c r="D34" s="406" t="s">
        <v>44</v>
      </c>
      <c r="E34" s="514">
        <v>2</v>
      </c>
      <c r="F34" s="509"/>
      <c r="G34" s="509"/>
      <c r="H34" s="509"/>
      <c r="I34" s="509"/>
      <c r="J34" s="416"/>
      <c r="K34" s="509"/>
      <c r="L34" s="402"/>
      <c r="M34" s="403"/>
      <c r="N34" s="403"/>
      <c r="O34" s="403"/>
      <c r="P34" s="403"/>
      <c r="Q34" s="403"/>
    </row>
    <row r="35" spans="1:17" x14ac:dyDescent="0.25">
      <c r="A35" s="406" t="str">
        <f t="shared" si="1"/>
        <v xml:space="preserve"> </v>
      </c>
      <c r="B35" s="509"/>
      <c r="C35" s="405" t="s">
        <v>269</v>
      </c>
      <c r="D35" s="406" t="s">
        <v>58</v>
      </c>
      <c r="E35" s="512">
        <f>0.008*0.12*0.16*11*7800</f>
        <v>13.178880000000003</v>
      </c>
      <c r="F35" s="509"/>
      <c r="G35" s="509"/>
      <c r="H35" s="509"/>
      <c r="I35" s="509"/>
      <c r="J35" s="416"/>
      <c r="K35" s="509"/>
      <c r="L35" s="402"/>
      <c r="M35" s="403"/>
      <c r="N35" s="403"/>
      <c r="O35" s="403"/>
      <c r="P35" s="403"/>
      <c r="Q35" s="403"/>
    </row>
    <row r="36" spans="1:17" x14ac:dyDescent="0.25">
      <c r="A36" s="406" t="str">
        <f t="shared" si="1"/>
        <v xml:space="preserve"> </v>
      </c>
      <c r="B36" s="509"/>
      <c r="C36" s="405" t="s">
        <v>769</v>
      </c>
      <c r="D36" s="513" t="s">
        <v>44</v>
      </c>
      <c r="E36" s="514">
        <v>11</v>
      </c>
      <c r="F36" s="509"/>
      <c r="G36" s="509"/>
      <c r="H36" s="509"/>
      <c r="I36" s="509"/>
      <c r="J36" s="416"/>
      <c r="K36" s="509"/>
      <c r="L36" s="402"/>
      <c r="M36" s="403"/>
      <c r="N36" s="403"/>
      <c r="O36" s="403"/>
      <c r="P36" s="403"/>
      <c r="Q36" s="403"/>
    </row>
    <row r="37" spans="1:17" ht="22.5" x14ac:dyDescent="0.25">
      <c r="A37" s="406" t="str">
        <f t="shared" si="1"/>
        <v xml:space="preserve"> </v>
      </c>
      <c r="B37" s="509"/>
      <c r="C37" s="405" t="s">
        <v>270</v>
      </c>
      <c r="D37" s="406" t="s">
        <v>58</v>
      </c>
      <c r="E37" s="512">
        <f>6*0.8*1.58</f>
        <v>7.5840000000000014</v>
      </c>
      <c r="F37" s="509"/>
      <c r="G37" s="509"/>
      <c r="H37" s="509"/>
      <c r="I37" s="509"/>
      <c r="J37" s="416"/>
      <c r="K37" s="509"/>
      <c r="L37" s="402"/>
      <c r="M37" s="403"/>
      <c r="N37" s="403"/>
      <c r="O37" s="403"/>
      <c r="P37" s="403"/>
      <c r="Q37" s="403"/>
    </row>
    <row r="38" spans="1:17" ht="22.5" x14ac:dyDescent="0.25">
      <c r="A38" s="406" t="str">
        <f t="shared" si="1"/>
        <v xml:space="preserve"> </v>
      </c>
      <c r="B38" s="509"/>
      <c r="C38" s="405" t="s">
        <v>271</v>
      </c>
      <c r="D38" s="406" t="s">
        <v>58</v>
      </c>
      <c r="E38" s="512">
        <f>5*0.2*1.58</f>
        <v>1.58</v>
      </c>
      <c r="F38" s="509"/>
      <c r="G38" s="509"/>
      <c r="H38" s="509"/>
      <c r="I38" s="509"/>
      <c r="J38" s="416"/>
      <c r="K38" s="509"/>
      <c r="L38" s="402"/>
      <c r="M38" s="403"/>
      <c r="N38" s="403"/>
      <c r="O38" s="403"/>
      <c r="P38" s="403"/>
      <c r="Q38" s="403"/>
    </row>
    <row r="39" spans="1:17" x14ac:dyDescent="0.25">
      <c r="A39" s="406">
        <f t="shared" si="1"/>
        <v>7</v>
      </c>
      <c r="B39" s="404" t="s">
        <v>40</v>
      </c>
      <c r="C39" s="405" t="s">
        <v>272</v>
      </c>
      <c r="D39" s="406" t="s">
        <v>47</v>
      </c>
      <c r="E39" s="512">
        <v>58</v>
      </c>
      <c r="F39" s="411"/>
      <c r="G39" s="411"/>
      <c r="H39" s="510"/>
      <c r="I39" s="411"/>
      <c r="J39" s="515"/>
      <c r="K39" s="411"/>
      <c r="L39" s="402"/>
      <c r="M39" s="403"/>
      <c r="N39" s="403"/>
      <c r="O39" s="403"/>
      <c r="P39" s="403"/>
      <c r="Q39" s="403"/>
    </row>
    <row r="40" spans="1:17" x14ac:dyDescent="0.25">
      <c r="A40" s="406" t="str">
        <f t="shared" si="1"/>
        <v xml:space="preserve"> </v>
      </c>
      <c r="B40" s="513"/>
      <c r="C40" s="503" t="s">
        <v>322</v>
      </c>
      <c r="D40" s="513" t="s">
        <v>58</v>
      </c>
      <c r="E40" s="411">
        <f>E39*F40</f>
        <v>23.200000000000003</v>
      </c>
      <c r="F40" s="411">
        <v>0.4</v>
      </c>
      <c r="G40" s="411"/>
      <c r="H40" s="411"/>
      <c r="I40" s="411"/>
      <c r="J40" s="411"/>
      <c r="K40" s="411"/>
      <c r="L40" s="402"/>
      <c r="M40" s="403"/>
      <c r="N40" s="403"/>
      <c r="O40" s="403"/>
      <c r="P40" s="403"/>
      <c r="Q40" s="403"/>
    </row>
    <row r="41" spans="1:17" ht="33" customHeight="1" x14ac:dyDescent="0.25">
      <c r="A41" s="406" t="str">
        <f t="shared" si="1"/>
        <v xml:space="preserve"> </v>
      </c>
      <c r="B41" s="513"/>
      <c r="C41" s="516" t="s">
        <v>699</v>
      </c>
      <c r="D41" s="513"/>
      <c r="E41" s="411"/>
      <c r="F41" s="411"/>
      <c r="G41" s="411"/>
      <c r="H41" s="411"/>
      <c r="I41" s="411"/>
      <c r="J41" s="411"/>
      <c r="K41" s="411"/>
      <c r="L41" s="402"/>
      <c r="M41" s="403"/>
      <c r="N41" s="403"/>
      <c r="O41" s="403"/>
      <c r="P41" s="403"/>
      <c r="Q41" s="403"/>
    </row>
    <row r="42" spans="1:17" ht="22.5" x14ac:dyDescent="0.25">
      <c r="A42" s="406">
        <f t="shared" si="1"/>
        <v>8</v>
      </c>
      <c r="B42" s="404" t="s">
        <v>40</v>
      </c>
      <c r="C42" s="405" t="s">
        <v>273</v>
      </c>
      <c r="D42" s="406" t="s">
        <v>88</v>
      </c>
      <c r="E42" s="517">
        <v>0.624</v>
      </c>
      <c r="F42" s="424"/>
      <c r="G42" s="518"/>
      <c r="H42" s="510"/>
      <c r="I42" s="401"/>
      <c r="J42" s="518"/>
      <c r="K42" s="518"/>
      <c r="L42" s="402"/>
      <c r="M42" s="403"/>
      <c r="N42" s="403"/>
      <c r="O42" s="403"/>
      <c r="P42" s="403"/>
      <c r="Q42" s="403"/>
    </row>
    <row r="43" spans="1:17" x14ac:dyDescent="0.25">
      <c r="A43" s="406" t="str">
        <f t="shared" si="1"/>
        <v xml:space="preserve"> </v>
      </c>
      <c r="B43" s="432"/>
      <c r="C43" s="519" t="s">
        <v>274</v>
      </c>
      <c r="D43" s="424" t="s">
        <v>275</v>
      </c>
      <c r="E43" s="410">
        <f>ROUNDUP(E42*F43,2)</f>
        <v>0.69000000000000006</v>
      </c>
      <c r="F43" s="424">
        <v>1.1000000000000001</v>
      </c>
      <c r="G43" s="520"/>
      <c r="H43" s="520"/>
      <c r="I43" s="520"/>
      <c r="J43" s="520"/>
      <c r="K43" s="520"/>
      <c r="L43" s="402"/>
      <c r="M43" s="403"/>
      <c r="N43" s="403"/>
      <c r="O43" s="403"/>
      <c r="P43" s="403"/>
      <c r="Q43" s="403"/>
    </row>
    <row r="44" spans="1:17" x14ac:dyDescent="0.25">
      <c r="A44" s="406" t="str">
        <f t="shared" si="1"/>
        <v xml:space="preserve"> </v>
      </c>
      <c r="B44" s="432"/>
      <c r="C44" s="519" t="s">
        <v>276</v>
      </c>
      <c r="D44" s="424" t="s">
        <v>58</v>
      </c>
      <c r="E44" s="424">
        <f>E43*F44</f>
        <v>24.150000000000002</v>
      </c>
      <c r="F44" s="424">
        <v>35</v>
      </c>
      <c r="G44" s="520"/>
      <c r="H44" s="520"/>
      <c r="I44" s="520"/>
      <c r="J44" s="520"/>
      <c r="K44" s="520"/>
      <c r="L44" s="402"/>
      <c r="M44" s="403"/>
      <c r="N44" s="403"/>
      <c r="O44" s="403"/>
      <c r="P44" s="403"/>
      <c r="Q44" s="403"/>
    </row>
    <row r="45" spans="1:17" x14ac:dyDescent="0.25">
      <c r="A45" s="406" t="str">
        <f t="shared" si="1"/>
        <v xml:space="preserve"> </v>
      </c>
      <c r="B45" s="509"/>
      <c r="C45" s="405" t="s">
        <v>277</v>
      </c>
      <c r="D45" s="406" t="s">
        <v>44</v>
      </c>
      <c r="E45" s="514">
        <v>60</v>
      </c>
      <c r="F45" s="509"/>
      <c r="G45" s="509"/>
      <c r="H45" s="509"/>
      <c r="I45" s="509"/>
      <c r="J45" s="416"/>
      <c r="K45" s="509"/>
      <c r="L45" s="402"/>
      <c r="M45" s="403"/>
      <c r="N45" s="403"/>
      <c r="O45" s="403"/>
      <c r="P45" s="403"/>
      <c r="Q45" s="403"/>
    </row>
    <row r="46" spans="1:17" x14ac:dyDescent="0.25">
      <c r="A46" s="406">
        <f t="shared" si="1"/>
        <v>9</v>
      </c>
      <c r="B46" s="404" t="s">
        <v>40</v>
      </c>
      <c r="C46" s="405" t="s">
        <v>278</v>
      </c>
      <c r="D46" s="406" t="s">
        <v>42</v>
      </c>
      <c r="E46" s="512">
        <v>31.2</v>
      </c>
      <c r="F46" s="509"/>
      <c r="G46" s="411"/>
      <c r="H46" s="510"/>
      <c r="I46" s="411"/>
      <c r="J46" s="515"/>
      <c r="K46" s="411"/>
      <c r="L46" s="402"/>
      <c r="M46" s="403"/>
      <c r="N46" s="403"/>
      <c r="O46" s="403"/>
      <c r="P46" s="403"/>
      <c r="Q46" s="403"/>
    </row>
    <row r="47" spans="1:17" ht="22.5" x14ac:dyDescent="0.25">
      <c r="A47" s="406" t="str">
        <f t="shared" si="1"/>
        <v xml:space="preserve"> </v>
      </c>
      <c r="B47" s="509"/>
      <c r="C47" s="405" t="s">
        <v>279</v>
      </c>
      <c r="D47" s="406" t="s">
        <v>58</v>
      </c>
      <c r="E47" s="512">
        <v>18.3</v>
      </c>
      <c r="F47" s="509"/>
      <c r="G47" s="509"/>
      <c r="H47" s="509"/>
      <c r="I47" s="509"/>
      <c r="J47" s="416"/>
      <c r="K47" s="509"/>
      <c r="L47" s="402"/>
      <c r="M47" s="403"/>
      <c r="N47" s="403"/>
      <c r="O47" s="403"/>
      <c r="P47" s="403"/>
      <c r="Q47" s="403"/>
    </row>
    <row r="48" spans="1:17" ht="45" x14ac:dyDescent="0.25">
      <c r="A48" s="406" t="str">
        <f t="shared" si="1"/>
        <v xml:space="preserve"> </v>
      </c>
      <c r="B48" s="509"/>
      <c r="C48" s="405" t="s">
        <v>770</v>
      </c>
      <c r="D48" s="406" t="s">
        <v>44</v>
      </c>
      <c r="E48" s="514">
        <v>9</v>
      </c>
      <c r="F48" s="509"/>
      <c r="G48" s="509"/>
      <c r="H48" s="509"/>
      <c r="I48" s="509"/>
      <c r="J48" s="416"/>
      <c r="K48" s="509"/>
      <c r="L48" s="402"/>
      <c r="M48" s="403"/>
      <c r="N48" s="403"/>
      <c r="O48" s="403"/>
      <c r="P48" s="403"/>
      <c r="Q48" s="403"/>
    </row>
    <row r="49" spans="1:17" ht="22.5" x14ac:dyDescent="0.2">
      <c r="A49" s="406">
        <f t="shared" si="1"/>
        <v>10</v>
      </c>
      <c r="B49" s="404" t="s">
        <v>40</v>
      </c>
      <c r="C49" s="521" t="s">
        <v>611</v>
      </c>
      <c r="D49" s="522" t="s">
        <v>42</v>
      </c>
      <c r="E49" s="522">
        <f>3.2*3</f>
        <v>9.6000000000000014</v>
      </c>
      <c r="F49" s="509"/>
      <c r="G49" s="411"/>
      <c r="H49" s="510"/>
      <c r="I49" s="411"/>
      <c r="J49" s="515"/>
      <c r="K49" s="411"/>
      <c r="L49" s="402"/>
      <c r="M49" s="403"/>
      <c r="N49" s="403"/>
      <c r="O49" s="403"/>
      <c r="P49" s="403"/>
      <c r="Q49" s="403"/>
    </row>
    <row r="50" spans="1:17" ht="22.5" x14ac:dyDescent="0.2">
      <c r="A50" s="406">
        <f t="shared" si="1"/>
        <v>11</v>
      </c>
      <c r="B50" s="404" t="s">
        <v>40</v>
      </c>
      <c r="C50" s="523" t="s">
        <v>612</v>
      </c>
      <c r="D50" s="524" t="s">
        <v>42</v>
      </c>
      <c r="E50" s="525">
        <f>5.2*2*3</f>
        <v>31.200000000000003</v>
      </c>
      <c r="F50" s="509"/>
      <c r="G50" s="526"/>
      <c r="H50" s="510"/>
      <c r="I50" s="526"/>
      <c r="J50" s="526"/>
      <c r="K50" s="526"/>
      <c r="L50" s="402"/>
      <c r="M50" s="403"/>
      <c r="N50" s="403"/>
      <c r="O50" s="403"/>
      <c r="P50" s="403"/>
      <c r="Q50" s="403"/>
    </row>
    <row r="51" spans="1:17" ht="22.5" x14ac:dyDescent="0.2">
      <c r="A51" s="406">
        <f t="shared" si="1"/>
        <v>12</v>
      </c>
      <c r="B51" s="404" t="s">
        <v>40</v>
      </c>
      <c r="C51" s="523" t="s">
        <v>613</v>
      </c>
      <c r="D51" s="524" t="s">
        <v>42</v>
      </c>
      <c r="E51" s="525">
        <v>62.4</v>
      </c>
      <c r="F51" s="509"/>
      <c r="G51" s="526"/>
      <c r="H51" s="510"/>
      <c r="I51" s="526"/>
      <c r="J51" s="526"/>
      <c r="K51" s="526"/>
      <c r="L51" s="402"/>
      <c r="M51" s="403"/>
      <c r="N51" s="403"/>
      <c r="O51" s="403"/>
      <c r="P51" s="403"/>
      <c r="Q51" s="403"/>
    </row>
    <row r="52" spans="1:17" ht="22.5" x14ac:dyDescent="0.2">
      <c r="A52" s="406" t="str">
        <f t="shared" si="1"/>
        <v xml:space="preserve"> </v>
      </c>
      <c r="B52" s="404"/>
      <c r="C52" s="523" t="s">
        <v>614</v>
      </c>
      <c r="D52" s="527" t="s">
        <v>44</v>
      </c>
      <c r="E52" s="528">
        <f>10*2*3</f>
        <v>60</v>
      </c>
      <c r="F52" s="509"/>
      <c r="G52" s="526"/>
      <c r="H52" s="510"/>
      <c r="I52" s="526"/>
      <c r="J52" s="526"/>
      <c r="K52" s="526"/>
      <c r="L52" s="402"/>
      <c r="M52" s="403"/>
      <c r="N52" s="403"/>
      <c r="O52" s="403"/>
      <c r="P52" s="403"/>
      <c r="Q52" s="403"/>
    </row>
    <row r="53" spans="1:17" ht="22.5" x14ac:dyDescent="0.2">
      <c r="A53" s="406" t="str">
        <f t="shared" si="1"/>
        <v xml:space="preserve"> </v>
      </c>
      <c r="B53" s="404"/>
      <c r="C53" s="523" t="s">
        <v>615</v>
      </c>
      <c r="D53" s="527" t="s">
        <v>44</v>
      </c>
      <c r="E53" s="528">
        <v>180</v>
      </c>
      <c r="F53" s="509"/>
      <c r="G53" s="526"/>
      <c r="H53" s="510"/>
      <c r="I53" s="526"/>
      <c r="J53" s="526"/>
      <c r="K53" s="526"/>
      <c r="L53" s="402"/>
      <c r="M53" s="403"/>
      <c r="N53" s="403"/>
      <c r="O53" s="403"/>
      <c r="P53" s="403"/>
      <c r="Q53" s="403"/>
    </row>
    <row r="54" spans="1:17" ht="22.5" x14ac:dyDescent="0.2">
      <c r="A54" s="406" t="str">
        <f t="shared" si="1"/>
        <v xml:space="preserve"> </v>
      </c>
      <c r="B54" s="404"/>
      <c r="C54" s="523" t="s">
        <v>616</v>
      </c>
      <c r="D54" s="529" t="s">
        <v>47</v>
      </c>
      <c r="E54" s="529">
        <f>31.2*0.45</f>
        <v>14.04</v>
      </c>
      <c r="F54" s="509"/>
      <c r="G54" s="526"/>
      <c r="H54" s="510"/>
      <c r="I54" s="526"/>
      <c r="J54" s="526"/>
      <c r="K54" s="526"/>
      <c r="L54" s="402"/>
      <c r="M54" s="403"/>
      <c r="N54" s="403"/>
      <c r="O54" s="403"/>
      <c r="P54" s="403"/>
      <c r="Q54" s="403"/>
    </row>
    <row r="55" spans="1:17" x14ac:dyDescent="0.2">
      <c r="A55" s="406" t="str">
        <f t="shared" si="1"/>
        <v xml:space="preserve"> </v>
      </c>
      <c r="B55" s="404"/>
      <c r="C55" s="530" t="s">
        <v>771</v>
      </c>
      <c r="D55" s="531" t="s">
        <v>42</v>
      </c>
      <c r="E55" s="531">
        <v>9.6</v>
      </c>
      <c r="F55" s="509"/>
      <c r="G55" s="526"/>
      <c r="H55" s="510"/>
      <c r="I55" s="526"/>
      <c r="J55" s="526"/>
      <c r="K55" s="526"/>
      <c r="L55" s="402"/>
      <c r="M55" s="403"/>
      <c r="N55" s="403"/>
      <c r="O55" s="403"/>
      <c r="P55" s="403"/>
      <c r="Q55" s="403"/>
    </row>
    <row r="56" spans="1:17" ht="22.5" x14ac:dyDescent="0.2">
      <c r="A56" s="406" t="str">
        <f t="shared" si="1"/>
        <v xml:space="preserve"> </v>
      </c>
      <c r="B56" s="404"/>
      <c r="C56" s="521" t="s">
        <v>700</v>
      </c>
      <c r="D56" s="522" t="s">
        <v>44</v>
      </c>
      <c r="E56" s="532">
        <f>24*3</f>
        <v>72</v>
      </c>
      <c r="F56" s="509"/>
      <c r="G56" s="526"/>
      <c r="H56" s="510"/>
      <c r="I56" s="526"/>
      <c r="J56" s="526"/>
      <c r="K56" s="526"/>
      <c r="L56" s="402"/>
      <c r="M56" s="403"/>
      <c r="N56" s="403"/>
      <c r="O56" s="403"/>
      <c r="P56" s="403"/>
      <c r="Q56" s="403"/>
    </row>
    <row r="57" spans="1:17" x14ac:dyDescent="0.2">
      <c r="A57" s="406" t="str">
        <f t="shared" si="1"/>
        <v xml:space="preserve"> </v>
      </c>
      <c r="B57" s="404"/>
      <c r="C57" s="523" t="s">
        <v>772</v>
      </c>
      <c r="D57" s="531" t="s">
        <v>42</v>
      </c>
      <c r="E57" s="531">
        <f>3.2*3</f>
        <v>9.6000000000000014</v>
      </c>
      <c r="F57" s="509"/>
      <c r="G57" s="526"/>
      <c r="H57" s="510"/>
      <c r="I57" s="526"/>
      <c r="J57" s="526"/>
      <c r="K57" s="526"/>
      <c r="L57" s="402"/>
      <c r="M57" s="403"/>
      <c r="N57" s="403"/>
      <c r="O57" s="403"/>
      <c r="P57" s="403"/>
      <c r="Q57" s="403"/>
    </row>
    <row r="58" spans="1:17" ht="22.5" x14ac:dyDescent="0.2">
      <c r="A58" s="406" t="str">
        <f t="shared" ref="A58:A121" si="2">IF(COUNTBLANK(B58)=1," ",COUNTA($B$13:B58))</f>
        <v xml:space="preserve"> </v>
      </c>
      <c r="B58" s="404"/>
      <c r="C58" s="523" t="s">
        <v>617</v>
      </c>
      <c r="D58" s="531" t="s">
        <v>44</v>
      </c>
      <c r="E58" s="533">
        <f>25*3</f>
        <v>75</v>
      </c>
      <c r="F58" s="509"/>
      <c r="G58" s="526"/>
      <c r="H58" s="510"/>
      <c r="I58" s="526"/>
      <c r="J58" s="526"/>
      <c r="K58" s="526"/>
      <c r="L58" s="402"/>
      <c r="M58" s="403"/>
      <c r="N58" s="403"/>
      <c r="O58" s="403"/>
      <c r="P58" s="403"/>
      <c r="Q58" s="403"/>
    </row>
    <row r="59" spans="1:17" ht="22.5" x14ac:dyDescent="0.2">
      <c r="A59" s="406" t="str">
        <f t="shared" si="2"/>
        <v xml:space="preserve"> </v>
      </c>
      <c r="B59" s="404"/>
      <c r="C59" s="521" t="s">
        <v>773</v>
      </c>
      <c r="D59" s="534" t="s">
        <v>47</v>
      </c>
      <c r="E59" s="534">
        <f>0.5*3.2*3</f>
        <v>4.8000000000000007</v>
      </c>
      <c r="F59" s="509"/>
      <c r="G59" s="526"/>
      <c r="H59" s="510"/>
      <c r="I59" s="526"/>
      <c r="J59" s="526"/>
      <c r="K59" s="526"/>
      <c r="L59" s="402"/>
      <c r="M59" s="403"/>
      <c r="N59" s="403"/>
      <c r="O59" s="403"/>
      <c r="P59" s="403"/>
      <c r="Q59" s="403"/>
    </row>
    <row r="60" spans="1:17" ht="22.5" x14ac:dyDescent="0.2">
      <c r="A60" s="406" t="str">
        <f t="shared" si="2"/>
        <v xml:space="preserve"> </v>
      </c>
      <c r="B60" s="404"/>
      <c r="C60" s="523" t="s">
        <v>618</v>
      </c>
      <c r="D60" s="531" t="s">
        <v>44</v>
      </c>
      <c r="E60" s="533">
        <f>11*3</f>
        <v>33</v>
      </c>
      <c r="F60" s="509"/>
      <c r="G60" s="526"/>
      <c r="H60" s="510"/>
      <c r="I60" s="526"/>
      <c r="J60" s="526"/>
      <c r="K60" s="526"/>
      <c r="L60" s="402"/>
      <c r="M60" s="403"/>
      <c r="N60" s="403"/>
      <c r="O60" s="403"/>
      <c r="P60" s="403"/>
      <c r="Q60" s="403"/>
    </row>
    <row r="61" spans="1:17" ht="22.5" x14ac:dyDescent="0.2">
      <c r="A61" s="406" t="str">
        <f t="shared" si="2"/>
        <v xml:space="preserve"> </v>
      </c>
      <c r="B61" s="404"/>
      <c r="C61" s="523" t="s">
        <v>619</v>
      </c>
      <c r="D61" s="531" t="s">
        <v>44</v>
      </c>
      <c r="E61" s="533">
        <f>25*3</f>
        <v>75</v>
      </c>
      <c r="F61" s="509"/>
      <c r="G61" s="526"/>
      <c r="H61" s="510"/>
      <c r="I61" s="526"/>
      <c r="J61" s="526"/>
      <c r="K61" s="526"/>
      <c r="L61" s="402"/>
      <c r="M61" s="403"/>
      <c r="N61" s="403"/>
      <c r="O61" s="403"/>
      <c r="P61" s="403"/>
      <c r="Q61" s="403"/>
    </row>
    <row r="62" spans="1:17" ht="22.5" x14ac:dyDescent="0.2">
      <c r="A62" s="406" t="str">
        <f t="shared" si="2"/>
        <v xml:space="preserve"> </v>
      </c>
      <c r="B62" s="404"/>
      <c r="C62" s="523" t="s">
        <v>620</v>
      </c>
      <c r="D62" s="531" t="s">
        <v>42</v>
      </c>
      <c r="E62" s="531">
        <f>3.2*3</f>
        <v>9.6000000000000014</v>
      </c>
      <c r="F62" s="509"/>
      <c r="G62" s="526"/>
      <c r="H62" s="510"/>
      <c r="I62" s="526"/>
      <c r="J62" s="526"/>
      <c r="K62" s="526"/>
      <c r="L62" s="402"/>
      <c r="M62" s="403"/>
      <c r="N62" s="403"/>
      <c r="O62" s="403"/>
      <c r="P62" s="403"/>
      <c r="Q62" s="403"/>
    </row>
    <row r="63" spans="1:17" ht="22.5" x14ac:dyDescent="0.2">
      <c r="A63" s="406" t="str">
        <f t="shared" si="2"/>
        <v xml:space="preserve"> </v>
      </c>
      <c r="B63" s="404"/>
      <c r="C63" s="523" t="s">
        <v>621</v>
      </c>
      <c r="D63" s="531" t="s">
        <v>42</v>
      </c>
      <c r="E63" s="531">
        <f>3.2*3</f>
        <v>9.6000000000000014</v>
      </c>
      <c r="F63" s="509"/>
      <c r="G63" s="526"/>
      <c r="H63" s="510"/>
      <c r="I63" s="526"/>
      <c r="J63" s="526"/>
      <c r="K63" s="526"/>
      <c r="L63" s="402"/>
      <c r="M63" s="403"/>
      <c r="N63" s="403"/>
      <c r="O63" s="403"/>
      <c r="P63" s="403"/>
      <c r="Q63" s="403"/>
    </row>
    <row r="64" spans="1:17" x14ac:dyDescent="0.2">
      <c r="A64" s="406" t="str">
        <f t="shared" si="2"/>
        <v xml:space="preserve"> </v>
      </c>
      <c r="B64" s="404"/>
      <c r="C64" s="530" t="s">
        <v>774</v>
      </c>
      <c r="D64" s="531" t="s">
        <v>42</v>
      </c>
      <c r="E64" s="531">
        <f>2*3.2*3</f>
        <v>19.200000000000003</v>
      </c>
      <c r="F64" s="509"/>
      <c r="G64" s="526"/>
      <c r="H64" s="510"/>
      <c r="I64" s="526"/>
      <c r="J64" s="526"/>
      <c r="K64" s="526"/>
      <c r="L64" s="402"/>
      <c r="M64" s="403"/>
      <c r="N64" s="403"/>
      <c r="O64" s="403"/>
      <c r="P64" s="403"/>
      <c r="Q64" s="403"/>
    </row>
    <row r="65" spans="1:17" ht="22.5" x14ac:dyDescent="0.2">
      <c r="A65" s="406" t="str">
        <f t="shared" si="2"/>
        <v xml:space="preserve"> </v>
      </c>
      <c r="B65" s="404"/>
      <c r="C65" s="521" t="s">
        <v>622</v>
      </c>
      <c r="D65" s="522" t="s">
        <v>42</v>
      </c>
      <c r="E65" s="522">
        <f>3.2*2*3</f>
        <v>19.200000000000003</v>
      </c>
      <c r="F65" s="509"/>
      <c r="G65" s="526"/>
      <c r="H65" s="510"/>
      <c r="I65" s="526"/>
      <c r="J65" s="526"/>
      <c r="K65" s="526"/>
      <c r="L65" s="402"/>
      <c r="M65" s="403"/>
      <c r="N65" s="403"/>
      <c r="O65" s="403"/>
      <c r="P65" s="403"/>
      <c r="Q65" s="403"/>
    </row>
    <row r="66" spans="1:17" ht="22.5" x14ac:dyDescent="0.2">
      <c r="A66" s="406" t="str">
        <f t="shared" si="2"/>
        <v xml:space="preserve"> </v>
      </c>
      <c r="B66" s="404"/>
      <c r="C66" s="521" t="s">
        <v>701</v>
      </c>
      <c r="D66" s="522" t="s">
        <v>44</v>
      </c>
      <c r="E66" s="533">
        <f>12*2*3</f>
        <v>72</v>
      </c>
      <c r="F66" s="509"/>
      <c r="G66" s="526"/>
      <c r="H66" s="510"/>
      <c r="I66" s="526"/>
      <c r="J66" s="526"/>
      <c r="K66" s="526"/>
      <c r="L66" s="402"/>
      <c r="M66" s="403"/>
      <c r="N66" s="403"/>
      <c r="O66" s="403"/>
      <c r="P66" s="403"/>
      <c r="Q66" s="403"/>
    </row>
    <row r="67" spans="1:17" ht="22.5" x14ac:dyDescent="0.2">
      <c r="A67" s="406" t="str">
        <f t="shared" si="2"/>
        <v xml:space="preserve"> </v>
      </c>
      <c r="B67" s="404"/>
      <c r="C67" s="521" t="s">
        <v>623</v>
      </c>
      <c r="D67" s="522" t="s">
        <v>42</v>
      </c>
      <c r="E67" s="522">
        <f>3.2*2*3</f>
        <v>19.200000000000003</v>
      </c>
      <c r="F67" s="509"/>
      <c r="G67" s="526"/>
      <c r="H67" s="510"/>
      <c r="I67" s="526"/>
      <c r="J67" s="526"/>
      <c r="K67" s="526"/>
      <c r="L67" s="402"/>
      <c r="M67" s="403"/>
      <c r="N67" s="403"/>
      <c r="O67" s="403"/>
      <c r="P67" s="403"/>
      <c r="Q67" s="403"/>
    </row>
    <row r="68" spans="1:17" ht="22.5" x14ac:dyDescent="0.2">
      <c r="A68" s="406" t="str">
        <f t="shared" si="2"/>
        <v xml:space="preserve"> </v>
      </c>
      <c r="B68" s="404"/>
      <c r="C68" s="523" t="s">
        <v>775</v>
      </c>
      <c r="D68" s="531" t="s">
        <v>44</v>
      </c>
      <c r="E68" s="533">
        <f>25*2*3</f>
        <v>150</v>
      </c>
      <c r="F68" s="509"/>
      <c r="G68" s="526"/>
      <c r="H68" s="510"/>
      <c r="I68" s="526"/>
      <c r="J68" s="526"/>
      <c r="K68" s="526"/>
      <c r="L68" s="402"/>
      <c r="M68" s="403"/>
      <c r="N68" s="403"/>
      <c r="O68" s="403"/>
      <c r="P68" s="403"/>
      <c r="Q68" s="403"/>
    </row>
    <row r="69" spans="1:17" ht="22.5" x14ac:dyDescent="0.2">
      <c r="A69" s="406" t="str">
        <f t="shared" si="2"/>
        <v xml:space="preserve"> </v>
      </c>
      <c r="B69" s="404"/>
      <c r="C69" s="521" t="s">
        <v>702</v>
      </c>
      <c r="D69" s="522" t="s">
        <v>42</v>
      </c>
      <c r="E69" s="522">
        <f>3.2*2*3</f>
        <v>19.200000000000003</v>
      </c>
      <c r="F69" s="509"/>
      <c r="G69" s="526"/>
      <c r="H69" s="510"/>
      <c r="I69" s="526"/>
      <c r="J69" s="526"/>
      <c r="K69" s="526"/>
      <c r="L69" s="402"/>
      <c r="M69" s="403"/>
      <c r="N69" s="403"/>
      <c r="O69" s="403"/>
      <c r="P69" s="403"/>
      <c r="Q69" s="403"/>
    </row>
    <row r="70" spans="1:17" ht="22.5" x14ac:dyDescent="0.2">
      <c r="A70" s="406" t="str">
        <f t="shared" si="2"/>
        <v xml:space="preserve"> </v>
      </c>
      <c r="B70" s="404"/>
      <c r="C70" s="521" t="s">
        <v>624</v>
      </c>
      <c r="D70" s="522"/>
      <c r="E70" s="522"/>
      <c r="F70" s="509"/>
      <c r="G70" s="526"/>
      <c r="H70" s="510"/>
      <c r="I70" s="526"/>
      <c r="J70" s="526"/>
      <c r="K70" s="526"/>
      <c r="L70" s="402"/>
      <c r="M70" s="403"/>
      <c r="N70" s="403"/>
      <c r="O70" s="403"/>
      <c r="P70" s="403"/>
      <c r="Q70" s="403"/>
    </row>
    <row r="71" spans="1:17" x14ac:dyDescent="0.2">
      <c r="A71" s="406" t="str">
        <f t="shared" si="2"/>
        <v xml:space="preserve"> </v>
      </c>
      <c r="B71" s="404"/>
      <c r="C71" s="521" t="s">
        <v>625</v>
      </c>
      <c r="D71" s="522" t="s">
        <v>88</v>
      </c>
      <c r="E71" s="535">
        <v>0.04</v>
      </c>
      <c r="F71" s="509"/>
      <c r="G71" s="526"/>
      <c r="H71" s="510"/>
      <c r="I71" s="526"/>
      <c r="J71" s="526"/>
      <c r="K71" s="526"/>
      <c r="L71" s="402"/>
      <c r="M71" s="403"/>
      <c r="N71" s="403"/>
      <c r="O71" s="403"/>
      <c r="P71" s="403"/>
      <c r="Q71" s="403"/>
    </row>
    <row r="72" spans="1:17" ht="22.5" x14ac:dyDescent="0.2">
      <c r="A72" s="406" t="str">
        <f t="shared" si="2"/>
        <v xml:space="preserve"> </v>
      </c>
      <c r="B72" s="404"/>
      <c r="C72" s="521" t="s">
        <v>703</v>
      </c>
      <c r="D72" s="522" t="s">
        <v>42</v>
      </c>
      <c r="E72" s="522">
        <v>2.2999999999999998</v>
      </c>
      <c r="F72" s="509"/>
      <c r="G72" s="526"/>
      <c r="H72" s="510"/>
      <c r="I72" s="526"/>
      <c r="J72" s="526"/>
      <c r="K72" s="526"/>
      <c r="L72" s="402"/>
      <c r="M72" s="403"/>
      <c r="N72" s="403"/>
      <c r="O72" s="403"/>
      <c r="P72" s="403"/>
      <c r="Q72" s="403"/>
    </row>
    <row r="73" spans="1:17" ht="22.5" x14ac:dyDescent="0.2">
      <c r="A73" s="406" t="str">
        <f t="shared" si="2"/>
        <v xml:space="preserve"> </v>
      </c>
      <c r="B73" s="404"/>
      <c r="C73" s="523" t="s">
        <v>626</v>
      </c>
      <c r="D73" s="524" t="s">
        <v>42</v>
      </c>
      <c r="E73" s="525">
        <v>2.2999999999999998</v>
      </c>
      <c r="F73" s="509"/>
      <c r="G73" s="526"/>
      <c r="H73" s="510"/>
      <c r="I73" s="526"/>
      <c r="J73" s="526"/>
      <c r="K73" s="526"/>
      <c r="L73" s="402"/>
      <c r="M73" s="403"/>
      <c r="N73" s="403"/>
      <c r="O73" s="403"/>
      <c r="P73" s="403"/>
      <c r="Q73" s="403"/>
    </row>
    <row r="74" spans="1:17" ht="22.5" x14ac:dyDescent="0.2">
      <c r="A74" s="406" t="str">
        <f t="shared" si="2"/>
        <v xml:space="preserve"> </v>
      </c>
      <c r="B74" s="404"/>
      <c r="C74" s="521" t="s">
        <v>627</v>
      </c>
      <c r="D74" s="522" t="s">
        <v>47</v>
      </c>
      <c r="E74" s="522">
        <v>1.4</v>
      </c>
      <c r="F74" s="509"/>
      <c r="G74" s="526"/>
      <c r="H74" s="510"/>
      <c r="I74" s="526"/>
      <c r="J74" s="526"/>
      <c r="K74" s="526"/>
      <c r="L74" s="402"/>
      <c r="M74" s="403"/>
      <c r="N74" s="403"/>
      <c r="O74" s="403"/>
      <c r="P74" s="403"/>
      <c r="Q74" s="403"/>
    </row>
    <row r="75" spans="1:17" ht="22.5" x14ac:dyDescent="0.2">
      <c r="A75" s="406" t="str">
        <f t="shared" si="2"/>
        <v xml:space="preserve"> </v>
      </c>
      <c r="B75" s="404"/>
      <c r="C75" s="523" t="s">
        <v>628</v>
      </c>
      <c r="D75" s="531" t="s">
        <v>44</v>
      </c>
      <c r="E75" s="533">
        <v>36</v>
      </c>
      <c r="F75" s="509"/>
      <c r="G75" s="526"/>
      <c r="H75" s="510"/>
      <c r="I75" s="526"/>
      <c r="J75" s="526"/>
      <c r="K75" s="526"/>
      <c r="L75" s="402"/>
      <c r="M75" s="403"/>
      <c r="N75" s="403"/>
      <c r="O75" s="403"/>
      <c r="P75" s="403"/>
      <c r="Q75" s="403"/>
    </row>
    <row r="76" spans="1:17" ht="22.5" x14ac:dyDescent="0.2">
      <c r="A76" s="406" t="str">
        <f t="shared" si="2"/>
        <v xml:space="preserve"> </v>
      </c>
      <c r="B76" s="404"/>
      <c r="C76" s="523" t="s">
        <v>629</v>
      </c>
      <c r="D76" s="531" t="s">
        <v>44</v>
      </c>
      <c r="E76" s="533">
        <v>12</v>
      </c>
      <c r="F76" s="509"/>
      <c r="G76" s="526"/>
      <c r="H76" s="510"/>
      <c r="I76" s="526"/>
      <c r="J76" s="526"/>
      <c r="K76" s="526"/>
      <c r="L76" s="402"/>
      <c r="M76" s="403"/>
      <c r="N76" s="403"/>
      <c r="O76" s="403"/>
      <c r="P76" s="403"/>
      <c r="Q76" s="403"/>
    </row>
    <row r="77" spans="1:17" x14ac:dyDescent="0.2">
      <c r="A77" s="406" t="str">
        <f t="shared" si="2"/>
        <v xml:space="preserve"> </v>
      </c>
      <c r="B77" s="404"/>
      <c r="C77" s="523" t="s">
        <v>630</v>
      </c>
      <c r="D77" s="531" t="s">
        <v>42</v>
      </c>
      <c r="E77" s="522">
        <v>2.2999999999999998</v>
      </c>
      <c r="F77" s="509"/>
      <c r="G77" s="526"/>
      <c r="H77" s="510"/>
      <c r="I77" s="526"/>
      <c r="J77" s="526"/>
      <c r="K77" s="526"/>
      <c r="L77" s="402"/>
      <c r="M77" s="403"/>
      <c r="N77" s="403"/>
      <c r="O77" s="403"/>
      <c r="P77" s="403"/>
      <c r="Q77" s="403"/>
    </row>
    <row r="78" spans="1:17" ht="22.5" x14ac:dyDescent="0.2">
      <c r="A78" s="406" t="str">
        <f t="shared" si="2"/>
        <v xml:space="preserve"> </v>
      </c>
      <c r="B78" s="404"/>
      <c r="C78" s="521" t="s">
        <v>776</v>
      </c>
      <c r="D78" s="522" t="s">
        <v>42</v>
      </c>
      <c r="E78" s="522">
        <v>9.6</v>
      </c>
      <c r="F78" s="509"/>
      <c r="G78" s="526"/>
      <c r="H78" s="510"/>
      <c r="I78" s="526"/>
      <c r="J78" s="526"/>
      <c r="K78" s="526"/>
      <c r="L78" s="402"/>
      <c r="M78" s="403"/>
      <c r="N78" s="403"/>
      <c r="O78" s="403"/>
      <c r="P78" s="403"/>
      <c r="Q78" s="403"/>
    </row>
    <row r="79" spans="1:17" ht="10.15" customHeight="1" x14ac:dyDescent="0.25">
      <c r="A79" s="406" t="str">
        <f t="shared" si="2"/>
        <v xml:space="preserve"> </v>
      </c>
      <c r="B79" s="509"/>
      <c r="C79" s="536" t="s">
        <v>280</v>
      </c>
      <c r="D79" s="536"/>
      <c r="E79" s="536"/>
      <c r="F79" s="509"/>
      <c r="G79" s="509"/>
      <c r="H79" s="509"/>
      <c r="I79" s="509"/>
      <c r="J79" s="416"/>
      <c r="K79" s="509"/>
      <c r="L79" s="402"/>
      <c r="M79" s="403"/>
      <c r="N79" s="403"/>
      <c r="O79" s="403"/>
      <c r="P79" s="403"/>
      <c r="Q79" s="403"/>
    </row>
    <row r="80" spans="1:17" ht="22.5" x14ac:dyDescent="0.25">
      <c r="A80" s="406">
        <f t="shared" si="2"/>
        <v>13</v>
      </c>
      <c r="B80" s="404" t="s">
        <v>40</v>
      </c>
      <c r="C80" s="405" t="s">
        <v>281</v>
      </c>
      <c r="D80" s="406" t="s">
        <v>47</v>
      </c>
      <c r="E80" s="407">
        <v>143.53</v>
      </c>
      <c r="F80" s="509"/>
      <c r="G80" s="526"/>
      <c r="H80" s="510"/>
      <c r="I80" s="526"/>
      <c r="J80" s="526"/>
      <c r="K80" s="526"/>
      <c r="L80" s="402"/>
      <c r="M80" s="403"/>
      <c r="N80" s="403"/>
      <c r="O80" s="403"/>
      <c r="P80" s="403"/>
      <c r="Q80" s="403"/>
    </row>
    <row r="81" spans="1:17" ht="22.5" x14ac:dyDescent="0.25">
      <c r="A81" s="406">
        <f t="shared" si="2"/>
        <v>14</v>
      </c>
      <c r="B81" s="404" t="s">
        <v>40</v>
      </c>
      <c r="C81" s="405" t="s">
        <v>282</v>
      </c>
      <c r="D81" s="406" t="s">
        <v>47</v>
      </c>
      <c r="E81" s="511">
        <f>0.3*136.4</f>
        <v>40.92</v>
      </c>
      <c r="F81" s="509"/>
      <c r="G81" s="526"/>
      <c r="H81" s="510"/>
      <c r="I81" s="526"/>
      <c r="J81" s="526"/>
      <c r="K81" s="526"/>
      <c r="L81" s="402"/>
      <c r="M81" s="403"/>
      <c r="N81" s="403"/>
      <c r="O81" s="403"/>
      <c r="P81" s="403"/>
      <c r="Q81" s="403"/>
    </row>
    <row r="82" spans="1:17" ht="22.5" x14ac:dyDescent="0.25">
      <c r="A82" s="406" t="str">
        <f t="shared" si="2"/>
        <v xml:space="preserve"> </v>
      </c>
      <c r="B82" s="509"/>
      <c r="C82" s="537" t="s">
        <v>601</v>
      </c>
      <c r="D82" s="406"/>
      <c r="E82" s="511"/>
      <c r="F82" s="509"/>
      <c r="G82" s="509"/>
      <c r="H82" s="509"/>
      <c r="I82" s="509"/>
      <c r="J82" s="416"/>
      <c r="K82" s="509"/>
      <c r="L82" s="402"/>
      <c r="M82" s="403"/>
      <c r="N82" s="403"/>
      <c r="O82" s="403"/>
      <c r="P82" s="403"/>
      <c r="Q82" s="403"/>
    </row>
    <row r="83" spans="1:17" ht="22.5" x14ac:dyDescent="0.25">
      <c r="A83" s="406">
        <f t="shared" si="2"/>
        <v>15</v>
      </c>
      <c r="B83" s="404" t="s">
        <v>40</v>
      </c>
      <c r="C83" s="405" t="s">
        <v>704</v>
      </c>
      <c r="D83" s="406" t="s">
        <v>42</v>
      </c>
      <c r="E83" s="511">
        <v>112</v>
      </c>
      <c r="F83" s="509"/>
      <c r="G83" s="526"/>
      <c r="H83" s="510"/>
      <c r="I83" s="526"/>
      <c r="J83" s="526"/>
      <c r="K83" s="526"/>
      <c r="L83" s="402"/>
      <c r="M83" s="403"/>
      <c r="N83" s="403"/>
      <c r="O83" s="403"/>
      <c r="P83" s="403"/>
      <c r="Q83" s="403"/>
    </row>
    <row r="84" spans="1:17" ht="22.5" x14ac:dyDescent="0.25">
      <c r="A84" s="406">
        <f t="shared" si="2"/>
        <v>16</v>
      </c>
      <c r="B84" s="404" t="s">
        <v>40</v>
      </c>
      <c r="C84" s="405" t="s">
        <v>705</v>
      </c>
      <c r="D84" s="406" t="s">
        <v>88</v>
      </c>
      <c r="E84" s="410">
        <f>112*0.1*0.2</f>
        <v>2.2400000000000002</v>
      </c>
      <c r="F84" s="424"/>
      <c r="G84" s="518"/>
      <c r="H84" s="510"/>
      <c r="I84" s="401"/>
      <c r="J84" s="518"/>
      <c r="K84" s="518"/>
      <c r="L84" s="402"/>
      <c r="M84" s="403"/>
      <c r="N84" s="403"/>
      <c r="O84" s="403"/>
      <c r="P84" s="403"/>
      <c r="Q84" s="403"/>
    </row>
    <row r="85" spans="1:17" x14ac:dyDescent="0.25">
      <c r="A85" s="406" t="str">
        <f t="shared" si="2"/>
        <v xml:space="preserve"> </v>
      </c>
      <c r="B85" s="432"/>
      <c r="C85" s="519" t="s">
        <v>274</v>
      </c>
      <c r="D85" s="424" t="s">
        <v>275</v>
      </c>
      <c r="E85" s="410">
        <f>ROUNDUP(E84*F85,2)</f>
        <v>2.4699999999999998</v>
      </c>
      <c r="F85" s="424">
        <v>1.1000000000000001</v>
      </c>
      <c r="G85" s="520"/>
      <c r="H85" s="520"/>
      <c r="I85" s="520"/>
      <c r="J85" s="520"/>
      <c r="K85" s="520"/>
      <c r="L85" s="402"/>
      <c r="M85" s="403"/>
      <c r="N85" s="403"/>
      <c r="O85" s="403"/>
      <c r="P85" s="403"/>
      <c r="Q85" s="403"/>
    </row>
    <row r="86" spans="1:17" ht="22.5" x14ac:dyDescent="0.25">
      <c r="A86" s="406" t="str">
        <f t="shared" si="2"/>
        <v xml:space="preserve"> </v>
      </c>
      <c r="B86" s="432"/>
      <c r="C86" s="405" t="s">
        <v>283</v>
      </c>
      <c r="D86" s="406" t="s">
        <v>58</v>
      </c>
      <c r="E86" s="407">
        <f>22.4*10.79</f>
        <v>241.69599999999997</v>
      </c>
      <c r="F86" s="424">
        <v>35</v>
      </c>
      <c r="G86" s="520"/>
      <c r="H86" s="520"/>
      <c r="I86" s="520"/>
      <c r="J86" s="520"/>
      <c r="K86" s="520"/>
      <c r="L86" s="402"/>
      <c r="M86" s="403"/>
      <c r="N86" s="403"/>
      <c r="O86" s="403"/>
      <c r="P86" s="403"/>
      <c r="Q86" s="403"/>
    </row>
    <row r="87" spans="1:17" x14ac:dyDescent="0.25">
      <c r="A87" s="406">
        <f t="shared" si="2"/>
        <v>17</v>
      </c>
      <c r="B87" s="404" t="s">
        <v>40</v>
      </c>
      <c r="C87" s="405" t="s">
        <v>284</v>
      </c>
      <c r="D87" s="406" t="s">
        <v>47</v>
      </c>
      <c r="E87" s="407">
        <v>11</v>
      </c>
      <c r="F87" s="411"/>
      <c r="G87" s="411"/>
      <c r="H87" s="510"/>
      <c r="I87" s="411"/>
      <c r="J87" s="515"/>
      <c r="K87" s="411"/>
      <c r="L87" s="402"/>
      <c r="M87" s="403"/>
      <c r="N87" s="403"/>
      <c r="O87" s="403"/>
      <c r="P87" s="403"/>
      <c r="Q87" s="403"/>
    </row>
    <row r="88" spans="1:17" x14ac:dyDescent="0.25">
      <c r="A88" s="406" t="str">
        <f t="shared" si="2"/>
        <v xml:space="preserve"> </v>
      </c>
      <c r="B88" s="513"/>
      <c r="C88" s="503" t="s">
        <v>322</v>
      </c>
      <c r="D88" s="513" t="s">
        <v>58</v>
      </c>
      <c r="E88" s="411">
        <f>E87*F88</f>
        <v>4.4000000000000004</v>
      </c>
      <c r="F88" s="411">
        <v>0.4</v>
      </c>
      <c r="G88" s="411"/>
      <c r="H88" s="411"/>
      <c r="I88" s="411"/>
      <c r="J88" s="411"/>
      <c r="K88" s="411"/>
      <c r="L88" s="402"/>
      <c r="M88" s="403"/>
      <c r="N88" s="403"/>
      <c r="O88" s="403"/>
      <c r="P88" s="403"/>
      <c r="Q88" s="403"/>
    </row>
    <row r="89" spans="1:17" x14ac:dyDescent="0.25">
      <c r="A89" s="406" t="str">
        <f t="shared" si="2"/>
        <v xml:space="preserve"> </v>
      </c>
      <c r="B89" s="509"/>
      <c r="C89" s="405" t="s">
        <v>285</v>
      </c>
      <c r="D89" s="406" t="s">
        <v>44</v>
      </c>
      <c r="E89" s="511">
        <v>224</v>
      </c>
      <c r="F89" s="509"/>
      <c r="G89" s="509"/>
      <c r="H89" s="509"/>
      <c r="I89" s="509"/>
      <c r="J89" s="416"/>
      <c r="K89" s="509"/>
      <c r="L89" s="402"/>
      <c r="M89" s="403"/>
      <c r="N89" s="403"/>
      <c r="O89" s="403"/>
      <c r="P89" s="403"/>
      <c r="Q89" s="403"/>
    </row>
    <row r="90" spans="1:17" x14ac:dyDescent="0.25">
      <c r="A90" s="406" t="str">
        <f t="shared" si="2"/>
        <v xml:space="preserve"> </v>
      </c>
      <c r="B90" s="509"/>
      <c r="C90" s="405" t="s">
        <v>286</v>
      </c>
      <c r="D90" s="406" t="s">
        <v>44</v>
      </c>
      <c r="E90" s="511">
        <v>224</v>
      </c>
      <c r="F90" s="509"/>
      <c r="G90" s="509"/>
      <c r="H90" s="509"/>
      <c r="I90" s="509"/>
      <c r="J90" s="416"/>
      <c r="K90" s="509"/>
      <c r="L90" s="402"/>
      <c r="M90" s="403"/>
      <c r="N90" s="403"/>
      <c r="O90" s="403"/>
      <c r="P90" s="403"/>
      <c r="Q90" s="403"/>
    </row>
    <row r="91" spans="1:17" ht="22.5" x14ac:dyDescent="0.2">
      <c r="A91" s="406" t="str">
        <f t="shared" si="2"/>
        <v xml:space="preserve"> </v>
      </c>
      <c r="B91" s="509"/>
      <c r="C91" s="538" t="s">
        <v>777</v>
      </c>
      <c r="D91" s="539" t="s">
        <v>88</v>
      </c>
      <c r="E91" s="540">
        <f>0.05*0.2*1.1*106</f>
        <v>1.1660000000000004</v>
      </c>
      <c r="F91" s="509"/>
      <c r="G91" s="509"/>
      <c r="H91" s="509"/>
      <c r="I91" s="509"/>
      <c r="J91" s="416"/>
      <c r="K91" s="509"/>
      <c r="L91" s="402"/>
      <c r="M91" s="403"/>
      <c r="N91" s="403"/>
      <c r="O91" s="403"/>
      <c r="P91" s="403"/>
      <c r="Q91" s="403"/>
    </row>
    <row r="92" spans="1:17" x14ac:dyDescent="0.2">
      <c r="A92" s="406" t="str">
        <f t="shared" si="2"/>
        <v xml:space="preserve"> </v>
      </c>
      <c r="B92" s="509"/>
      <c r="C92" s="538" t="s">
        <v>594</v>
      </c>
      <c r="D92" s="539" t="s">
        <v>44</v>
      </c>
      <c r="E92" s="541">
        <f>2*106</f>
        <v>212</v>
      </c>
      <c r="F92" s="509"/>
      <c r="G92" s="509"/>
      <c r="H92" s="509"/>
      <c r="I92" s="509"/>
      <c r="J92" s="416"/>
      <c r="K92" s="509"/>
      <c r="L92" s="402"/>
      <c r="M92" s="403"/>
      <c r="N92" s="403"/>
      <c r="O92" s="403"/>
      <c r="P92" s="403"/>
      <c r="Q92" s="403"/>
    </row>
    <row r="93" spans="1:17" x14ac:dyDescent="0.2">
      <c r="A93" s="406">
        <f t="shared" si="2"/>
        <v>18</v>
      </c>
      <c r="B93" s="404" t="s">
        <v>40</v>
      </c>
      <c r="C93" s="538" t="s">
        <v>595</v>
      </c>
      <c r="D93" s="539" t="s">
        <v>88</v>
      </c>
      <c r="E93" s="541">
        <f>1.1*95.2*0.2</f>
        <v>20.944000000000003</v>
      </c>
      <c r="F93" s="509"/>
      <c r="G93" s="509"/>
      <c r="H93" s="509"/>
      <c r="I93" s="509"/>
      <c r="J93" s="416"/>
      <c r="K93" s="509"/>
      <c r="L93" s="402"/>
      <c r="M93" s="403"/>
      <c r="N93" s="403"/>
      <c r="O93" s="403"/>
      <c r="P93" s="403"/>
      <c r="Q93" s="403"/>
    </row>
    <row r="94" spans="1:17" ht="22.5" x14ac:dyDescent="0.25">
      <c r="A94" s="406">
        <f t="shared" si="2"/>
        <v>19</v>
      </c>
      <c r="B94" s="404" t="s">
        <v>40</v>
      </c>
      <c r="C94" s="405" t="s">
        <v>287</v>
      </c>
      <c r="D94" s="406" t="s">
        <v>42</v>
      </c>
      <c r="E94" s="511">
        <v>51</v>
      </c>
      <c r="F94" s="509"/>
      <c r="G94" s="411"/>
      <c r="H94" s="510"/>
      <c r="I94" s="411"/>
      <c r="J94" s="515"/>
      <c r="K94" s="411"/>
      <c r="L94" s="402"/>
      <c r="M94" s="403"/>
      <c r="N94" s="403"/>
      <c r="O94" s="403"/>
      <c r="P94" s="403"/>
      <c r="Q94" s="403"/>
    </row>
    <row r="95" spans="1:17" ht="22.5" x14ac:dyDescent="0.25">
      <c r="A95" s="406" t="str">
        <f t="shared" si="2"/>
        <v xml:space="preserve"> </v>
      </c>
      <c r="B95" s="509"/>
      <c r="C95" s="405" t="s">
        <v>288</v>
      </c>
      <c r="D95" s="406" t="s">
        <v>88</v>
      </c>
      <c r="E95" s="410">
        <f>0.05*0.05*72</f>
        <v>0.18000000000000005</v>
      </c>
      <c r="F95" s="509"/>
      <c r="G95" s="509"/>
      <c r="H95" s="509"/>
      <c r="I95" s="509"/>
      <c r="J95" s="416"/>
      <c r="K95" s="509"/>
      <c r="L95" s="402"/>
      <c r="M95" s="403"/>
      <c r="N95" s="403"/>
      <c r="O95" s="403"/>
      <c r="P95" s="403"/>
      <c r="Q95" s="403"/>
    </row>
    <row r="96" spans="1:17" x14ac:dyDescent="0.25">
      <c r="A96" s="406" t="str">
        <f t="shared" si="2"/>
        <v xml:space="preserve"> </v>
      </c>
      <c r="B96" s="509"/>
      <c r="C96" s="405" t="s">
        <v>289</v>
      </c>
      <c r="D96" s="406" t="s">
        <v>44</v>
      </c>
      <c r="E96" s="511">
        <v>224</v>
      </c>
      <c r="F96" s="509"/>
      <c r="G96" s="509"/>
      <c r="H96" s="509"/>
      <c r="I96" s="509"/>
      <c r="J96" s="416"/>
      <c r="K96" s="509"/>
      <c r="L96" s="402"/>
      <c r="M96" s="403"/>
      <c r="N96" s="403"/>
      <c r="O96" s="403"/>
      <c r="P96" s="403"/>
      <c r="Q96" s="403"/>
    </row>
    <row r="97" spans="1:17" x14ac:dyDescent="0.25">
      <c r="A97" s="406" t="str">
        <f t="shared" si="2"/>
        <v xml:space="preserve"> </v>
      </c>
      <c r="B97" s="509"/>
      <c r="C97" s="405" t="s">
        <v>290</v>
      </c>
      <c r="D97" s="406" t="s">
        <v>44</v>
      </c>
      <c r="E97" s="511">
        <v>224</v>
      </c>
      <c r="F97" s="509"/>
      <c r="G97" s="509"/>
      <c r="H97" s="509"/>
      <c r="I97" s="509"/>
      <c r="J97" s="416"/>
      <c r="K97" s="509"/>
      <c r="L97" s="402"/>
      <c r="M97" s="403"/>
      <c r="N97" s="403"/>
      <c r="O97" s="403"/>
      <c r="P97" s="403"/>
      <c r="Q97" s="403"/>
    </row>
    <row r="98" spans="1:17" ht="22.5" x14ac:dyDescent="0.25">
      <c r="A98" s="406" t="str">
        <f t="shared" si="2"/>
        <v xml:space="preserve"> </v>
      </c>
      <c r="B98" s="509"/>
      <c r="C98" s="405" t="s">
        <v>778</v>
      </c>
      <c r="D98" s="406" t="s">
        <v>47</v>
      </c>
      <c r="E98" s="407">
        <f>0.5*95.2</f>
        <v>47.6</v>
      </c>
      <c r="F98" s="509"/>
      <c r="G98" s="509"/>
      <c r="H98" s="509"/>
      <c r="I98" s="509"/>
      <c r="J98" s="416"/>
      <c r="K98" s="509"/>
      <c r="L98" s="402"/>
      <c r="M98" s="403"/>
      <c r="N98" s="403"/>
      <c r="O98" s="403"/>
      <c r="P98" s="403"/>
      <c r="Q98" s="403"/>
    </row>
    <row r="99" spans="1:17" ht="22.5" x14ac:dyDescent="0.25">
      <c r="A99" s="406" t="str">
        <f t="shared" si="2"/>
        <v xml:space="preserve"> </v>
      </c>
      <c r="B99" s="509"/>
      <c r="C99" s="405" t="s">
        <v>291</v>
      </c>
      <c r="D99" s="406" t="s">
        <v>47</v>
      </c>
      <c r="E99" s="407">
        <f>95.2*0.5</f>
        <v>47.6</v>
      </c>
      <c r="F99" s="509"/>
      <c r="G99" s="509"/>
      <c r="H99" s="509"/>
      <c r="I99" s="509"/>
      <c r="J99" s="416"/>
      <c r="K99" s="509"/>
      <c r="L99" s="402"/>
      <c r="M99" s="403"/>
      <c r="N99" s="403"/>
      <c r="O99" s="403"/>
      <c r="P99" s="403"/>
      <c r="Q99" s="403"/>
    </row>
    <row r="100" spans="1:17" x14ac:dyDescent="0.25">
      <c r="A100" s="406" t="str">
        <f t="shared" si="2"/>
        <v xml:space="preserve"> </v>
      </c>
      <c r="B100" s="509"/>
      <c r="C100" s="405" t="s">
        <v>292</v>
      </c>
      <c r="D100" s="406" t="s">
        <v>58</v>
      </c>
      <c r="E100" s="407">
        <f>0.004*0.04*0.2*224*7800</f>
        <v>55.910400000000003</v>
      </c>
      <c r="F100" s="509"/>
      <c r="G100" s="509"/>
      <c r="H100" s="509"/>
      <c r="I100" s="509"/>
      <c r="J100" s="416"/>
      <c r="K100" s="509"/>
      <c r="L100" s="402"/>
      <c r="M100" s="403"/>
      <c r="N100" s="403"/>
      <c r="O100" s="403"/>
      <c r="P100" s="403"/>
      <c r="Q100" s="403"/>
    </row>
    <row r="101" spans="1:17" x14ac:dyDescent="0.25">
      <c r="A101" s="406" t="str">
        <f t="shared" si="2"/>
        <v xml:space="preserve"> </v>
      </c>
      <c r="B101" s="509"/>
      <c r="C101" s="405" t="s">
        <v>293</v>
      </c>
      <c r="D101" s="406" t="s">
        <v>42</v>
      </c>
      <c r="E101" s="407">
        <v>95.2</v>
      </c>
      <c r="F101" s="509"/>
      <c r="G101" s="509"/>
      <c r="H101" s="509"/>
      <c r="I101" s="509"/>
      <c r="J101" s="416"/>
      <c r="K101" s="509"/>
      <c r="L101" s="402"/>
      <c r="M101" s="403"/>
      <c r="N101" s="403"/>
      <c r="O101" s="403"/>
      <c r="P101" s="403"/>
      <c r="Q101" s="403"/>
    </row>
    <row r="102" spans="1:17" ht="22.5" x14ac:dyDescent="0.25">
      <c r="A102" s="406" t="str">
        <f t="shared" si="2"/>
        <v xml:space="preserve"> </v>
      </c>
      <c r="B102" s="509"/>
      <c r="C102" s="405" t="s">
        <v>294</v>
      </c>
      <c r="D102" s="406" t="s">
        <v>47</v>
      </c>
      <c r="E102" s="407">
        <f>0.6*112</f>
        <v>67.2</v>
      </c>
      <c r="F102" s="509"/>
      <c r="G102" s="509"/>
      <c r="H102" s="509"/>
      <c r="I102" s="509"/>
      <c r="J102" s="416"/>
      <c r="K102" s="509"/>
      <c r="L102" s="402"/>
      <c r="M102" s="403"/>
      <c r="N102" s="403"/>
      <c r="O102" s="403"/>
      <c r="P102" s="403"/>
      <c r="Q102" s="403"/>
    </row>
    <row r="103" spans="1:17" x14ac:dyDescent="0.25">
      <c r="A103" s="406">
        <f t="shared" si="2"/>
        <v>20</v>
      </c>
      <c r="B103" s="404" t="s">
        <v>40</v>
      </c>
      <c r="C103" s="405" t="s">
        <v>295</v>
      </c>
      <c r="D103" s="406" t="s">
        <v>47</v>
      </c>
      <c r="E103" s="407">
        <v>3.6</v>
      </c>
      <c r="F103" s="411"/>
      <c r="G103" s="411"/>
      <c r="H103" s="510"/>
      <c r="I103" s="411"/>
      <c r="J103" s="515"/>
      <c r="K103" s="411"/>
      <c r="L103" s="402"/>
      <c r="M103" s="403"/>
      <c r="N103" s="403"/>
      <c r="O103" s="403"/>
      <c r="P103" s="403"/>
      <c r="Q103" s="403"/>
    </row>
    <row r="104" spans="1:17" x14ac:dyDescent="0.25">
      <c r="A104" s="406" t="str">
        <f t="shared" si="2"/>
        <v xml:space="preserve"> </v>
      </c>
      <c r="B104" s="513"/>
      <c r="C104" s="503" t="s">
        <v>322</v>
      </c>
      <c r="D104" s="513" t="s">
        <v>58</v>
      </c>
      <c r="E104" s="411">
        <f>E103*F104</f>
        <v>1.4400000000000002</v>
      </c>
      <c r="F104" s="411">
        <v>0.4</v>
      </c>
      <c r="G104" s="411"/>
      <c r="H104" s="411"/>
      <c r="I104" s="411"/>
      <c r="J104" s="411"/>
      <c r="K104" s="411"/>
      <c r="L104" s="402"/>
      <c r="M104" s="403"/>
      <c r="N104" s="403"/>
      <c r="O104" s="403"/>
      <c r="P104" s="403"/>
      <c r="Q104" s="403"/>
    </row>
    <row r="105" spans="1:17" x14ac:dyDescent="0.2">
      <c r="A105" s="406" t="str">
        <f t="shared" si="2"/>
        <v xml:space="preserve"> </v>
      </c>
      <c r="B105" s="513"/>
      <c r="C105" s="542" t="s">
        <v>779</v>
      </c>
      <c r="D105" s="539" t="s">
        <v>47</v>
      </c>
      <c r="E105" s="543">
        <v>147.6</v>
      </c>
      <c r="F105" s="411"/>
      <c r="G105" s="411"/>
      <c r="H105" s="411"/>
      <c r="I105" s="411"/>
      <c r="J105" s="411"/>
      <c r="K105" s="411"/>
      <c r="L105" s="402"/>
      <c r="M105" s="403"/>
      <c r="N105" s="403"/>
      <c r="O105" s="403"/>
      <c r="P105" s="403"/>
      <c r="Q105" s="403"/>
    </row>
    <row r="106" spans="1:17" x14ac:dyDescent="0.25">
      <c r="A106" s="406">
        <f t="shared" si="2"/>
        <v>21</v>
      </c>
      <c r="B106" s="404" t="s">
        <v>40</v>
      </c>
      <c r="C106" s="405" t="s">
        <v>296</v>
      </c>
      <c r="D106" s="406" t="s">
        <v>47</v>
      </c>
      <c r="E106" s="411">
        <v>147.6</v>
      </c>
      <c r="F106" s="544"/>
      <c r="G106" s="411"/>
      <c r="H106" s="510"/>
      <c r="I106" s="411"/>
      <c r="J106" s="410"/>
      <c r="K106" s="410"/>
      <c r="L106" s="402"/>
      <c r="M106" s="403"/>
      <c r="N106" s="403"/>
      <c r="O106" s="403"/>
      <c r="P106" s="403"/>
      <c r="Q106" s="403"/>
    </row>
    <row r="107" spans="1:17" x14ac:dyDescent="0.25">
      <c r="A107" s="406" t="str">
        <f t="shared" si="2"/>
        <v xml:space="preserve"> </v>
      </c>
      <c r="B107" s="544"/>
      <c r="C107" s="405" t="s">
        <v>780</v>
      </c>
      <c r="D107" s="416" t="s">
        <v>47</v>
      </c>
      <c r="E107" s="411">
        <f>E106*F107</f>
        <v>177.11999999999998</v>
      </c>
      <c r="F107" s="544">
        <v>1.2</v>
      </c>
      <c r="G107" s="544"/>
      <c r="H107" s="544"/>
      <c r="I107" s="545"/>
      <c r="J107" s="545"/>
      <c r="K107" s="545"/>
      <c r="L107" s="402"/>
      <c r="M107" s="403"/>
      <c r="N107" s="403"/>
      <c r="O107" s="403"/>
      <c r="P107" s="403"/>
      <c r="Q107" s="403"/>
    </row>
    <row r="108" spans="1:17" x14ac:dyDescent="0.25">
      <c r="A108" s="406" t="str">
        <f t="shared" si="2"/>
        <v xml:space="preserve"> </v>
      </c>
      <c r="B108" s="544"/>
      <c r="C108" s="405" t="s">
        <v>781</v>
      </c>
      <c r="D108" s="416" t="s">
        <v>47</v>
      </c>
      <c r="E108" s="411">
        <f>E106*F108</f>
        <v>177.11999999999998</v>
      </c>
      <c r="F108" s="544">
        <v>1.2</v>
      </c>
      <c r="G108" s="544"/>
      <c r="H108" s="544"/>
      <c r="I108" s="545"/>
      <c r="J108" s="545"/>
      <c r="K108" s="545"/>
      <c r="L108" s="402"/>
      <c r="M108" s="403"/>
      <c r="N108" s="403"/>
      <c r="O108" s="403"/>
      <c r="P108" s="403"/>
      <c r="Q108" s="403"/>
    </row>
    <row r="109" spans="1:17" x14ac:dyDescent="0.25">
      <c r="A109" s="406" t="str">
        <f t="shared" si="2"/>
        <v xml:space="preserve"> </v>
      </c>
      <c r="B109" s="544"/>
      <c r="C109" s="546" t="s">
        <v>297</v>
      </c>
      <c r="D109" s="544" t="s">
        <v>298</v>
      </c>
      <c r="E109" s="410">
        <f>ROUNDUP(E106*F109,0)</f>
        <v>4</v>
      </c>
      <c r="F109" s="544">
        <v>2.5000000000000001E-2</v>
      </c>
      <c r="G109" s="544"/>
      <c r="H109" s="544"/>
      <c r="I109" s="545"/>
      <c r="J109" s="545"/>
      <c r="K109" s="545"/>
      <c r="L109" s="402"/>
      <c r="M109" s="403"/>
      <c r="N109" s="403"/>
      <c r="O109" s="403"/>
      <c r="P109" s="403"/>
      <c r="Q109" s="403"/>
    </row>
    <row r="110" spans="1:17" ht="22.5" x14ac:dyDescent="0.25">
      <c r="A110" s="406">
        <f t="shared" si="2"/>
        <v>22</v>
      </c>
      <c r="B110" s="404" t="s">
        <v>40</v>
      </c>
      <c r="C110" s="405" t="s">
        <v>299</v>
      </c>
      <c r="D110" s="406" t="s">
        <v>42</v>
      </c>
      <c r="E110" s="407">
        <v>95.2</v>
      </c>
      <c r="F110" s="509"/>
      <c r="G110" s="411"/>
      <c r="H110" s="510"/>
      <c r="I110" s="411"/>
      <c r="J110" s="410"/>
      <c r="K110" s="410"/>
      <c r="L110" s="402"/>
      <c r="M110" s="403"/>
      <c r="N110" s="403"/>
      <c r="O110" s="403"/>
      <c r="P110" s="403"/>
      <c r="Q110" s="403"/>
    </row>
    <row r="111" spans="1:17" x14ac:dyDescent="0.25">
      <c r="A111" s="406" t="str">
        <f t="shared" si="2"/>
        <v xml:space="preserve"> </v>
      </c>
      <c r="B111" s="509"/>
      <c r="C111" s="405" t="s">
        <v>782</v>
      </c>
      <c r="D111" s="406" t="s">
        <v>47</v>
      </c>
      <c r="E111" s="407">
        <f>0.3*95.2</f>
        <v>28.56</v>
      </c>
      <c r="F111" s="509"/>
      <c r="G111" s="509"/>
      <c r="H111" s="509"/>
      <c r="I111" s="509"/>
      <c r="J111" s="416"/>
      <c r="K111" s="509"/>
      <c r="L111" s="402"/>
      <c r="M111" s="403"/>
      <c r="N111" s="403"/>
      <c r="O111" s="403"/>
      <c r="P111" s="403"/>
      <c r="Q111" s="403"/>
    </row>
    <row r="112" spans="1:17" x14ac:dyDescent="0.25">
      <c r="A112" s="406" t="str">
        <f t="shared" si="2"/>
        <v xml:space="preserve"> </v>
      </c>
      <c r="B112" s="509"/>
      <c r="C112" s="405" t="s">
        <v>783</v>
      </c>
      <c r="D112" s="406" t="s">
        <v>42</v>
      </c>
      <c r="E112" s="407">
        <v>95.2</v>
      </c>
      <c r="F112" s="509"/>
      <c r="G112" s="509"/>
      <c r="H112" s="509"/>
      <c r="I112" s="509"/>
      <c r="J112" s="416"/>
      <c r="K112" s="509"/>
      <c r="L112" s="402"/>
      <c r="M112" s="403"/>
      <c r="N112" s="403"/>
      <c r="O112" s="403"/>
      <c r="P112" s="403"/>
      <c r="Q112" s="403"/>
    </row>
    <row r="113" spans="1:17" ht="22.5" x14ac:dyDescent="0.25">
      <c r="A113" s="406">
        <f t="shared" si="2"/>
        <v>23</v>
      </c>
      <c r="B113" s="404" t="s">
        <v>40</v>
      </c>
      <c r="C113" s="405" t="s">
        <v>300</v>
      </c>
      <c r="D113" s="406" t="s">
        <v>47</v>
      </c>
      <c r="E113" s="407">
        <f>1.05*95.2</f>
        <v>99.960000000000008</v>
      </c>
      <c r="F113" s="544"/>
      <c r="G113" s="411"/>
      <c r="H113" s="510"/>
      <c r="I113" s="411"/>
      <c r="J113" s="410"/>
      <c r="K113" s="410"/>
      <c r="L113" s="402"/>
      <c r="M113" s="403"/>
      <c r="N113" s="403"/>
      <c r="O113" s="403"/>
      <c r="P113" s="403"/>
      <c r="Q113" s="403"/>
    </row>
    <row r="114" spans="1:17" x14ac:dyDescent="0.25">
      <c r="A114" s="406" t="str">
        <f t="shared" si="2"/>
        <v xml:space="preserve"> </v>
      </c>
      <c r="B114" s="544"/>
      <c r="C114" s="405" t="s">
        <v>780</v>
      </c>
      <c r="D114" s="416" t="s">
        <v>47</v>
      </c>
      <c r="E114" s="411">
        <f>E113*F114</f>
        <v>119.952</v>
      </c>
      <c r="F114" s="544">
        <v>1.2</v>
      </c>
      <c r="G114" s="544"/>
      <c r="H114" s="544"/>
      <c r="I114" s="545"/>
      <c r="J114" s="545"/>
      <c r="K114" s="545"/>
      <c r="L114" s="402"/>
      <c r="M114" s="403"/>
      <c r="N114" s="403"/>
      <c r="O114" s="403"/>
      <c r="P114" s="403"/>
      <c r="Q114" s="403"/>
    </row>
    <row r="115" spans="1:17" x14ac:dyDescent="0.25">
      <c r="A115" s="406" t="str">
        <f t="shared" si="2"/>
        <v xml:space="preserve"> </v>
      </c>
      <c r="B115" s="544"/>
      <c r="C115" s="405" t="s">
        <v>781</v>
      </c>
      <c r="D115" s="416" t="s">
        <v>47</v>
      </c>
      <c r="E115" s="411">
        <f>E113*F115</f>
        <v>119.952</v>
      </c>
      <c r="F115" s="544">
        <v>1.2</v>
      </c>
      <c r="G115" s="544"/>
      <c r="H115" s="544"/>
      <c r="I115" s="545"/>
      <c r="J115" s="545"/>
      <c r="K115" s="545"/>
      <c r="L115" s="402"/>
      <c r="M115" s="403"/>
      <c r="N115" s="403"/>
      <c r="O115" s="403"/>
      <c r="P115" s="403"/>
      <c r="Q115" s="403"/>
    </row>
    <row r="116" spans="1:17" x14ac:dyDescent="0.25">
      <c r="A116" s="406" t="str">
        <f t="shared" si="2"/>
        <v xml:space="preserve"> </v>
      </c>
      <c r="B116" s="544"/>
      <c r="C116" s="546" t="s">
        <v>297</v>
      </c>
      <c r="D116" s="544" t="s">
        <v>298</v>
      </c>
      <c r="E116" s="410">
        <f>ROUNDUP(E113*F116,0)</f>
        <v>3</v>
      </c>
      <c r="F116" s="544">
        <v>2.5000000000000001E-2</v>
      </c>
      <c r="G116" s="544"/>
      <c r="H116" s="544"/>
      <c r="I116" s="545"/>
      <c r="J116" s="545"/>
      <c r="K116" s="545"/>
      <c r="L116" s="402"/>
      <c r="M116" s="403"/>
      <c r="N116" s="403"/>
      <c r="O116" s="403"/>
      <c r="P116" s="403"/>
      <c r="Q116" s="403"/>
    </row>
    <row r="117" spans="1:17" ht="22.5" x14ac:dyDescent="0.25">
      <c r="A117" s="406" t="str">
        <f t="shared" si="2"/>
        <v xml:space="preserve"> </v>
      </c>
      <c r="B117" s="509"/>
      <c r="C117" s="405" t="s">
        <v>301</v>
      </c>
      <c r="D117" s="406" t="s">
        <v>42</v>
      </c>
      <c r="E117" s="407">
        <v>95.2</v>
      </c>
      <c r="F117" s="509"/>
      <c r="G117" s="509"/>
      <c r="H117" s="509"/>
      <c r="I117" s="509"/>
      <c r="J117" s="416"/>
      <c r="K117" s="509"/>
      <c r="L117" s="402"/>
      <c r="M117" s="403"/>
      <c r="N117" s="403"/>
      <c r="O117" s="403"/>
      <c r="P117" s="403"/>
      <c r="Q117" s="403"/>
    </row>
    <row r="118" spans="1:17" x14ac:dyDescent="0.25">
      <c r="A118" s="406" t="str">
        <f t="shared" si="2"/>
        <v xml:space="preserve"> </v>
      </c>
      <c r="B118" s="509"/>
      <c r="C118" s="405" t="s">
        <v>302</v>
      </c>
      <c r="D118" s="406" t="s">
        <v>42</v>
      </c>
      <c r="E118" s="407">
        <v>95.2</v>
      </c>
      <c r="F118" s="509"/>
      <c r="G118" s="509"/>
      <c r="H118" s="509"/>
      <c r="I118" s="509"/>
      <c r="J118" s="416"/>
      <c r="K118" s="509"/>
      <c r="L118" s="402"/>
      <c r="M118" s="403"/>
      <c r="N118" s="403"/>
      <c r="O118" s="403"/>
      <c r="P118" s="403"/>
      <c r="Q118" s="403"/>
    </row>
    <row r="119" spans="1:17" x14ac:dyDescent="0.25">
      <c r="A119" s="406">
        <f t="shared" si="2"/>
        <v>24</v>
      </c>
      <c r="B119" s="404" t="s">
        <v>40</v>
      </c>
      <c r="C119" s="405" t="s">
        <v>303</v>
      </c>
      <c r="D119" s="406" t="s">
        <v>42</v>
      </c>
      <c r="E119" s="407">
        <v>95.2</v>
      </c>
      <c r="F119" s="509"/>
      <c r="G119" s="411"/>
      <c r="H119" s="510"/>
      <c r="I119" s="411"/>
      <c r="J119" s="515"/>
      <c r="K119" s="411"/>
      <c r="L119" s="402"/>
      <c r="M119" s="403"/>
      <c r="N119" s="403"/>
      <c r="O119" s="403"/>
      <c r="P119" s="403"/>
      <c r="Q119" s="403"/>
    </row>
    <row r="120" spans="1:17" ht="22.5" x14ac:dyDescent="0.25">
      <c r="A120" s="406" t="str">
        <f t="shared" si="2"/>
        <v xml:space="preserve"> </v>
      </c>
      <c r="B120" s="509"/>
      <c r="C120" s="405" t="s">
        <v>304</v>
      </c>
      <c r="D120" s="406" t="s">
        <v>44</v>
      </c>
      <c r="E120" s="511">
        <v>16</v>
      </c>
      <c r="F120" s="509"/>
      <c r="G120" s="509"/>
      <c r="H120" s="509"/>
      <c r="I120" s="509"/>
      <c r="J120" s="416"/>
      <c r="K120" s="509"/>
      <c r="L120" s="402"/>
      <c r="M120" s="403"/>
      <c r="N120" s="403"/>
      <c r="O120" s="403"/>
      <c r="P120" s="403"/>
      <c r="Q120" s="403"/>
    </row>
    <row r="121" spans="1:17" ht="22.5" x14ac:dyDescent="0.25">
      <c r="A121" s="406" t="str">
        <f t="shared" si="2"/>
        <v xml:space="preserve"> </v>
      </c>
      <c r="B121" s="509"/>
      <c r="C121" s="537" t="s">
        <v>602</v>
      </c>
      <c r="D121" s="406" t="s">
        <v>44</v>
      </c>
      <c r="E121" s="511">
        <v>2</v>
      </c>
      <c r="F121" s="509"/>
      <c r="G121" s="509"/>
      <c r="H121" s="509"/>
      <c r="I121" s="509"/>
      <c r="J121" s="416"/>
      <c r="K121" s="509"/>
      <c r="L121" s="402"/>
      <c r="M121" s="403"/>
      <c r="N121" s="403"/>
      <c r="O121" s="403"/>
      <c r="P121" s="403"/>
      <c r="Q121" s="403"/>
    </row>
    <row r="122" spans="1:17" ht="22.5" x14ac:dyDescent="0.25">
      <c r="A122" s="406">
        <f t="shared" ref="A122:A185" si="3">IF(COUNTBLANK(B122)=1," ",COUNTA($B$13:B122))</f>
        <v>25</v>
      </c>
      <c r="B122" s="404" t="s">
        <v>40</v>
      </c>
      <c r="C122" s="405" t="s">
        <v>706</v>
      </c>
      <c r="D122" s="406" t="s">
        <v>47</v>
      </c>
      <c r="E122" s="407">
        <f>12*0.2</f>
        <v>2.4000000000000004</v>
      </c>
      <c r="F122" s="509"/>
      <c r="G122" s="411"/>
      <c r="H122" s="510"/>
      <c r="I122" s="411"/>
      <c r="J122" s="410"/>
      <c r="K122" s="410"/>
      <c r="L122" s="402"/>
      <c r="M122" s="403"/>
      <c r="N122" s="403"/>
      <c r="O122" s="403"/>
      <c r="P122" s="403"/>
      <c r="Q122" s="403"/>
    </row>
    <row r="123" spans="1:17" s="385" customFormat="1" ht="22.5" x14ac:dyDescent="0.25">
      <c r="A123" s="406">
        <f t="shared" si="3"/>
        <v>26</v>
      </c>
      <c r="B123" s="404" t="s">
        <v>40</v>
      </c>
      <c r="C123" s="405" t="s">
        <v>305</v>
      </c>
      <c r="D123" s="406" t="s">
        <v>88</v>
      </c>
      <c r="E123" s="410">
        <f>0.2*0.3*3.75*2</f>
        <v>0.44999999999999996</v>
      </c>
      <c r="F123" s="411"/>
      <c r="G123" s="411"/>
      <c r="H123" s="510"/>
      <c r="I123" s="411"/>
      <c r="J123" s="515"/>
      <c r="K123" s="411"/>
      <c r="L123" s="402"/>
      <c r="M123" s="403"/>
      <c r="N123" s="403"/>
      <c r="O123" s="403"/>
      <c r="P123" s="403"/>
      <c r="Q123" s="403"/>
    </row>
    <row r="124" spans="1:17" s="385" customFormat="1" x14ac:dyDescent="0.25">
      <c r="A124" s="406" t="str">
        <f t="shared" si="3"/>
        <v xml:space="preserve"> </v>
      </c>
      <c r="B124" s="404"/>
      <c r="C124" s="513" t="s">
        <v>203</v>
      </c>
      <c r="D124" s="406" t="s">
        <v>88</v>
      </c>
      <c r="E124" s="410">
        <f>ROUNDUP(E123*F124,2)</f>
        <v>6.9999999999999993E-2</v>
      </c>
      <c r="F124" s="411">
        <v>0.15</v>
      </c>
      <c r="G124" s="411"/>
      <c r="H124" s="411"/>
      <c r="I124" s="411"/>
      <c r="J124" s="411"/>
      <c r="K124" s="411"/>
      <c r="L124" s="402"/>
      <c r="M124" s="403"/>
      <c r="N124" s="403"/>
      <c r="O124" s="403"/>
      <c r="P124" s="403"/>
      <c r="Q124" s="403"/>
    </row>
    <row r="125" spans="1:17" s="374" customFormat="1" x14ac:dyDescent="0.25">
      <c r="A125" s="406" t="str">
        <f t="shared" si="3"/>
        <v xml:space="preserve"> </v>
      </c>
      <c r="B125" s="404"/>
      <c r="C125" s="513" t="s">
        <v>204</v>
      </c>
      <c r="D125" s="406" t="s">
        <v>88</v>
      </c>
      <c r="E125" s="410">
        <f>ROUNDUP(E123*F125,2)</f>
        <v>0.42</v>
      </c>
      <c r="F125" s="411">
        <v>0.93</v>
      </c>
      <c r="G125" s="411"/>
      <c r="H125" s="411"/>
      <c r="I125" s="411"/>
      <c r="J125" s="411"/>
      <c r="K125" s="411"/>
      <c r="L125" s="402"/>
      <c r="M125" s="403"/>
      <c r="N125" s="403"/>
      <c r="O125" s="403"/>
      <c r="P125" s="403"/>
      <c r="Q125" s="403"/>
    </row>
    <row r="126" spans="1:17" s="373" customFormat="1" x14ac:dyDescent="0.25">
      <c r="A126" s="406" t="str">
        <f t="shared" si="3"/>
        <v xml:space="preserve"> </v>
      </c>
      <c r="B126" s="404"/>
      <c r="C126" s="513" t="s">
        <v>71</v>
      </c>
      <c r="D126" s="513" t="s">
        <v>205</v>
      </c>
      <c r="E126" s="410">
        <f>ROUNDUP(E123*F126,0)</f>
        <v>1</v>
      </c>
      <c r="F126" s="411">
        <v>0.25</v>
      </c>
      <c r="G126" s="411"/>
      <c r="H126" s="411"/>
      <c r="I126" s="411"/>
      <c r="J126" s="411"/>
      <c r="K126" s="411"/>
      <c r="L126" s="402"/>
      <c r="M126" s="403"/>
      <c r="N126" s="403"/>
      <c r="O126" s="403"/>
      <c r="P126" s="403"/>
      <c r="Q126" s="403"/>
    </row>
    <row r="127" spans="1:17" x14ac:dyDescent="0.25">
      <c r="A127" s="406" t="str">
        <f t="shared" si="3"/>
        <v xml:space="preserve"> </v>
      </c>
      <c r="B127" s="509"/>
      <c r="C127" s="405" t="s">
        <v>306</v>
      </c>
      <c r="D127" s="406" t="s">
        <v>44</v>
      </c>
      <c r="E127" s="511">
        <v>8</v>
      </c>
      <c r="F127" s="509"/>
      <c r="G127" s="509"/>
      <c r="H127" s="509"/>
      <c r="I127" s="509"/>
      <c r="J127" s="416"/>
      <c r="K127" s="509"/>
      <c r="L127" s="402"/>
      <c r="M127" s="403"/>
      <c r="N127" s="403"/>
      <c r="O127" s="403"/>
      <c r="P127" s="403"/>
      <c r="Q127" s="403"/>
    </row>
    <row r="128" spans="1:17" x14ac:dyDescent="0.25">
      <c r="A128" s="406" t="str">
        <f t="shared" si="3"/>
        <v xml:space="preserve"> </v>
      </c>
      <c r="B128" s="509"/>
      <c r="C128" s="405" t="s">
        <v>307</v>
      </c>
      <c r="D128" s="406" t="s">
        <v>44</v>
      </c>
      <c r="E128" s="511">
        <v>16</v>
      </c>
      <c r="F128" s="509"/>
      <c r="G128" s="509"/>
      <c r="H128" s="509"/>
      <c r="I128" s="509"/>
      <c r="J128" s="416"/>
      <c r="K128" s="509"/>
      <c r="L128" s="402"/>
      <c r="M128" s="403"/>
      <c r="N128" s="403"/>
      <c r="O128" s="403"/>
      <c r="P128" s="403"/>
      <c r="Q128" s="403"/>
    </row>
    <row r="129" spans="1:17" x14ac:dyDescent="0.25">
      <c r="A129" s="406" t="str">
        <f t="shared" si="3"/>
        <v xml:space="preserve"> </v>
      </c>
      <c r="B129" s="509"/>
      <c r="C129" s="405" t="s">
        <v>308</v>
      </c>
      <c r="D129" s="406" t="s">
        <v>44</v>
      </c>
      <c r="E129" s="511">
        <v>16</v>
      </c>
      <c r="F129" s="509"/>
      <c r="G129" s="509"/>
      <c r="H129" s="509"/>
      <c r="I129" s="509"/>
      <c r="J129" s="416"/>
      <c r="K129" s="509"/>
      <c r="L129" s="402"/>
      <c r="M129" s="403"/>
      <c r="N129" s="403"/>
      <c r="O129" s="403"/>
      <c r="P129" s="403"/>
      <c r="Q129" s="403"/>
    </row>
    <row r="130" spans="1:17" ht="22.5" x14ac:dyDescent="0.25">
      <c r="A130" s="406" t="str">
        <f t="shared" si="3"/>
        <v xml:space="preserve"> </v>
      </c>
      <c r="B130" s="509"/>
      <c r="C130" s="405" t="s">
        <v>309</v>
      </c>
      <c r="D130" s="406" t="s">
        <v>58</v>
      </c>
      <c r="E130" s="511">
        <f>0.004*0.04*0.55*16*7800</f>
        <v>10.982400000000002</v>
      </c>
      <c r="F130" s="509"/>
      <c r="G130" s="509"/>
      <c r="H130" s="509"/>
      <c r="I130" s="509"/>
      <c r="J130" s="416"/>
      <c r="K130" s="509"/>
      <c r="L130" s="402"/>
      <c r="M130" s="403"/>
      <c r="N130" s="403"/>
      <c r="O130" s="403"/>
      <c r="P130" s="403"/>
      <c r="Q130" s="403"/>
    </row>
    <row r="131" spans="1:17" x14ac:dyDescent="0.25">
      <c r="A131" s="406" t="str">
        <f t="shared" si="3"/>
        <v xml:space="preserve"> </v>
      </c>
      <c r="B131" s="509"/>
      <c r="C131" s="405" t="s">
        <v>310</v>
      </c>
      <c r="D131" s="406" t="s">
        <v>44</v>
      </c>
      <c r="E131" s="511">
        <v>22</v>
      </c>
      <c r="F131" s="509"/>
      <c r="G131" s="509"/>
      <c r="H131" s="509"/>
      <c r="I131" s="509"/>
      <c r="J131" s="416"/>
      <c r="K131" s="509"/>
      <c r="L131" s="402"/>
      <c r="M131" s="403"/>
      <c r="N131" s="403"/>
      <c r="O131" s="403"/>
      <c r="P131" s="403"/>
      <c r="Q131" s="403"/>
    </row>
    <row r="132" spans="1:17" ht="22.5" x14ac:dyDescent="0.2">
      <c r="A132" s="406" t="str">
        <f t="shared" si="3"/>
        <v xml:space="preserve"> </v>
      </c>
      <c r="B132" s="509"/>
      <c r="C132" s="538" t="s">
        <v>599</v>
      </c>
      <c r="D132" s="539" t="s">
        <v>88</v>
      </c>
      <c r="E132" s="540">
        <f>0.05*0.2*2*8</f>
        <v>0.16000000000000003</v>
      </c>
      <c r="F132" s="509"/>
      <c r="G132" s="509"/>
      <c r="H132" s="509"/>
      <c r="I132" s="509"/>
      <c r="J132" s="416"/>
      <c r="K132" s="509"/>
      <c r="L132" s="402"/>
      <c r="M132" s="403"/>
      <c r="N132" s="403"/>
      <c r="O132" s="403"/>
      <c r="P132" s="403"/>
      <c r="Q132" s="403"/>
    </row>
    <row r="133" spans="1:17" x14ac:dyDescent="0.2">
      <c r="A133" s="406" t="str">
        <f t="shared" si="3"/>
        <v xml:space="preserve"> </v>
      </c>
      <c r="B133" s="509"/>
      <c r="C133" s="538" t="s">
        <v>596</v>
      </c>
      <c r="D133" s="539" t="s">
        <v>44</v>
      </c>
      <c r="E133" s="541">
        <f>1*8</f>
        <v>8</v>
      </c>
      <c r="F133" s="509"/>
      <c r="G133" s="509"/>
      <c r="H133" s="509"/>
      <c r="I133" s="509"/>
      <c r="J133" s="416"/>
      <c r="K133" s="509"/>
      <c r="L133" s="402"/>
      <c r="M133" s="403"/>
      <c r="N133" s="403"/>
      <c r="O133" s="403"/>
      <c r="P133" s="403"/>
      <c r="Q133" s="403"/>
    </row>
    <row r="134" spans="1:17" x14ac:dyDescent="0.2">
      <c r="A134" s="406" t="str">
        <f t="shared" si="3"/>
        <v xml:space="preserve"> </v>
      </c>
      <c r="B134" s="509"/>
      <c r="C134" s="538" t="s">
        <v>600</v>
      </c>
      <c r="D134" s="539" t="s">
        <v>44</v>
      </c>
      <c r="E134" s="541">
        <v>4</v>
      </c>
      <c r="F134" s="509"/>
      <c r="G134" s="509"/>
      <c r="H134" s="509"/>
      <c r="I134" s="509"/>
      <c r="J134" s="416"/>
      <c r="K134" s="509"/>
      <c r="L134" s="402"/>
      <c r="M134" s="403"/>
      <c r="N134" s="403"/>
      <c r="O134" s="403"/>
      <c r="P134" s="403"/>
      <c r="Q134" s="403"/>
    </row>
    <row r="135" spans="1:17" x14ac:dyDescent="0.2">
      <c r="A135" s="406" t="str">
        <f t="shared" si="3"/>
        <v xml:space="preserve"> </v>
      </c>
      <c r="B135" s="509"/>
      <c r="C135" s="538" t="s">
        <v>598</v>
      </c>
      <c r="D135" s="539" t="s">
        <v>47</v>
      </c>
      <c r="E135" s="541">
        <f>0.5*1.1*2*2</f>
        <v>2.2000000000000002</v>
      </c>
      <c r="F135" s="509"/>
      <c r="G135" s="509"/>
      <c r="H135" s="509"/>
      <c r="I135" s="509"/>
      <c r="J135" s="416"/>
      <c r="K135" s="509"/>
      <c r="L135" s="402"/>
      <c r="M135" s="403"/>
      <c r="N135" s="403"/>
      <c r="O135" s="403"/>
      <c r="P135" s="403"/>
      <c r="Q135" s="403"/>
    </row>
    <row r="136" spans="1:17" x14ac:dyDescent="0.2">
      <c r="A136" s="406" t="str">
        <f t="shared" si="3"/>
        <v xml:space="preserve"> </v>
      </c>
      <c r="B136" s="509"/>
      <c r="C136" s="538" t="s">
        <v>603</v>
      </c>
      <c r="D136" s="539" t="s">
        <v>88</v>
      </c>
      <c r="E136" s="540">
        <f>0.2*2*2*0.9*2</f>
        <v>1.4400000000000002</v>
      </c>
      <c r="F136" s="509"/>
      <c r="G136" s="509"/>
      <c r="H136" s="509"/>
      <c r="I136" s="509"/>
      <c r="J136" s="416"/>
      <c r="K136" s="509"/>
      <c r="L136" s="402"/>
      <c r="M136" s="403"/>
      <c r="N136" s="403"/>
      <c r="O136" s="403"/>
      <c r="P136" s="403"/>
      <c r="Q136" s="403"/>
    </row>
    <row r="137" spans="1:17" x14ac:dyDescent="0.2">
      <c r="A137" s="406" t="str">
        <f t="shared" si="3"/>
        <v xml:space="preserve"> </v>
      </c>
      <c r="B137" s="509"/>
      <c r="C137" s="538" t="s">
        <v>597</v>
      </c>
      <c r="D137" s="539" t="s">
        <v>88</v>
      </c>
      <c r="E137" s="543">
        <f>0.15*2</f>
        <v>0.3</v>
      </c>
      <c r="F137" s="509"/>
      <c r="G137" s="509"/>
      <c r="H137" s="509"/>
      <c r="I137" s="509"/>
      <c r="J137" s="416"/>
      <c r="K137" s="509"/>
      <c r="L137" s="402"/>
      <c r="M137" s="403"/>
      <c r="N137" s="403"/>
      <c r="O137" s="403"/>
      <c r="P137" s="403"/>
      <c r="Q137" s="403"/>
    </row>
    <row r="138" spans="1:17" x14ac:dyDescent="0.2">
      <c r="A138" s="406" t="str">
        <f t="shared" si="3"/>
        <v xml:space="preserve"> </v>
      </c>
      <c r="B138" s="509"/>
      <c r="C138" s="542" t="s">
        <v>605</v>
      </c>
      <c r="D138" s="539" t="s">
        <v>47</v>
      </c>
      <c r="E138" s="543">
        <f>4*2</f>
        <v>8</v>
      </c>
      <c r="F138" s="509"/>
      <c r="G138" s="509"/>
      <c r="H138" s="509"/>
      <c r="I138" s="509"/>
      <c r="J138" s="416"/>
      <c r="K138" s="509"/>
      <c r="L138" s="402"/>
      <c r="M138" s="403"/>
      <c r="N138" s="403"/>
      <c r="O138" s="403"/>
      <c r="P138" s="403"/>
      <c r="Q138" s="403"/>
    </row>
    <row r="139" spans="1:17" x14ac:dyDescent="0.2">
      <c r="A139" s="406" t="str">
        <f t="shared" si="3"/>
        <v xml:space="preserve"> </v>
      </c>
      <c r="B139" s="509"/>
      <c r="C139" s="547" t="s">
        <v>604</v>
      </c>
      <c r="D139" s="540" t="s">
        <v>88</v>
      </c>
      <c r="E139" s="548">
        <f>0.05*0.05*0.37*14</f>
        <v>1.2950000000000001E-2</v>
      </c>
      <c r="F139" s="509"/>
      <c r="G139" s="509"/>
      <c r="H139" s="509"/>
      <c r="I139" s="509"/>
      <c r="J139" s="416"/>
      <c r="K139" s="509"/>
      <c r="L139" s="402"/>
      <c r="M139" s="403"/>
      <c r="N139" s="403"/>
      <c r="O139" s="403"/>
      <c r="P139" s="403"/>
      <c r="Q139" s="403"/>
    </row>
    <row r="140" spans="1:17" x14ac:dyDescent="0.25">
      <c r="A140" s="406" t="str">
        <f t="shared" si="3"/>
        <v xml:space="preserve"> </v>
      </c>
      <c r="B140" s="509"/>
      <c r="C140" s="405" t="s">
        <v>784</v>
      </c>
      <c r="D140" s="406" t="s">
        <v>88</v>
      </c>
      <c r="E140" s="410">
        <f>0.05*0.2*4.1*2</f>
        <v>8.2000000000000003E-2</v>
      </c>
      <c r="F140" s="509"/>
      <c r="G140" s="509"/>
      <c r="H140" s="509"/>
      <c r="I140" s="509"/>
      <c r="J140" s="416"/>
      <c r="K140" s="509"/>
      <c r="L140" s="402"/>
      <c r="M140" s="403"/>
      <c r="N140" s="403"/>
      <c r="O140" s="403"/>
      <c r="P140" s="403"/>
      <c r="Q140" s="403"/>
    </row>
    <row r="141" spans="1:17" x14ac:dyDescent="0.2">
      <c r="A141" s="406" t="str">
        <f t="shared" si="3"/>
        <v xml:space="preserve"> </v>
      </c>
      <c r="B141" s="509"/>
      <c r="C141" s="542" t="s">
        <v>606</v>
      </c>
      <c r="D141" s="539" t="s">
        <v>47</v>
      </c>
      <c r="E141" s="543">
        <f>0.42*4.1*2</f>
        <v>3.4439999999999995</v>
      </c>
      <c r="F141" s="509"/>
      <c r="G141" s="509"/>
      <c r="H141" s="509"/>
      <c r="I141" s="509"/>
      <c r="J141" s="416"/>
      <c r="K141" s="509"/>
      <c r="L141" s="402"/>
      <c r="M141" s="403"/>
      <c r="N141" s="403"/>
      <c r="O141" s="403"/>
      <c r="P141" s="403"/>
      <c r="Q141" s="403"/>
    </row>
    <row r="142" spans="1:17" x14ac:dyDescent="0.25">
      <c r="A142" s="406">
        <f t="shared" si="3"/>
        <v>27</v>
      </c>
      <c r="B142" s="404" t="s">
        <v>40</v>
      </c>
      <c r="C142" s="405" t="s">
        <v>785</v>
      </c>
      <c r="D142" s="406" t="s">
        <v>42</v>
      </c>
      <c r="E142" s="407">
        <f>4.1*4</f>
        <v>16.399999999999999</v>
      </c>
      <c r="F142" s="509"/>
      <c r="G142" s="411"/>
      <c r="H142" s="510"/>
      <c r="I142" s="411"/>
      <c r="J142" s="410"/>
      <c r="K142" s="410"/>
      <c r="L142" s="402"/>
      <c r="M142" s="403"/>
      <c r="N142" s="403"/>
      <c r="O142" s="403"/>
      <c r="P142" s="403"/>
      <c r="Q142" s="403"/>
    </row>
    <row r="143" spans="1:17" x14ac:dyDescent="0.25">
      <c r="A143" s="406" t="str">
        <f t="shared" si="3"/>
        <v xml:space="preserve"> </v>
      </c>
      <c r="B143" s="404"/>
      <c r="C143" s="405" t="s">
        <v>607</v>
      </c>
      <c r="D143" s="406" t="s">
        <v>58</v>
      </c>
      <c r="E143" s="410">
        <f>0.004*0.04*0.57*14*7800</f>
        <v>9.9590399999999981</v>
      </c>
      <c r="F143" s="509"/>
      <c r="G143" s="411"/>
      <c r="H143" s="510"/>
      <c r="I143" s="411"/>
      <c r="J143" s="410"/>
      <c r="K143" s="410"/>
      <c r="L143" s="402"/>
      <c r="M143" s="403"/>
      <c r="N143" s="403"/>
      <c r="O143" s="403"/>
      <c r="P143" s="403"/>
      <c r="Q143" s="403"/>
    </row>
    <row r="144" spans="1:17" x14ac:dyDescent="0.25">
      <c r="A144" s="406">
        <f t="shared" si="3"/>
        <v>28</v>
      </c>
      <c r="B144" s="404" t="s">
        <v>40</v>
      </c>
      <c r="C144" s="405" t="s">
        <v>608</v>
      </c>
      <c r="D144" s="406"/>
      <c r="E144" s="407"/>
      <c r="F144" s="544"/>
      <c r="G144" s="411"/>
      <c r="H144" s="510"/>
      <c r="I144" s="411"/>
      <c r="J144" s="410"/>
      <c r="K144" s="410"/>
      <c r="L144" s="402"/>
      <c r="M144" s="403"/>
      <c r="N144" s="403"/>
      <c r="O144" s="403"/>
      <c r="P144" s="403"/>
      <c r="Q144" s="403"/>
    </row>
    <row r="145" spans="1:17" ht="22.5" x14ac:dyDescent="0.25">
      <c r="A145" s="406" t="str">
        <f t="shared" si="3"/>
        <v xml:space="preserve"> </v>
      </c>
      <c r="B145" s="544"/>
      <c r="C145" s="405" t="s">
        <v>786</v>
      </c>
      <c r="D145" s="416" t="s">
        <v>47</v>
      </c>
      <c r="E145" s="512">
        <f>1.9*2*4.1</f>
        <v>15.579999999999998</v>
      </c>
      <c r="F145" s="544">
        <v>1.2</v>
      </c>
      <c r="G145" s="544"/>
      <c r="H145" s="544"/>
      <c r="I145" s="545"/>
      <c r="J145" s="545"/>
      <c r="K145" s="545"/>
      <c r="L145" s="402"/>
      <c r="M145" s="403"/>
      <c r="N145" s="403"/>
      <c r="O145" s="403"/>
      <c r="P145" s="403"/>
      <c r="Q145" s="403"/>
    </row>
    <row r="146" spans="1:17" ht="22.5" x14ac:dyDescent="0.25">
      <c r="A146" s="406" t="str">
        <f t="shared" si="3"/>
        <v xml:space="preserve"> </v>
      </c>
      <c r="B146" s="544"/>
      <c r="C146" s="405" t="s">
        <v>787</v>
      </c>
      <c r="D146" s="416" t="s">
        <v>47</v>
      </c>
      <c r="E146" s="512">
        <f>1.9*2*4.1</f>
        <v>15.579999999999998</v>
      </c>
      <c r="F146" s="544">
        <v>1.2</v>
      </c>
      <c r="G146" s="544"/>
      <c r="H146" s="544"/>
      <c r="I146" s="545"/>
      <c r="J146" s="545"/>
      <c r="K146" s="545"/>
      <c r="L146" s="402"/>
      <c r="M146" s="403"/>
      <c r="N146" s="403"/>
      <c r="O146" s="403"/>
      <c r="P146" s="403"/>
      <c r="Q146" s="403"/>
    </row>
    <row r="147" spans="1:17" x14ac:dyDescent="0.25">
      <c r="A147" s="406" t="str">
        <f t="shared" si="3"/>
        <v xml:space="preserve"> </v>
      </c>
      <c r="B147" s="544"/>
      <c r="C147" s="546" t="s">
        <v>297</v>
      </c>
      <c r="D147" s="544" t="s">
        <v>298</v>
      </c>
      <c r="E147" s="410">
        <f>ROUNDUP(E144*F147,0)</f>
        <v>0</v>
      </c>
      <c r="F147" s="544">
        <v>2.5000000000000001E-2</v>
      </c>
      <c r="G147" s="544"/>
      <c r="H147" s="544"/>
      <c r="I147" s="545"/>
      <c r="J147" s="545"/>
      <c r="K147" s="545"/>
      <c r="L147" s="402"/>
      <c r="M147" s="403"/>
      <c r="N147" s="403"/>
      <c r="O147" s="403"/>
      <c r="P147" s="403"/>
      <c r="Q147" s="403"/>
    </row>
    <row r="148" spans="1:17" ht="22.5" x14ac:dyDescent="0.25">
      <c r="A148" s="406">
        <f t="shared" si="3"/>
        <v>29</v>
      </c>
      <c r="B148" s="404" t="s">
        <v>40</v>
      </c>
      <c r="C148" s="405" t="s">
        <v>311</v>
      </c>
      <c r="D148" s="406" t="s">
        <v>47</v>
      </c>
      <c r="E148" s="407">
        <f>2*5.3*0.6</f>
        <v>6.3599999999999994</v>
      </c>
      <c r="F148" s="509"/>
      <c r="G148" s="526"/>
      <c r="H148" s="510"/>
      <c r="I148" s="526"/>
      <c r="J148" s="526"/>
      <c r="K148" s="526"/>
      <c r="L148" s="402"/>
      <c r="M148" s="403"/>
      <c r="N148" s="403"/>
      <c r="O148" s="403"/>
      <c r="P148" s="403"/>
      <c r="Q148" s="403"/>
    </row>
    <row r="149" spans="1:17" x14ac:dyDescent="0.25">
      <c r="A149" s="406">
        <f t="shared" si="3"/>
        <v>30</v>
      </c>
      <c r="B149" s="404" t="s">
        <v>40</v>
      </c>
      <c r="C149" s="405" t="s">
        <v>312</v>
      </c>
      <c r="D149" s="406" t="s">
        <v>47</v>
      </c>
      <c r="E149" s="407">
        <v>0.5</v>
      </c>
      <c r="F149" s="411"/>
      <c r="G149" s="411"/>
      <c r="H149" s="510"/>
      <c r="I149" s="411"/>
      <c r="J149" s="515"/>
      <c r="K149" s="411"/>
      <c r="L149" s="402"/>
      <c r="M149" s="403"/>
      <c r="N149" s="403"/>
      <c r="O149" s="403"/>
      <c r="P149" s="403"/>
      <c r="Q149" s="403"/>
    </row>
    <row r="150" spans="1:17" x14ac:dyDescent="0.25">
      <c r="A150" s="406" t="str">
        <f t="shared" si="3"/>
        <v xml:space="preserve"> </v>
      </c>
      <c r="B150" s="513"/>
      <c r="C150" s="503" t="s">
        <v>322</v>
      </c>
      <c r="D150" s="513" t="s">
        <v>58</v>
      </c>
      <c r="E150" s="411">
        <f>E149*F150</f>
        <v>0.2</v>
      </c>
      <c r="F150" s="411">
        <v>0.4</v>
      </c>
      <c r="G150" s="411"/>
      <c r="H150" s="411"/>
      <c r="I150" s="411"/>
      <c r="J150" s="411"/>
      <c r="K150" s="411"/>
      <c r="L150" s="402"/>
      <c r="M150" s="403"/>
      <c r="N150" s="403"/>
      <c r="O150" s="403"/>
      <c r="P150" s="403"/>
      <c r="Q150" s="403"/>
    </row>
    <row r="151" spans="1:17" ht="22.5" x14ac:dyDescent="0.25">
      <c r="A151" s="406">
        <f t="shared" si="3"/>
        <v>31</v>
      </c>
      <c r="B151" s="404" t="s">
        <v>40</v>
      </c>
      <c r="C151" s="405" t="s">
        <v>609</v>
      </c>
      <c r="D151" s="406" t="s">
        <v>42</v>
      </c>
      <c r="E151" s="407">
        <v>8.1999999999999993</v>
      </c>
      <c r="F151" s="509"/>
      <c r="G151" s="411"/>
      <c r="H151" s="510"/>
      <c r="I151" s="411"/>
      <c r="J151" s="515"/>
      <c r="K151" s="411"/>
      <c r="L151" s="402"/>
      <c r="M151" s="403"/>
      <c r="N151" s="403"/>
      <c r="O151" s="403"/>
      <c r="P151" s="403"/>
      <c r="Q151" s="403"/>
    </row>
    <row r="152" spans="1:17" x14ac:dyDescent="0.25">
      <c r="A152" s="406" t="str">
        <f t="shared" si="3"/>
        <v xml:space="preserve"> </v>
      </c>
      <c r="B152" s="509"/>
      <c r="C152" s="405" t="s">
        <v>788</v>
      </c>
      <c r="D152" s="406" t="s">
        <v>47</v>
      </c>
      <c r="E152" s="407">
        <f>0.3*8.2</f>
        <v>2.4599999999999995</v>
      </c>
      <c r="F152" s="509"/>
      <c r="G152" s="509"/>
      <c r="H152" s="509"/>
      <c r="I152" s="509"/>
      <c r="J152" s="416"/>
      <c r="K152" s="509"/>
      <c r="L152" s="402"/>
      <c r="M152" s="403"/>
      <c r="N152" s="403"/>
      <c r="O152" s="403"/>
      <c r="P152" s="403"/>
      <c r="Q152" s="403"/>
    </row>
    <row r="153" spans="1:17" ht="22.5" x14ac:dyDescent="0.25">
      <c r="A153" s="406">
        <f t="shared" si="3"/>
        <v>32</v>
      </c>
      <c r="B153" s="404" t="s">
        <v>40</v>
      </c>
      <c r="C153" s="405" t="s">
        <v>610</v>
      </c>
      <c r="D153" s="406" t="s">
        <v>47</v>
      </c>
      <c r="E153" s="407">
        <f>1.05*8.2</f>
        <v>8.61</v>
      </c>
      <c r="F153" s="544"/>
      <c r="G153" s="411"/>
      <c r="H153" s="510"/>
      <c r="I153" s="411"/>
      <c r="J153" s="410"/>
      <c r="K153" s="410"/>
      <c r="L153" s="402"/>
      <c r="M153" s="403"/>
      <c r="N153" s="403"/>
      <c r="O153" s="403"/>
      <c r="P153" s="403"/>
      <c r="Q153" s="403"/>
    </row>
    <row r="154" spans="1:17" x14ac:dyDescent="0.25">
      <c r="A154" s="406" t="str">
        <f t="shared" si="3"/>
        <v xml:space="preserve"> </v>
      </c>
      <c r="B154" s="544"/>
      <c r="C154" s="546" t="s">
        <v>297</v>
      </c>
      <c r="D154" s="544" t="s">
        <v>298</v>
      </c>
      <c r="E154" s="410">
        <f>ROUNDUP(E153*F154,0)</f>
        <v>1</v>
      </c>
      <c r="F154" s="544">
        <v>2.5000000000000001E-2</v>
      </c>
      <c r="G154" s="544"/>
      <c r="H154" s="544"/>
      <c r="I154" s="545"/>
      <c r="J154" s="545"/>
      <c r="K154" s="545"/>
      <c r="L154" s="402"/>
      <c r="M154" s="403"/>
      <c r="N154" s="403"/>
      <c r="O154" s="403"/>
      <c r="P154" s="403"/>
      <c r="Q154" s="403"/>
    </row>
    <row r="155" spans="1:17" ht="22.5" x14ac:dyDescent="0.25">
      <c r="A155" s="406" t="str">
        <f t="shared" si="3"/>
        <v xml:space="preserve"> </v>
      </c>
      <c r="B155" s="509"/>
      <c r="C155" s="405" t="s">
        <v>301</v>
      </c>
      <c r="D155" s="406" t="s">
        <v>42</v>
      </c>
      <c r="E155" s="407">
        <v>8.1999999999999993</v>
      </c>
      <c r="F155" s="509"/>
      <c r="G155" s="509"/>
      <c r="H155" s="509"/>
      <c r="I155" s="509"/>
      <c r="J155" s="416"/>
      <c r="K155" s="509"/>
      <c r="L155" s="402"/>
      <c r="M155" s="403"/>
      <c r="N155" s="403"/>
      <c r="O155" s="403"/>
      <c r="P155" s="403"/>
      <c r="Q155" s="403"/>
    </row>
    <row r="156" spans="1:17" x14ac:dyDescent="0.25">
      <c r="A156" s="406" t="str">
        <f t="shared" si="3"/>
        <v xml:space="preserve"> </v>
      </c>
      <c r="B156" s="509"/>
      <c r="C156" s="405" t="s">
        <v>313</v>
      </c>
      <c r="D156" s="406" t="s">
        <v>42</v>
      </c>
      <c r="E156" s="407">
        <v>8.1999999999999993</v>
      </c>
      <c r="F156" s="509"/>
      <c r="G156" s="509"/>
      <c r="H156" s="509"/>
      <c r="I156" s="509"/>
      <c r="J156" s="416"/>
      <c r="K156" s="509"/>
      <c r="L156" s="402"/>
      <c r="M156" s="403"/>
      <c r="N156" s="403"/>
      <c r="O156" s="403"/>
      <c r="P156" s="403"/>
      <c r="Q156" s="403"/>
    </row>
    <row r="157" spans="1:17" x14ac:dyDescent="0.25">
      <c r="A157" s="406">
        <f t="shared" si="3"/>
        <v>33</v>
      </c>
      <c r="B157" s="404" t="s">
        <v>40</v>
      </c>
      <c r="C157" s="405" t="s">
        <v>303</v>
      </c>
      <c r="D157" s="406" t="s">
        <v>42</v>
      </c>
      <c r="E157" s="407">
        <v>8.1999999999999993</v>
      </c>
      <c r="F157" s="509"/>
      <c r="G157" s="411"/>
      <c r="H157" s="510"/>
      <c r="I157" s="411"/>
      <c r="J157" s="515"/>
      <c r="K157" s="411"/>
      <c r="L157" s="402"/>
      <c r="M157" s="403"/>
      <c r="N157" s="403"/>
      <c r="O157" s="403"/>
      <c r="P157" s="403"/>
      <c r="Q157" s="403"/>
    </row>
    <row r="158" spans="1:17" ht="22.5" x14ac:dyDescent="0.25">
      <c r="A158" s="406" t="str">
        <f t="shared" si="3"/>
        <v xml:space="preserve"> </v>
      </c>
      <c r="B158" s="509"/>
      <c r="C158" s="405" t="s">
        <v>314</v>
      </c>
      <c r="D158" s="406" t="s">
        <v>67</v>
      </c>
      <c r="E158" s="511">
        <v>2</v>
      </c>
      <c r="F158" s="509"/>
      <c r="G158" s="509"/>
      <c r="H158" s="509"/>
      <c r="I158" s="509"/>
      <c r="J158" s="416"/>
      <c r="K158" s="509"/>
      <c r="L158" s="402"/>
      <c r="M158" s="403"/>
      <c r="N158" s="403"/>
      <c r="O158" s="403"/>
      <c r="P158" s="403"/>
      <c r="Q158" s="403"/>
    </row>
    <row r="159" spans="1:17" ht="10.15" customHeight="1" x14ac:dyDescent="0.25">
      <c r="A159" s="406" t="str">
        <f t="shared" si="3"/>
        <v xml:space="preserve"> </v>
      </c>
      <c r="B159" s="509"/>
      <c r="C159" s="549" t="s">
        <v>671</v>
      </c>
      <c r="D159" s="549"/>
      <c r="E159" s="549"/>
      <c r="F159" s="509"/>
      <c r="G159" s="509"/>
      <c r="H159" s="509"/>
      <c r="I159" s="509"/>
      <c r="J159" s="416"/>
      <c r="K159" s="509"/>
      <c r="L159" s="402"/>
      <c r="M159" s="403"/>
      <c r="N159" s="403"/>
      <c r="O159" s="403"/>
      <c r="P159" s="403"/>
      <c r="Q159" s="403"/>
    </row>
    <row r="160" spans="1:17" x14ac:dyDescent="0.25">
      <c r="A160" s="406">
        <f t="shared" si="3"/>
        <v>34</v>
      </c>
      <c r="B160" s="404" t="s">
        <v>40</v>
      </c>
      <c r="C160" s="550" t="s">
        <v>315</v>
      </c>
      <c r="D160" s="406" t="s">
        <v>47</v>
      </c>
      <c r="E160" s="407">
        <v>10</v>
      </c>
      <c r="F160" s="509"/>
      <c r="G160" s="411"/>
      <c r="H160" s="510"/>
      <c r="I160" s="411"/>
      <c r="J160" s="515"/>
      <c r="K160" s="411"/>
      <c r="L160" s="402"/>
      <c r="M160" s="403"/>
      <c r="N160" s="403"/>
      <c r="O160" s="403"/>
      <c r="P160" s="403"/>
      <c r="Q160" s="403"/>
    </row>
    <row r="161" spans="1:17" s="551" customFormat="1" ht="22.5" x14ac:dyDescent="0.25">
      <c r="A161" s="406">
        <f t="shared" si="3"/>
        <v>35</v>
      </c>
      <c r="B161" s="404" t="s">
        <v>40</v>
      </c>
      <c r="C161" s="550" t="s">
        <v>316</v>
      </c>
      <c r="D161" s="406" t="s">
        <v>47</v>
      </c>
      <c r="E161" s="407">
        <v>16.5</v>
      </c>
      <c r="F161" s="513"/>
      <c r="G161" s="411"/>
      <c r="H161" s="510"/>
      <c r="I161" s="411"/>
      <c r="J161" s="515"/>
      <c r="K161" s="411"/>
      <c r="L161" s="402"/>
      <c r="M161" s="403"/>
      <c r="N161" s="403"/>
      <c r="O161" s="403"/>
      <c r="P161" s="403"/>
      <c r="Q161" s="403"/>
    </row>
    <row r="162" spans="1:17" s="551" customFormat="1" x14ac:dyDescent="0.25">
      <c r="A162" s="406" t="str">
        <f t="shared" si="3"/>
        <v xml:space="preserve"> </v>
      </c>
      <c r="B162" s="513"/>
      <c r="C162" s="389" t="s">
        <v>317</v>
      </c>
      <c r="D162" s="406" t="s">
        <v>88</v>
      </c>
      <c r="E162" s="411">
        <f>E161*F162</f>
        <v>0.33</v>
      </c>
      <c r="F162" s="513">
        <v>0.02</v>
      </c>
      <c r="G162" s="411"/>
      <c r="H162" s="411"/>
      <c r="I162" s="411"/>
      <c r="J162" s="411"/>
      <c r="K162" s="411"/>
      <c r="L162" s="402"/>
      <c r="M162" s="403"/>
      <c r="N162" s="403"/>
      <c r="O162" s="403"/>
      <c r="P162" s="403"/>
      <c r="Q162" s="403"/>
    </row>
    <row r="163" spans="1:17" ht="22.5" x14ac:dyDescent="0.25">
      <c r="A163" s="406">
        <f t="shared" si="3"/>
        <v>36</v>
      </c>
      <c r="B163" s="404" t="s">
        <v>40</v>
      </c>
      <c r="C163" s="550" t="s">
        <v>318</v>
      </c>
      <c r="D163" s="406" t="s">
        <v>47</v>
      </c>
      <c r="E163" s="407">
        <v>15</v>
      </c>
      <c r="F163" s="509"/>
      <c r="G163" s="411"/>
      <c r="H163" s="510"/>
      <c r="I163" s="411"/>
      <c r="J163" s="515"/>
      <c r="K163" s="411"/>
      <c r="L163" s="402"/>
      <c r="M163" s="403"/>
      <c r="N163" s="403"/>
      <c r="O163" s="403"/>
      <c r="P163" s="403"/>
      <c r="Q163" s="403"/>
    </row>
    <row r="164" spans="1:17" x14ac:dyDescent="0.25">
      <c r="A164" s="406">
        <f t="shared" si="3"/>
        <v>37</v>
      </c>
      <c r="B164" s="404" t="s">
        <v>40</v>
      </c>
      <c r="C164" s="550" t="s">
        <v>789</v>
      </c>
      <c r="D164" s="406" t="s">
        <v>47</v>
      </c>
      <c r="E164" s="407">
        <v>15</v>
      </c>
      <c r="F164" s="509"/>
      <c r="G164" s="411"/>
      <c r="H164" s="510"/>
      <c r="I164" s="411"/>
      <c r="J164" s="515"/>
      <c r="K164" s="411"/>
      <c r="L164" s="402"/>
      <c r="M164" s="403"/>
      <c r="N164" s="403"/>
      <c r="O164" s="403"/>
      <c r="P164" s="403"/>
      <c r="Q164" s="403"/>
    </row>
    <row r="165" spans="1:17" x14ac:dyDescent="0.25">
      <c r="A165" s="406" t="str">
        <f t="shared" si="3"/>
        <v xml:space="preserve"> </v>
      </c>
      <c r="B165" s="509"/>
      <c r="C165" s="552" t="s">
        <v>319</v>
      </c>
      <c r="D165" s="406" t="s">
        <v>47</v>
      </c>
      <c r="E165" s="407">
        <v>15</v>
      </c>
      <c r="F165" s="509"/>
      <c r="G165" s="509"/>
      <c r="H165" s="509"/>
      <c r="I165" s="509"/>
      <c r="J165" s="416"/>
      <c r="K165" s="509"/>
      <c r="L165" s="402"/>
      <c r="M165" s="403"/>
      <c r="N165" s="403"/>
      <c r="O165" s="403"/>
      <c r="P165" s="403"/>
      <c r="Q165" s="403"/>
    </row>
    <row r="166" spans="1:17" x14ac:dyDescent="0.25">
      <c r="A166" s="406" t="str">
        <f t="shared" si="3"/>
        <v xml:space="preserve"> </v>
      </c>
      <c r="B166" s="509"/>
      <c r="C166" s="552" t="s">
        <v>320</v>
      </c>
      <c r="D166" s="553" t="s">
        <v>47</v>
      </c>
      <c r="E166" s="407">
        <v>15</v>
      </c>
      <c r="F166" s="509"/>
      <c r="G166" s="509"/>
      <c r="H166" s="509"/>
      <c r="I166" s="509"/>
      <c r="J166" s="416"/>
      <c r="K166" s="509"/>
      <c r="L166" s="402"/>
      <c r="M166" s="403"/>
      <c r="N166" s="403"/>
      <c r="O166" s="403"/>
      <c r="P166" s="403"/>
      <c r="Q166" s="403"/>
    </row>
    <row r="167" spans="1:17" x14ac:dyDescent="0.25">
      <c r="A167" s="406" t="str">
        <f t="shared" si="3"/>
        <v xml:space="preserve"> </v>
      </c>
      <c r="B167" s="509"/>
      <c r="C167" s="552" t="s">
        <v>790</v>
      </c>
      <c r="D167" s="553" t="s">
        <v>47</v>
      </c>
      <c r="E167" s="407">
        <v>15</v>
      </c>
      <c r="F167" s="509"/>
      <c r="G167" s="509"/>
      <c r="H167" s="509"/>
      <c r="I167" s="509"/>
      <c r="J167" s="416"/>
      <c r="K167" s="509"/>
      <c r="L167" s="402"/>
      <c r="M167" s="403"/>
      <c r="N167" s="403"/>
      <c r="O167" s="403"/>
      <c r="P167" s="403"/>
      <c r="Q167" s="403"/>
    </row>
    <row r="168" spans="1:17" s="554" customFormat="1" x14ac:dyDescent="0.25">
      <c r="A168" s="406">
        <f t="shared" si="3"/>
        <v>38</v>
      </c>
      <c r="B168" s="404" t="s">
        <v>40</v>
      </c>
      <c r="C168" s="552" t="s">
        <v>321</v>
      </c>
      <c r="D168" s="406" t="s">
        <v>47</v>
      </c>
      <c r="E168" s="407">
        <v>15</v>
      </c>
      <c r="F168" s="411"/>
      <c r="G168" s="411"/>
      <c r="H168" s="510"/>
      <c r="I168" s="411"/>
      <c r="J168" s="411"/>
      <c r="K168" s="411"/>
      <c r="L168" s="402"/>
      <c r="M168" s="403"/>
      <c r="N168" s="403"/>
      <c r="O168" s="403"/>
      <c r="P168" s="403"/>
      <c r="Q168" s="403"/>
    </row>
    <row r="169" spans="1:17" x14ac:dyDescent="0.25">
      <c r="A169" s="406" t="str">
        <f t="shared" si="3"/>
        <v xml:space="preserve"> </v>
      </c>
      <c r="B169" s="513"/>
      <c r="C169" s="389" t="s">
        <v>322</v>
      </c>
      <c r="D169" s="513" t="s">
        <v>58</v>
      </c>
      <c r="E169" s="410">
        <f>ROUNDUP(E168*F169,2)</f>
        <v>6</v>
      </c>
      <c r="F169" s="411">
        <v>0.4</v>
      </c>
      <c r="G169" s="411"/>
      <c r="H169" s="411"/>
      <c r="I169" s="411"/>
      <c r="J169" s="411"/>
      <c r="K169" s="411"/>
      <c r="L169" s="402"/>
      <c r="M169" s="403"/>
      <c r="N169" s="403"/>
      <c r="O169" s="403"/>
      <c r="P169" s="403"/>
      <c r="Q169" s="403"/>
    </row>
    <row r="170" spans="1:17" x14ac:dyDescent="0.25">
      <c r="A170" s="406" t="str">
        <f t="shared" si="3"/>
        <v xml:space="preserve"> </v>
      </c>
      <c r="B170" s="513"/>
      <c r="C170" s="389" t="s">
        <v>215</v>
      </c>
      <c r="D170" s="513" t="s">
        <v>58</v>
      </c>
      <c r="E170" s="410">
        <f>ROUNDUP(E168*F170,2)</f>
        <v>18</v>
      </c>
      <c r="F170" s="411">
        <v>1.2</v>
      </c>
      <c r="G170" s="411"/>
      <c r="H170" s="411"/>
      <c r="I170" s="411"/>
      <c r="J170" s="411"/>
      <c r="K170" s="411"/>
      <c r="L170" s="402"/>
      <c r="M170" s="403"/>
      <c r="N170" s="403"/>
      <c r="O170" s="403"/>
      <c r="P170" s="403"/>
      <c r="Q170" s="403"/>
    </row>
    <row r="171" spans="1:17" s="554" customFormat="1" ht="22.5" x14ac:dyDescent="0.25">
      <c r="A171" s="406">
        <f t="shared" si="3"/>
        <v>39</v>
      </c>
      <c r="B171" s="404" t="s">
        <v>40</v>
      </c>
      <c r="C171" s="552" t="s">
        <v>323</v>
      </c>
      <c r="D171" s="406" t="s">
        <v>47</v>
      </c>
      <c r="E171" s="407">
        <v>15</v>
      </c>
      <c r="F171" s="411"/>
      <c r="G171" s="411"/>
      <c r="H171" s="510"/>
      <c r="I171" s="411"/>
      <c r="J171" s="411"/>
      <c r="K171" s="411"/>
      <c r="L171" s="402"/>
      <c r="M171" s="403"/>
      <c r="N171" s="403"/>
      <c r="O171" s="403"/>
      <c r="P171" s="403"/>
      <c r="Q171" s="403"/>
    </row>
    <row r="172" spans="1:17" x14ac:dyDescent="0.25">
      <c r="A172" s="406" t="str">
        <f t="shared" si="3"/>
        <v xml:space="preserve"> </v>
      </c>
      <c r="B172" s="513"/>
      <c r="C172" s="389" t="s">
        <v>216</v>
      </c>
      <c r="D172" s="513" t="s">
        <v>58</v>
      </c>
      <c r="E172" s="410">
        <f>ROUNDUP(E171*F172,2)</f>
        <v>6</v>
      </c>
      <c r="F172" s="411">
        <v>0.4</v>
      </c>
      <c r="G172" s="411"/>
      <c r="H172" s="411"/>
      <c r="I172" s="411"/>
      <c r="J172" s="411"/>
      <c r="K172" s="411"/>
      <c r="L172" s="402"/>
      <c r="M172" s="403"/>
      <c r="N172" s="403"/>
      <c r="O172" s="403"/>
      <c r="P172" s="403"/>
      <c r="Q172" s="403"/>
    </row>
    <row r="173" spans="1:17" x14ac:dyDescent="0.25">
      <c r="A173" s="406">
        <f t="shared" si="3"/>
        <v>40</v>
      </c>
      <c r="B173" s="404" t="s">
        <v>40</v>
      </c>
      <c r="C173" s="550" t="s">
        <v>324</v>
      </c>
      <c r="D173" s="406" t="s">
        <v>42</v>
      </c>
      <c r="E173" s="407">
        <v>9.8000000000000007</v>
      </c>
      <c r="F173" s="509"/>
      <c r="G173" s="411"/>
      <c r="H173" s="510"/>
      <c r="I173" s="411"/>
      <c r="J173" s="411"/>
      <c r="K173" s="411"/>
      <c r="L173" s="402"/>
      <c r="M173" s="403"/>
      <c r="N173" s="403"/>
      <c r="O173" s="403"/>
      <c r="P173" s="403"/>
      <c r="Q173" s="403"/>
    </row>
    <row r="174" spans="1:17" x14ac:dyDescent="0.25">
      <c r="A174" s="406">
        <f t="shared" si="3"/>
        <v>41</v>
      </c>
      <c r="B174" s="404" t="s">
        <v>40</v>
      </c>
      <c r="C174" s="550" t="s">
        <v>791</v>
      </c>
      <c r="D174" s="406" t="s">
        <v>47</v>
      </c>
      <c r="E174" s="407">
        <v>8.3000000000000007</v>
      </c>
      <c r="F174" s="509"/>
      <c r="G174" s="411"/>
      <c r="H174" s="510"/>
      <c r="I174" s="411"/>
      <c r="J174" s="411"/>
      <c r="K174" s="411"/>
      <c r="L174" s="402"/>
      <c r="M174" s="403"/>
      <c r="N174" s="403"/>
      <c r="O174" s="403"/>
      <c r="P174" s="403"/>
      <c r="Q174" s="403"/>
    </row>
    <row r="175" spans="1:17" ht="22.5" x14ac:dyDescent="0.25">
      <c r="A175" s="406">
        <f t="shared" si="3"/>
        <v>42</v>
      </c>
      <c r="B175" s="404" t="s">
        <v>40</v>
      </c>
      <c r="C175" s="550" t="s">
        <v>325</v>
      </c>
      <c r="D175" s="406" t="s">
        <v>47</v>
      </c>
      <c r="E175" s="410">
        <v>5.7</v>
      </c>
      <c r="F175" s="411"/>
      <c r="G175" s="526"/>
      <c r="H175" s="510"/>
      <c r="I175" s="526"/>
      <c r="J175" s="526"/>
      <c r="K175" s="526"/>
      <c r="L175" s="402"/>
      <c r="M175" s="403"/>
      <c r="N175" s="403"/>
      <c r="O175" s="403"/>
      <c r="P175" s="403"/>
      <c r="Q175" s="403"/>
    </row>
    <row r="176" spans="1:17" x14ac:dyDescent="0.25">
      <c r="A176" s="406" t="str">
        <f t="shared" si="3"/>
        <v xml:space="preserve"> </v>
      </c>
      <c r="B176" s="513"/>
      <c r="C176" s="389" t="s">
        <v>86</v>
      </c>
      <c r="D176" s="416" t="s">
        <v>44</v>
      </c>
      <c r="E176" s="411">
        <f>E175*F176</f>
        <v>34.200000000000003</v>
      </c>
      <c r="F176" s="411">
        <v>6</v>
      </c>
      <c r="G176" s="526"/>
      <c r="H176" s="526"/>
      <c r="I176" s="526"/>
      <c r="J176" s="526"/>
      <c r="K176" s="526"/>
      <c r="L176" s="402"/>
      <c r="M176" s="403"/>
      <c r="N176" s="403"/>
      <c r="O176" s="403"/>
      <c r="P176" s="403"/>
      <c r="Q176" s="403"/>
    </row>
    <row r="177" spans="1:17" x14ac:dyDescent="0.25">
      <c r="A177" s="406" t="str">
        <f t="shared" si="3"/>
        <v xml:space="preserve"> </v>
      </c>
      <c r="B177" s="513"/>
      <c r="C177" s="555" t="s">
        <v>244</v>
      </c>
      <c r="D177" s="406" t="s">
        <v>47</v>
      </c>
      <c r="E177" s="411">
        <f>E175*F177</f>
        <v>6.2700000000000005</v>
      </c>
      <c r="F177" s="411">
        <v>1.1000000000000001</v>
      </c>
      <c r="G177" s="526"/>
      <c r="H177" s="526"/>
      <c r="I177" s="526"/>
      <c r="J177" s="526"/>
      <c r="K177" s="526"/>
      <c r="L177" s="402"/>
      <c r="M177" s="403"/>
      <c r="N177" s="403"/>
      <c r="O177" s="403"/>
      <c r="P177" s="403"/>
      <c r="Q177" s="403"/>
    </row>
    <row r="178" spans="1:17" ht="22.5" x14ac:dyDescent="0.25">
      <c r="A178" s="406">
        <f t="shared" si="3"/>
        <v>43</v>
      </c>
      <c r="B178" s="404" t="s">
        <v>40</v>
      </c>
      <c r="C178" s="405" t="s">
        <v>792</v>
      </c>
      <c r="D178" s="406" t="s">
        <v>47</v>
      </c>
      <c r="E178" s="410">
        <v>4.8</v>
      </c>
      <c r="F178" s="509"/>
      <c r="G178" s="526"/>
      <c r="H178" s="510"/>
      <c r="I178" s="526"/>
      <c r="J178" s="526"/>
      <c r="K178" s="526"/>
      <c r="L178" s="402"/>
      <c r="M178" s="403"/>
      <c r="N178" s="403"/>
      <c r="O178" s="403"/>
      <c r="P178" s="403"/>
      <c r="Q178" s="403"/>
    </row>
    <row r="179" spans="1:17" ht="22.5" x14ac:dyDescent="0.25">
      <c r="A179" s="406">
        <f t="shared" si="3"/>
        <v>44</v>
      </c>
      <c r="B179" s="404" t="s">
        <v>40</v>
      </c>
      <c r="C179" s="550" t="s">
        <v>326</v>
      </c>
      <c r="D179" s="406" t="s">
        <v>47</v>
      </c>
      <c r="E179" s="407">
        <v>2.4</v>
      </c>
      <c r="F179" s="411"/>
      <c r="G179" s="526"/>
      <c r="H179" s="510"/>
      <c r="I179" s="526"/>
      <c r="J179" s="526"/>
      <c r="K179" s="526"/>
      <c r="L179" s="402"/>
      <c r="M179" s="403"/>
      <c r="N179" s="403"/>
      <c r="O179" s="403"/>
      <c r="P179" s="403"/>
      <c r="Q179" s="403"/>
    </row>
    <row r="180" spans="1:17" x14ac:dyDescent="0.25">
      <c r="A180" s="406" t="str">
        <f t="shared" si="3"/>
        <v xml:space="preserve"> </v>
      </c>
      <c r="B180" s="513"/>
      <c r="C180" s="389" t="s">
        <v>86</v>
      </c>
      <c r="D180" s="416" t="s">
        <v>44</v>
      </c>
      <c r="E180" s="411">
        <f>E179*F180</f>
        <v>14.399999999999999</v>
      </c>
      <c r="F180" s="411">
        <v>6</v>
      </c>
      <c r="G180" s="526"/>
      <c r="H180" s="526"/>
      <c r="I180" s="526"/>
      <c r="J180" s="526"/>
      <c r="K180" s="526"/>
      <c r="L180" s="402"/>
      <c r="M180" s="403"/>
      <c r="N180" s="403"/>
      <c r="O180" s="403"/>
      <c r="P180" s="403"/>
      <c r="Q180" s="403"/>
    </row>
    <row r="181" spans="1:17" x14ac:dyDescent="0.25">
      <c r="A181" s="406" t="str">
        <f t="shared" si="3"/>
        <v xml:space="preserve"> </v>
      </c>
      <c r="B181" s="513"/>
      <c r="C181" s="555" t="s">
        <v>244</v>
      </c>
      <c r="D181" s="406" t="s">
        <v>47</v>
      </c>
      <c r="E181" s="411">
        <f>E179*F181</f>
        <v>2.64</v>
      </c>
      <c r="F181" s="411">
        <v>1.1000000000000001</v>
      </c>
      <c r="G181" s="526"/>
      <c r="H181" s="526"/>
      <c r="I181" s="526"/>
      <c r="J181" s="526"/>
      <c r="K181" s="526"/>
      <c r="L181" s="402"/>
      <c r="M181" s="403"/>
      <c r="N181" s="403"/>
      <c r="O181" s="403"/>
      <c r="P181" s="403"/>
      <c r="Q181" s="403"/>
    </row>
    <row r="182" spans="1:17" x14ac:dyDescent="0.25">
      <c r="A182" s="406">
        <f t="shared" si="3"/>
        <v>45</v>
      </c>
      <c r="B182" s="404" t="s">
        <v>40</v>
      </c>
      <c r="C182" s="405" t="s">
        <v>327</v>
      </c>
      <c r="D182" s="406" t="s">
        <v>47</v>
      </c>
      <c r="E182" s="407">
        <v>18</v>
      </c>
      <c r="F182" s="544"/>
      <c r="G182" s="411"/>
      <c r="H182" s="510"/>
      <c r="I182" s="411"/>
      <c r="J182" s="410"/>
      <c r="K182" s="410"/>
      <c r="L182" s="402"/>
      <c r="M182" s="403"/>
      <c r="N182" s="403"/>
      <c r="O182" s="403"/>
      <c r="P182" s="403"/>
      <c r="Q182" s="403"/>
    </row>
    <row r="183" spans="1:17" x14ac:dyDescent="0.25">
      <c r="A183" s="406" t="str">
        <f t="shared" si="3"/>
        <v xml:space="preserve"> </v>
      </c>
      <c r="B183" s="544"/>
      <c r="C183" s="405" t="s">
        <v>793</v>
      </c>
      <c r="D183" s="416" t="s">
        <v>47</v>
      </c>
      <c r="E183" s="411">
        <f>E182*F183</f>
        <v>21.599999999999998</v>
      </c>
      <c r="F183" s="544">
        <v>1.2</v>
      </c>
      <c r="G183" s="544"/>
      <c r="H183" s="544"/>
      <c r="I183" s="545"/>
      <c r="J183" s="545"/>
      <c r="K183" s="545"/>
      <c r="L183" s="402"/>
      <c r="M183" s="403"/>
      <c r="N183" s="403"/>
      <c r="O183" s="403"/>
      <c r="P183" s="403"/>
      <c r="Q183" s="403"/>
    </row>
    <row r="184" spans="1:17" x14ac:dyDescent="0.25">
      <c r="A184" s="406" t="str">
        <f t="shared" si="3"/>
        <v xml:space="preserve"> </v>
      </c>
      <c r="B184" s="544"/>
      <c r="C184" s="405" t="s">
        <v>794</v>
      </c>
      <c r="D184" s="416" t="s">
        <v>47</v>
      </c>
      <c r="E184" s="411">
        <f>E182*F184</f>
        <v>21.599999999999998</v>
      </c>
      <c r="F184" s="544">
        <v>1.2</v>
      </c>
      <c r="G184" s="544"/>
      <c r="H184" s="544"/>
      <c r="I184" s="545"/>
      <c r="J184" s="545"/>
      <c r="K184" s="545"/>
      <c r="L184" s="402"/>
      <c r="M184" s="403"/>
      <c r="N184" s="403"/>
      <c r="O184" s="403"/>
      <c r="P184" s="403"/>
      <c r="Q184" s="403"/>
    </row>
    <row r="185" spans="1:17" x14ac:dyDescent="0.25">
      <c r="A185" s="406" t="str">
        <f t="shared" si="3"/>
        <v xml:space="preserve"> </v>
      </c>
      <c r="B185" s="544"/>
      <c r="C185" s="546" t="s">
        <v>297</v>
      </c>
      <c r="D185" s="544" t="s">
        <v>298</v>
      </c>
      <c r="E185" s="410">
        <f>ROUNDUP(E182*F185,0)</f>
        <v>1</v>
      </c>
      <c r="F185" s="544">
        <v>2.5000000000000001E-2</v>
      </c>
      <c r="G185" s="544"/>
      <c r="H185" s="544"/>
      <c r="I185" s="545"/>
      <c r="J185" s="545"/>
      <c r="K185" s="545"/>
      <c r="L185" s="402"/>
      <c r="M185" s="403"/>
      <c r="N185" s="403"/>
      <c r="O185" s="403"/>
      <c r="P185" s="403"/>
      <c r="Q185" s="403"/>
    </row>
    <row r="186" spans="1:17" x14ac:dyDescent="0.25">
      <c r="A186" s="406">
        <f t="shared" ref="A186:A248" si="4">IF(COUNTBLANK(B186)=1," ",COUNTA($B$13:B186))</f>
        <v>46</v>
      </c>
      <c r="B186" s="404" t="s">
        <v>40</v>
      </c>
      <c r="C186" s="405" t="s">
        <v>795</v>
      </c>
      <c r="D186" s="406" t="s">
        <v>42</v>
      </c>
      <c r="E186" s="407">
        <v>16.8</v>
      </c>
      <c r="F186" s="509"/>
      <c r="G186" s="411"/>
      <c r="H186" s="510"/>
      <c r="I186" s="411"/>
      <c r="J186" s="410"/>
      <c r="K186" s="410"/>
      <c r="L186" s="402"/>
      <c r="M186" s="403"/>
      <c r="N186" s="403"/>
      <c r="O186" s="403"/>
      <c r="P186" s="403"/>
      <c r="Q186" s="403"/>
    </row>
    <row r="187" spans="1:17" x14ac:dyDescent="0.25">
      <c r="A187" s="406" t="str">
        <f t="shared" si="4"/>
        <v xml:space="preserve"> </v>
      </c>
      <c r="B187" s="509"/>
      <c r="C187" s="405" t="s">
        <v>328</v>
      </c>
      <c r="D187" s="406" t="s">
        <v>42</v>
      </c>
      <c r="E187" s="407">
        <v>16.8</v>
      </c>
      <c r="F187" s="509"/>
      <c r="G187" s="509"/>
      <c r="H187" s="509"/>
      <c r="I187" s="509"/>
      <c r="J187" s="416"/>
      <c r="K187" s="509"/>
      <c r="L187" s="402"/>
      <c r="M187" s="403"/>
      <c r="N187" s="403"/>
      <c r="O187" s="403"/>
      <c r="P187" s="403"/>
      <c r="Q187" s="403"/>
    </row>
    <row r="188" spans="1:17" ht="22.5" x14ac:dyDescent="0.25">
      <c r="A188" s="406" t="str">
        <f t="shared" si="4"/>
        <v xml:space="preserve"> </v>
      </c>
      <c r="B188" s="509"/>
      <c r="C188" s="405" t="s">
        <v>329</v>
      </c>
      <c r="D188" s="406" t="s">
        <v>42</v>
      </c>
      <c r="E188" s="407">
        <v>16.8</v>
      </c>
      <c r="F188" s="509"/>
      <c r="G188" s="509"/>
      <c r="H188" s="509"/>
      <c r="I188" s="509"/>
      <c r="J188" s="416"/>
      <c r="K188" s="509"/>
      <c r="L188" s="402"/>
      <c r="M188" s="403"/>
      <c r="N188" s="403"/>
      <c r="O188" s="403"/>
      <c r="P188" s="403"/>
      <c r="Q188" s="403"/>
    </row>
    <row r="189" spans="1:17" x14ac:dyDescent="0.25">
      <c r="A189" s="406">
        <f t="shared" si="4"/>
        <v>47</v>
      </c>
      <c r="B189" s="404" t="s">
        <v>40</v>
      </c>
      <c r="C189" s="405" t="s">
        <v>796</v>
      </c>
      <c r="D189" s="406" t="s">
        <v>42</v>
      </c>
      <c r="E189" s="407">
        <v>16.8</v>
      </c>
      <c r="F189" s="509"/>
      <c r="G189" s="411"/>
      <c r="H189" s="510"/>
      <c r="I189" s="411"/>
      <c r="J189" s="515"/>
      <c r="K189" s="411"/>
      <c r="L189" s="402"/>
      <c r="M189" s="403"/>
      <c r="N189" s="403"/>
      <c r="O189" s="403"/>
      <c r="P189" s="403"/>
      <c r="Q189" s="403"/>
    </row>
    <row r="190" spans="1:17" x14ac:dyDescent="0.25">
      <c r="A190" s="406" t="str">
        <f t="shared" si="4"/>
        <v xml:space="preserve"> </v>
      </c>
      <c r="B190" s="509"/>
      <c r="C190" s="537" t="s">
        <v>672</v>
      </c>
      <c r="D190" s="406"/>
      <c r="E190" s="407"/>
      <c r="F190" s="509"/>
      <c r="G190" s="509"/>
      <c r="H190" s="509"/>
      <c r="I190" s="509"/>
      <c r="J190" s="416"/>
      <c r="K190" s="509"/>
      <c r="L190" s="402"/>
      <c r="M190" s="403"/>
      <c r="N190" s="403"/>
      <c r="O190" s="403"/>
      <c r="P190" s="403"/>
      <c r="Q190" s="403"/>
    </row>
    <row r="191" spans="1:17" x14ac:dyDescent="0.25">
      <c r="A191" s="406">
        <f t="shared" si="4"/>
        <v>48</v>
      </c>
      <c r="B191" s="404" t="s">
        <v>40</v>
      </c>
      <c r="C191" s="550" t="s">
        <v>331</v>
      </c>
      <c r="D191" s="406" t="s">
        <v>47</v>
      </c>
      <c r="E191" s="407">
        <f>0.4*3.2</f>
        <v>1.2800000000000002</v>
      </c>
      <c r="F191" s="509"/>
      <c r="G191" s="411"/>
      <c r="H191" s="510"/>
      <c r="I191" s="411"/>
      <c r="J191" s="515"/>
      <c r="K191" s="411"/>
      <c r="L191" s="402"/>
      <c r="M191" s="403"/>
      <c r="N191" s="403"/>
      <c r="O191" s="403"/>
      <c r="P191" s="403"/>
      <c r="Q191" s="403"/>
    </row>
    <row r="192" spans="1:17" s="551" customFormat="1" ht="22.5" x14ac:dyDescent="0.25">
      <c r="A192" s="406">
        <f t="shared" si="4"/>
        <v>49</v>
      </c>
      <c r="B192" s="404" t="s">
        <v>40</v>
      </c>
      <c r="C192" s="550" t="s">
        <v>332</v>
      </c>
      <c r="D192" s="406" t="s">
        <v>47</v>
      </c>
      <c r="E192" s="407">
        <v>11.4</v>
      </c>
      <c r="F192" s="513"/>
      <c r="G192" s="411"/>
      <c r="H192" s="510"/>
      <c r="I192" s="411"/>
      <c r="J192" s="515"/>
      <c r="K192" s="411"/>
      <c r="L192" s="402"/>
      <c r="M192" s="403"/>
      <c r="N192" s="403"/>
      <c r="O192" s="403"/>
      <c r="P192" s="403"/>
      <c r="Q192" s="403"/>
    </row>
    <row r="193" spans="1:17" s="551" customFormat="1" x14ac:dyDescent="0.25">
      <c r="A193" s="406" t="str">
        <f t="shared" si="4"/>
        <v xml:space="preserve"> </v>
      </c>
      <c r="B193" s="513"/>
      <c r="C193" s="389" t="s">
        <v>317</v>
      </c>
      <c r="D193" s="406" t="s">
        <v>88</v>
      </c>
      <c r="E193" s="411">
        <f>E192*F193</f>
        <v>0.22800000000000001</v>
      </c>
      <c r="F193" s="513">
        <v>0.02</v>
      </c>
      <c r="G193" s="411"/>
      <c r="H193" s="411"/>
      <c r="I193" s="411"/>
      <c r="J193" s="411"/>
      <c r="K193" s="411"/>
      <c r="L193" s="402"/>
      <c r="M193" s="403"/>
      <c r="N193" s="403"/>
      <c r="O193" s="403"/>
      <c r="P193" s="403"/>
      <c r="Q193" s="403"/>
    </row>
    <row r="194" spans="1:17" ht="22.5" x14ac:dyDescent="0.25">
      <c r="A194" s="406">
        <f t="shared" si="4"/>
        <v>50</v>
      </c>
      <c r="B194" s="404" t="s">
        <v>40</v>
      </c>
      <c r="C194" s="550" t="s">
        <v>333</v>
      </c>
      <c r="D194" s="406" t="s">
        <v>47</v>
      </c>
      <c r="E194" s="407">
        <v>9.5</v>
      </c>
      <c r="F194" s="509"/>
      <c r="G194" s="411"/>
      <c r="H194" s="510"/>
      <c r="I194" s="411"/>
      <c r="J194" s="515"/>
      <c r="K194" s="411"/>
      <c r="L194" s="402"/>
      <c r="M194" s="403"/>
      <c r="N194" s="403"/>
      <c r="O194" s="403"/>
      <c r="P194" s="403"/>
      <c r="Q194" s="403"/>
    </row>
    <row r="195" spans="1:17" x14ac:dyDescent="0.25">
      <c r="A195" s="406">
        <f t="shared" si="4"/>
        <v>51</v>
      </c>
      <c r="B195" s="404" t="s">
        <v>40</v>
      </c>
      <c r="C195" s="550" t="s">
        <v>789</v>
      </c>
      <c r="D195" s="406" t="s">
        <v>47</v>
      </c>
      <c r="E195" s="407">
        <v>9.5</v>
      </c>
      <c r="F195" s="509"/>
      <c r="G195" s="411"/>
      <c r="H195" s="510"/>
      <c r="I195" s="411"/>
      <c r="J195" s="515"/>
      <c r="K195" s="411"/>
      <c r="L195" s="402"/>
      <c r="M195" s="403"/>
      <c r="N195" s="403"/>
      <c r="O195" s="403"/>
      <c r="P195" s="403"/>
      <c r="Q195" s="403"/>
    </row>
    <row r="196" spans="1:17" x14ac:dyDescent="0.25">
      <c r="A196" s="406" t="str">
        <f t="shared" si="4"/>
        <v xml:space="preserve"> </v>
      </c>
      <c r="B196" s="509"/>
      <c r="C196" s="552" t="s">
        <v>319</v>
      </c>
      <c r="D196" s="406" t="s">
        <v>47</v>
      </c>
      <c r="E196" s="407">
        <v>9.5</v>
      </c>
      <c r="F196" s="509"/>
      <c r="G196" s="509"/>
      <c r="H196" s="509"/>
      <c r="I196" s="509"/>
      <c r="J196" s="416"/>
      <c r="K196" s="509"/>
      <c r="L196" s="402"/>
      <c r="M196" s="403"/>
      <c r="N196" s="403"/>
      <c r="O196" s="403"/>
      <c r="P196" s="403"/>
      <c r="Q196" s="403"/>
    </row>
    <row r="197" spans="1:17" x14ac:dyDescent="0.25">
      <c r="A197" s="406" t="str">
        <f t="shared" si="4"/>
        <v xml:space="preserve"> </v>
      </c>
      <c r="B197" s="509"/>
      <c r="C197" s="552" t="s">
        <v>320</v>
      </c>
      <c r="D197" s="553" t="s">
        <v>47</v>
      </c>
      <c r="E197" s="407">
        <v>9.5</v>
      </c>
      <c r="F197" s="509"/>
      <c r="G197" s="509"/>
      <c r="H197" s="509"/>
      <c r="I197" s="509"/>
      <c r="J197" s="416"/>
      <c r="K197" s="509"/>
      <c r="L197" s="402"/>
      <c r="M197" s="403"/>
      <c r="N197" s="403"/>
      <c r="O197" s="403"/>
      <c r="P197" s="403"/>
      <c r="Q197" s="403"/>
    </row>
    <row r="198" spans="1:17" x14ac:dyDescent="0.25">
      <c r="A198" s="406" t="str">
        <f t="shared" si="4"/>
        <v xml:space="preserve"> </v>
      </c>
      <c r="B198" s="509"/>
      <c r="C198" s="552" t="s">
        <v>797</v>
      </c>
      <c r="D198" s="553" t="s">
        <v>47</v>
      </c>
      <c r="E198" s="407">
        <v>9.5</v>
      </c>
      <c r="F198" s="509"/>
      <c r="G198" s="509"/>
      <c r="H198" s="509"/>
      <c r="I198" s="509"/>
      <c r="J198" s="416"/>
      <c r="K198" s="509"/>
      <c r="L198" s="402"/>
      <c r="M198" s="403"/>
      <c r="N198" s="403"/>
      <c r="O198" s="403"/>
      <c r="P198" s="403"/>
      <c r="Q198" s="403"/>
    </row>
    <row r="199" spans="1:17" s="554" customFormat="1" x14ac:dyDescent="0.25">
      <c r="A199" s="406">
        <f t="shared" si="4"/>
        <v>52</v>
      </c>
      <c r="B199" s="404" t="s">
        <v>40</v>
      </c>
      <c r="C199" s="552" t="s">
        <v>321</v>
      </c>
      <c r="D199" s="406" t="s">
        <v>47</v>
      </c>
      <c r="E199" s="407">
        <v>9.5</v>
      </c>
      <c r="F199" s="411"/>
      <c r="G199" s="411"/>
      <c r="H199" s="510"/>
      <c r="I199" s="411"/>
      <c r="J199" s="411"/>
      <c r="K199" s="411"/>
      <c r="L199" s="402"/>
      <c r="M199" s="403"/>
      <c r="N199" s="403"/>
      <c r="O199" s="403"/>
      <c r="P199" s="403"/>
      <c r="Q199" s="403"/>
    </row>
    <row r="200" spans="1:17" x14ac:dyDescent="0.25">
      <c r="A200" s="406" t="str">
        <f t="shared" si="4"/>
        <v xml:space="preserve"> </v>
      </c>
      <c r="B200" s="513"/>
      <c r="C200" s="389" t="s">
        <v>322</v>
      </c>
      <c r="D200" s="513" t="s">
        <v>58</v>
      </c>
      <c r="E200" s="410">
        <f>ROUNDUP(E199*F200,2)</f>
        <v>3.8</v>
      </c>
      <c r="F200" s="411">
        <v>0.4</v>
      </c>
      <c r="G200" s="411"/>
      <c r="H200" s="411"/>
      <c r="I200" s="411"/>
      <c r="J200" s="411"/>
      <c r="K200" s="411"/>
      <c r="L200" s="402"/>
      <c r="M200" s="403"/>
      <c r="N200" s="403"/>
      <c r="O200" s="403"/>
      <c r="P200" s="403"/>
      <c r="Q200" s="403"/>
    </row>
    <row r="201" spans="1:17" x14ac:dyDescent="0.25">
      <c r="A201" s="406" t="str">
        <f t="shared" si="4"/>
        <v xml:space="preserve"> </v>
      </c>
      <c r="B201" s="513"/>
      <c r="C201" s="389" t="s">
        <v>215</v>
      </c>
      <c r="D201" s="513" t="s">
        <v>58</v>
      </c>
      <c r="E201" s="410">
        <f>ROUNDUP(E199*F201,2)</f>
        <v>11.4</v>
      </c>
      <c r="F201" s="411">
        <v>1.2</v>
      </c>
      <c r="G201" s="411"/>
      <c r="H201" s="411"/>
      <c r="I201" s="411"/>
      <c r="J201" s="411"/>
      <c r="K201" s="411"/>
      <c r="L201" s="402"/>
      <c r="M201" s="403"/>
      <c r="N201" s="403"/>
      <c r="O201" s="403"/>
      <c r="P201" s="403"/>
      <c r="Q201" s="403"/>
    </row>
    <row r="202" spans="1:17" s="554" customFormat="1" ht="22.5" x14ac:dyDescent="0.25">
      <c r="A202" s="406">
        <f t="shared" si="4"/>
        <v>53</v>
      </c>
      <c r="B202" s="404" t="s">
        <v>40</v>
      </c>
      <c r="C202" s="552" t="s">
        <v>323</v>
      </c>
      <c r="D202" s="406" t="s">
        <v>47</v>
      </c>
      <c r="E202" s="407">
        <v>11</v>
      </c>
      <c r="F202" s="411"/>
      <c r="G202" s="411"/>
      <c r="H202" s="510"/>
      <c r="I202" s="411"/>
      <c r="J202" s="411"/>
      <c r="K202" s="411"/>
      <c r="L202" s="402"/>
      <c r="M202" s="403"/>
      <c r="N202" s="403"/>
      <c r="O202" s="403"/>
      <c r="P202" s="403"/>
      <c r="Q202" s="403"/>
    </row>
    <row r="203" spans="1:17" x14ac:dyDescent="0.25">
      <c r="A203" s="406" t="str">
        <f t="shared" si="4"/>
        <v xml:space="preserve"> </v>
      </c>
      <c r="B203" s="513"/>
      <c r="C203" s="389" t="s">
        <v>216</v>
      </c>
      <c r="D203" s="513" t="s">
        <v>58</v>
      </c>
      <c r="E203" s="410">
        <f>ROUNDUP(E202*F203,2)</f>
        <v>4.4000000000000004</v>
      </c>
      <c r="F203" s="411">
        <v>0.4</v>
      </c>
      <c r="G203" s="411"/>
      <c r="H203" s="411"/>
      <c r="I203" s="411"/>
      <c r="J203" s="411"/>
      <c r="K203" s="411"/>
      <c r="L203" s="402"/>
      <c r="M203" s="403"/>
      <c r="N203" s="403"/>
      <c r="O203" s="403"/>
      <c r="P203" s="403"/>
      <c r="Q203" s="403"/>
    </row>
    <row r="204" spans="1:17" x14ac:dyDescent="0.25">
      <c r="A204" s="406" t="str">
        <f t="shared" si="4"/>
        <v xml:space="preserve"> </v>
      </c>
      <c r="B204" s="509"/>
      <c r="C204" s="552" t="s">
        <v>334</v>
      </c>
      <c r="D204" s="406"/>
      <c r="E204" s="407"/>
      <c r="F204" s="509"/>
      <c r="G204" s="509"/>
      <c r="H204" s="509"/>
      <c r="I204" s="509"/>
      <c r="J204" s="416"/>
      <c r="K204" s="509"/>
      <c r="L204" s="402"/>
      <c r="M204" s="403"/>
      <c r="N204" s="403"/>
      <c r="O204" s="403"/>
      <c r="P204" s="403"/>
      <c r="Q204" s="403"/>
    </row>
    <row r="205" spans="1:17" ht="22.5" x14ac:dyDescent="0.25">
      <c r="A205" s="406">
        <f t="shared" si="4"/>
        <v>54</v>
      </c>
      <c r="B205" s="404" t="s">
        <v>40</v>
      </c>
      <c r="C205" s="550" t="s">
        <v>798</v>
      </c>
      <c r="D205" s="406" t="s">
        <v>44</v>
      </c>
      <c r="E205" s="511">
        <v>4</v>
      </c>
      <c r="F205" s="509"/>
      <c r="G205" s="411"/>
      <c r="H205" s="510"/>
      <c r="I205" s="411"/>
      <c r="J205" s="411"/>
      <c r="K205" s="411"/>
      <c r="L205" s="402"/>
      <c r="M205" s="403"/>
      <c r="N205" s="403"/>
      <c r="O205" s="403"/>
      <c r="P205" s="403"/>
      <c r="Q205" s="403"/>
    </row>
    <row r="206" spans="1:17" x14ac:dyDescent="0.25">
      <c r="A206" s="406" t="str">
        <f t="shared" si="4"/>
        <v xml:space="preserve"> </v>
      </c>
      <c r="B206" s="509"/>
      <c r="C206" s="550" t="s">
        <v>799</v>
      </c>
      <c r="D206" s="406" t="s">
        <v>44</v>
      </c>
      <c r="E206" s="511">
        <v>16</v>
      </c>
      <c r="F206" s="509"/>
      <c r="G206" s="509"/>
      <c r="H206" s="509"/>
      <c r="I206" s="509"/>
      <c r="J206" s="416"/>
      <c r="K206" s="509"/>
      <c r="L206" s="402"/>
      <c r="M206" s="403"/>
      <c r="N206" s="403"/>
      <c r="O206" s="403"/>
      <c r="P206" s="403"/>
      <c r="Q206" s="403"/>
    </row>
    <row r="207" spans="1:17" ht="22.5" x14ac:dyDescent="0.25">
      <c r="A207" s="406">
        <f t="shared" si="4"/>
        <v>55</v>
      </c>
      <c r="B207" s="404" t="s">
        <v>40</v>
      </c>
      <c r="C207" s="552" t="s">
        <v>335</v>
      </c>
      <c r="D207" s="406" t="s">
        <v>88</v>
      </c>
      <c r="E207" s="410">
        <f>3*2*0.1*0.18</f>
        <v>0.10800000000000001</v>
      </c>
      <c r="F207" s="424"/>
      <c r="G207" s="518"/>
      <c r="H207" s="510"/>
      <c r="I207" s="401"/>
      <c r="J207" s="518"/>
      <c r="K207" s="518"/>
      <c r="L207" s="402"/>
      <c r="M207" s="403"/>
      <c r="N207" s="403"/>
      <c r="O207" s="403"/>
      <c r="P207" s="403"/>
      <c r="Q207" s="403"/>
    </row>
    <row r="208" spans="1:17" x14ac:dyDescent="0.25">
      <c r="A208" s="406" t="str">
        <f t="shared" si="4"/>
        <v xml:space="preserve"> </v>
      </c>
      <c r="B208" s="432"/>
      <c r="C208" s="519" t="s">
        <v>274</v>
      </c>
      <c r="D208" s="424" t="s">
        <v>275</v>
      </c>
      <c r="E208" s="410">
        <f>ROUNDUP(E207*F208,2)</f>
        <v>0.12</v>
      </c>
      <c r="F208" s="424">
        <v>1.1000000000000001</v>
      </c>
      <c r="G208" s="520"/>
      <c r="H208" s="520"/>
      <c r="I208" s="520"/>
      <c r="J208" s="520"/>
      <c r="K208" s="520"/>
      <c r="L208" s="402"/>
      <c r="M208" s="403"/>
      <c r="N208" s="403"/>
      <c r="O208" s="403"/>
      <c r="P208" s="403"/>
      <c r="Q208" s="403"/>
    </row>
    <row r="209" spans="1:17" ht="22.5" x14ac:dyDescent="0.25">
      <c r="A209" s="406">
        <f t="shared" si="4"/>
        <v>56</v>
      </c>
      <c r="B209" s="404" t="s">
        <v>40</v>
      </c>
      <c r="C209" s="552" t="s">
        <v>336</v>
      </c>
      <c r="D209" s="406" t="s">
        <v>47</v>
      </c>
      <c r="E209" s="410">
        <f>0.7*3</f>
        <v>2.0999999999999996</v>
      </c>
      <c r="F209" s="509"/>
      <c r="G209" s="518"/>
      <c r="H209" s="510"/>
      <c r="I209" s="401"/>
      <c r="J209" s="518"/>
      <c r="K209" s="518"/>
      <c r="L209" s="402"/>
      <c r="M209" s="403"/>
      <c r="N209" s="403"/>
      <c r="O209" s="403"/>
      <c r="P209" s="403"/>
      <c r="Q209" s="403"/>
    </row>
    <row r="210" spans="1:17" ht="22.5" x14ac:dyDescent="0.25">
      <c r="A210" s="406">
        <f t="shared" si="4"/>
        <v>57</v>
      </c>
      <c r="B210" s="404" t="s">
        <v>40</v>
      </c>
      <c r="C210" s="552" t="s">
        <v>337</v>
      </c>
      <c r="D210" s="406" t="s">
        <v>47</v>
      </c>
      <c r="E210" s="410">
        <f>0.5*3</f>
        <v>1.5</v>
      </c>
      <c r="F210" s="509"/>
      <c r="G210" s="518"/>
      <c r="H210" s="510"/>
      <c r="I210" s="401"/>
      <c r="J210" s="518"/>
      <c r="K210" s="518"/>
      <c r="L210" s="402"/>
      <c r="M210" s="403"/>
      <c r="N210" s="403"/>
      <c r="O210" s="403"/>
      <c r="P210" s="403"/>
      <c r="Q210" s="403"/>
    </row>
    <row r="211" spans="1:17" ht="22.5" x14ac:dyDescent="0.25">
      <c r="A211" s="406">
        <f t="shared" si="4"/>
        <v>58</v>
      </c>
      <c r="B211" s="404" t="s">
        <v>40</v>
      </c>
      <c r="C211" s="552" t="s">
        <v>800</v>
      </c>
      <c r="D211" s="406" t="s">
        <v>47</v>
      </c>
      <c r="E211" s="410">
        <f>0.5*3</f>
        <v>1.5</v>
      </c>
      <c r="F211" s="509"/>
      <c r="G211" s="518"/>
      <c r="H211" s="510"/>
      <c r="I211" s="401"/>
      <c r="J211" s="518"/>
      <c r="K211" s="518"/>
      <c r="L211" s="402"/>
      <c r="M211" s="403"/>
      <c r="N211" s="403"/>
      <c r="O211" s="403"/>
      <c r="P211" s="403"/>
      <c r="Q211" s="403"/>
    </row>
    <row r="212" spans="1:17" x14ac:dyDescent="0.25">
      <c r="A212" s="406">
        <f t="shared" si="4"/>
        <v>59</v>
      </c>
      <c r="B212" s="404" t="s">
        <v>40</v>
      </c>
      <c r="C212" s="550" t="s">
        <v>801</v>
      </c>
      <c r="D212" s="406" t="s">
        <v>47</v>
      </c>
      <c r="E212" s="407">
        <v>11.4</v>
      </c>
      <c r="F212" s="509"/>
      <c r="G212" s="411"/>
      <c r="H212" s="510"/>
      <c r="I212" s="411"/>
      <c r="J212" s="410"/>
      <c r="K212" s="410"/>
      <c r="L212" s="402"/>
      <c r="M212" s="403"/>
      <c r="N212" s="403"/>
      <c r="O212" s="403"/>
      <c r="P212" s="403"/>
      <c r="Q212" s="403"/>
    </row>
    <row r="213" spans="1:17" ht="22.5" x14ac:dyDescent="0.25">
      <c r="A213" s="406" t="str">
        <f t="shared" si="4"/>
        <v xml:space="preserve"> </v>
      </c>
      <c r="B213" s="509"/>
      <c r="C213" s="550" t="s">
        <v>338</v>
      </c>
      <c r="D213" s="406" t="s">
        <v>42</v>
      </c>
      <c r="E213" s="407">
        <v>11</v>
      </c>
      <c r="F213" s="509"/>
      <c r="G213" s="509"/>
      <c r="H213" s="509"/>
      <c r="I213" s="509"/>
      <c r="J213" s="416"/>
      <c r="K213" s="509"/>
      <c r="L213" s="402"/>
      <c r="M213" s="403"/>
      <c r="N213" s="403"/>
      <c r="O213" s="403"/>
      <c r="P213" s="403"/>
      <c r="Q213" s="403"/>
    </row>
    <row r="214" spans="1:17" x14ac:dyDescent="0.25">
      <c r="A214" s="406">
        <f t="shared" si="4"/>
        <v>60</v>
      </c>
      <c r="B214" s="404" t="s">
        <v>40</v>
      </c>
      <c r="C214" s="405" t="s">
        <v>802</v>
      </c>
      <c r="D214" s="406" t="s">
        <v>47</v>
      </c>
      <c r="E214" s="407">
        <v>2.4</v>
      </c>
      <c r="F214" s="509"/>
      <c r="G214" s="411"/>
      <c r="H214" s="510"/>
      <c r="I214" s="411"/>
      <c r="J214" s="410"/>
      <c r="K214" s="410"/>
      <c r="L214" s="402"/>
      <c r="M214" s="403"/>
      <c r="N214" s="403"/>
      <c r="O214" s="403"/>
      <c r="P214" s="403"/>
      <c r="Q214" s="403"/>
    </row>
    <row r="215" spans="1:17" ht="22.5" x14ac:dyDescent="0.25">
      <c r="A215" s="406">
        <f t="shared" si="4"/>
        <v>61</v>
      </c>
      <c r="B215" s="404" t="s">
        <v>40</v>
      </c>
      <c r="C215" s="405" t="s">
        <v>339</v>
      </c>
      <c r="D215" s="406" t="s">
        <v>47</v>
      </c>
      <c r="E215" s="407">
        <v>2.4</v>
      </c>
      <c r="F215" s="509"/>
      <c r="G215" s="411"/>
      <c r="H215" s="510"/>
      <c r="I215" s="411"/>
      <c r="J215" s="410"/>
      <c r="K215" s="410"/>
      <c r="L215" s="402"/>
      <c r="M215" s="403"/>
      <c r="N215" s="403"/>
      <c r="O215" s="403"/>
      <c r="P215" s="403"/>
      <c r="Q215" s="403"/>
    </row>
    <row r="216" spans="1:17" ht="22.5" x14ac:dyDescent="0.25">
      <c r="A216" s="406">
        <f t="shared" si="4"/>
        <v>62</v>
      </c>
      <c r="B216" s="404" t="s">
        <v>40</v>
      </c>
      <c r="C216" s="405" t="s">
        <v>803</v>
      </c>
      <c r="D216" s="406" t="s">
        <v>47</v>
      </c>
      <c r="E216" s="407">
        <v>1.2</v>
      </c>
      <c r="F216" s="509"/>
      <c r="G216" s="411"/>
      <c r="H216" s="510"/>
      <c r="I216" s="411"/>
      <c r="J216" s="410"/>
      <c r="K216" s="410"/>
      <c r="L216" s="402"/>
      <c r="M216" s="403"/>
      <c r="N216" s="403"/>
      <c r="O216" s="403"/>
      <c r="P216" s="403"/>
      <c r="Q216" s="403"/>
    </row>
    <row r="217" spans="1:17" ht="22.5" x14ac:dyDescent="0.25">
      <c r="A217" s="406">
        <f t="shared" si="4"/>
        <v>63</v>
      </c>
      <c r="B217" s="404" t="s">
        <v>40</v>
      </c>
      <c r="C217" s="550" t="s">
        <v>340</v>
      </c>
      <c r="D217" s="406" t="s">
        <v>47</v>
      </c>
      <c r="E217" s="410">
        <f>3*0.35</f>
        <v>1.0499999999999998</v>
      </c>
      <c r="F217" s="411"/>
      <c r="G217" s="526"/>
      <c r="H217" s="510"/>
      <c r="I217" s="526"/>
      <c r="J217" s="526"/>
      <c r="K217" s="526"/>
      <c r="L217" s="402"/>
      <c r="M217" s="403"/>
      <c r="N217" s="403"/>
      <c r="O217" s="403"/>
      <c r="P217" s="403"/>
      <c r="Q217" s="403"/>
    </row>
    <row r="218" spans="1:17" x14ac:dyDescent="0.25">
      <c r="A218" s="406" t="str">
        <f t="shared" si="4"/>
        <v xml:space="preserve"> </v>
      </c>
      <c r="B218" s="513"/>
      <c r="C218" s="389" t="s">
        <v>86</v>
      </c>
      <c r="D218" s="416" t="s">
        <v>44</v>
      </c>
      <c r="E218" s="411">
        <f>E217*F218</f>
        <v>6.2999999999999989</v>
      </c>
      <c r="F218" s="411">
        <v>6</v>
      </c>
      <c r="G218" s="526"/>
      <c r="H218" s="526"/>
      <c r="I218" s="526"/>
      <c r="J218" s="526"/>
      <c r="K218" s="526"/>
      <c r="L218" s="402"/>
      <c r="M218" s="403"/>
      <c r="N218" s="403"/>
      <c r="O218" s="403"/>
      <c r="P218" s="403"/>
      <c r="Q218" s="403"/>
    </row>
    <row r="219" spans="1:17" x14ac:dyDescent="0.25">
      <c r="A219" s="406" t="str">
        <f t="shared" si="4"/>
        <v xml:space="preserve"> </v>
      </c>
      <c r="B219" s="513"/>
      <c r="C219" s="555" t="s">
        <v>244</v>
      </c>
      <c r="D219" s="406" t="s">
        <v>47</v>
      </c>
      <c r="E219" s="411">
        <f>E217*F219</f>
        <v>1.1549999999999998</v>
      </c>
      <c r="F219" s="411">
        <v>1.1000000000000001</v>
      </c>
      <c r="G219" s="526"/>
      <c r="H219" s="526"/>
      <c r="I219" s="526"/>
      <c r="J219" s="526"/>
      <c r="K219" s="526"/>
      <c r="L219" s="402"/>
      <c r="M219" s="403"/>
      <c r="N219" s="403"/>
      <c r="O219" s="403"/>
      <c r="P219" s="403"/>
      <c r="Q219" s="403"/>
    </row>
    <row r="220" spans="1:17" ht="22.5" x14ac:dyDescent="0.25">
      <c r="A220" s="406">
        <f t="shared" si="4"/>
        <v>64</v>
      </c>
      <c r="B220" s="404" t="s">
        <v>40</v>
      </c>
      <c r="C220" s="550" t="s">
        <v>326</v>
      </c>
      <c r="D220" s="406" t="s">
        <v>47</v>
      </c>
      <c r="E220" s="407">
        <f>3*0.25</f>
        <v>0.75</v>
      </c>
      <c r="F220" s="411"/>
      <c r="G220" s="526"/>
      <c r="H220" s="510"/>
      <c r="I220" s="526"/>
      <c r="J220" s="526"/>
      <c r="K220" s="526"/>
      <c r="L220" s="402"/>
      <c r="M220" s="403"/>
      <c r="N220" s="403"/>
      <c r="O220" s="403"/>
      <c r="P220" s="403"/>
      <c r="Q220" s="403"/>
    </row>
    <row r="221" spans="1:17" x14ac:dyDescent="0.25">
      <c r="A221" s="406" t="str">
        <f t="shared" si="4"/>
        <v xml:space="preserve"> </v>
      </c>
      <c r="B221" s="513"/>
      <c r="C221" s="389" t="s">
        <v>86</v>
      </c>
      <c r="D221" s="416" t="s">
        <v>44</v>
      </c>
      <c r="E221" s="411">
        <f>E220*F221</f>
        <v>4.5</v>
      </c>
      <c r="F221" s="411">
        <v>6</v>
      </c>
      <c r="G221" s="526"/>
      <c r="H221" s="526"/>
      <c r="I221" s="526"/>
      <c r="J221" s="526"/>
      <c r="K221" s="526"/>
      <c r="L221" s="402"/>
      <c r="M221" s="403"/>
      <c r="N221" s="403"/>
      <c r="O221" s="403"/>
      <c r="P221" s="403"/>
      <c r="Q221" s="403"/>
    </row>
    <row r="222" spans="1:17" x14ac:dyDescent="0.25">
      <c r="A222" s="406" t="str">
        <f t="shared" si="4"/>
        <v xml:space="preserve"> </v>
      </c>
      <c r="B222" s="513"/>
      <c r="C222" s="555" t="s">
        <v>244</v>
      </c>
      <c r="D222" s="406" t="s">
        <v>47</v>
      </c>
      <c r="E222" s="411">
        <f>E220*F222</f>
        <v>0.82500000000000007</v>
      </c>
      <c r="F222" s="411">
        <v>1.1000000000000001</v>
      </c>
      <c r="G222" s="526"/>
      <c r="H222" s="526"/>
      <c r="I222" s="526"/>
      <c r="J222" s="526"/>
      <c r="K222" s="526"/>
      <c r="L222" s="402"/>
      <c r="M222" s="403"/>
      <c r="N222" s="403"/>
      <c r="O222" s="403"/>
      <c r="P222" s="403"/>
      <c r="Q222" s="403"/>
    </row>
    <row r="223" spans="1:17" x14ac:dyDescent="0.25">
      <c r="A223" s="406">
        <f t="shared" si="4"/>
        <v>65</v>
      </c>
      <c r="B223" s="404" t="s">
        <v>40</v>
      </c>
      <c r="C223" s="405" t="s">
        <v>327</v>
      </c>
      <c r="D223" s="406" t="s">
        <v>47</v>
      </c>
      <c r="E223" s="407">
        <v>14.5</v>
      </c>
      <c r="F223" s="544"/>
      <c r="G223" s="411"/>
      <c r="H223" s="510"/>
      <c r="I223" s="411"/>
      <c r="J223" s="410"/>
      <c r="K223" s="410"/>
      <c r="L223" s="402"/>
      <c r="M223" s="403"/>
      <c r="N223" s="403"/>
      <c r="O223" s="403"/>
      <c r="P223" s="403"/>
      <c r="Q223" s="403"/>
    </row>
    <row r="224" spans="1:17" x14ac:dyDescent="0.25">
      <c r="A224" s="406" t="str">
        <f t="shared" si="4"/>
        <v xml:space="preserve"> </v>
      </c>
      <c r="B224" s="544"/>
      <c r="C224" s="405" t="s">
        <v>804</v>
      </c>
      <c r="D224" s="416" t="s">
        <v>47</v>
      </c>
      <c r="E224" s="411">
        <f>E223*F224</f>
        <v>17.399999999999999</v>
      </c>
      <c r="F224" s="544">
        <v>1.2</v>
      </c>
      <c r="G224" s="544"/>
      <c r="H224" s="544"/>
      <c r="I224" s="545"/>
      <c r="J224" s="545"/>
      <c r="K224" s="545"/>
      <c r="L224" s="402"/>
      <c r="M224" s="403"/>
      <c r="N224" s="403"/>
      <c r="O224" s="403"/>
      <c r="P224" s="403"/>
      <c r="Q224" s="403"/>
    </row>
    <row r="225" spans="1:17" x14ac:dyDescent="0.25">
      <c r="A225" s="406" t="str">
        <f t="shared" si="4"/>
        <v xml:space="preserve"> </v>
      </c>
      <c r="B225" s="544"/>
      <c r="C225" s="405" t="s">
        <v>794</v>
      </c>
      <c r="D225" s="416" t="s">
        <v>47</v>
      </c>
      <c r="E225" s="411">
        <f>E223*F225</f>
        <v>17.399999999999999</v>
      </c>
      <c r="F225" s="544">
        <v>1.2</v>
      </c>
      <c r="G225" s="544"/>
      <c r="H225" s="544"/>
      <c r="I225" s="545"/>
      <c r="J225" s="545"/>
      <c r="K225" s="545"/>
      <c r="L225" s="402"/>
      <c r="M225" s="403"/>
      <c r="N225" s="403"/>
      <c r="O225" s="403"/>
      <c r="P225" s="403"/>
      <c r="Q225" s="403"/>
    </row>
    <row r="226" spans="1:17" x14ac:dyDescent="0.25">
      <c r="A226" s="406" t="str">
        <f t="shared" si="4"/>
        <v xml:space="preserve"> </v>
      </c>
      <c r="B226" s="544"/>
      <c r="C226" s="546" t="s">
        <v>297</v>
      </c>
      <c r="D226" s="544" t="s">
        <v>298</v>
      </c>
      <c r="E226" s="410">
        <f>ROUNDUP(E223*F226,0)</f>
        <v>1</v>
      </c>
      <c r="F226" s="544">
        <v>2.5000000000000001E-2</v>
      </c>
      <c r="G226" s="544"/>
      <c r="H226" s="544"/>
      <c r="I226" s="545"/>
      <c r="J226" s="545"/>
      <c r="K226" s="545"/>
      <c r="L226" s="402"/>
      <c r="M226" s="403"/>
      <c r="N226" s="403"/>
      <c r="O226" s="403"/>
      <c r="P226" s="403"/>
      <c r="Q226" s="403"/>
    </row>
    <row r="227" spans="1:17" ht="22.5" x14ac:dyDescent="0.25">
      <c r="A227" s="406" t="str">
        <f t="shared" si="4"/>
        <v xml:space="preserve"> </v>
      </c>
      <c r="B227" s="509"/>
      <c r="C227" s="405" t="s">
        <v>341</v>
      </c>
      <c r="D227" s="406" t="s">
        <v>42</v>
      </c>
      <c r="E227" s="407">
        <v>11</v>
      </c>
      <c r="F227" s="509"/>
      <c r="G227" s="509"/>
      <c r="H227" s="509"/>
      <c r="I227" s="509"/>
      <c r="J227" s="416"/>
      <c r="K227" s="509"/>
      <c r="L227" s="402"/>
      <c r="M227" s="403"/>
      <c r="N227" s="403"/>
      <c r="O227" s="403"/>
      <c r="P227" s="403"/>
      <c r="Q227" s="403"/>
    </row>
    <row r="228" spans="1:17" x14ac:dyDescent="0.25">
      <c r="A228" s="406">
        <f t="shared" si="4"/>
        <v>66</v>
      </c>
      <c r="B228" s="404" t="s">
        <v>40</v>
      </c>
      <c r="C228" s="405" t="s">
        <v>330</v>
      </c>
      <c r="D228" s="406" t="s">
        <v>42</v>
      </c>
      <c r="E228" s="407">
        <v>11</v>
      </c>
      <c r="F228" s="509"/>
      <c r="G228" s="411"/>
      <c r="H228" s="510"/>
      <c r="I228" s="411"/>
      <c r="J228" s="515"/>
      <c r="K228" s="411"/>
      <c r="L228" s="402"/>
      <c r="M228" s="403"/>
      <c r="N228" s="403"/>
      <c r="O228" s="403"/>
      <c r="P228" s="403"/>
      <c r="Q228" s="403"/>
    </row>
    <row r="229" spans="1:17" ht="22.5" x14ac:dyDescent="0.25">
      <c r="A229" s="406" t="str">
        <f t="shared" si="4"/>
        <v xml:space="preserve"> </v>
      </c>
      <c r="B229" s="509"/>
      <c r="C229" s="537" t="s">
        <v>673</v>
      </c>
      <c r="D229" s="406"/>
      <c r="E229" s="511"/>
      <c r="F229" s="509"/>
      <c r="G229" s="509"/>
      <c r="H229" s="509"/>
      <c r="I229" s="509"/>
      <c r="J229" s="416"/>
      <c r="K229" s="509"/>
      <c r="L229" s="402"/>
      <c r="M229" s="403"/>
      <c r="N229" s="403"/>
      <c r="O229" s="403"/>
      <c r="P229" s="403"/>
      <c r="Q229" s="403"/>
    </row>
    <row r="230" spans="1:17" ht="22.5" x14ac:dyDescent="0.25">
      <c r="A230" s="406">
        <f t="shared" si="4"/>
        <v>67</v>
      </c>
      <c r="B230" s="404" t="s">
        <v>40</v>
      </c>
      <c r="C230" s="405" t="s">
        <v>805</v>
      </c>
      <c r="D230" s="406" t="s">
        <v>44</v>
      </c>
      <c r="E230" s="511">
        <v>35</v>
      </c>
      <c r="F230" s="509"/>
      <c r="G230" s="411"/>
      <c r="H230" s="510"/>
      <c r="I230" s="411"/>
      <c r="J230" s="515"/>
      <c r="K230" s="411"/>
      <c r="L230" s="402"/>
      <c r="M230" s="403"/>
      <c r="N230" s="403"/>
      <c r="O230" s="403"/>
      <c r="P230" s="403"/>
      <c r="Q230" s="403"/>
    </row>
    <row r="231" spans="1:17" ht="22.5" x14ac:dyDescent="0.25">
      <c r="A231" s="406">
        <f t="shared" si="4"/>
        <v>68</v>
      </c>
      <c r="B231" s="404" t="s">
        <v>40</v>
      </c>
      <c r="C231" s="405" t="s">
        <v>342</v>
      </c>
      <c r="D231" s="406" t="s">
        <v>47</v>
      </c>
      <c r="E231" s="407">
        <v>87</v>
      </c>
      <c r="F231" s="509"/>
      <c r="G231" s="411"/>
      <c r="H231" s="510"/>
      <c r="I231" s="411"/>
      <c r="J231" s="515"/>
      <c r="K231" s="411"/>
      <c r="L231" s="402"/>
      <c r="M231" s="403"/>
      <c r="N231" s="403"/>
      <c r="O231" s="403"/>
      <c r="P231" s="403"/>
      <c r="Q231" s="403"/>
    </row>
    <row r="232" spans="1:17" x14ac:dyDescent="0.25">
      <c r="A232" s="406">
        <f t="shared" si="4"/>
        <v>69</v>
      </c>
      <c r="B232" s="404" t="s">
        <v>40</v>
      </c>
      <c r="C232" s="405" t="s">
        <v>343</v>
      </c>
      <c r="D232" s="406" t="s">
        <v>47</v>
      </c>
      <c r="E232" s="407">
        <v>25.5</v>
      </c>
      <c r="F232" s="509"/>
      <c r="G232" s="411"/>
      <c r="H232" s="510"/>
      <c r="I232" s="411"/>
      <c r="J232" s="515"/>
      <c r="K232" s="411"/>
      <c r="L232" s="402"/>
      <c r="M232" s="403"/>
      <c r="N232" s="403"/>
      <c r="O232" s="403"/>
      <c r="P232" s="403"/>
      <c r="Q232" s="403"/>
    </row>
    <row r="233" spans="1:17" ht="33.75" x14ac:dyDescent="0.25">
      <c r="A233" s="406">
        <f t="shared" si="4"/>
        <v>70</v>
      </c>
      <c r="B233" s="404" t="s">
        <v>40</v>
      </c>
      <c r="C233" s="405" t="s">
        <v>344</v>
      </c>
      <c r="D233" s="406" t="s">
        <v>42</v>
      </c>
      <c r="E233" s="407">
        <v>1143</v>
      </c>
      <c r="F233" s="509"/>
      <c r="G233" s="411"/>
      <c r="H233" s="510"/>
      <c r="I233" s="411"/>
      <c r="J233" s="515"/>
      <c r="K233" s="411"/>
      <c r="L233" s="402"/>
      <c r="M233" s="403"/>
      <c r="N233" s="403"/>
      <c r="O233" s="403"/>
      <c r="P233" s="403"/>
      <c r="Q233" s="403"/>
    </row>
    <row r="234" spans="1:17" x14ac:dyDescent="0.25">
      <c r="A234" s="406">
        <f t="shared" si="4"/>
        <v>71</v>
      </c>
      <c r="B234" s="404" t="s">
        <v>40</v>
      </c>
      <c r="C234" s="405" t="s">
        <v>806</v>
      </c>
      <c r="D234" s="406" t="s">
        <v>42</v>
      </c>
      <c r="E234" s="407">
        <v>1143</v>
      </c>
      <c r="F234" s="509"/>
      <c r="G234" s="411"/>
      <c r="H234" s="510"/>
      <c r="I234" s="411"/>
      <c r="J234" s="515"/>
      <c r="K234" s="411"/>
      <c r="L234" s="402"/>
      <c r="M234" s="403"/>
      <c r="N234" s="403"/>
      <c r="O234" s="403"/>
      <c r="P234" s="403"/>
      <c r="Q234" s="403"/>
    </row>
    <row r="235" spans="1:17" ht="33.75" x14ac:dyDescent="0.25">
      <c r="A235" s="406">
        <f t="shared" si="4"/>
        <v>72</v>
      </c>
      <c r="B235" s="404" t="s">
        <v>40</v>
      </c>
      <c r="C235" s="405" t="s">
        <v>674</v>
      </c>
      <c r="D235" s="406" t="s">
        <v>47</v>
      </c>
      <c r="E235" s="407">
        <v>1186</v>
      </c>
      <c r="F235" s="509"/>
      <c r="G235" s="411"/>
      <c r="H235" s="510"/>
      <c r="I235" s="411"/>
      <c r="J235" s="515"/>
      <c r="K235" s="411"/>
      <c r="L235" s="402"/>
      <c r="M235" s="403"/>
      <c r="N235" s="403"/>
      <c r="O235" s="403"/>
      <c r="P235" s="403"/>
      <c r="Q235" s="403"/>
    </row>
    <row r="236" spans="1:17" ht="22.5" x14ac:dyDescent="0.25">
      <c r="A236" s="406">
        <f t="shared" si="4"/>
        <v>73</v>
      </c>
      <c r="B236" s="404" t="s">
        <v>40</v>
      </c>
      <c r="C236" s="405" t="s">
        <v>807</v>
      </c>
      <c r="D236" s="406" t="s">
        <v>47</v>
      </c>
      <c r="E236" s="407">
        <f>E235</f>
        <v>1186</v>
      </c>
      <c r="F236" s="509"/>
      <c r="G236" s="411"/>
      <c r="H236" s="510"/>
      <c r="I236" s="411"/>
      <c r="J236" s="515"/>
      <c r="K236" s="411"/>
      <c r="L236" s="402"/>
      <c r="M236" s="403"/>
      <c r="N236" s="403"/>
      <c r="O236" s="403"/>
      <c r="P236" s="403"/>
      <c r="Q236" s="403"/>
    </row>
    <row r="237" spans="1:17" ht="22.5" x14ac:dyDescent="0.25">
      <c r="A237" s="406">
        <f t="shared" si="4"/>
        <v>74</v>
      </c>
      <c r="B237" s="404" t="s">
        <v>40</v>
      </c>
      <c r="C237" s="405" t="s">
        <v>675</v>
      </c>
      <c r="D237" s="406" t="s">
        <v>42</v>
      </c>
      <c r="E237" s="407">
        <v>180</v>
      </c>
      <c r="F237" s="509"/>
      <c r="G237" s="411"/>
      <c r="H237" s="510"/>
      <c r="I237" s="411"/>
      <c r="J237" s="515"/>
      <c r="K237" s="411"/>
      <c r="L237" s="402"/>
      <c r="M237" s="403"/>
      <c r="N237" s="403"/>
      <c r="O237" s="403"/>
      <c r="P237" s="403"/>
      <c r="Q237" s="403"/>
    </row>
    <row r="238" spans="1:17" x14ac:dyDescent="0.25">
      <c r="A238" s="406">
        <f t="shared" si="4"/>
        <v>75</v>
      </c>
      <c r="B238" s="404" t="s">
        <v>40</v>
      </c>
      <c r="C238" s="405" t="s">
        <v>808</v>
      </c>
      <c r="D238" s="406" t="s">
        <v>42</v>
      </c>
      <c r="E238" s="407">
        <v>180</v>
      </c>
      <c r="F238" s="509"/>
      <c r="G238" s="411"/>
      <c r="H238" s="510"/>
      <c r="I238" s="411"/>
      <c r="J238" s="515"/>
      <c r="K238" s="411"/>
      <c r="L238" s="402"/>
      <c r="M238" s="403"/>
      <c r="N238" s="403"/>
      <c r="O238" s="403"/>
      <c r="P238" s="403"/>
      <c r="Q238" s="403"/>
    </row>
    <row r="239" spans="1:17" ht="22.5" x14ac:dyDescent="0.25">
      <c r="A239" s="406">
        <f t="shared" si="4"/>
        <v>76</v>
      </c>
      <c r="B239" s="404" t="s">
        <v>40</v>
      </c>
      <c r="C239" s="405" t="s">
        <v>345</v>
      </c>
      <c r="D239" s="406" t="s">
        <v>44</v>
      </c>
      <c r="E239" s="511">
        <v>5</v>
      </c>
      <c r="F239" s="509"/>
      <c r="G239" s="411"/>
      <c r="H239" s="510"/>
      <c r="I239" s="411"/>
      <c r="J239" s="515"/>
      <c r="K239" s="411"/>
      <c r="L239" s="402"/>
      <c r="M239" s="403"/>
      <c r="N239" s="403"/>
      <c r="O239" s="403"/>
      <c r="P239" s="403"/>
      <c r="Q239" s="403"/>
    </row>
    <row r="240" spans="1:17" ht="22.5" x14ac:dyDescent="0.25">
      <c r="A240" s="406">
        <f t="shared" si="4"/>
        <v>77</v>
      </c>
      <c r="B240" s="404" t="s">
        <v>40</v>
      </c>
      <c r="C240" s="405" t="s">
        <v>809</v>
      </c>
      <c r="D240" s="406" t="s">
        <v>47</v>
      </c>
      <c r="E240" s="407">
        <v>371</v>
      </c>
      <c r="F240" s="509"/>
      <c r="G240" s="411"/>
      <c r="H240" s="510"/>
      <c r="I240" s="411"/>
      <c r="J240" s="411"/>
      <c r="K240" s="411"/>
      <c r="L240" s="402"/>
      <c r="M240" s="403"/>
      <c r="N240" s="403"/>
      <c r="O240" s="403"/>
      <c r="P240" s="403"/>
      <c r="Q240" s="403"/>
    </row>
    <row r="241" spans="1:17" x14ac:dyDescent="0.25">
      <c r="A241" s="406">
        <f t="shared" si="4"/>
        <v>78</v>
      </c>
      <c r="B241" s="404" t="s">
        <v>40</v>
      </c>
      <c r="C241" s="405" t="s">
        <v>810</v>
      </c>
      <c r="D241" s="406" t="s">
        <v>47</v>
      </c>
      <c r="E241" s="407">
        <v>371</v>
      </c>
      <c r="F241" s="509"/>
      <c r="G241" s="411"/>
      <c r="H241" s="510"/>
      <c r="I241" s="411"/>
      <c r="J241" s="411"/>
      <c r="K241" s="411"/>
      <c r="L241" s="402"/>
      <c r="M241" s="403"/>
      <c r="N241" s="403"/>
      <c r="O241" s="403"/>
      <c r="P241" s="403"/>
      <c r="Q241" s="403"/>
    </row>
    <row r="242" spans="1:17" x14ac:dyDescent="0.25">
      <c r="A242" s="406">
        <f t="shared" si="4"/>
        <v>79</v>
      </c>
      <c r="B242" s="404" t="s">
        <v>40</v>
      </c>
      <c r="C242" s="405" t="s">
        <v>811</v>
      </c>
      <c r="D242" s="406" t="s">
        <v>47</v>
      </c>
      <c r="E242" s="407">
        <f>E235</f>
        <v>1186</v>
      </c>
      <c r="F242" s="509"/>
      <c r="G242" s="411"/>
      <c r="H242" s="510"/>
      <c r="I242" s="411"/>
      <c r="J242" s="411"/>
      <c r="K242" s="411"/>
      <c r="L242" s="402"/>
      <c r="M242" s="403"/>
      <c r="N242" s="403"/>
      <c r="O242" s="403"/>
      <c r="P242" s="403"/>
      <c r="Q242" s="403"/>
    </row>
    <row r="243" spans="1:17" x14ac:dyDescent="0.25">
      <c r="A243" s="406">
        <f t="shared" si="4"/>
        <v>80</v>
      </c>
      <c r="B243" s="404" t="s">
        <v>40</v>
      </c>
      <c r="C243" s="405" t="s">
        <v>812</v>
      </c>
      <c r="D243" s="406" t="s">
        <v>42</v>
      </c>
      <c r="E243" s="407">
        <v>75</v>
      </c>
      <c r="F243" s="509"/>
      <c r="G243" s="411"/>
      <c r="H243" s="510"/>
      <c r="I243" s="411"/>
      <c r="J243" s="411"/>
      <c r="K243" s="411"/>
      <c r="L243" s="402"/>
      <c r="M243" s="403"/>
      <c r="N243" s="403"/>
      <c r="O243" s="403"/>
      <c r="P243" s="403"/>
      <c r="Q243" s="403"/>
    </row>
    <row r="244" spans="1:17" x14ac:dyDescent="0.25">
      <c r="A244" s="406">
        <f t="shared" si="4"/>
        <v>81</v>
      </c>
      <c r="B244" s="404" t="s">
        <v>40</v>
      </c>
      <c r="C244" s="405" t="s">
        <v>813</v>
      </c>
      <c r="D244" s="406" t="s">
        <v>88</v>
      </c>
      <c r="E244" s="407">
        <v>1</v>
      </c>
      <c r="F244" s="509"/>
      <c r="G244" s="411"/>
      <c r="H244" s="510"/>
      <c r="I244" s="411"/>
      <c r="J244" s="411"/>
      <c r="K244" s="411"/>
      <c r="L244" s="402"/>
      <c r="M244" s="403"/>
      <c r="N244" s="403"/>
      <c r="O244" s="403"/>
      <c r="P244" s="403"/>
      <c r="Q244" s="403"/>
    </row>
    <row r="245" spans="1:17" x14ac:dyDescent="0.25">
      <c r="A245" s="406">
        <f t="shared" si="4"/>
        <v>82</v>
      </c>
      <c r="B245" s="404" t="s">
        <v>40</v>
      </c>
      <c r="C245" s="405" t="s">
        <v>346</v>
      </c>
      <c r="D245" s="406" t="s">
        <v>44</v>
      </c>
      <c r="E245" s="511">
        <v>15</v>
      </c>
      <c r="F245" s="509"/>
      <c r="G245" s="411"/>
      <c r="H245" s="510"/>
      <c r="I245" s="411"/>
      <c r="J245" s="411"/>
      <c r="K245" s="411"/>
      <c r="L245" s="402"/>
      <c r="M245" s="403"/>
      <c r="N245" s="403"/>
      <c r="O245" s="403"/>
      <c r="P245" s="403"/>
      <c r="Q245" s="403"/>
    </row>
    <row r="246" spans="1:17" x14ac:dyDescent="0.25">
      <c r="A246" s="406">
        <f t="shared" si="4"/>
        <v>83</v>
      </c>
      <c r="B246" s="404" t="s">
        <v>40</v>
      </c>
      <c r="C246" s="405" t="s">
        <v>814</v>
      </c>
      <c r="D246" s="406" t="s">
        <v>47</v>
      </c>
      <c r="E246" s="407">
        <v>151</v>
      </c>
      <c r="F246" s="509"/>
      <c r="G246" s="411"/>
      <c r="H246" s="510"/>
      <c r="I246" s="411"/>
      <c r="J246" s="411"/>
      <c r="K246" s="411"/>
      <c r="L246" s="402"/>
      <c r="M246" s="403"/>
      <c r="N246" s="403"/>
      <c r="O246" s="403"/>
      <c r="P246" s="403"/>
      <c r="Q246" s="403"/>
    </row>
    <row r="247" spans="1:17" x14ac:dyDescent="0.25">
      <c r="A247" s="406">
        <f t="shared" si="4"/>
        <v>84</v>
      </c>
      <c r="B247" s="404" t="s">
        <v>40</v>
      </c>
      <c r="C247" s="405" t="s">
        <v>815</v>
      </c>
      <c r="D247" s="406" t="s">
        <v>47</v>
      </c>
      <c r="E247" s="407">
        <v>50</v>
      </c>
      <c r="F247" s="509"/>
      <c r="G247" s="411"/>
      <c r="H247" s="510"/>
      <c r="I247" s="411"/>
      <c r="J247" s="411"/>
      <c r="K247" s="411"/>
      <c r="L247" s="402"/>
      <c r="M247" s="403"/>
      <c r="N247" s="403"/>
      <c r="O247" s="403"/>
      <c r="P247" s="403"/>
      <c r="Q247" s="403"/>
    </row>
    <row r="248" spans="1:17" ht="22.5" x14ac:dyDescent="0.25">
      <c r="A248" s="406">
        <f t="shared" si="4"/>
        <v>85</v>
      </c>
      <c r="B248" s="404" t="s">
        <v>40</v>
      </c>
      <c r="C248" s="405" t="s">
        <v>816</v>
      </c>
      <c r="D248" s="406" t="s">
        <v>47</v>
      </c>
      <c r="E248" s="407">
        <f>E235</f>
        <v>1186</v>
      </c>
      <c r="F248" s="509"/>
      <c r="G248" s="411"/>
      <c r="H248" s="510"/>
      <c r="I248" s="411"/>
      <c r="J248" s="411"/>
      <c r="K248" s="411"/>
      <c r="L248" s="402"/>
      <c r="M248" s="403"/>
      <c r="N248" s="403"/>
      <c r="O248" s="403"/>
      <c r="P248" s="403"/>
      <c r="Q248" s="403"/>
    </row>
    <row r="249" spans="1:17" x14ac:dyDescent="0.25">
      <c r="A249" s="406" t="str">
        <f t="shared" ref="A249:A271" si="5">IF(COUNTBLANK(B249)=1," ",COUNTA($B$13:B249))</f>
        <v xml:space="preserve"> </v>
      </c>
      <c r="B249" s="509"/>
      <c r="C249" s="405" t="s">
        <v>347</v>
      </c>
      <c r="D249" s="406"/>
      <c r="E249" s="407"/>
      <c r="F249" s="509"/>
      <c r="G249" s="509"/>
      <c r="H249" s="509"/>
      <c r="I249" s="509"/>
      <c r="J249" s="416"/>
      <c r="K249" s="509"/>
      <c r="L249" s="402"/>
      <c r="M249" s="403"/>
      <c r="N249" s="403"/>
      <c r="O249" s="403"/>
      <c r="P249" s="403"/>
      <c r="Q249" s="403"/>
    </row>
    <row r="250" spans="1:17" ht="22.5" x14ac:dyDescent="0.25">
      <c r="A250" s="406" t="str">
        <f t="shared" si="5"/>
        <v xml:space="preserve"> </v>
      </c>
      <c r="B250" s="509"/>
      <c r="C250" s="405" t="s">
        <v>348</v>
      </c>
      <c r="D250" s="406" t="s">
        <v>47</v>
      </c>
      <c r="E250" s="407">
        <v>23</v>
      </c>
      <c r="F250" s="509"/>
      <c r="G250" s="509"/>
      <c r="H250" s="509"/>
      <c r="I250" s="509"/>
      <c r="J250" s="416"/>
      <c r="K250" s="509"/>
      <c r="L250" s="402"/>
      <c r="M250" s="403"/>
      <c r="N250" s="403"/>
      <c r="O250" s="403"/>
      <c r="P250" s="403"/>
      <c r="Q250" s="403"/>
    </row>
    <row r="251" spans="1:17" s="551" customFormat="1" ht="22.5" x14ac:dyDescent="0.25">
      <c r="A251" s="406">
        <f t="shared" si="5"/>
        <v>86</v>
      </c>
      <c r="B251" s="404" t="s">
        <v>40</v>
      </c>
      <c r="C251" s="405" t="s">
        <v>348</v>
      </c>
      <c r="D251" s="406" t="s">
        <v>47</v>
      </c>
      <c r="E251" s="407">
        <v>23</v>
      </c>
      <c r="F251" s="513"/>
      <c r="G251" s="411"/>
      <c r="H251" s="510"/>
      <c r="I251" s="411"/>
      <c r="J251" s="515"/>
      <c r="K251" s="411"/>
      <c r="L251" s="402"/>
      <c r="M251" s="403"/>
      <c r="N251" s="403"/>
      <c r="O251" s="403"/>
      <c r="P251" s="403"/>
      <c r="Q251" s="403"/>
    </row>
    <row r="252" spans="1:17" s="551" customFormat="1" x14ac:dyDescent="0.25">
      <c r="A252" s="406" t="str">
        <f t="shared" si="5"/>
        <v xml:space="preserve"> </v>
      </c>
      <c r="B252" s="513"/>
      <c r="C252" s="389" t="s">
        <v>317</v>
      </c>
      <c r="D252" s="406" t="s">
        <v>88</v>
      </c>
      <c r="E252" s="411">
        <f>E251*F252</f>
        <v>0.92</v>
      </c>
      <c r="F252" s="513">
        <v>0.04</v>
      </c>
      <c r="G252" s="411"/>
      <c r="H252" s="411"/>
      <c r="I252" s="411"/>
      <c r="J252" s="411"/>
      <c r="K252" s="411"/>
      <c r="L252" s="402"/>
      <c r="M252" s="403"/>
      <c r="N252" s="403"/>
      <c r="O252" s="403"/>
      <c r="P252" s="403"/>
      <c r="Q252" s="403"/>
    </row>
    <row r="253" spans="1:17" x14ac:dyDescent="0.25">
      <c r="A253" s="406" t="str">
        <f t="shared" si="5"/>
        <v xml:space="preserve"> </v>
      </c>
      <c r="B253" s="509"/>
      <c r="C253" s="405" t="s">
        <v>349</v>
      </c>
      <c r="D253" s="406" t="s">
        <v>58</v>
      </c>
      <c r="E253" s="407">
        <f>0.004*0.04*135*0.75*7800</f>
        <v>126.36</v>
      </c>
      <c r="F253" s="509"/>
      <c r="G253" s="509"/>
      <c r="H253" s="509"/>
      <c r="I253" s="509"/>
      <c r="J253" s="416"/>
      <c r="K253" s="509"/>
      <c r="L253" s="402"/>
      <c r="M253" s="403"/>
      <c r="N253" s="403"/>
      <c r="O253" s="403"/>
      <c r="P253" s="403"/>
      <c r="Q253" s="403"/>
    </row>
    <row r="254" spans="1:17" ht="22.5" x14ac:dyDescent="0.25">
      <c r="A254" s="406" t="str">
        <f t="shared" si="5"/>
        <v xml:space="preserve"> </v>
      </c>
      <c r="B254" s="509"/>
      <c r="C254" s="405" t="s">
        <v>350</v>
      </c>
      <c r="D254" s="406" t="s">
        <v>44</v>
      </c>
      <c r="E254" s="511">
        <f>135*2</f>
        <v>270</v>
      </c>
      <c r="F254" s="509"/>
      <c r="G254" s="509"/>
      <c r="H254" s="509"/>
      <c r="I254" s="509"/>
      <c r="J254" s="416"/>
      <c r="K254" s="509"/>
      <c r="L254" s="402"/>
      <c r="M254" s="403"/>
      <c r="N254" s="403"/>
      <c r="O254" s="403"/>
      <c r="P254" s="403"/>
      <c r="Q254" s="403"/>
    </row>
    <row r="255" spans="1:17" x14ac:dyDescent="0.25">
      <c r="A255" s="406">
        <f t="shared" si="5"/>
        <v>87</v>
      </c>
      <c r="B255" s="404" t="s">
        <v>40</v>
      </c>
      <c r="C255" s="405" t="s">
        <v>351</v>
      </c>
      <c r="D255" s="406" t="s">
        <v>47</v>
      </c>
      <c r="E255" s="407">
        <f>0.8*41</f>
        <v>32.800000000000004</v>
      </c>
      <c r="F255" s="411"/>
      <c r="G255" s="526"/>
      <c r="H255" s="510"/>
      <c r="I255" s="526"/>
      <c r="J255" s="526"/>
      <c r="K255" s="526"/>
      <c r="L255" s="402"/>
      <c r="M255" s="403"/>
      <c r="N255" s="403"/>
      <c r="O255" s="403"/>
      <c r="P255" s="403"/>
      <c r="Q255" s="403"/>
    </row>
    <row r="256" spans="1:17" x14ac:dyDescent="0.25">
      <c r="A256" s="406" t="str">
        <f t="shared" si="5"/>
        <v xml:space="preserve"> </v>
      </c>
      <c r="B256" s="513"/>
      <c r="C256" s="389" t="s">
        <v>86</v>
      </c>
      <c r="D256" s="416" t="s">
        <v>44</v>
      </c>
      <c r="E256" s="411">
        <f>E255*F256</f>
        <v>196.8</v>
      </c>
      <c r="F256" s="411">
        <v>6</v>
      </c>
      <c r="G256" s="526"/>
      <c r="H256" s="526"/>
      <c r="I256" s="526"/>
      <c r="J256" s="526"/>
      <c r="K256" s="526"/>
      <c r="L256" s="402"/>
      <c r="M256" s="403"/>
      <c r="N256" s="403"/>
      <c r="O256" s="403"/>
      <c r="P256" s="403"/>
      <c r="Q256" s="403"/>
    </row>
    <row r="257" spans="1:17" x14ac:dyDescent="0.25">
      <c r="A257" s="406" t="str">
        <f t="shared" si="5"/>
        <v xml:space="preserve"> </v>
      </c>
      <c r="B257" s="513"/>
      <c r="C257" s="555" t="s">
        <v>244</v>
      </c>
      <c r="D257" s="406" t="s">
        <v>47</v>
      </c>
      <c r="E257" s="411">
        <f>E255*F257</f>
        <v>36.080000000000005</v>
      </c>
      <c r="F257" s="411">
        <v>1.1000000000000001</v>
      </c>
      <c r="G257" s="526"/>
      <c r="H257" s="526"/>
      <c r="I257" s="526"/>
      <c r="J257" s="526"/>
      <c r="K257" s="526"/>
      <c r="L257" s="402"/>
      <c r="M257" s="403"/>
      <c r="N257" s="403"/>
      <c r="O257" s="403"/>
      <c r="P257" s="403"/>
      <c r="Q257" s="403"/>
    </row>
    <row r="258" spans="1:17" x14ac:dyDescent="0.25">
      <c r="A258" s="406">
        <f t="shared" si="5"/>
        <v>88</v>
      </c>
      <c r="B258" s="404" t="s">
        <v>40</v>
      </c>
      <c r="C258" s="405" t="s">
        <v>352</v>
      </c>
      <c r="D258" s="406" t="s">
        <v>47</v>
      </c>
      <c r="E258" s="407">
        <v>9</v>
      </c>
      <c r="F258" s="411"/>
      <c r="G258" s="411"/>
      <c r="H258" s="510"/>
      <c r="I258" s="411"/>
      <c r="J258" s="515"/>
      <c r="K258" s="411"/>
      <c r="L258" s="402"/>
      <c r="M258" s="403"/>
      <c r="N258" s="403"/>
      <c r="O258" s="403"/>
      <c r="P258" s="403"/>
      <c r="Q258" s="403"/>
    </row>
    <row r="259" spans="1:17" x14ac:dyDescent="0.25">
      <c r="A259" s="406" t="str">
        <f t="shared" si="5"/>
        <v xml:space="preserve"> </v>
      </c>
      <c r="B259" s="513"/>
      <c r="C259" s="503" t="s">
        <v>322</v>
      </c>
      <c r="D259" s="513" t="s">
        <v>58</v>
      </c>
      <c r="E259" s="411">
        <f>E258*F259</f>
        <v>3.6</v>
      </c>
      <c r="F259" s="411">
        <v>0.4</v>
      </c>
      <c r="G259" s="411"/>
      <c r="H259" s="411"/>
      <c r="I259" s="411"/>
      <c r="J259" s="411"/>
      <c r="K259" s="411"/>
      <c r="L259" s="402"/>
      <c r="M259" s="403"/>
      <c r="N259" s="403"/>
      <c r="O259" s="403"/>
      <c r="P259" s="403"/>
      <c r="Q259" s="403"/>
    </row>
    <row r="260" spans="1:17" x14ac:dyDescent="0.25">
      <c r="A260" s="406">
        <f t="shared" si="5"/>
        <v>89</v>
      </c>
      <c r="B260" s="404" t="s">
        <v>40</v>
      </c>
      <c r="C260" s="405" t="s">
        <v>817</v>
      </c>
      <c r="D260" s="406" t="s">
        <v>44</v>
      </c>
      <c r="E260" s="511">
        <v>4</v>
      </c>
      <c r="F260" s="509"/>
      <c r="G260" s="411"/>
      <c r="H260" s="510"/>
      <c r="I260" s="411"/>
      <c r="J260" s="411"/>
      <c r="K260" s="411"/>
      <c r="L260" s="402"/>
      <c r="M260" s="403"/>
      <c r="N260" s="403"/>
      <c r="O260" s="403"/>
      <c r="P260" s="403"/>
      <c r="Q260" s="403"/>
    </row>
    <row r="261" spans="1:17" x14ac:dyDescent="0.25">
      <c r="A261" s="406">
        <f t="shared" si="5"/>
        <v>90</v>
      </c>
      <c r="B261" s="404" t="s">
        <v>40</v>
      </c>
      <c r="C261" s="405" t="s">
        <v>353</v>
      </c>
      <c r="D261" s="406" t="s">
        <v>42</v>
      </c>
      <c r="E261" s="407">
        <v>13</v>
      </c>
      <c r="F261" s="509"/>
      <c r="G261" s="411"/>
      <c r="H261" s="510"/>
      <c r="I261" s="411"/>
      <c r="J261" s="515"/>
      <c r="K261" s="411"/>
      <c r="L261" s="402"/>
      <c r="M261" s="403"/>
      <c r="N261" s="403"/>
      <c r="O261" s="403"/>
      <c r="P261" s="403"/>
      <c r="Q261" s="403"/>
    </row>
    <row r="262" spans="1:17" x14ac:dyDescent="0.25">
      <c r="A262" s="406">
        <f t="shared" si="5"/>
        <v>91</v>
      </c>
      <c r="B262" s="404" t="s">
        <v>40</v>
      </c>
      <c r="C262" s="508" t="s">
        <v>818</v>
      </c>
      <c r="D262" s="407" t="s">
        <v>42</v>
      </c>
      <c r="E262" s="407">
        <v>168.5</v>
      </c>
      <c r="F262" s="509"/>
      <c r="G262" s="526"/>
      <c r="H262" s="510"/>
      <c r="I262" s="526"/>
      <c r="J262" s="526"/>
      <c r="K262" s="526"/>
      <c r="L262" s="402"/>
      <c r="M262" s="403"/>
      <c r="N262" s="403"/>
      <c r="O262" s="403"/>
      <c r="P262" s="403"/>
      <c r="Q262" s="403"/>
    </row>
    <row r="263" spans="1:17" ht="22.5" x14ac:dyDescent="0.25">
      <c r="A263" s="406" t="str">
        <f t="shared" si="5"/>
        <v xml:space="preserve"> </v>
      </c>
      <c r="B263" s="509"/>
      <c r="C263" s="549" t="s">
        <v>676</v>
      </c>
      <c r="D263" s="406"/>
      <c r="E263" s="407"/>
      <c r="F263" s="509"/>
      <c r="G263" s="509"/>
      <c r="H263" s="509"/>
      <c r="I263" s="509"/>
      <c r="J263" s="416"/>
      <c r="K263" s="509"/>
      <c r="L263" s="402"/>
      <c r="M263" s="403"/>
      <c r="N263" s="403"/>
      <c r="O263" s="403"/>
      <c r="P263" s="403"/>
      <c r="Q263" s="403"/>
    </row>
    <row r="264" spans="1:17" ht="22.5" x14ac:dyDescent="0.25">
      <c r="A264" s="406">
        <f t="shared" si="5"/>
        <v>92</v>
      </c>
      <c r="B264" s="404" t="s">
        <v>40</v>
      </c>
      <c r="C264" s="405" t="s">
        <v>354</v>
      </c>
      <c r="D264" s="406" t="s">
        <v>47</v>
      </c>
      <c r="E264" s="407">
        <v>802</v>
      </c>
      <c r="F264" s="509"/>
      <c r="G264" s="526"/>
      <c r="H264" s="510"/>
      <c r="I264" s="526"/>
      <c r="J264" s="526"/>
      <c r="K264" s="526"/>
      <c r="L264" s="402"/>
      <c r="M264" s="403"/>
      <c r="N264" s="403"/>
      <c r="O264" s="403"/>
      <c r="P264" s="403"/>
      <c r="Q264" s="403"/>
    </row>
    <row r="265" spans="1:17" ht="22.5" x14ac:dyDescent="0.25">
      <c r="A265" s="406">
        <f t="shared" si="5"/>
        <v>93</v>
      </c>
      <c r="B265" s="404" t="s">
        <v>40</v>
      </c>
      <c r="C265" s="405" t="s">
        <v>355</v>
      </c>
      <c r="D265" s="406" t="s">
        <v>47</v>
      </c>
      <c r="E265" s="407">
        <v>317</v>
      </c>
      <c r="F265" s="509"/>
      <c r="G265" s="526"/>
      <c r="H265" s="510"/>
      <c r="I265" s="526"/>
      <c r="J265" s="526"/>
      <c r="K265" s="526"/>
      <c r="L265" s="402"/>
      <c r="M265" s="403"/>
      <c r="N265" s="403"/>
      <c r="O265" s="403"/>
      <c r="P265" s="403"/>
      <c r="Q265" s="403"/>
    </row>
    <row r="266" spans="1:17" x14ac:dyDescent="0.25">
      <c r="A266" s="406">
        <f t="shared" si="5"/>
        <v>94</v>
      </c>
      <c r="B266" s="404" t="s">
        <v>40</v>
      </c>
      <c r="C266" s="405" t="s">
        <v>819</v>
      </c>
      <c r="D266" s="406" t="s">
        <v>47</v>
      </c>
      <c r="E266" s="407">
        <f>E265</f>
        <v>317</v>
      </c>
      <c r="F266" s="509"/>
      <c r="G266" s="411"/>
      <c r="H266" s="510"/>
      <c r="I266" s="411"/>
      <c r="J266" s="411"/>
      <c r="K266" s="411"/>
      <c r="L266" s="402"/>
      <c r="M266" s="403"/>
      <c r="N266" s="403"/>
      <c r="O266" s="403"/>
      <c r="P266" s="403"/>
      <c r="Q266" s="403"/>
    </row>
    <row r="267" spans="1:17" ht="22.5" x14ac:dyDescent="0.25">
      <c r="A267" s="406">
        <f t="shared" si="5"/>
        <v>95</v>
      </c>
      <c r="B267" s="404" t="s">
        <v>40</v>
      </c>
      <c r="C267" s="405" t="s">
        <v>356</v>
      </c>
      <c r="D267" s="406" t="s">
        <v>42</v>
      </c>
      <c r="E267" s="407">
        <v>86</v>
      </c>
      <c r="F267" s="509"/>
      <c r="G267" s="411"/>
      <c r="H267" s="510"/>
      <c r="I267" s="411"/>
      <c r="J267" s="515"/>
      <c r="K267" s="411"/>
      <c r="L267" s="402"/>
      <c r="M267" s="403"/>
      <c r="N267" s="403"/>
      <c r="O267" s="403"/>
      <c r="P267" s="403"/>
      <c r="Q267" s="403"/>
    </row>
    <row r="268" spans="1:17" x14ac:dyDescent="0.25">
      <c r="A268" s="406">
        <f t="shared" si="5"/>
        <v>96</v>
      </c>
      <c r="B268" s="404" t="s">
        <v>40</v>
      </c>
      <c r="C268" s="405" t="s">
        <v>820</v>
      </c>
      <c r="D268" s="406" t="s">
        <v>42</v>
      </c>
      <c r="E268" s="407">
        <v>86</v>
      </c>
      <c r="F268" s="509"/>
      <c r="G268" s="411"/>
      <c r="H268" s="510"/>
      <c r="I268" s="411"/>
      <c r="J268" s="515"/>
      <c r="K268" s="411"/>
      <c r="L268" s="402"/>
      <c r="M268" s="403"/>
      <c r="N268" s="403"/>
      <c r="O268" s="403"/>
      <c r="P268" s="403"/>
      <c r="Q268" s="403"/>
    </row>
    <row r="269" spans="1:17" ht="22.5" x14ac:dyDescent="0.25">
      <c r="A269" s="406">
        <f t="shared" si="5"/>
        <v>97</v>
      </c>
      <c r="B269" s="404" t="s">
        <v>40</v>
      </c>
      <c r="C269" s="405" t="s">
        <v>345</v>
      </c>
      <c r="D269" s="406" t="s">
        <v>44</v>
      </c>
      <c r="E269" s="511">
        <v>10</v>
      </c>
      <c r="F269" s="509"/>
      <c r="G269" s="411"/>
      <c r="H269" s="510"/>
      <c r="I269" s="411"/>
      <c r="J269" s="411"/>
      <c r="K269" s="411"/>
      <c r="L269" s="402"/>
      <c r="M269" s="403"/>
      <c r="N269" s="403"/>
      <c r="O269" s="403"/>
      <c r="P269" s="403"/>
      <c r="Q269" s="403"/>
    </row>
    <row r="270" spans="1:17" x14ac:dyDescent="0.25">
      <c r="A270" s="406">
        <f t="shared" si="5"/>
        <v>98</v>
      </c>
      <c r="B270" s="404" t="s">
        <v>40</v>
      </c>
      <c r="C270" s="405" t="s">
        <v>821</v>
      </c>
      <c r="D270" s="406" t="s">
        <v>47</v>
      </c>
      <c r="E270" s="407">
        <v>802</v>
      </c>
      <c r="F270" s="509"/>
      <c r="G270" s="411"/>
      <c r="H270" s="510"/>
      <c r="I270" s="411"/>
      <c r="J270" s="411"/>
      <c r="K270" s="411"/>
      <c r="L270" s="402"/>
      <c r="M270" s="403"/>
      <c r="N270" s="403"/>
      <c r="O270" s="403"/>
      <c r="P270" s="403"/>
      <c r="Q270" s="403"/>
    </row>
    <row r="271" spans="1:17" x14ac:dyDescent="0.25">
      <c r="A271" s="406">
        <f t="shared" si="5"/>
        <v>99</v>
      </c>
      <c r="B271" s="404" t="s">
        <v>40</v>
      </c>
      <c r="C271" s="405" t="s">
        <v>822</v>
      </c>
      <c r="D271" s="406" t="s">
        <v>47</v>
      </c>
      <c r="E271" s="407">
        <v>802</v>
      </c>
      <c r="F271" s="509"/>
      <c r="G271" s="411"/>
      <c r="H271" s="510"/>
      <c r="I271" s="411"/>
      <c r="J271" s="411"/>
      <c r="K271" s="411"/>
      <c r="L271" s="402"/>
      <c r="M271" s="403"/>
      <c r="N271" s="403"/>
      <c r="O271" s="403"/>
      <c r="P271" s="403"/>
      <c r="Q271" s="403"/>
    </row>
    <row r="272" spans="1:17" x14ac:dyDescent="0.25">
      <c r="A272" s="421" t="str">
        <f>IF(COUNTBLANK(I272)=1," ",COUNTA($I$25:I272))</f>
        <v xml:space="preserve"> </v>
      </c>
      <c r="B272" s="441"/>
      <c r="C272" s="447" t="s">
        <v>77</v>
      </c>
      <c r="D272" s="448"/>
      <c r="E272" s="381"/>
      <c r="F272" s="381"/>
      <c r="G272" s="421"/>
      <c r="H272" s="381"/>
      <c r="I272" s="421"/>
      <c r="J272" s="421"/>
      <c r="K272" s="421"/>
      <c r="L272" s="421"/>
      <c r="M272" s="446">
        <f>SUM(M13:M271)</f>
        <v>0</v>
      </c>
      <c r="N272" s="446">
        <f>SUM(N13:N271)</f>
        <v>0</v>
      </c>
      <c r="O272" s="446">
        <f>SUM(O13:O271)</f>
        <v>0</v>
      </c>
      <c r="P272" s="446">
        <f>SUM(P13:P271)</f>
        <v>0</v>
      </c>
      <c r="Q272" s="446">
        <f>SUM(Q13:Q271)</f>
        <v>0</v>
      </c>
    </row>
    <row r="273" spans="1:18" x14ac:dyDescent="0.25">
      <c r="A273" s="421"/>
      <c r="B273" s="441"/>
      <c r="C273" s="556"/>
      <c r="D273" s="448"/>
      <c r="E273" s="381"/>
      <c r="F273" s="381"/>
      <c r="G273" s="421"/>
      <c r="H273" s="381"/>
      <c r="I273" s="421"/>
      <c r="J273" s="421"/>
      <c r="K273" s="421"/>
      <c r="L273" s="421"/>
      <c r="M273" s="557"/>
      <c r="N273" s="421"/>
      <c r="O273" s="557"/>
      <c r="P273" s="557"/>
      <c r="Q273" s="557"/>
    </row>
    <row r="274" spans="1:18" x14ac:dyDescent="0.25">
      <c r="A274" s="421"/>
      <c r="B274" s="441"/>
      <c r="C274" s="673" t="s">
        <v>680</v>
      </c>
      <c r="D274" s="448"/>
      <c r="E274" s="381"/>
      <c r="F274" s="381"/>
      <c r="G274" s="421"/>
      <c r="H274" s="381"/>
      <c r="I274" s="421"/>
      <c r="J274" s="421"/>
      <c r="K274" s="421"/>
      <c r="L274" s="421"/>
      <c r="M274" s="557"/>
      <c r="N274" s="421"/>
      <c r="O274" s="557"/>
      <c r="P274" s="557"/>
      <c r="Q274" s="557"/>
    </row>
    <row r="275" spans="1:18" x14ac:dyDescent="0.25">
      <c r="A275" s="421"/>
      <c r="B275" s="441"/>
      <c r="C275" s="674" t="s">
        <v>678</v>
      </c>
      <c r="D275" s="448"/>
      <c r="E275" s="381"/>
      <c r="F275" s="381"/>
      <c r="G275" s="421"/>
      <c r="H275" s="381"/>
      <c r="I275" s="421"/>
      <c r="J275" s="421"/>
      <c r="K275" s="421"/>
      <c r="L275" s="421"/>
      <c r="M275" s="557"/>
      <c r="N275" s="421"/>
      <c r="O275" s="557"/>
      <c r="P275" s="557"/>
      <c r="Q275" s="557"/>
    </row>
    <row r="276" spans="1:18" ht="15" x14ac:dyDescent="0.25">
      <c r="A276" s="421"/>
      <c r="B276" s="441"/>
      <c r="C276" s="675"/>
      <c r="D276" s="448"/>
      <c r="E276" s="381"/>
      <c r="F276" s="381"/>
      <c r="G276" s="421"/>
      <c r="H276" s="381"/>
      <c r="I276" s="421"/>
      <c r="J276" s="421"/>
      <c r="K276" s="421"/>
      <c r="L276" s="421"/>
      <c r="M276" s="557"/>
      <c r="N276" s="421"/>
      <c r="O276" s="557"/>
      <c r="P276" s="557"/>
      <c r="Q276" s="557"/>
    </row>
    <row r="277" spans="1:18" x14ac:dyDescent="0.25">
      <c r="C277" s="673" t="s">
        <v>7</v>
      </c>
      <c r="E277" s="379"/>
      <c r="M277" s="420"/>
      <c r="N277" s="420"/>
      <c r="O277" s="420"/>
      <c r="P277" s="420"/>
      <c r="Q277" s="420"/>
    </row>
    <row r="278" spans="1:18" x14ac:dyDescent="0.25">
      <c r="B278" s="451"/>
      <c r="C278" s="673" t="s">
        <v>681</v>
      </c>
      <c r="E278" s="379"/>
    </row>
    <row r="279" spans="1:18" x14ac:dyDescent="0.25">
      <c r="B279" s="451"/>
      <c r="C279" s="558"/>
      <c r="E279" s="379"/>
    </row>
    <row r="280" spans="1:18" ht="12.75" x14ac:dyDescent="0.2">
      <c r="B280" s="452"/>
      <c r="C280" s="781" t="s">
        <v>838</v>
      </c>
      <c r="D280" s="782"/>
      <c r="E280" s="783"/>
      <c r="F280" s="783"/>
      <c r="G280" s="783"/>
      <c r="H280" s="783"/>
      <c r="I280" s="783"/>
      <c r="J280" s="783"/>
      <c r="K280" s="783"/>
      <c r="L280" s="783"/>
      <c r="M280" s="783"/>
      <c r="N280" s="783"/>
      <c r="O280" s="783"/>
      <c r="P280" s="783"/>
      <c r="Q280" s="783"/>
      <c r="R280" s="783"/>
    </row>
    <row r="281" spans="1:18" x14ac:dyDescent="0.25">
      <c r="C281" s="784" t="s">
        <v>839</v>
      </c>
      <c r="D281" s="784"/>
      <c r="E281" s="784"/>
      <c r="F281" s="784"/>
      <c r="G281" s="784"/>
      <c r="H281" s="784"/>
      <c r="I281" s="784"/>
      <c r="J281" s="784"/>
      <c r="K281" s="784"/>
      <c r="L281" s="784"/>
      <c r="M281" s="784"/>
      <c r="N281" s="784"/>
      <c r="O281" s="784"/>
      <c r="P281" s="784"/>
      <c r="Q281" s="784"/>
      <c r="R281" s="784"/>
    </row>
    <row r="282" spans="1:18" x14ac:dyDescent="0.25">
      <c r="B282" s="452"/>
      <c r="C282" s="784"/>
      <c r="D282" s="784"/>
      <c r="E282" s="784"/>
      <c r="F282" s="784"/>
      <c r="G282" s="784"/>
      <c r="H282" s="784"/>
      <c r="I282" s="784"/>
      <c r="J282" s="784"/>
      <c r="K282" s="784"/>
      <c r="L282" s="784"/>
      <c r="M282" s="784"/>
      <c r="N282" s="784"/>
      <c r="O282" s="784"/>
      <c r="P282" s="784"/>
      <c r="Q282" s="784"/>
      <c r="R282" s="784"/>
    </row>
    <row r="283" spans="1:18" ht="21.75" customHeight="1" x14ac:dyDescent="0.25">
      <c r="B283" s="451"/>
      <c r="C283" s="784"/>
      <c r="D283" s="784"/>
      <c r="E283" s="784"/>
      <c r="F283" s="784"/>
      <c r="G283" s="784"/>
      <c r="H283" s="784"/>
      <c r="I283" s="784"/>
      <c r="J283" s="784"/>
      <c r="K283" s="784"/>
      <c r="L283" s="784"/>
      <c r="M283" s="784"/>
      <c r="N283" s="784"/>
      <c r="O283" s="784"/>
      <c r="P283" s="784"/>
      <c r="Q283" s="784"/>
      <c r="R283" s="784"/>
    </row>
    <row r="284" spans="1:18" x14ac:dyDescent="0.25">
      <c r="B284" s="451"/>
      <c r="C284" s="558"/>
      <c r="E284" s="379"/>
    </row>
    <row r="285" spans="1:18" x14ac:dyDescent="0.25">
      <c r="B285" s="452"/>
      <c r="C285" s="451"/>
      <c r="E285" s="379"/>
    </row>
  </sheetData>
  <sheetProtection selectLockedCells="1" selectUnlockedCells="1"/>
  <autoFilter ref="A11:IV271" xr:uid="{00000000-0009-0000-0000-000008000000}"/>
  <mergeCells count="9">
    <mergeCell ref="C281:R283"/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1111111111111" right="0.2361111111111111" top="0.74791666666666667" bottom="0.74861111111111112" header="0.51180555555555551" footer="0.31527777777777777"/>
  <pageSetup paperSize="9" scale="91" firstPageNumber="0" fitToHeight="0" orientation="landscape" horizontalDpi="300" verticalDpi="300" r:id="rId1"/>
  <headerFooter alignWithMargins="0">
    <oddFooter>&amp;R&amp;P</oddFooter>
  </headerFooter>
  <rowBreaks count="1" manualBreakCount="1">
    <brk id="22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14</vt:i4>
      </vt:variant>
      <vt:variant>
        <vt:lpstr>Diapazoni ar nosaukumiem</vt:lpstr>
      </vt:variant>
      <vt:variant>
        <vt:i4>33</vt:i4>
      </vt:variant>
    </vt:vector>
  </HeadingPairs>
  <TitlesOfParts>
    <vt:vector size="47" baseType="lpstr">
      <vt:lpstr>KOP</vt:lpstr>
      <vt:lpstr>KPDV</vt:lpstr>
      <vt:lpstr>AR</vt:lpstr>
      <vt:lpstr>Logi</vt:lpstr>
      <vt:lpstr>apjoms</vt:lpstr>
      <vt:lpstr>cokols</vt:lpstr>
      <vt:lpstr>pagrabs</vt:lpstr>
      <vt:lpstr>bēniņi</vt:lpstr>
      <vt:lpstr>jumts</vt:lpstr>
      <vt:lpstr>Ieeja</vt:lpstr>
      <vt:lpstr>lodzijas</vt:lpstr>
      <vt:lpstr>AVK</vt:lpstr>
      <vt:lpstr>U1</vt:lpstr>
      <vt:lpstr>GA</vt:lpstr>
      <vt:lpstr>adres</vt:lpstr>
      <vt:lpstr>adrese</vt:lpstr>
      <vt:lpstr>apjoms!Drukas_apgabals</vt:lpstr>
      <vt:lpstr>AR!Drukas_apgabals</vt:lpstr>
      <vt:lpstr>AVK!Drukas_apgabals</vt:lpstr>
      <vt:lpstr>bēniņi!Drukas_apgabals</vt:lpstr>
      <vt:lpstr>cokols!Drukas_apgabals</vt:lpstr>
      <vt:lpstr>Ieeja!Drukas_apgabals</vt:lpstr>
      <vt:lpstr>jumts!Drukas_apgabals</vt:lpstr>
      <vt:lpstr>KOP!Drukas_apgabals</vt:lpstr>
      <vt:lpstr>KPDV!Drukas_apgabals</vt:lpstr>
      <vt:lpstr>lodzijas!Drukas_apgabals</vt:lpstr>
      <vt:lpstr>Logi!Drukas_apgabals</vt:lpstr>
      <vt:lpstr>pagrabs!Drukas_apgabals</vt:lpstr>
      <vt:lpstr>'U1'!Drukas_apgabals</vt:lpstr>
      <vt:lpstr>AR!Drukāt_virsrakstus</vt:lpstr>
      <vt:lpstr>AVK!Drukāt_virsrakstus</vt:lpstr>
      <vt:lpstr>bēniņi!Drukāt_virsrakstus</vt:lpstr>
      <vt:lpstr>cokols!Drukāt_virsrakstus</vt:lpstr>
      <vt:lpstr>GA!Drukāt_virsrakstus</vt:lpstr>
      <vt:lpstr>Ieeja!Drukāt_virsrakstus</vt:lpstr>
      <vt:lpstr>jumts!Drukāt_virsrakstus</vt:lpstr>
      <vt:lpstr>lodzijas!Drukāt_virsrakstus</vt:lpstr>
      <vt:lpstr>Logi!Drukāt_virsrakstus</vt:lpstr>
      <vt:lpstr>pagrabs!Drukāt_virsrakstus</vt:lpstr>
      <vt:lpstr>'U1'!Drukāt_virsrakstus</vt:lpstr>
      <vt:lpstr>nos</vt:lpstr>
      <vt:lpstr>nr</vt:lpstr>
      <vt:lpstr>obj</vt:lpstr>
      <vt:lpstr>obnos</vt:lpstr>
      <vt:lpstr>pas</vt:lpstr>
      <vt:lpstr>pasut</vt:lpstr>
      <vt:lpstr>V_M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cp:lastPrinted>2019-03-01T09:15:16Z</cp:lastPrinted>
  <dcterms:created xsi:type="dcterms:W3CDTF">2018-11-08T13:42:52Z</dcterms:created>
  <dcterms:modified xsi:type="dcterms:W3CDTF">2019-06-25T14:26:33Z</dcterms:modified>
</cp:coreProperties>
</file>