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48_Raina_18_20\"/>
    </mc:Choice>
  </mc:AlternateContent>
  <xr:revisionPtr revIDLastSave="0" documentId="13_ncr:1_{EC03E0BD-5A3A-48D2-B9EF-289264748D11}" xr6:coauthVersionLast="43" xr6:coauthVersionMax="43" xr10:uidLastSave="{00000000-0000-0000-0000-000000000000}"/>
  <bookViews>
    <workbookView xWindow="10740" yWindow="75" windowWidth="17805" windowHeight="15345" tabRatio="806" activeTab="8" xr2:uid="{00000000-000D-0000-FFFF-FFFF00000000}"/>
  </bookViews>
  <sheets>
    <sheet name="k" sheetId="19" r:id="rId1"/>
    <sheet name="KPDV" sheetId="1" r:id="rId2"/>
    <sheet name="AR " sheetId="2" r:id="rId3"/>
    <sheet name="logi" sheetId="3" r:id="rId4"/>
    <sheet name="C" sheetId="5" r:id="rId5"/>
    <sheet name="P" sheetId="18" r:id="rId6"/>
    <sheet name="IM" sheetId="6" r:id="rId7"/>
    <sheet name="BS" sheetId="8" r:id="rId8"/>
    <sheet name="Jumts" sheetId="9" r:id="rId9"/>
    <sheet name="apjomi" sheetId="13" state="hidden" r:id="rId10"/>
    <sheet name="BK" sheetId="16" r:id="rId11"/>
    <sheet name="AVK" sheetId="10" r:id="rId12"/>
    <sheet name="zibens" sheetId="15" r:id="rId13"/>
  </sheets>
  <externalReferences>
    <externalReference r:id="rId14"/>
    <externalReference r:id="rId15"/>
    <externalReference r:id="rId16"/>
  </externalReferences>
  <definedNames>
    <definedName name="__xlnm__FilterDatabase" localSheetId="2">'AR '!$A$10:$Q$60</definedName>
    <definedName name="__xlnm__FilterDatabase" localSheetId="10">BK!$A$12:$Q$41</definedName>
    <definedName name="__xlnm__FilterDatabase" localSheetId="7">BS!$A$12:$Q$40</definedName>
    <definedName name="__xlnm__FilterDatabase" localSheetId="4">'C'!$A$12:$Q$35</definedName>
    <definedName name="__xlnm__FilterDatabase" localSheetId="6">IM!$A$12:$Q$29</definedName>
    <definedName name="__xlnm__FilterDatabase" localSheetId="8">Jumts!$A$12:$Q$91</definedName>
    <definedName name="__xlnm__FilterDatabase" localSheetId="3">NA()</definedName>
    <definedName name="__xlnm__FilterDatabase" localSheetId="5">P!$A$12:$S$25</definedName>
    <definedName name="__xlnm__FilterDatabase_1">'AR '!$A$10:$Q$60</definedName>
    <definedName name="__xlnm__FilterDatabase_1_1">#REF!</definedName>
    <definedName name="__xlnm__FilterDatabase_10">#REF!</definedName>
    <definedName name="__xlnm__FilterDatabase_2" localSheetId="5">P!$A$12:$S$25</definedName>
    <definedName name="__xlnm__FilterDatabase_2">'C'!$A$12:$Q$35</definedName>
    <definedName name="__xlnm__FilterDatabase_3">IM!$A$12:$Q$29</definedName>
    <definedName name="__xlnm__FilterDatabase_4">#REF!</definedName>
    <definedName name="__xlnm__FilterDatabase_5">BS!$A$12:$Q$40</definedName>
    <definedName name="__xlnm__FilterDatabase_6" localSheetId="10">BK!$A$12:$Q$41</definedName>
    <definedName name="__xlnm__FilterDatabase_6">Jumts!$A$12:$Q$91</definedName>
    <definedName name="__xlnm__FilterDatabase_7">#REF!</definedName>
    <definedName name="__xlnm__FilterDatabase_8">#REF!</definedName>
    <definedName name="__xlnm__FilterDatabase_9">#REF!</definedName>
    <definedName name="__xlnm_Print_Area" localSheetId="9">apjomi!$A$1:$V$26</definedName>
    <definedName name="__xlnm_Print_Area" localSheetId="2">'AR '!$A$1:$Q$65</definedName>
    <definedName name="__xlnm_Print_Area" localSheetId="4">'C'!$A$1:$Q$49</definedName>
    <definedName name="__xlnm_Print_Area" localSheetId="1">KPDV!$A$1:$G$37</definedName>
    <definedName name="__xlnm_Print_Area" localSheetId="3">logi!$A$1:$R$55</definedName>
    <definedName name="__xlnm_Print_Area" localSheetId="5">P!$A$1:$Q$33</definedName>
    <definedName name="__xlnm_Print_Titles" localSheetId="2">'AR '!$12:$12</definedName>
    <definedName name="__xlnm_Print_Titles" localSheetId="10">BK!$12:$12</definedName>
    <definedName name="__xlnm_Print_Titles" localSheetId="7">BS!$12:$12</definedName>
    <definedName name="__xlnm_Print_Titles" localSheetId="4">'C'!$12:$12</definedName>
    <definedName name="__xlnm_Print_Titles" localSheetId="6">IM!$12:$12</definedName>
    <definedName name="__xlnm_Print_Titles" localSheetId="8">Jumts!$12:$12</definedName>
    <definedName name="__xlnm_Print_Titles" localSheetId="5">P!$12:$12</definedName>
    <definedName name="_xlnm._FilterDatabase" localSheetId="2" hidden="1">'AR '!$A$12:$Q$62</definedName>
    <definedName name="_xlnm._FilterDatabase" localSheetId="10" hidden="1">BK!$A$12:$Q$41</definedName>
    <definedName name="_xlnm._FilterDatabase" localSheetId="7" hidden="1">BS!$A$12:$Q$40</definedName>
    <definedName name="_xlnm._FilterDatabase" localSheetId="4" hidden="1">'C'!$A$12:$Q$41</definedName>
    <definedName name="_xlnm._FilterDatabase" localSheetId="6" hidden="1">IM!$A$12:$Q$29</definedName>
    <definedName name="_xlnm._FilterDatabase" localSheetId="8" hidden="1">Jumts!$A$12:$Q$91</definedName>
    <definedName name="_xlnm._FilterDatabase" localSheetId="3" hidden="1">logi!$12:$47</definedName>
    <definedName name="_xlnm._FilterDatabase" localSheetId="5" hidden="1">P!$A$12:$S$25</definedName>
    <definedName name="dat">[1]KPDV!$B$10</definedName>
    <definedName name="_xlnm.Print_Area" localSheetId="9">apjomi!$A$1:$V$26</definedName>
    <definedName name="_xlnm.Print_Titles" localSheetId="2">'AR '!$12:$12</definedName>
    <definedName name="_xlnm.Print_Titles" localSheetId="10">BK!$12:$12</definedName>
    <definedName name="_xlnm.Print_Titles" localSheetId="7">BS!$12:$12</definedName>
    <definedName name="_xlnm.Print_Titles" localSheetId="4">'C'!$12:$12</definedName>
    <definedName name="_xlnm.Print_Titles" localSheetId="6">IM!$12:$12</definedName>
    <definedName name="_xlnm.Print_Titles" localSheetId="8">Jumts!$12:$12</definedName>
    <definedName name="_xlnm.Print_Titles" localSheetId="5">P!$12:$12</definedName>
    <definedName name="okei">[2]kpdv!$C$27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9" l="1"/>
  <c r="E26" i="9" s="1"/>
  <c r="C49" i="15" l="1"/>
  <c r="C48" i="15"/>
  <c r="C46" i="15"/>
  <c r="C45" i="15"/>
  <c r="C135" i="10"/>
  <c r="C134" i="10"/>
  <c r="C132" i="10"/>
  <c r="C131" i="10"/>
  <c r="C26" i="16"/>
  <c r="C25" i="16"/>
  <c r="C23" i="16"/>
  <c r="C22" i="16"/>
  <c r="C76" i="9"/>
  <c r="C75" i="9"/>
  <c r="C73" i="9"/>
  <c r="C72" i="9"/>
  <c r="C47" i="8"/>
  <c r="C46" i="8"/>
  <c r="C44" i="8"/>
  <c r="C43" i="8"/>
  <c r="C36" i="6"/>
  <c r="C35" i="6"/>
  <c r="C33" i="6"/>
  <c r="C32" i="6"/>
  <c r="C32" i="18"/>
  <c r="C31" i="18"/>
  <c r="C29" i="18"/>
  <c r="C28" i="18"/>
  <c r="C48" i="5"/>
  <c r="C47" i="5"/>
  <c r="C45" i="5"/>
  <c r="C44" i="5"/>
  <c r="C54" i="3"/>
  <c r="C53" i="3"/>
  <c r="C51" i="3"/>
  <c r="C50" i="3"/>
  <c r="C69" i="2"/>
  <c r="C68" i="2"/>
  <c r="C66" i="2"/>
  <c r="C65" i="2"/>
  <c r="P9" i="15"/>
  <c r="P9" i="10"/>
  <c r="Q9" i="16"/>
  <c r="Q9" i="9"/>
  <c r="Q9" i="8"/>
  <c r="Q9" i="6"/>
  <c r="Q9" i="18"/>
  <c r="Q9" i="5"/>
  <c r="Q9" i="2"/>
  <c r="A13" i="19"/>
  <c r="A12" i="19"/>
  <c r="P8" i="5" l="1"/>
  <c r="E46" i="9" l="1"/>
  <c r="A44" i="10" l="1"/>
  <c r="A45" i="10" s="1"/>
  <c r="A46" i="10" s="1"/>
  <c r="A47" i="10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28" i="9" l="1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C56" i="2" l="1"/>
  <c r="U5" i="13"/>
  <c r="U6" i="13"/>
  <c r="U7" i="13"/>
  <c r="U8" i="13"/>
  <c r="U9" i="13"/>
  <c r="U10" i="13"/>
  <c r="U11" i="13"/>
  <c r="U4" i="13"/>
  <c r="C15" i="5"/>
  <c r="A15" i="15"/>
  <c r="A16" i="15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B18" i="1"/>
  <c r="F18" i="18"/>
  <c r="E18" i="18" s="1"/>
  <c r="F19" i="18"/>
  <c r="F20" i="18" s="1"/>
  <c r="E20" i="18" s="1"/>
  <c r="F17" i="18"/>
  <c r="E17" i="18" s="1"/>
  <c r="A16" i="18"/>
  <c r="E15" i="18"/>
  <c r="E14" i="18"/>
  <c r="E23" i="18"/>
  <c r="E21" i="18" s="1"/>
  <c r="E22" i="18" s="1"/>
  <c r="C23" i="18"/>
  <c r="B23" i="18"/>
  <c r="A23" i="18"/>
  <c r="A25" i="18"/>
  <c r="A24" i="18"/>
  <c r="A22" i="18"/>
  <c r="A21" i="18"/>
  <c r="A15" i="18"/>
  <c r="A14" i="18"/>
  <c r="A13" i="18"/>
  <c r="A27" i="18"/>
  <c r="B12" i="18"/>
  <c r="C12" i="18" s="1"/>
  <c r="D12" i="18" s="1"/>
  <c r="E12" i="18" s="1"/>
  <c r="G12" i="18" s="1"/>
  <c r="H12" i="18" s="1"/>
  <c r="I12" i="18" s="1"/>
  <c r="J12" i="18" s="1"/>
  <c r="K12" i="18" s="1"/>
  <c r="L12" i="18" s="1"/>
  <c r="M12" i="18" s="1"/>
  <c r="N12" i="18" s="1"/>
  <c r="O12" i="18" s="1"/>
  <c r="P12" i="18" s="1"/>
  <c r="Q12" i="18" s="1"/>
  <c r="A6" i="18"/>
  <c r="A5" i="18"/>
  <c r="A4" i="18"/>
  <c r="A3" i="18"/>
  <c r="E20" i="5"/>
  <c r="E25" i="5" s="1"/>
  <c r="E13" i="2"/>
  <c r="E14" i="2" s="1"/>
  <c r="E15" i="2" s="1"/>
  <c r="E17" i="2"/>
  <c r="E19" i="2" s="1"/>
  <c r="E15" i="5"/>
  <c r="E18" i="5" s="1"/>
  <c r="B15" i="5"/>
  <c r="A36" i="5" s="1"/>
  <c r="A25" i="5"/>
  <c r="A24" i="5"/>
  <c r="A23" i="5"/>
  <c r="A22" i="5"/>
  <c r="A21" i="5"/>
  <c r="A18" i="5"/>
  <c r="A17" i="5"/>
  <c r="A16" i="5"/>
  <c r="E14" i="5"/>
  <c r="E19" i="5" s="1"/>
  <c r="E19" i="1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H42" i="3"/>
  <c r="L11" i="13"/>
  <c r="N11" i="13" s="1"/>
  <c r="L10" i="13"/>
  <c r="N10" i="13" s="1"/>
  <c r="K11" i="13"/>
  <c r="M11" i="13" s="1"/>
  <c r="K10" i="13"/>
  <c r="M10" i="13" s="1"/>
  <c r="A34" i="3"/>
  <c r="A33" i="3"/>
  <c r="A32" i="3"/>
  <c r="A31" i="3"/>
  <c r="A30" i="3"/>
  <c r="A29" i="3"/>
  <c r="E25" i="18"/>
  <c r="A15" i="16"/>
  <c r="A21" i="6"/>
  <c r="E66" i="9"/>
  <c r="E65" i="9"/>
  <c r="E63" i="9"/>
  <c r="E67" i="9" s="1"/>
  <c r="E55" i="9"/>
  <c r="E60" i="9" s="1"/>
  <c r="E51" i="9"/>
  <c r="E54" i="9" s="1"/>
  <c r="E27" i="9"/>
  <c r="E28" i="9" s="1"/>
  <c r="E14" i="9"/>
  <c r="E16" i="9" s="1"/>
  <c r="E13" i="9"/>
  <c r="E15" i="9" s="1"/>
  <c r="A28" i="6"/>
  <c r="A27" i="6"/>
  <c r="A16" i="16"/>
  <c r="A17" i="16"/>
  <c r="E19" i="16"/>
  <c r="F17" i="6"/>
  <c r="F18" i="6"/>
  <c r="E18" i="6" s="1"/>
  <c r="E19" i="6" s="1"/>
  <c r="E16" i="6"/>
  <c r="A22" i="6"/>
  <c r="E14" i="6"/>
  <c r="E38" i="5"/>
  <c r="E39" i="5" s="1"/>
  <c r="E26" i="5"/>
  <c r="E13" i="5"/>
  <c r="E18" i="8"/>
  <c r="E20" i="8" s="1"/>
  <c r="G17" i="3"/>
  <c r="D17" i="3"/>
  <c r="E17" i="3"/>
  <c r="G18" i="3"/>
  <c r="D18" i="3"/>
  <c r="E18" i="3"/>
  <c r="G19" i="3"/>
  <c r="D19" i="3"/>
  <c r="E19" i="3"/>
  <c r="G20" i="3"/>
  <c r="D20" i="3"/>
  <c r="E20" i="3"/>
  <c r="E16" i="3"/>
  <c r="D16" i="3"/>
  <c r="G16" i="3"/>
  <c r="C16" i="3"/>
  <c r="E12" i="13"/>
  <c r="E48" i="2" s="1"/>
  <c r="E49" i="2" s="1"/>
  <c r="F20" i="6"/>
  <c r="D18" i="13"/>
  <c r="E18" i="13"/>
  <c r="E34" i="2" s="1"/>
  <c r="E37" i="2" s="1"/>
  <c r="C4" i="13"/>
  <c r="B24" i="1"/>
  <c r="A28" i="3"/>
  <c r="H10" i="13"/>
  <c r="I10" i="13" s="1"/>
  <c r="O10" i="13"/>
  <c r="P10" i="13"/>
  <c r="Q10" i="13"/>
  <c r="R10" i="13" s="1"/>
  <c r="S10" i="13"/>
  <c r="T10" i="13" s="1"/>
  <c r="B22" i="1"/>
  <c r="B20" i="1"/>
  <c r="B17" i="1"/>
  <c r="E48" i="9"/>
  <c r="E47" i="9"/>
  <c r="A21" i="16"/>
  <c r="A71" i="9"/>
  <c r="E25" i="8"/>
  <c r="E24" i="8"/>
  <c r="E23" i="8"/>
  <c r="F17" i="8"/>
  <c r="A42" i="8"/>
  <c r="A31" i="6"/>
  <c r="A43" i="5"/>
  <c r="A49" i="3"/>
  <c r="A39" i="3"/>
  <c r="A47" i="3"/>
  <c r="A45" i="3"/>
  <c r="A44" i="3"/>
  <c r="A43" i="3"/>
  <c r="A42" i="3"/>
  <c r="A41" i="3"/>
  <c r="A40" i="3"/>
  <c r="A64" i="2"/>
  <c r="E30" i="5"/>
  <c r="A35" i="2"/>
  <c r="C57" i="2"/>
  <c r="C55" i="2"/>
  <c r="C54" i="2"/>
  <c r="C53" i="2"/>
  <c r="C52" i="2"/>
  <c r="A18" i="16"/>
  <c r="A19" i="16"/>
  <c r="A14" i="16"/>
  <c r="B12" i="16"/>
  <c r="C12" i="16" s="1"/>
  <c r="D12" i="16" s="1"/>
  <c r="E12" i="16" s="1"/>
  <c r="G12" i="16" s="1"/>
  <c r="H12" i="16" s="1"/>
  <c r="I12" i="16" s="1"/>
  <c r="J12" i="16" s="1"/>
  <c r="K12" i="16" s="1"/>
  <c r="L12" i="16" s="1"/>
  <c r="M12" i="16" s="1"/>
  <c r="N12" i="16" s="1"/>
  <c r="O12" i="16" s="1"/>
  <c r="P12" i="16" s="1"/>
  <c r="Q12" i="16" s="1"/>
  <c r="A6" i="16"/>
  <c r="A5" i="16"/>
  <c r="A4" i="16"/>
  <c r="A3" i="16"/>
  <c r="E69" i="9"/>
  <c r="E36" i="9"/>
  <c r="E38" i="9" s="1"/>
  <c r="E43" i="9"/>
  <c r="E44" i="9" s="1"/>
  <c r="E40" i="9"/>
  <c r="E41" i="9" s="1"/>
  <c r="E34" i="9"/>
  <c r="A17" i="9"/>
  <c r="A20" i="9"/>
  <c r="A21" i="9"/>
  <c r="A24" i="9"/>
  <c r="A27" i="9"/>
  <c r="A15" i="9"/>
  <c r="A16" i="9"/>
  <c r="A14" i="9"/>
  <c r="A13" i="9"/>
  <c r="A40" i="8"/>
  <c r="A39" i="8"/>
  <c r="A38" i="8"/>
  <c r="A21" i="8"/>
  <c r="E16" i="8"/>
  <c r="E17" i="8" s="1"/>
  <c r="E13" i="8"/>
  <c r="E15" i="8" s="1"/>
  <c r="E35" i="5"/>
  <c r="E33" i="5"/>
  <c r="A27" i="5"/>
  <c r="A29" i="6"/>
  <c r="A15" i="6"/>
  <c r="A14" i="6"/>
  <c r="E58" i="2"/>
  <c r="E59" i="2" s="1"/>
  <c r="C29" i="2"/>
  <c r="A25" i="2"/>
  <c r="A38" i="3"/>
  <c r="A37" i="3"/>
  <c r="A36" i="3"/>
  <c r="A35" i="3"/>
  <c r="A26" i="3"/>
  <c r="A25" i="3"/>
  <c r="A24" i="3"/>
  <c r="A23" i="3"/>
  <c r="A22" i="3"/>
  <c r="A21" i="3"/>
  <c r="A18" i="3"/>
  <c r="A19" i="3"/>
  <c r="A20" i="3"/>
  <c r="A6" i="3"/>
  <c r="A5" i="3"/>
  <c r="A4" i="3"/>
  <c r="A3" i="3"/>
  <c r="E37" i="5"/>
  <c r="S9" i="13"/>
  <c r="T9" i="13" s="1"/>
  <c r="Q9" i="13"/>
  <c r="R9" i="13" s="1"/>
  <c r="L9" i="13"/>
  <c r="N9" i="13" s="1"/>
  <c r="K9" i="13"/>
  <c r="M9" i="13" s="1"/>
  <c r="H9" i="13"/>
  <c r="J9" i="13"/>
  <c r="C9" i="13"/>
  <c r="S8" i="13"/>
  <c r="T8" i="13" s="1"/>
  <c r="Q8" i="13"/>
  <c r="R8" i="13" s="1"/>
  <c r="P8" i="13"/>
  <c r="O8" i="13"/>
  <c r="L8" i="13"/>
  <c r="N8" i="13" s="1"/>
  <c r="K8" i="13"/>
  <c r="M8" i="13" s="1"/>
  <c r="H8" i="13"/>
  <c r="J8" i="13" s="1"/>
  <c r="C8" i="13"/>
  <c r="S7" i="13"/>
  <c r="T7" i="13" s="1"/>
  <c r="Q7" i="13"/>
  <c r="R7" i="13" s="1"/>
  <c r="P7" i="13"/>
  <c r="O7" i="13"/>
  <c r="L7" i="13"/>
  <c r="N7" i="13" s="1"/>
  <c r="K7" i="13"/>
  <c r="M7" i="13" s="1"/>
  <c r="H7" i="13"/>
  <c r="C7" i="13"/>
  <c r="S6" i="13"/>
  <c r="T6" i="13" s="1"/>
  <c r="Q6" i="13"/>
  <c r="R6" i="13" s="1"/>
  <c r="P6" i="13"/>
  <c r="O6" i="13"/>
  <c r="L6" i="13"/>
  <c r="N6" i="13" s="1"/>
  <c r="K6" i="13"/>
  <c r="M6" i="13" s="1"/>
  <c r="H6" i="13"/>
  <c r="J6" i="13" s="1"/>
  <c r="C6" i="13"/>
  <c r="B12" i="15"/>
  <c r="C12" i="15" s="1"/>
  <c r="D12" i="15" s="1"/>
  <c r="E12" i="15" s="1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P12" i="15" s="1"/>
  <c r="A6" i="15"/>
  <c r="A5" i="15"/>
  <c r="A4" i="15"/>
  <c r="A3" i="15"/>
  <c r="A15" i="3"/>
  <c r="A16" i="3"/>
  <c r="A17" i="3"/>
  <c r="A27" i="3"/>
  <c r="A14" i="3"/>
  <c r="I3" i="13"/>
  <c r="J3" i="13"/>
  <c r="H4" i="13"/>
  <c r="J4" i="13" s="1"/>
  <c r="K4" i="13"/>
  <c r="M4" i="13"/>
  <c r="L4" i="13"/>
  <c r="N4" i="13" s="1"/>
  <c r="O4" i="13"/>
  <c r="S4" i="13"/>
  <c r="C5" i="13"/>
  <c r="H5" i="13"/>
  <c r="J5" i="13" s="1"/>
  <c r="K5" i="13"/>
  <c r="M5" i="13" s="1"/>
  <c r="L5" i="13"/>
  <c r="N5" i="13" s="1"/>
  <c r="O5" i="13"/>
  <c r="P5" i="13"/>
  <c r="Q5" i="13"/>
  <c r="R5" i="13" s="1"/>
  <c r="S5" i="13"/>
  <c r="T5" i="13" s="1"/>
  <c r="H11" i="13"/>
  <c r="I11" i="13" s="1"/>
  <c r="O11" i="13"/>
  <c r="C17" i="13"/>
  <c r="H1" i="2"/>
  <c r="A3" i="2"/>
  <c r="A4" i="2"/>
  <c r="A5" i="2"/>
  <c r="A6" i="2"/>
  <c r="C12" i="2"/>
  <c r="D12" i="2" s="1"/>
  <c r="E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A13" i="2"/>
  <c r="A14" i="2"/>
  <c r="A15" i="2"/>
  <c r="F15" i="2"/>
  <c r="A16" i="2"/>
  <c r="A17" i="2"/>
  <c r="A18" i="2"/>
  <c r="A20" i="2"/>
  <c r="A21" i="2"/>
  <c r="A22" i="2"/>
  <c r="A23" i="2"/>
  <c r="A24" i="2"/>
  <c r="A26" i="2"/>
  <c r="A27" i="2"/>
  <c r="A28" i="2"/>
  <c r="B29" i="2"/>
  <c r="A56" i="2" s="1"/>
  <c r="A36" i="2"/>
  <c r="A39" i="2"/>
  <c r="A40" i="2"/>
  <c r="A42" i="2"/>
  <c r="A43" i="2"/>
  <c r="A44" i="2"/>
  <c r="A45" i="2"/>
  <c r="A46" i="2"/>
  <c r="A47" i="2"/>
  <c r="A49" i="2"/>
  <c r="A50" i="2"/>
  <c r="A3" i="10"/>
  <c r="A4" i="10"/>
  <c r="A5" i="10"/>
  <c r="A6" i="10"/>
  <c r="B12" i="10"/>
  <c r="C12" i="10" s="1"/>
  <c r="D12" i="10" s="1"/>
  <c r="F12" i="10" s="1"/>
  <c r="G12" i="10" s="1"/>
  <c r="H12" i="10" s="1"/>
  <c r="I12" i="10" s="1"/>
  <c r="J12" i="10" s="1"/>
  <c r="K12" i="10" s="1"/>
  <c r="L12" i="10" s="1"/>
  <c r="M12" i="10" s="1"/>
  <c r="N12" i="10" s="1"/>
  <c r="O12" i="10" s="1"/>
  <c r="P12" i="10" s="1"/>
  <c r="A3" i="8"/>
  <c r="A4" i="8"/>
  <c r="A5" i="8"/>
  <c r="A6" i="8"/>
  <c r="B12" i="8"/>
  <c r="C12" i="8" s="1"/>
  <c r="D12" i="8" s="1"/>
  <c r="E12" i="8" s="1"/>
  <c r="G12" i="8" s="1"/>
  <c r="H12" i="8" s="1"/>
  <c r="I12" i="8" s="1"/>
  <c r="J12" i="8" s="1"/>
  <c r="K12" i="8" s="1"/>
  <c r="L12" i="8" s="1"/>
  <c r="M12" i="8" s="1"/>
  <c r="N12" i="8" s="1"/>
  <c r="O12" i="8" s="1"/>
  <c r="P12" i="8" s="1"/>
  <c r="Q12" i="8" s="1"/>
  <c r="A13" i="8"/>
  <c r="A14" i="8"/>
  <c r="A15" i="8"/>
  <c r="A16" i="8"/>
  <c r="C16" i="8"/>
  <c r="A17" i="8"/>
  <c r="A18" i="8"/>
  <c r="A19" i="8"/>
  <c r="A20" i="8"/>
  <c r="A3" i="5"/>
  <c r="A4" i="5"/>
  <c r="A5" i="5"/>
  <c r="A6" i="5"/>
  <c r="B12" i="5"/>
  <c r="C12" i="5" s="1"/>
  <c r="D12" i="5" s="1"/>
  <c r="E12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A13" i="5"/>
  <c r="A14" i="5"/>
  <c r="A39" i="5"/>
  <c r="A41" i="5"/>
  <c r="A3" i="6"/>
  <c r="A4" i="6"/>
  <c r="A5" i="6"/>
  <c r="A6" i="6"/>
  <c r="B12" i="6"/>
  <c r="C12" i="6" s="1"/>
  <c r="D12" i="6" s="1"/>
  <c r="E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A3" i="9"/>
  <c r="A4" i="9"/>
  <c r="A5" i="9"/>
  <c r="A6" i="9"/>
  <c r="B12" i="9"/>
  <c r="C12" i="9" s="1"/>
  <c r="D12" i="9" s="1"/>
  <c r="E12" i="9" s="1"/>
  <c r="G12" i="9" s="1"/>
  <c r="H12" i="9" s="1"/>
  <c r="I12" i="9" s="1"/>
  <c r="J12" i="9" s="1"/>
  <c r="K12" i="9" s="1"/>
  <c r="L12" i="9" s="1"/>
  <c r="M12" i="9" s="1"/>
  <c r="N12" i="9" s="1"/>
  <c r="O12" i="9" s="1"/>
  <c r="P12" i="9" s="1"/>
  <c r="Q12" i="9" s="1"/>
  <c r="B15" i="1"/>
  <c r="A16" i="1"/>
  <c r="J1" i="3" s="1"/>
  <c r="A17" i="1"/>
  <c r="H1" i="5" s="1"/>
  <c r="B16" i="1"/>
  <c r="B19" i="1"/>
  <c r="B21" i="1"/>
  <c r="B23" i="1"/>
  <c r="B12" i="3"/>
  <c r="C12" i="3" s="1"/>
  <c r="F12" i="3" s="1"/>
  <c r="G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A13" i="3"/>
  <c r="Q4" i="13"/>
  <c r="R4" i="13" s="1"/>
  <c r="P4" i="13"/>
  <c r="Q11" i="13"/>
  <c r="R11" i="13"/>
  <c r="S11" i="13"/>
  <c r="T11" i="13" s="1"/>
  <c r="P11" i="13"/>
  <c r="E32" i="5"/>
  <c r="E31" i="5"/>
  <c r="E29" i="5"/>
  <c r="A40" i="5"/>
  <c r="E22" i="9"/>
  <c r="E23" i="9" s="1"/>
  <c r="E18" i="9"/>
  <c r="E19" i="9" s="1"/>
  <c r="E57" i="2"/>
  <c r="E29" i="2"/>
  <c r="E26" i="2" s="1"/>
  <c r="E33" i="9"/>
  <c r="E37" i="9"/>
  <c r="I4" i="13"/>
  <c r="A25" i="6"/>
  <c r="E15" i="6"/>
  <c r="A24" i="6"/>
  <c r="A23" i="6"/>
  <c r="A29" i="2"/>
  <c r="R49" i="3"/>
  <c r="P8" i="9"/>
  <c r="A58" i="2"/>
  <c r="A61" i="2"/>
  <c r="A59" i="2"/>
  <c r="A34" i="2"/>
  <c r="A52" i="2"/>
  <c r="A60" i="2"/>
  <c r="E57" i="9"/>
  <c r="E61" i="9"/>
  <c r="E58" i="9"/>
  <c r="E62" i="9"/>
  <c r="E31" i="2"/>
  <c r="E30" i="9"/>
  <c r="P8" i="6"/>
  <c r="E29" i="9"/>
  <c r="J10" i="13"/>
  <c r="G27" i="3" s="1"/>
  <c r="E14" i="8"/>
  <c r="E31" i="9"/>
  <c r="P12" i="13" l="1"/>
  <c r="P8" i="10"/>
  <c r="E13" i="18"/>
  <c r="A62" i="2"/>
  <c r="A55" i="2"/>
  <c r="A53" i="2"/>
  <c r="A41" i="2"/>
  <c r="A48" i="2"/>
  <c r="A51" i="2"/>
  <c r="I9" i="13"/>
  <c r="E24" i="18"/>
  <c r="U12" i="13"/>
  <c r="E56" i="2" s="1"/>
  <c r="E19" i="8"/>
  <c r="E20" i="6"/>
  <c r="E23" i="5"/>
  <c r="E21" i="5"/>
  <c r="A38" i="5"/>
  <c r="A20" i="5"/>
  <c r="E50" i="2"/>
  <c r="A54" i="2"/>
  <c r="G21" i="3"/>
  <c r="A57" i="2"/>
  <c r="E16" i="2"/>
  <c r="P8" i="2"/>
  <c r="E28" i="2"/>
  <c r="E27" i="2"/>
  <c r="E40" i="5"/>
  <c r="E41" i="5" s="1"/>
  <c r="E32" i="2"/>
  <c r="E17" i="5"/>
  <c r="E36" i="2"/>
  <c r="E18" i="2"/>
  <c r="C11" i="1"/>
  <c r="M12" i="13"/>
  <c r="E41" i="2" s="1"/>
  <c r="E42" i="2" s="1"/>
  <c r="E39" i="2"/>
  <c r="S12" i="13"/>
  <c r="E54" i="2" s="1"/>
  <c r="E24" i="5"/>
  <c r="E22" i="5"/>
  <c r="E40" i="2"/>
  <c r="Q12" i="13"/>
  <c r="E52" i="2" s="1"/>
  <c r="Q8" i="3"/>
  <c r="L12" i="13"/>
  <c r="O12" i="13"/>
  <c r="G38" i="3" s="1"/>
  <c r="P8" i="8"/>
  <c r="E17" i="6"/>
  <c r="E44" i="2"/>
  <c r="E46" i="2"/>
  <c r="E43" i="2"/>
  <c r="E60" i="2"/>
  <c r="G14" i="3"/>
  <c r="G37" i="3" s="1"/>
  <c r="N12" i="13"/>
  <c r="G39" i="3" s="1"/>
  <c r="E45" i="2"/>
  <c r="E47" i="2"/>
  <c r="E51" i="2"/>
  <c r="P8" i="18"/>
  <c r="O8" i="15"/>
  <c r="P8" i="16"/>
  <c r="E33" i="2"/>
  <c r="R12" i="13"/>
  <c r="E53" i="2" s="1"/>
  <c r="A18" i="1"/>
  <c r="E35" i="2"/>
  <c r="E38" i="2"/>
  <c r="J7" i="13"/>
  <c r="I7" i="13"/>
  <c r="E52" i="9"/>
  <c r="I8" i="13"/>
  <c r="T4" i="13"/>
  <c r="T12" i="13" s="1"/>
  <c r="E55" i="2" s="1"/>
  <c r="I5" i="13"/>
  <c r="I6" i="13"/>
  <c r="J11" i="13"/>
  <c r="G28" i="3" s="1"/>
  <c r="G29" i="3" s="1"/>
  <c r="K12" i="13"/>
  <c r="G35" i="3" s="1"/>
  <c r="E59" i="9"/>
  <c r="E56" i="9"/>
  <c r="E16" i="5"/>
  <c r="A15" i="5"/>
  <c r="A19" i="5"/>
  <c r="A37" i="5"/>
  <c r="A28" i="5"/>
  <c r="A26" i="5"/>
  <c r="I12" i="13" l="1"/>
  <c r="G36" i="3"/>
  <c r="G40" i="3"/>
  <c r="G32" i="3"/>
  <c r="G34" i="3"/>
  <c r="G33" i="3"/>
  <c r="G31" i="3"/>
  <c r="G30" i="3"/>
  <c r="G25" i="3"/>
  <c r="G23" i="3"/>
  <c r="G26" i="3"/>
  <c r="G22" i="3"/>
  <c r="G24" i="3"/>
  <c r="G47" i="3"/>
  <c r="G44" i="3"/>
  <c r="G41" i="3"/>
  <c r="G43" i="3"/>
  <c r="G45" i="3"/>
  <c r="G42" i="3"/>
  <c r="G46" i="3"/>
  <c r="A19" i="1"/>
  <c r="H1" i="18"/>
  <c r="J12" i="13"/>
  <c r="G13" i="3" s="1"/>
  <c r="C10" i="1" l="1"/>
  <c r="H1" i="6"/>
  <c r="A20" i="1"/>
  <c r="A21" i="1" l="1"/>
  <c r="H1" i="8"/>
  <c r="H1" i="9" l="1"/>
  <c r="A22" i="1"/>
  <c r="A23" i="1" l="1"/>
  <c r="H1" i="16"/>
  <c r="A24" i="1" l="1"/>
  <c r="G1" i="15" s="1"/>
  <c r="H1" i="10"/>
</calcChain>
</file>

<file path=xl/sharedStrings.xml><?xml version="1.0" encoding="utf-8"?>
<sst xmlns="http://schemas.openxmlformats.org/spreadsheetml/2006/main" count="1219" uniqueCount="402">
  <si>
    <t>Kopsavilkuma aprēķini par darbu vai konstruktīvo elementu veidiem</t>
  </si>
  <si>
    <t>(Darba veids vai konstruktīvā elementa nosaukums)</t>
  </si>
  <si>
    <t>Būves nosaukums: Daudzdzīvokļu dzīvojamā ēka</t>
  </si>
  <si>
    <t>Par kopējo summu, euro</t>
  </si>
  <si>
    <t>Kopējā darbietilpība, c/h</t>
  </si>
  <si>
    <t>Lokālās tāmes Nr.</t>
  </si>
  <si>
    <t>Darba veids vai konstruktīvā elementa nosaukums</t>
  </si>
  <si>
    <t>Darba ietilpība, (c/h)</t>
  </si>
  <si>
    <t>Tai skaitā</t>
  </si>
  <si>
    <t>Kopā būvdarbi:</t>
  </si>
  <si>
    <t>kopā</t>
  </si>
  <si>
    <t>Lokālā tāme Nr.:</t>
  </si>
  <si>
    <t>Ārsienu siltināšanas darbi</t>
  </si>
  <si>
    <r>
      <t xml:space="preserve">AR </t>
    </r>
    <r>
      <rPr>
        <sz val="8"/>
        <rFont val="Arial"/>
        <family val="2"/>
        <charset val="186"/>
      </rPr>
      <t>un</t>
    </r>
    <r>
      <rPr>
        <b/>
        <sz val="8"/>
        <rFont val="Arial"/>
        <family val="2"/>
        <charset val="186"/>
      </rPr>
      <t xml:space="preserve"> BK</t>
    </r>
  </si>
  <si>
    <t>daļas rasējumiem</t>
  </si>
  <si>
    <t>Tāmes izmaksas</t>
  </si>
  <si>
    <t>euro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</si>
  <si>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</si>
  <si>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</si>
  <si>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</si>
  <si>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</si>
  <si>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</si>
  <si>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</si>
  <si>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</si>
  <si>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Darbietilpība
(c/h)</t>
  </si>
  <si>
    <t>līg.c.</t>
  </si>
  <si>
    <t>Metāla nožogojuma montāža, h=2,0 m</t>
  </si>
  <si>
    <t>m</t>
  </si>
  <si>
    <t>Žogs 3,5×2m</t>
  </si>
  <si>
    <t>Pēda</t>
  </si>
  <si>
    <t>Signāllentes novilkšana.</t>
  </si>
  <si>
    <t xml:space="preserve">Sastatņu montēšana </t>
  </si>
  <si>
    <t>m²</t>
  </si>
  <si>
    <t>Sastatnes</t>
  </si>
  <si>
    <t>Moduļu tualetes uzstādīšana</t>
  </si>
  <si>
    <t>Tualetes izvešana</t>
  </si>
  <si>
    <t>reizes</t>
  </si>
  <si>
    <t>Moduļu mājas uzstādīšana. Paredzēts 24 cilvēkiem.</t>
  </si>
  <si>
    <t>Atkritumu konteineru izvietošana.</t>
  </si>
  <si>
    <t>Būvtāfeles uzstādīšana</t>
  </si>
  <si>
    <t xml:space="preserve">Ārsienu  siltināšana ar akmensvati līmējot un piestiprinot to pie ārsienas ar mehāniskajiem stiprinājumiem </t>
  </si>
  <si>
    <t>kg</t>
  </si>
  <si>
    <t>Paligmateriāli</t>
  </si>
  <si>
    <t>Blīvējošās lentas montēšana ap logu ailām u.c. vietām.</t>
  </si>
  <si>
    <t>Iekšējo stūru armējums visā ēkas augstumā</t>
  </si>
  <si>
    <t>Stūra profils ar armējumu visā augstumā visos ēkas stūros</t>
  </si>
  <si>
    <t xml:space="preserve">Esošo koka logu, tsk. ārdurvju demontāža </t>
  </si>
  <si>
    <t>Esošo skārda āra palodžu demontāža, b=0,25.</t>
  </si>
  <si>
    <t>Logu montāžas palīgmateriāli uz  apjomu</t>
  </si>
  <si>
    <t>montāžas skavas</t>
  </si>
  <si>
    <t>dibeļi</t>
  </si>
  <si>
    <t>l</t>
  </si>
  <si>
    <t>skrūves</t>
  </si>
  <si>
    <t>Jaunu krāsotu ārējo skārda palodžu montāža visiem logiem, b=0,35m*, +pārkares lāsenis 50mm</t>
  </si>
  <si>
    <t>Jaunu iekštelpu MDF palodžu montēšana, b=300mm.</t>
  </si>
  <si>
    <t>Apmetuma atjaunošana pēc logu nomaiņas telpu iekšpusē, remonts ap logu ailu.</t>
  </si>
  <si>
    <t>Līmlente</t>
  </si>
  <si>
    <t>Cokola siltināšanas darbi</t>
  </si>
  <si>
    <t>Betona apmales demontāža</t>
  </si>
  <si>
    <t>m³</t>
  </si>
  <si>
    <t>betons kl. B7,5</t>
  </si>
  <si>
    <t xml:space="preserve">Melnzemes uzbēršana zālāju sējumiem </t>
  </si>
  <si>
    <t>Melnzeme</t>
  </si>
  <si>
    <t>Zālāju sējumu ierīkošana</t>
  </si>
  <si>
    <t>zālāju sēklas</t>
  </si>
  <si>
    <t>Ieejas mezglu rekonstrukcijas darbi</t>
  </si>
  <si>
    <t>Skrūves</t>
  </si>
  <si>
    <t>Bēniņu siltināšanas darbi</t>
  </si>
  <si>
    <t xml:space="preserve">Tvaika izolācijas plēves ieklāšana uz esošā seguma </t>
  </si>
  <si>
    <t>Plēve 200 mk</t>
  </si>
  <si>
    <t>Siltumizolācija</t>
  </si>
  <si>
    <t>Jumta rekonstrukcijas darbi</t>
  </si>
  <si>
    <t xml:space="preserve">  kokmateriāli</t>
  </si>
  <si>
    <t xml:space="preserve">  metāla stiprinājumi</t>
  </si>
  <si>
    <t xml:space="preserve">Skārds </t>
  </si>
  <si>
    <t>Skārds 0,5mm</t>
  </si>
  <si>
    <t>Amortizacijas lente</t>
  </si>
  <si>
    <t>Metāla vertikālās kāpnes 0,6x2,2 (h) ar apaļdzelzs pakāpieniem</t>
  </si>
  <si>
    <t>Garendzegu skārda apšuvums, b=0,7m</t>
  </si>
  <si>
    <t>Dažādu jumta kontaktvietu hermetizēšana</t>
  </si>
  <si>
    <t>Java M100</t>
  </si>
  <si>
    <t>Ķieģeļi</t>
  </si>
  <si>
    <t>Jumta skārds skursteņu jumtiņiem (krāsu tonis,kā jumta segumam)</t>
  </si>
  <si>
    <t>Enkurdetaļu un karkasa elementu pretkorozijas krāsojums</t>
  </si>
  <si>
    <t>AVK</t>
  </si>
  <si>
    <t>Perimetrs lentei, m</t>
  </si>
  <si>
    <t>aiļu apdares m², ailes platums</t>
  </si>
  <si>
    <t>palodzes, m</t>
  </si>
  <si>
    <t>Profili, m</t>
  </si>
  <si>
    <t>tips</t>
  </si>
  <si>
    <t>skaits</t>
  </si>
  <si>
    <t>Loga izmērs, m</t>
  </si>
  <si>
    <t>Logu platība m²</t>
  </si>
  <si>
    <t xml:space="preserve">ārējās </t>
  </si>
  <si>
    <t>iekšējās</t>
  </si>
  <si>
    <t>ārējās</t>
  </si>
  <si>
    <t>PVC</t>
  </si>
  <si>
    <t>koka</t>
  </si>
  <si>
    <t xml:space="preserve">L </t>
  </si>
  <si>
    <t>h</t>
  </si>
  <si>
    <t>hidroizolācijas</t>
  </si>
  <si>
    <t>difūzijas</t>
  </si>
  <si>
    <t>L1</t>
  </si>
  <si>
    <t>L2</t>
  </si>
  <si>
    <t>R1</t>
  </si>
  <si>
    <t>SILTINĀJUMU PLATĪBAS</t>
  </si>
  <si>
    <t>Apz.</t>
  </si>
  <si>
    <t>Apraksts</t>
  </si>
  <si>
    <t>Platība, m²</t>
  </si>
  <si>
    <t>Sienas siltinājums</t>
  </si>
  <si>
    <t>S1</t>
  </si>
  <si>
    <t>S2</t>
  </si>
  <si>
    <t>Pārseguma siltinājums</t>
  </si>
  <si>
    <t>P1</t>
  </si>
  <si>
    <t>Objekta nosaukums: Dzīvojamās ēkas fasādes vienkāršota atjaunošana</t>
  </si>
  <si>
    <t>L3</t>
  </si>
  <si>
    <t>L4</t>
  </si>
  <si>
    <t>L5</t>
  </si>
  <si>
    <t>V1</t>
  </si>
  <si>
    <t>P2</t>
  </si>
  <si>
    <t>L2; 1,5×1,4m (a×h), 6gb</t>
  </si>
  <si>
    <t>L3; 1,3×1,4m (a×h), 2gb</t>
  </si>
  <si>
    <t>L4; 0,69×1,4m (a×h), 3gb</t>
  </si>
  <si>
    <t>L5; 0,8×0,63m (a×h), 2gb</t>
  </si>
  <si>
    <t>Hidroizolācijas lentas montēšana logos un durvīs</t>
  </si>
  <si>
    <t>Difūzujas lentas montēšana nomaināmajos logos un durvīs</t>
  </si>
  <si>
    <t>Siets Ø6AI, 100x100</t>
  </si>
  <si>
    <t>Blietētas šķembas -100mm</t>
  </si>
  <si>
    <t>Apakšējā betona aizsargkārta - 70mm</t>
  </si>
  <si>
    <t>Lieveņa atjaunošana</t>
  </si>
  <si>
    <t>Elektrības sadalnes atvirzīšana no ēkas sienas</t>
  </si>
  <si>
    <t>kpl</t>
  </si>
  <si>
    <t>Atjaunojams betona bruģakmens segums (esošais bruģakmens atliekams atpakaļ)</t>
  </si>
  <si>
    <t>Jauna betona bruģakmens lietus ūdens novadīšanas apmale, b=700mm</t>
  </si>
  <si>
    <t>Betona bruģakmens, b=60mm</t>
  </si>
  <si>
    <t>Grants izsija slāņa biezums 50mm</t>
  </si>
  <si>
    <t>Šķembas fr.0-40mm biezums 50mm</t>
  </si>
  <si>
    <t>Šķembas fr.40-70mm biezums 100mm</t>
  </si>
  <si>
    <t>Ģeotekstila plēves iesegums,3mm</t>
  </si>
  <si>
    <t>Bortakmens 80×200×1000</t>
  </si>
  <si>
    <t>Nokaļams ķieģelis zem palodzēm</t>
  </si>
  <si>
    <t>Mūrīta sieniņa no vieglbetona blokiem ap bēniņu lūku; b=100, h=430</t>
  </si>
  <si>
    <t>Koka laipu montāža bēniņos</t>
  </si>
  <si>
    <t>gb</t>
  </si>
  <si>
    <t>Koka brusas ar prettrupes un pretuguns apstrādi 75×125(h)</t>
  </si>
  <si>
    <t>Dēļi ar prettrupes un pretuguns apstrādi130×25(h)</t>
  </si>
  <si>
    <t>Bitumena kārta</t>
  </si>
  <si>
    <t>Pretkondensāta plēve, 2mm</t>
  </si>
  <si>
    <t>Demontējams esošais azbestcementa viļņveida jumta lokšņu seguma noņemšana un utilizācija, saglabājot esošo latojumu</t>
  </si>
  <si>
    <t>Proj. dzegas apšuvuma dēļi 20×100, ar gaisa šķirbu 10mm. Koka konstrukciju prettrupes un pretuguns aizsardzības krāsojums</t>
  </si>
  <si>
    <t>Proj. jumta lūka 600×800mm starpspāru telpā</t>
  </si>
  <si>
    <t xml:space="preserve">Skursteņu galu remonts (vidēji  5 kārtas ķieģeļu mūra), 4skursteņi </t>
  </si>
  <si>
    <t>Plaisās injicēt šuvju mastiku</t>
  </si>
  <si>
    <t>Nesrūsējošā tērauda siets Ø3, 50x50 mm.</t>
  </si>
  <si>
    <t>Plaisu remonts</t>
  </si>
  <si>
    <t>Metāla karoga masta turētāja montāža attiecīgi</t>
  </si>
  <si>
    <t>Tiešās izmaksas kopā, t. sk. darba devēja sociālais nodoklis (%)</t>
  </si>
  <si>
    <t xml:space="preserve">Bloki </t>
  </si>
  <si>
    <t>Esošās apkures sistēmas demontāža</t>
  </si>
  <si>
    <t>Metāla konstrukcijas cauruļvadu un iekārtu stiprināšanai</t>
  </si>
  <si>
    <t>Cauruļvadu un pievienojumu fasondetaļas un veidgabali</t>
  </si>
  <si>
    <t>Palīgmateriāli cauruļvadu savienošanai</t>
  </si>
  <si>
    <t>Apkures sistēmas ieregulēšana pārbaude un nodošana ekspluatācijā</t>
  </si>
  <si>
    <t>Ventilācijas sistēma</t>
  </si>
  <si>
    <t>Esošo gaisa nosūces restīšu 250*×150* demontāža (virtuvēs un tualetēs)</t>
  </si>
  <si>
    <t>Gaisa nosūces restītes 250*×150*</t>
  </si>
  <si>
    <t>Ventilis lodveida; t=110°C; P=8 bar; Dn15</t>
  </si>
  <si>
    <t>Netīrumu savācējs; t=110°C; P=8 bar; Dn15</t>
  </si>
  <si>
    <t>Ventilis lodveida; t=110°C; P=8 bar; Dn15; uzstādīšana</t>
  </si>
  <si>
    <t>Palīgmateriāli</t>
  </si>
  <si>
    <t>Daudzums vienam</t>
  </si>
  <si>
    <t>Demontējams fasādes apmetums</t>
  </si>
  <si>
    <t>Objekta adrese: Raiņa iela 18/20, Liepāja</t>
  </si>
  <si>
    <t>Jumtiņa enkurdetaļas  -4×40×480, kopā 48 gb. krāsot pret koroziju,</t>
  </si>
  <si>
    <t>Ķīļenkuri M10x95, 2 gb. uz katru enkurdetaļu</t>
  </si>
  <si>
    <t xml:space="preserve">1.gb. </t>
  </si>
  <si>
    <t>Zibensaizsardzība</t>
  </si>
  <si>
    <t>ELT</t>
  </si>
  <si>
    <t>Zibensaizsardzība, aktīvā</t>
  </si>
  <si>
    <t>iepakoj.</t>
  </si>
  <si>
    <t>PE lenta iezīmēšanai</t>
  </si>
  <si>
    <t>Esošo komunikāciju apsekošana</t>
  </si>
  <si>
    <t>Tranšejas rakšana un aizbēršana zemējuma kontūram</t>
  </si>
  <si>
    <t>Elektrodu ø 20 mm, l= 1,5 m iedzīšana zemē</t>
  </si>
  <si>
    <t>Grunts blietēšana, virskārtas atjaunošana</t>
  </si>
  <si>
    <t>Sistēmas montāža, palaišana</t>
  </si>
  <si>
    <t>Sistēmas nodošana ekspluatācijā</t>
  </si>
  <si>
    <t>R2</t>
  </si>
  <si>
    <t>as1 2sieti</t>
  </si>
  <si>
    <t>as2 1siets</t>
  </si>
  <si>
    <t>Apmetuma sistēma virs siltinājuma (AS-2), b=7mm; Grunts; Akmens vate λ=0,036W/m²K, b=150mm; Līmjava; Grunts ; Esošā siena - silikātķieģeļu mūris, b=380/510mm</t>
  </si>
  <si>
    <t xml:space="preserve">Pārsegumu siltumizolāc.beramā akmensvate   λ=0,041W/mK, b= 400mm (ieskaitot sablīvēšanas koef.1.1)b= 400mm; Tvaika izolācijas plēve,b=0,2mm; Esošais dz-betona pārsegums,b=220mm </t>
  </si>
  <si>
    <t>Esošs grīdas sastāvs, b=80mm; Esošais dz-betona pārsegums, b=220mm; Līmjava; Akmensvates lamelle  0,037 W/m²K, b=150mm</t>
  </si>
  <si>
    <t>augstums m</t>
  </si>
  <si>
    <t>garums m</t>
  </si>
  <si>
    <t>Atjaunojams asfaltbetona iesegums</t>
  </si>
  <si>
    <t>Atjaunojamas betona platformas ieeju vietās</t>
  </si>
  <si>
    <t>B20 F50 betona kārta ar metāla skaidu - fibru piemaisījumu - 150mm</t>
  </si>
  <si>
    <t>Blietēta esošā minerālgrunts -100mm</t>
  </si>
  <si>
    <t>Demontējama esošā ieejas platforma 2.vietās 1×2,6m</t>
  </si>
  <si>
    <t>Noteku metāla kalumu aizsargrežģu uzstādīšana , l=2,3m</t>
  </si>
  <si>
    <t>Kābeļa ievietošana aizsargcaurulē Ø32</t>
  </si>
  <si>
    <t>Plaisu remonts fasādē</t>
  </si>
  <si>
    <t>Koplietošanas apkures tīkli</t>
  </si>
  <si>
    <t>Esošas apkures sistēmas demontāža</t>
  </si>
  <si>
    <t>Polipropilēna caurules, DN32 montāža, stiprināšana pie sienas vai griestiem</t>
  </si>
  <si>
    <t>Polipropilēna caurules, DN25 montāža, stiprināšana pie sienas</t>
  </si>
  <si>
    <t>Polipropilēna caurules, DN20 montāža, stiprināšana pie sienas</t>
  </si>
  <si>
    <t>Polipropilēna caurules, DN15 montāža, stiprināšana pie sienas</t>
  </si>
  <si>
    <t>Ventilis lodveida; t=110°C; P=8 bar; Dn32; uzstādīšana</t>
  </si>
  <si>
    <t>Ventilis lodveida; t=110°C; P=8 bar; Dn25; uzstādīšana</t>
  </si>
  <si>
    <t>Polipropilēna cauruļvadu diametru maiņa DN32-&gt;DN25, montāža</t>
  </si>
  <si>
    <t>Polipropilēna cauruļvadu diametru maiņa DN25-&gt;DN20,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</si>
  <si>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</si>
  <si>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</si>
  <si>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</si>
  <si>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DN25 pagrieziens 90°</t>
  </si>
  <si>
    <t>Cauruļvadu slīdošie balsti ar pagarinājumiem un stiprinājumiem DN32</t>
  </si>
  <si>
    <t>Atgaisotājs automātisks, t=110°C, P=9 bar, uzstādīšana</t>
  </si>
  <si>
    <r>
      <t xml:space="preserve">Cauruļvada DN25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</si>
  <si>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DN25 siltumizolācijas čaula, b=&gt;30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</si>
  <si>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DN20 siltumizolācijas čaula, b=&gt;30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</si>
  <si>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r>
      <t xml:space="preserve">Cauruļvada DN15 siltumizolācijas čaula, b=&gt;30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</si>
  <si>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t>Vēdināšanas komplekts FRESH 100 Thermo vai ekvivalents, montāža ārsienā</t>
  </si>
  <si>
    <t>Dzīvokļu siltuma uzskaites mezgls (pavisam uzstāda 24 dzīvokļos)</t>
  </si>
  <si>
    <t>Slēdzams metāla skapis 300×350×500 (siltuma skaitītāja uzstādīšanai)</t>
  </si>
  <si>
    <t>Apkures sistēmas ieregulēšana, pārbaude un nodošana ekspluatācijā</t>
  </si>
  <si>
    <t>Divistabu dzīvokļiem Nr. 2; 6; 10; 15; 19; 23</t>
  </si>
  <si>
    <r>
      <t>Pavisam 6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>šādi dzīvokļi</t>
    </r>
  </si>
  <si>
    <t>Karbona caurule apkurei, DN15, montāža, stiprināšana pie sienas</t>
  </si>
  <si>
    <t>Karbona caurules pagrieziens 90°, DN15, montāža</t>
  </si>
  <si>
    <t>Karbona caurules trejgabals Dn15, montāža</t>
  </si>
  <si>
    <t>Karbona cauruļvada savienojošā mufe Dn 15</t>
  </si>
  <si>
    <t>Cauruļvada DN15 termokompensējošs balsts, izbūve caur sienu, hermetizācija, apmetuma un krāsojuma atjaunošana</t>
  </si>
  <si>
    <t>Dažādi palīgmateriāli montāžai</t>
  </si>
  <si>
    <t>Divistabu dzīvokļiem Nr. 1; 5; 9; 16; 20; 24</t>
  </si>
  <si>
    <t>Vienistabas dzīvokļiem Nr. 2; 8; 12; 13; 17; 21</t>
  </si>
  <si>
    <t>Divistabu dzīvokļiem Nr. 3; 7; 11; 14; 18; 22</t>
  </si>
  <si>
    <t>Ieejas jumti</t>
  </si>
  <si>
    <t>eosošo dz-betona jumtu demontāža 1×2,6</t>
  </si>
  <si>
    <t>Esošu skārda tekņu demontāža</t>
  </si>
  <si>
    <t>Esošu skārda noteku demontāža</t>
  </si>
  <si>
    <t>Proj. notekas Ø120, 6gb, 11m vienam,  komplektā ar stiprinājumiem un veidgabaliem</t>
  </si>
  <si>
    <t>Proj. teknesØ142×71(h), 2gb, 38m vienam,  komplektā ar stiprinājumiem un veidgabaliem</t>
  </si>
  <si>
    <t>Slēgta instrumentu noliktava 6m²</t>
  </si>
  <si>
    <t>Proj. garenlīstes plēves piespiešanai 20(h)×50, s=1000; 38gb.; Lvienam=14m*. Koka konstrukciju prettrupes un pretuguns aizsardzības krāsojums (erlīts)</t>
  </si>
  <si>
    <t>Proj. kores nosegprofils b=0,8m ar integrētu ventilācijas resti</t>
  </si>
  <si>
    <t>Proj. sniega barjera komplektā ar jumta margu</t>
  </si>
  <si>
    <t>Jumtiņu atbalsta karkass no plakandzelzs -4x40  enkurdetaļu augšā pa perimetru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</si>
  <si>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</si>
  <si>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Vienpola slēdža montēšana.</t>
  </si>
  <si>
    <t>Kustību sensoru ar krēslas slēdža f-ju montēšana.</t>
  </si>
  <si>
    <t>Elektrības kabelis 3x1,5mm² ar kopējo garumu 10m.</t>
  </si>
  <si>
    <t>Āra apgaismojuma ierīkošana:</t>
  </si>
  <si>
    <t xml:space="preserve">Demontējama esošā iekšējā elektrosadele </t>
  </si>
  <si>
    <t>Restu montāžas palīgmateriāli uz  apjomu</t>
  </si>
  <si>
    <t>šinas</t>
  </si>
  <si>
    <t>reģipsis</t>
  </si>
  <si>
    <t>krāsa, balta pusmatēta</t>
  </si>
  <si>
    <t>Bēniņu lūkas stiprinājuma rāmaja izbūves apjomi</t>
  </si>
  <si>
    <t>Bēniņa lūkas stiprinājuma elementi:</t>
  </si>
  <si>
    <t>Enkurskrūve  Ø8</t>
  </si>
  <si>
    <t>Metāla roktura elementi:</t>
  </si>
  <si>
    <t>Pretkorozijas krāsojums:</t>
  </si>
  <si>
    <t>∟50×5, 2.gb</t>
  </si>
  <si>
    <t>Plāksne -5x60, 2.gb</t>
  </si>
  <si>
    <t>Apaļdzelzs Ø16, 2.gb</t>
  </si>
  <si>
    <t>Zemes rakšanas darbi, mm 1,0 platumā  un 1,0m dziļumā</t>
  </si>
  <si>
    <t>m2</t>
  </si>
  <si>
    <t>Atrakto vietu aizbēršana ar esošo minerālgrunti</t>
  </si>
  <si>
    <t>Cokola apmešana ar apmetumu uz minerālšķiedru sieta (b=7mm) un krāsošana</t>
  </si>
  <si>
    <t>aizsargsiets</t>
  </si>
  <si>
    <t>Pagraba pārseguma siltināšana</t>
  </si>
  <si>
    <t>Gružu izvākšanam, grīdas attīrīšana</t>
  </si>
  <si>
    <t>Esošo koku k-ciju augšdaļas nozāģēšana par 0,15m (precizēt uz vietas)</t>
  </si>
  <si>
    <t>Nozāģēto sieniņu enkurošana pie griestiem (precizēt uz vietas)</t>
  </si>
  <si>
    <t>Dzelzsbetona pārsegumu notīrīšana, izlīdzināšana, sagatavošana siltināšanai</t>
  </si>
  <si>
    <t>Dzelzbetona pārseguma bojāto vietu remonts</t>
  </si>
  <si>
    <t>Regulējama alumīnija žalūzija, ar pretkoroziju apstrādi. Metāla žalūzija ar manuālu aizvēršanas mehānismu. Brīvais atvēruma laukums 80%., Marka R2; 1×0,6m(a×h), 2.gb.</t>
  </si>
  <si>
    <t>Regulējama alumīnija žalūzija, ar pretkoroziju apstrādi. Metāla žalūzija ar manuālu aizvēršanas mehānismu. Brīvais atvēruma laukums 80%., Marka R1; 1,2×0,5m(a×h), 6.gb</t>
  </si>
  <si>
    <t>Apmetuma sistēma (AS-1), b=7mm; Grunts; Putupolistirola plāksne (ekvivalents Tenapors NEO);  λ=0,031W/mK, b=120mm; Līmjava; Vertikālā hidroizolācija; Gruntējums; Esošā  betona bloku siena,b=400mm</t>
  </si>
  <si>
    <t>siets, 165 g/m² stikla šķiedra</t>
  </si>
  <si>
    <t>215mm</t>
  </si>
  <si>
    <t>2. meh. klases apmetuma izveidošana: 1 kārtas armējošās javas un armējošā stikla šķiedras sieta uzklāšana, zemapmetuma grunts uzklāšana, dekoratīvā gatavā silikāta-silikona apmetuma ar tonējumu uznešana.</t>
  </si>
  <si>
    <t>Grunts</t>
  </si>
  <si>
    <t>Armējošā līmjava</t>
  </si>
  <si>
    <t>Dībeli virsmas klasifikācija ETA A,B,C,D,E, galvas Ø60, nagla tērauda Ø8-10, Punkta siltumatdeves koeficients 0,001 W/K, min iestrādes dziļums &gt;35mm, sekojošā garumā:</t>
  </si>
  <si>
    <t>Silikāta -silikona homogēnais apmetums, 1,5mm graudu lielums</t>
  </si>
  <si>
    <t>Līmjava</t>
  </si>
  <si>
    <t>Logu un durvju aiļu ārējo stūru armēšana ar sietu papildus sietu 0,5×0,3m platumā no ailes un ailē, sieta acojuma lielums 4×4mm, 165gr/m2</t>
  </si>
  <si>
    <t>Stūra profils</t>
  </si>
  <si>
    <t>Loga pielaiduma profils</t>
  </si>
  <si>
    <t>Stūra lāsenis</t>
  </si>
  <si>
    <t>Palodzes montāžas profils</t>
  </si>
  <si>
    <t>Palodzes sāna pieslēguma profils</t>
  </si>
  <si>
    <t>Cokola profils</t>
  </si>
  <si>
    <t>ārējā stūra profils</t>
  </si>
  <si>
    <t>Granīta apmetums</t>
  </si>
  <si>
    <t>Āra apgaismojuma sienas lampas montēšana</t>
  </si>
  <si>
    <t>Gāzbetona bloks (200x300x600). (Piezāģēts pēc gabarītiem 200x300x300)</t>
  </si>
  <si>
    <t>Krāsa</t>
  </si>
  <si>
    <t>Automātiskais balansējošais vārsts ASV - BD,  Dn20; t=110°C; P=8 bar firmas "Danfoss" vai ekvivalents, uzstādīšana, ieregulēšana</t>
  </si>
  <si>
    <t>Automātiskais balansējošais vārsts ASV - PV Dn20; t=110°C; P=8 bar firmas "Danfoss" vai ekvivalents, uzstādīšana, ieregulēšana</t>
  </si>
  <si>
    <t>Balansējošais vārsts MSV-B; firmas Danfoss vai ekvivalents Dn15; uzstādīšana, ieregulēšana</t>
  </si>
  <si>
    <t>Termoregulators (vārsts) firmas Danfoss AR 1/2" RA-N 15 vai ekvivalents ar termostatisko sensoru RAS-C 5023 vai ekvivalents, t-120°C, P-10 bar, DP- 0.6 bar</t>
  </si>
  <si>
    <t>Sildķermeņa pievienojuma krāns firmas Danfoss, RLV vai ekvivalents komplektā ar tukšošanas krānu  t=110°C; P=8 bar; Dn15</t>
  </si>
  <si>
    <t>Tērauda radiatori firmas "Purmo" vai ekvivalents PC 22; h= 400 mm;
N=461W; l=600; t 70/50/24°C; komplektā ar automātisko atgaisotāju un uzstādīšanas mezglu</t>
  </si>
  <si>
    <t>Tērauda radiatori firmas "Purmo" vai ekvivalents PC 22; h= 400 mm;
N=538W; l=700; t 70/50/24°C; komplektā ar automātisko atgaisotāju un uzstādīšanas mezglu</t>
  </si>
  <si>
    <t>Tērauda radiatori firmas "Purmo" vai ekvivalents PC 22; h= 400 mm;
N=307W; l=400; t 70/50/24°C; komplektā ar automātisko atgaisotāju un uzstādīšanas mezglu</t>
  </si>
  <si>
    <t>Tērauda radiatori firmas "Purmo" vai ekvivalents PC 22; h= 400 mm;
N=614W; l=800; t 70/50/24°C; komplektā ar automātisko atgaisotāju un uzstādīšanas mezglu</t>
  </si>
  <si>
    <t>Tērauda radiatori firmas "Purmo" vai ekvivalents PC 22; h= 400 mm;
N=384W; l=500; t 70/50/24°C; komplektā ar automātisko atgaisotāju un uzstādīšanas mezglu</t>
  </si>
  <si>
    <t>Demontējami esoši piekarkabeļi (skatīt BK-7): DEMONTĒJAMI KABEĻI:
3 gb gaisa vadu līnijas no ēkas ar kad apz.17000120796 Raiņa ielā 18-20 uz ēku Raiņa ielā 22
2 gb gaisa vadu līnijas no ēkas ar kad apz.17000120796 Raiņa ielā 18-20 uz ēku Raiņa ielā 16</t>
  </si>
  <si>
    <t>Proj. dzegas nosegprofils komplektā ar stiprinājumiem skārds b=0,4m, l=38m, stiprinājumi ar s=300</t>
  </si>
  <si>
    <t>Proj. ugunsdroša lūka 600×800, EI30, koplektā ar kāpnēm</t>
  </si>
  <si>
    <t>.gada</t>
  </si>
  <si>
    <t>Būvniecības koptāme</t>
  </si>
  <si>
    <t>Objekta nosaukums: Dzīvojamas ēkas fasādes vienkāršota atjaunošana</t>
  </si>
  <si>
    <t>Tāme sastādīta</t>
  </si>
  <si>
    <t>Objekta nosaukums</t>
  </si>
  <si>
    <t>Objekta izmaksas, (euro)</t>
  </si>
  <si>
    <t>Kopā:</t>
  </si>
  <si>
    <t>PVN (21%):</t>
  </si>
  <si>
    <t>Sastādīja:</t>
  </si>
  <si>
    <t>Sertifikāta Nr.:</t>
  </si>
  <si>
    <t>Dzīvojamas ēkas vienkāršota atjaunošana Raiņa ielā 18/20, Liepājā</t>
  </si>
  <si>
    <t>Tāme sastādīta .gada</t>
  </si>
  <si>
    <t>Pasūtījuma Nr.: EA-78-16</t>
  </si>
  <si>
    <t>Virsizdevumi</t>
  </si>
  <si>
    <t>%</t>
  </si>
  <si>
    <t>t.sk. darba aizsardzībai</t>
  </si>
  <si>
    <t>Peļņa</t>
  </si>
  <si>
    <t>Pavisam kopā</t>
  </si>
  <si>
    <t>Finanšu rezerve</t>
  </si>
  <si>
    <t>Kopā</t>
  </si>
  <si>
    <t>Pārbaudīja:</t>
  </si>
  <si>
    <r>
      <t>Tāmes izmaksas</t>
    </r>
    <r>
      <rPr>
        <b/>
        <i/>
        <sz val="8"/>
        <rFont val="Arial"/>
        <family val="2"/>
        <charset val="186"/>
      </rPr>
      <t xml:space="preserve"> (euro)</t>
    </r>
  </si>
  <si>
    <t>Darba alga (euro)</t>
  </si>
  <si>
    <t>Būvizstrādājumi (euro)</t>
  </si>
  <si>
    <t>Mehānismi (euro)</t>
  </si>
  <si>
    <t>Logu un durvju nomaiņa</t>
  </si>
  <si>
    <t>Ēkas apkure</t>
  </si>
  <si>
    <t>Tāme sastādīta .gada tirgus cenās, pamatojoties uz:</t>
  </si>
  <si>
    <t>Laika norma
(c/h)</t>
  </si>
  <si>
    <r>
      <t>Darba samaksas likme (</t>
    </r>
    <r>
      <rPr>
        <i/>
        <sz val="8"/>
        <rFont val="Arial"/>
        <family val="2"/>
        <charset val="204"/>
      </rPr>
      <t>euro</t>
    </r>
    <r>
      <rPr>
        <sz val="8"/>
        <rFont val="Arial"/>
        <family val="2"/>
        <charset val="204"/>
      </rPr>
      <t>/h)</t>
    </r>
  </si>
  <si>
    <t>Darba alga</t>
  </si>
  <si>
    <t>Būvizstrādājumi</t>
  </si>
  <si>
    <t>Mehānismi</t>
  </si>
  <si>
    <t>Summa</t>
  </si>
  <si>
    <t>Piezīme:</t>
  </si>
  <si>
    <t xml:space="preserve"> • Siltināšanas un apmešanas darbi veicami saskaņā ar ETAG 004 „Eiropas tehniskā apstiprinājuma pamatnostādne ārējās siltumizolācijas sistēmām un
 apmetumam”.
• Visiem būvmateriāliem jābūt marķētiem ar CE zīmi. </t>
  </si>
  <si>
    <t>Durvju un logu aiļu apdare ar akmensvates plātnēm b=30mm,platums~ 0,25m*</t>
  </si>
  <si>
    <t>Siltumizolācija sienām</t>
  </si>
  <si>
    <t>Dībeli 75mm</t>
  </si>
  <si>
    <t>PVC loga  bloks ar  stikla paketi krāsa - balta Stikla paketes 2k4+4LowE-Arg.siltuma caurlaidības koef.: Ug=1,0 w/m²×K), Rāmja siltuma caurlaidības koef.: Uf=1,1 W / m² K. Uw=1,1 W/m² K. 2. PVC profilu ekspluatēšanas klimatiskā zona -zona S. PVC profila montāžas dziļums (profila biezums) ≤ 70*mm PVC profila montāžas dziļums (profila biezums) ≤ 80</t>
  </si>
  <si>
    <t>silikona hermētiķis</t>
  </si>
  <si>
    <t>montāžas putas</t>
  </si>
  <si>
    <t>montāžas līme</t>
  </si>
  <si>
    <t>akmens vate 10-20mm cietā</t>
  </si>
  <si>
    <t>Universālā gatavā špaktele</t>
  </si>
  <si>
    <t>Siltumizolācija putupolistirols</t>
  </si>
  <si>
    <t>Dībeli 195mm</t>
  </si>
  <si>
    <t>Hidroizolācija 3 kārtas , l=375*mm</t>
  </si>
  <si>
    <t xml:space="preserve">grunts – uzklāj divās kārtās, pirmo kārtu sedz uz attīrītas armatūras, otru kārtu uz armatūras un betona. Katras kārtas biezums apmēram 1,5 mm. 1,5kg/m² </t>
  </si>
  <si>
    <t>būvjava – ar javu strādā no 15mm biezumā vienā piegājienā. 2,1kg/m² pie 1mm</t>
  </si>
  <si>
    <t>nobeiguma slānis, špaktele. Darba slānis līdz 5 mm.  2kg/m² pie 1mm</t>
  </si>
  <si>
    <t>Špakteli pielieto arī sistēmā grunts plus špaktele līdz 5mm.2kg/m² pie 1mm</t>
  </si>
  <si>
    <t>Jaunu Rūpnieciski izgatavots polikarbonāta jumtiņš virs ieejas mezgla, 2400×1000 montāža, t.sk. stiprinājumiem pie pamatsienas ņemot vērā projektējamo siltinājumu</t>
  </si>
  <si>
    <t>Ārsienas siltināšana no bēniņu puses ar akmensvati b=50mm, h=500, piestiprinot to pie ārsienas ar līmi,</t>
  </si>
  <si>
    <t xml:space="preserve">Siltumizolācija </t>
  </si>
  <si>
    <t>Proj. garenlīstes 20(h)×50, s=1000; 38 gb.; Lvienam=14m*. Koka konstrukciju prettrupes un pretuguns aizsardzības krāsojums</t>
  </si>
  <si>
    <t>Proj. jumta segums - jumta skārds, b=505mm, h=32mm, 0,5mm</t>
  </si>
  <si>
    <t>Proj. karkasa apdares koka dēļi ar 10mm lielu gaisa spraugu ventilācijai pie jumta pārkares, 20×80mm. Koka konstrukciju prettrupes un pretuguns aizsardzības krāsojums</t>
  </si>
  <si>
    <t>Ventilācijas izvadu pieslēguma detaļa pie jumta, gb.perimetrs 5,5m, kopā 6.gb</t>
  </si>
  <si>
    <t>Skursteņu virsjumta daļas virsmas attīrīšana, apmešana un krāsošana</t>
  </si>
  <si>
    <t xml:space="preserve">  grunts</t>
  </si>
  <si>
    <t>Cauruļvada DN32 ugunsdrošais šķērsojums, izbūve caur sienu/ griestiem, hermetizācija, apmetuma un krāsojuma atjaunošana</t>
  </si>
  <si>
    <t>Cauruļvada DN25 ugunsdrošais šķērsojums, izbūve caur sienu/ griestiem, hermetizācija, apmetuma un krāsojuma atjaunošana</t>
  </si>
  <si>
    <t>Cauruļvada DN20 ugunsdrošais šķērsojums, izbūve caur sienu/ griestiem, hermetizācija, apmetuma un krāsojuma atjaunošana</t>
  </si>
  <si>
    <r>
      <t xml:space="preserve">Cauruļvada DN32 siltumizolācijas čaula, b=&gt;50 mm, </t>
    </r>
    <r>
      <rPr>
        <sz val="8"/>
        <rFont val="Symbol"/>
        <family val="1"/>
        <charset val="2"/>
      </rPr>
      <t>l</t>
    </r>
    <r>
      <rPr>
        <sz val="8"/>
        <rFont val="Arial"/>
        <family val="2"/>
        <charset val="186"/>
      </rPr>
      <t>= 0.040 W/K×m², caurules siltumizolēšana</t>
    </r>
  </si>
  <si>
    <t>Esošo ventilācijas kanālu (skursteņu, cuku) apskate, tīrīšana (t.sk. aizgruvumu)</t>
  </si>
  <si>
    <t>Adapters aktīvā uztvērēja stiprināšanai, montāža, uzstādīšana</t>
  </si>
  <si>
    <t>Aktīvs, firmas Ignescio, zibens uztvērējs, normatīvais darbības rādiuss 54 m atbilstoši LPL 3 klasei, montāža, uzstādīšana</t>
  </si>
  <si>
    <t>Zibens uztvērēja masts, 4,00 m, montāža uz sienas, montāža, uzstādīšana</t>
  </si>
  <si>
    <t>Zibens uztvērēja masta montāžas komplekts, montāža, uzstādīšana</t>
  </si>
  <si>
    <t>Zibens spērienu skaitītājs, montāža, uzstādīšana</t>
  </si>
  <si>
    <t>Novadītāja stieples kronšteins, montāža, uzstādīšana</t>
  </si>
  <si>
    <t>Stieple alumīnija ø 10 mm, montāža</t>
  </si>
  <si>
    <t>PVC caurule zibens  novadītāju mantāžai, l -3000 mm, ø 12 mm, l 2,5m, montāža</t>
  </si>
  <si>
    <t>Savienojums universāls, montāža</t>
  </si>
  <si>
    <t>Savienojums ar lietus noteku, montāža</t>
  </si>
  <si>
    <t xml:space="preserve"> Kontūra mērklemmes kaste, stiprināna siltumizolācijā</t>
  </si>
  <si>
    <t xml:space="preserve"> Kontūra mērklemme, montāža mērklemmes kastē</t>
  </si>
  <si>
    <t>Zemējuma ievads, tērauda cinkots, ø 10 mm, l- 10 m, montāža</t>
  </si>
  <si>
    <t>Zemējuma lenta, tērauds cinkots, 30×4,0 mm, montāža</t>
  </si>
  <si>
    <t xml:space="preserve">Kronšteins caurules montāžai uz sienas, montāža </t>
  </si>
  <si>
    <t xml:space="preserve"> Zemēšanas elektrods ø 20 mm, l-1,5 m, apaļdzelzs</t>
  </si>
  <si>
    <t xml:space="preserve"> Elektrodu uzmava</t>
  </si>
  <si>
    <t xml:space="preserve"> Elektrodu spice</t>
  </si>
  <si>
    <t xml:space="preserve"> Elektrodu pievienojuma klemme ar vītni</t>
  </si>
  <si>
    <t xml:space="preserve"> Pretkorozijas mastika</t>
  </si>
  <si>
    <t>Zemējuma kontūra ierīkošana, mērījumi</t>
  </si>
  <si>
    <r>
      <t xml:space="preserve">Proj. antiseptizētu koka dēļu latojums, 32×100, </t>
    </r>
    <r>
      <rPr>
        <sz val="8"/>
        <color rgb="FFFF0000"/>
        <rFont val="Arial"/>
        <family val="2"/>
        <charset val="186"/>
      </rPr>
      <t>s=200mm</t>
    </r>
    <r>
      <rPr>
        <sz val="8"/>
        <rFont val="Arial"/>
        <family val="2"/>
        <charset val="186"/>
      </rPr>
      <t>; 24gb.; Lvienam=50,0m. Koka konstrukciju prettrupes un pretuguns aizsardzības krāsojums (erlīts)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</si>
</sst>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_-"/>
    <numFmt numFmtId="165" formatCode="0.0"/>
    <numFmt numFmtId="166" formatCode="_(* #,##0.00_);_(* \(#,##0.00\);_(* &quot;-&quot;??_);_(@_)"/>
    <numFmt numFmtId="167" formatCode="_-* #,##0.00\ _L_s_-;\-* #,##0.00\ _L_s_-;_-* \-??\ _L_s_-;_-@_-"/>
  </numFmts>
  <fonts count="41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  <charset val="204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indexed="8"/>
      <name val="Arial"/>
      <family val="2"/>
      <charset val="186"/>
    </font>
    <font>
      <i/>
      <sz val="8"/>
      <color indexed="23"/>
      <name val="Arial"/>
      <family val="2"/>
      <charset val="186"/>
    </font>
    <font>
      <b/>
      <i/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10"/>
      <name val="Arial"/>
      <family val="2"/>
      <charset val="186"/>
    </font>
    <font>
      <sz val="8"/>
      <color indexed="21"/>
      <name val="Arial"/>
      <family val="2"/>
      <charset val="186"/>
    </font>
    <font>
      <sz val="6"/>
      <name val="Arial"/>
      <family val="2"/>
      <charset val="186"/>
    </font>
    <font>
      <b/>
      <sz val="8"/>
      <color indexed="10"/>
      <name val="Arial"/>
      <family val="2"/>
      <charset val="186"/>
    </font>
    <font>
      <sz val="6"/>
      <color indexed="8"/>
      <name val="Arial"/>
      <family val="2"/>
      <charset val="186"/>
    </font>
    <font>
      <b/>
      <sz val="6"/>
      <color indexed="10"/>
      <name val="Arial"/>
      <family val="2"/>
      <charset val="186"/>
    </font>
    <font>
      <sz val="7"/>
      <color indexed="8"/>
      <name val="Arial"/>
      <family val="2"/>
      <charset val="186"/>
    </font>
    <font>
      <sz val="10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name val="Symbol"/>
      <family val="1"/>
      <charset val="2"/>
    </font>
    <font>
      <b/>
      <sz val="6"/>
      <name val="Arial"/>
      <family val="2"/>
      <charset val="186"/>
    </font>
    <font>
      <i/>
      <sz val="8"/>
      <color rgb="FF7F7F7F"/>
      <name val="Arial"/>
      <family val="2"/>
      <charset val="186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186"/>
    </font>
    <font>
      <sz val="8"/>
      <name val="Calibri"/>
      <family val="2"/>
      <charset val="186"/>
    </font>
    <font>
      <u/>
      <sz val="8"/>
      <name val="Arial"/>
      <family val="2"/>
      <charset val="186"/>
    </font>
    <font>
      <sz val="8"/>
      <name val="Helv"/>
      <charset val="186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i/>
      <sz val="8"/>
      <color rgb="FF808080"/>
      <name val="Arial"/>
      <family val="2"/>
      <charset val="186"/>
    </font>
    <font>
      <sz val="9"/>
      <name val="Arial"/>
      <family val="2"/>
      <charset val="186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CC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38">
    <xf numFmtId="0" fontId="0" fillId="0" borderId="0"/>
    <xf numFmtId="43" fontId="1" fillId="0" borderId="0" applyFill="0" applyBorder="0" applyAlignment="0" applyProtection="0"/>
    <xf numFmtId="164" fontId="22" fillId="0" borderId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2" borderId="0" applyBorder="0" applyProtection="0"/>
    <xf numFmtId="0" fontId="2" fillId="2" borderId="0" applyNumberFormat="0" applyBorder="0" applyAlignment="0" applyProtection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9" fontId="22" fillId="0" borderId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32" fillId="0" borderId="0"/>
    <xf numFmtId="0" fontId="34" fillId="0" borderId="0" applyBorder="0" applyProtection="0"/>
  </cellStyleXfs>
  <cellXfs count="411">
    <xf numFmtId="0" fontId="0" fillId="0" borderId="0" xfId="0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" fontId="11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2" fontId="11" fillId="0" borderId="13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8" fillId="0" borderId="0" xfId="7" applyFont="1" applyFill="1" applyAlignment="1" applyProtection="1">
      <alignment horizontal="center" vertical="center"/>
      <protection locked="0"/>
    </xf>
    <xf numFmtId="165" fontId="11" fillId="3" borderId="13" xfId="0" applyNumberFormat="1" applyFont="1" applyFill="1" applyBorder="1" applyAlignment="1">
      <alignment horizontal="center" vertical="center"/>
    </xf>
    <xf numFmtId="2" fontId="8" fillId="0" borderId="2" xfId="15" applyNumberFormat="1" applyFont="1" applyFill="1" applyBorder="1" applyAlignment="1">
      <alignment horizontal="right" vertical="center"/>
    </xf>
    <xf numFmtId="2" fontId="8" fillId="0" borderId="1" xfId="15" applyNumberFormat="1" applyFont="1" applyFill="1" applyBorder="1" applyAlignment="1">
      <alignment horizontal="right" vertical="center"/>
    </xf>
    <xf numFmtId="2" fontId="8" fillId="0" borderId="1" xfId="0" applyNumberFormat="1" applyFont="1" applyFill="1" applyBorder="1" applyAlignment="1">
      <alignment horizontal="right" vertical="center"/>
    </xf>
    <xf numFmtId="0" fontId="8" fillId="0" borderId="0" xfId="32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32" applyFont="1" applyFill="1" applyAlignment="1">
      <alignment horizontal="left" vertical="center"/>
    </xf>
    <xf numFmtId="0" fontId="9" fillId="0" borderId="0" xfId="32" applyFont="1" applyFill="1" applyAlignment="1">
      <alignment horizontal="left" vertical="center"/>
    </xf>
    <xf numFmtId="0" fontId="8" fillId="0" borderId="0" xfId="26" applyFont="1" applyFill="1" applyAlignment="1">
      <alignment vertical="center" wrapText="1"/>
    </xf>
    <xf numFmtId="0" fontId="8" fillId="0" borderId="0" xfId="32" applyFont="1" applyFill="1" applyAlignment="1">
      <alignment horizontal="center" vertical="center" wrapText="1"/>
    </xf>
    <xf numFmtId="0" fontId="8" fillId="0" borderId="0" xfId="26" applyFont="1" applyFill="1" applyAlignment="1">
      <alignment horizontal="center" vertical="center"/>
    </xf>
    <xf numFmtId="0" fontId="8" fillId="0" borderId="0" xfId="26" applyFont="1" applyFill="1" applyAlignment="1">
      <alignment horizontal="left" vertical="center"/>
    </xf>
    <xf numFmtId="0" fontId="8" fillId="0" borderId="0" xfId="26" applyFont="1" applyFill="1" applyAlignment="1">
      <alignment horizontal="left" vertical="center" wrapText="1"/>
    </xf>
    <xf numFmtId="0" fontId="9" fillId="0" borderId="0" xfId="32" applyFont="1" applyFill="1" applyAlignment="1">
      <alignment horizontal="center" vertical="center"/>
    </xf>
    <xf numFmtId="0" fontId="8" fillId="0" borderId="0" xfId="32" applyFont="1" applyFill="1" applyAlignment="1">
      <alignment vertical="center"/>
    </xf>
    <xf numFmtId="2" fontId="8" fillId="0" borderId="0" xfId="32" applyNumberFormat="1" applyFont="1" applyFill="1" applyAlignment="1">
      <alignment horizontal="center" vertical="center"/>
    </xf>
    <xf numFmtId="0" fontId="9" fillId="0" borderId="0" xfId="32" applyFont="1" applyFill="1" applyAlignment="1">
      <alignment vertical="center"/>
    </xf>
    <xf numFmtId="0" fontId="8" fillId="0" borderId="1" xfId="32" applyFont="1" applyFill="1" applyBorder="1" applyAlignment="1">
      <alignment horizontal="center" vertical="center" textRotation="90" wrapText="1"/>
    </xf>
    <xf numFmtId="0" fontId="10" fillId="0" borderId="7" xfId="32" applyFont="1" applyFill="1" applyBorder="1" applyAlignment="1">
      <alignment horizontal="center" vertical="center"/>
    </xf>
    <xf numFmtId="0" fontId="10" fillId="0" borderId="7" xfId="32" applyFont="1" applyFill="1" applyBorder="1" applyAlignment="1">
      <alignment horizontal="center" vertical="center" wrapText="1"/>
    </xf>
    <xf numFmtId="2" fontId="8" fillId="0" borderId="0" xfId="32" applyNumberFormat="1" applyFont="1" applyFill="1" applyAlignment="1">
      <alignment horizontal="left" vertical="center"/>
    </xf>
    <xf numFmtId="0" fontId="10" fillId="0" borderId="8" xfId="32" applyFont="1" applyFill="1" applyBorder="1" applyAlignment="1">
      <alignment horizontal="center" vertical="center"/>
    </xf>
    <xf numFmtId="0" fontId="10" fillId="0" borderId="9" xfId="32" applyFont="1" applyFill="1" applyBorder="1" applyAlignment="1">
      <alignment horizontal="center" vertical="center"/>
    </xf>
    <xf numFmtId="0" fontId="10" fillId="0" borderId="10" xfId="32" applyFont="1" applyFill="1" applyBorder="1" applyAlignment="1">
      <alignment horizontal="center" vertical="center"/>
    </xf>
    <xf numFmtId="0" fontId="10" fillId="0" borderId="11" xfId="3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3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2" fontId="8" fillId="0" borderId="13" xfId="0" applyNumberFormat="1" applyFont="1" applyFill="1" applyBorder="1" applyAlignment="1">
      <alignment horizontal="center" vertical="center" wrapText="1"/>
    </xf>
    <xf numFmtId="2" fontId="8" fillId="0" borderId="13" xfId="3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2" fontId="8" fillId="0" borderId="3" xfId="32" applyNumberFormat="1" applyFont="1" applyFill="1" applyBorder="1" applyAlignment="1">
      <alignment horizontal="center" vertical="center" wrapText="1"/>
    </xf>
    <xf numFmtId="166" fontId="8" fillId="0" borderId="13" xfId="15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165" fontId="8" fillId="0" borderId="13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0" fontId="8" fillId="0" borderId="1" xfId="32" applyFont="1" applyFill="1" applyBorder="1" applyAlignment="1">
      <alignment vertical="center" wrapText="1"/>
    </xf>
    <xf numFmtId="0" fontId="8" fillId="0" borderId="13" xfId="5" applyFont="1" applyFill="1" applyBorder="1" applyAlignment="1">
      <alignment horizontal="left" vertical="center" wrapText="1"/>
    </xf>
    <xf numFmtId="0" fontId="8" fillId="0" borderId="1" xfId="23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2" fontId="8" fillId="0" borderId="13" xfId="33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13" xfId="32" applyNumberFormat="1" applyFont="1" applyFill="1" applyBorder="1" applyAlignment="1">
      <alignment horizontal="center" vertical="center" wrapText="1"/>
    </xf>
    <xf numFmtId="0" fontId="8" fillId="0" borderId="0" xfId="32" applyFont="1" applyFill="1" applyAlignment="1">
      <alignment vertical="center" wrapText="1"/>
    </xf>
    <xf numFmtId="2" fontId="8" fillId="0" borderId="0" xfId="32" applyNumberFormat="1" applyFont="1" applyFill="1" applyAlignment="1">
      <alignment horizontal="center" vertical="center" wrapText="1"/>
    </xf>
    <xf numFmtId="2" fontId="8" fillId="0" borderId="0" xfId="35" applyNumberFormat="1" applyFont="1" applyFill="1" applyAlignment="1">
      <alignment horizontal="center" vertical="center" wrapText="1"/>
    </xf>
    <xf numFmtId="0" fontId="8" fillId="0" borderId="0" xfId="34" applyFont="1" applyFill="1" applyAlignment="1">
      <alignment vertical="center"/>
    </xf>
    <xf numFmtId="0" fontId="8" fillId="0" borderId="0" xfId="28" applyFont="1" applyFill="1" applyAlignment="1">
      <alignment vertical="center"/>
    </xf>
    <xf numFmtId="0" fontId="9" fillId="0" borderId="0" xfId="28" applyFont="1" applyFill="1" applyAlignment="1">
      <alignment vertical="center"/>
    </xf>
    <xf numFmtId="0" fontId="9" fillId="0" borderId="0" xfId="26" applyFont="1" applyFill="1" applyAlignment="1">
      <alignment vertical="center" wrapText="1"/>
    </xf>
    <xf numFmtId="0" fontId="13" fillId="0" borderId="0" xfId="28" applyFont="1" applyFill="1" applyAlignment="1">
      <alignment vertical="center"/>
    </xf>
    <xf numFmtId="2" fontId="8" fillId="0" borderId="0" xfId="28" applyNumberFormat="1" applyFont="1" applyFill="1" applyAlignment="1">
      <alignment vertical="center"/>
    </xf>
    <xf numFmtId="0" fontId="10" fillId="0" borderId="1" xfId="32" applyFont="1" applyFill="1" applyBorder="1" applyAlignment="1">
      <alignment horizontal="center" vertical="center"/>
    </xf>
    <xf numFmtId="0" fontId="10" fillId="0" borderId="3" xfId="32" applyFont="1" applyFill="1" applyBorder="1" applyAlignment="1">
      <alignment horizontal="center" vertical="center" wrapText="1"/>
    </xf>
    <xf numFmtId="0" fontId="13" fillId="0" borderId="1" xfId="32" applyFont="1" applyFill="1" applyBorder="1" applyAlignment="1">
      <alignment horizontal="center" vertical="center"/>
    </xf>
    <xf numFmtId="0" fontId="10" fillId="0" borderId="17" xfId="13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justify"/>
    </xf>
    <xf numFmtId="0" fontId="8" fillId="0" borderId="13" xfId="0" applyFont="1" applyFill="1" applyBorder="1" applyAlignment="1">
      <alignment horizontal="left" vertical="justify"/>
    </xf>
    <xf numFmtId="2" fontId="8" fillId="0" borderId="13" xfId="24" applyNumberFormat="1" applyFont="1" applyFill="1" applyBorder="1" applyAlignment="1">
      <alignment horizontal="center" vertical="center"/>
    </xf>
    <xf numFmtId="2" fontId="8" fillId="0" borderId="1" xfId="24" applyNumberFormat="1" applyFont="1" applyFill="1" applyBorder="1" applyAlignment="1">
      <alignment horizontal="center" vertical="center" wrapText="1"/>
    </xf>
    <xf numFmtId="2" fontId="10" fillId="0" borderId="13" xfId="24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28" applyFont="1" applyFill="1" applyAlignment="1">
      <alignment horizontal="center" vertical="center"/>
    </xf>
    <xf numFmtId="0" fontId="8" fillId="0" borderId="0" xfId="26" applyFont="1" applyFill="1" applyAlignment="1">
      <alignment horizontal="center" vertical="center" wrapText="1"/>
    </xf>
    <xf numFmtId="0" fontId="9" fillId="0" borderId="0" xfId="26" applyFont="1" applyFill="1" applyAlignment="1">
      <alignment horizontal="center" vertical="center" wrapText="1"/>
    </xf>
    <xf numFmtId="0" fontId="8" fillId="0" borderId="1" xfId="32" applyFont="1" applyFill="1" applyBorder="1" applyAlignment="1">
      <alignment horizontal="center" vertical="center" textRotation="90"/>
    </xf>
    <xf numFmtId="0" fontId="10" fillId="0" borderId="1" xfId="32" applyFont="1" applyFill="1" applyBorder="1" applyAlignment="1">
      <alignment horizontal="center" vertical="center" wrapText="1"/>
    </xf>
    <xf numFmtId="2" fontId="8" fillId="0" borderId="1" xfId="32" applyNumberFormat="1" applyFont="1" applyFill="1" applyBorder="1" applyAlignment="1">
      <alignment horizontal="center" vertical="center"/>
    </xf>
    <xf numFmtId="2" fontId="13" fillId="0" borderId="1" xfId="32" applyNumberFormat="1" applyFont="1" applyFill="1" applyBorder="1" applyAlignment="1">
      <alignment horizontal="center" vertical="center"/>
    </xf>
    <xf numFmtId="2" fontId="8" fillId="0" borderId="1" xfId="35" applyNumberFormat="1" applyFont="1" applyFill="1" applyBorder="1" applyAlignment="1">
      <alignment horizontal="center" vertical="center" wrapText="1"/>
    </xf>
    <xf numFmtId="2" fontId="8" fillId="0" borderId="1" xfId="26" applyNumberFormat="1" applyFont="1" applyFill="1" applyBorder="1" applyAlignment="1">
      <alignment horizontal="center" vertical="center" wrapText="1"/>
    </xf>
    <xf numFmtId="0" fontId="8" fillId="0" borderId="1" xfId="2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" xfId="28" applyFont="1" applyFill="1" applyBorder="1" applyAlignment="1">
      <alignment vertical="center"/>
    </xf>
    <xf numFmtId="2" fontId="8" fillId="0" borderId="2" xfId="32" applyNumberFormat="1" applyFont="1" applyFill="1" applyBorder="1" applyAlignment="1">
      <alignment horizontal="center" vertical="center"/>
    </xf>
    <xf numFmtId="2" fontId="8" fillId="0" borderId="2" xfId="26" applyNumberFormat="1" applyFont="1" applyFill="1" applyBorder="1" applyAlignment="1">
      <alignment horizontal="center" vertical="center" wrapText="1"/>
    </xf>
    <xf numFmtId="2" fontId="8" fillId="0" borderId="2" xfId="35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8" fillId="0" borderId="0" xfId="27" applyFont="1" applyFill="1" applyAlignment="1">
      <alignment vertical="center"/>
    </xf>
    <xf numFmtId="0" fontId="8" fillId="0" borderId="1" xfId="28" applyFont="1" applyFill="1" applyBorder="1" applyAlignment="1">
      <alignment horizontal="center" vertical="center"/>
    </xf>
    <xf numFmtId="2" fontId="8" fillId="0" borderId="5" xfId="32" applyNumberFormat="1" applyFont="1" applyFill="1" applyBorder="1" applyAlignment="1">
      <alignment horizontal="center" vertical="center"/>
    </xf>
    <xf numFmtId="2" fontId="8" fillId="0" borderId="5" xfId="26" applyNumberFormat="1" applyFont="1" applyFill="1" applyBorder="1" applyAlignment="1">
      <alignment horizontal="center" vertical="center" wrapText="1"/>
    </xf>
    <xf numFmtId="2" fontId="8" fillId="0" borderId="5" xfId="35" applyNumberFormat="1" applyFont="1" applyFill="1" applyBorder="1" applyAlignment="1">
      <alignment horizontal="center" vertical="center" wrapText="1"/>
    </xf>
    <xf numFmtId="0" fontId="8" fillId="0" borderId="13" xfId="28" applyFont="1" applyFill="1" applyBorder="1" applyAlignment="1">
      <alignment vertical="center"/>
    </xf>
    <xf numFmtId="2" fontId="8" fillId="0" borderId="13" xfId="3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26" applyFont="1" applyFill="1" applyAlignment="1">
      <alignment vertical="center"/>
    </xf>
    <xf numFmtId="0" fontId="8" fillId="0" borderId="1" xfId="32" applyFont="1" applyFill="1" applyBorder="1" applyAlignment="1">
      <alignment vertical="center"/>
    </xf>
    <xf numFmtId="0" fontId="8" fillId="0" borderId="1" xfId="32" applyFont="1" applyFill="1" applyBorder="1" applyAlignment="1">
      <alignment horizontal="center" vertical="center"/>
    </xf>
    <xf numFmtId="0" fontId="9" fillId="0" borderId="1" xfId="32" applyFont="1" applyFill="1" applyBorder="1" applyAlignment="1">
      <alignment vertical="center" wrapText="1"/>
    </xf>
    <xf numFmtId="0" fontId="8" fillId="0" borderId="3" xfId="32" applyFont="1" applyFill="1" applyBorder="1" applyAlignment="1">
      <alignment horizontal="center" vertical="center"/>
    </xf>
    <xf numFmtId="49" fontId="8" fillId="0" borderId="1" xfId="32" applyNumberFormat="1" applyFont="1" applyFill="1" applyBorder="1" applyAlignment="1">
      <alignment vertical="center" wrapText="1"/>
    </xf>
    <xf numFmtId="2" fontId="8" fillId="0" borderId="1" xfId="32" applyNumberFormat="1" applyFont="1" applyFill="1" applyBorder="1" applyAlignment="1">
      <alignment vertical="center" wrapText="1"/>
    </xf>
    <xf numFmtId="2" fontId="8" fillId="0" borderId="1" xfId="32" applyNumberFormat="1" applyFont="1" applyFill="1" applyBorder="1" applyAlignment="1">
      <alignment horizontal="center" vertical="center" wrapText="1"/>
    </xf>
    <xf numFmtId="164" fontId="8" fillId="0" borderId="13" xfId="1" applyNumberFormat="1" applyFont="1" applyFill="1" applyBorder="1" applyAlignment="1">
      <alignment horizontal="center" vertical="center"/>
    </xf>
    <xf numFmtId="164" fontId="8" fillId="0" borderId="13" xfId="1" applyNumberFormat="1" applyFont="1" applyFill="1" applyBorder="1" applyAlignment="1">
      <alignment horizontal="center" vertical="center" wrapText="1"/>
    </xf>
    <xf numFmtId="164" fontId="8" fillId="0" borderId="16" xfId="1" applyNumberFormat="1" applyFont="1" applyFill="1" applyBorder="1" applyAlignment="1">
      <alignment horizontal="center" vertical="center" wrapText="1"/>
    </xf>
    <xf numFmtId="0" fontId="8" fillId="0" borderId="1" xfId="23" applyFont="1" applyFill="1" applyBorder="1" applyAlignment="1">
      <alignment vertical="center" wrapText="1"/>
    </xf>
    <xf numFmtId="165" fontId="8" fillId="0" borderId="1" xfId="32" applyNumberFormat="1" applyFont="1" applyFill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left" vertical="center" wrapText="1"/>
    </xf>
    <xf numFmtId="2" fontId="8" fillId="0" borderId="1" xfId="32" applyNumberFormat="1" applyFont="1" applyFill="1" applyBorder="1" applyAlignment="1">
      <alignment horizontal="left" vertical="center"/>
    </xf>
    <xf numFmtId="0" fontId="8" fillId="0" borderId="1" xfId="32" applyFont="1" applyFill="1" applyBorder="1" applyAlignment="1">
      <alignment horizontal="center" vertical="center" wrapText="1"/>
    </xf>
    <xf numFmtId="2" fontId="8" fillId="0" borderId="16" xfId="32" applyNumberFormat="1" applyFont="1" applyFill="1" applyBorder="1" applyAlignment="1">
      <alignment horizontal="center" vertical="center"/>
    </xf>
    <xf numFmtId="2" fontId="8" fillId="0" borderId="1" xfId="30" applyNumberFormat="1" applyFont="1" applyFill="1" applyBorder="1" applyAlignment="1">
      <alignment horizontal="center" vertical="center" wrapText="1"/>
    </xf>
    <xf numFmtId="165" fontId="8" fillId="0" borderId="1" xfId="32" applyNumberFormat="1" applyFont="1" applyFill="1" applyBorder="1" applyAlignment="1">
      <alignment horizontal="center" vertical="center"/>
    </xf>
    <xf numFmtId="0" fontId="8" fillId="0" borderId="1" xfId="23" applyFont="1" applyFill="1" applyBorder="1" applyAlignment="1">
      <alignment horizontal="center" vertical="center"/>
    </xf>
    <xf numFmtId="166" fontId="8" fillId="0" borderId="15" xfId="15" applyNumberFormat="1" applyFont="1" applyFill="1" applyBorder="1" applyAlignment="1">
      <alignment horizontal="center" vertical="center" wrapText="1"/>
    </xf>
    <xf numFmtId="2" fontId="8" fillId="0" borderId="15" xfId="32" applyNumberFormat="1" applyFont="1" applyFill="1" applyBorder="1" applyAlignment="1">
      <alignment horizontal="center" vertical="center" wrapText="1"/>
    </xf>
    <xf numFmtId="49" fontId="8" fillId="0" borderId="13" xfId="32" applyNumberFormat="1" applyFont="1" applyFill="1" applyBorder="1" applyAlignment="1">
      <alignment horizontal="center" vertical="center" wrapText="1"/>
    </xf>
    <xf numFmtId="0" fontId="8" fillId="0" borderId="13" xfId="5" applyFont="1" applyFill="1" applyBorder="1" applyAlignment="1">
      <alignment vertical="center" wrapText="1"/>
    </xf>
    <xf numFmtId="0" fontId="8" fillId="0" borderId="13" xfId="32" applyFont="1" applyFill="1" applyBorder="1" applyAlignment="1">
      <alignment horizontal="center" vertical="center" wrapText="1"/>
    </xf>
    <xf numFmtId="0" fontId="8" fillId="0" borderId="13" xfId="23" applyFont="1" applyFill="1" applyBorder="1" applyAlignment="1">
      <alignment horizontal="center" vertical="center" wrapText="1"/>
    </xf>
    <xf numFmtId="0" fontId="8" fillId="0" borderId="13" xfId="32" applyFont="1" applyFill="1" applyBorder="1" applyAlignment="1">
      <alignment vertical="center" wrapText="1"/>
    </xf>
    <xf numFmtId="1" fontId="8" fillId="0" borderId="1" xfId="32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2" fontId="8" fillId="0" borderId="2" xfId="32" applyNumberFormat="1" applyFont="1" applyFill="1" applyBorder="1" applyAlignment="1">
      <alignment horizontal="center" vertical="center" wrapText="1"/>
    </xf>
    <xf numFmtId="0" fontId="8" fillId="0" borderId="1" xfId="32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" xfId="13" applyFont="1" applyFill="1" applyBorder="1" applyAlignment="1">
      <alignment vertical="center" wrapText="1"/>
    </xf>
    <xf numFmtId="0" fontId="8" fillId="0" borderId="1" xfId="13" applyFont="1" applyFill="1" applyBorder="1" applyAlignment="1">
      <alignment horizontal="center" vertical="center" wrapText="1"/>
    </xf>
    <xf numFmtId="2" fontId="8" fillId="0" borderId="1" xfId="13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13" xfId="32" applyFont="1" applyFill="1" applyBorder="1" applyAlignment="1">
      <alignment horizontal="left" vertical="center" wrapText="1"/>
    </xf>
    <xf numFmtId="0" fontId="9" fillId="0" borderId="0" xfId="32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10" fillId="0" borderId="16" xfId="9" applyFont="1" applyFill="1" applyBorder="1"/>
    <xf numFmtId="0" fontId="10" fillId="0" borderId="22" xfId="9" applyFont="1" applyFill="1" applyBorder="1"/>
    <xf numFmtId="0" fontId="8" fillId="0" borderId="13" xfId="9" applyFont="1" applyFill="1" applyBorder="1" applyAlignment="1">
      <alignment horizontal="center"/>
    </xf>
    <xf numFmtId="0" fontId="8" fillId="0" borderId="13" xfId="9" applyFont="1" applyFill="1" applyBorder="1"/>
    <xf numFmtId="0" fontId="10" fillId="0" borderId="13" xfId="9" applyFont="1" applyFill="1" applyBorder="1"/>
    <xf numFmtId="2" fontId="8" fillId="0" borderId="13" xfId="9" applyNumberFormat="1" applyFont="1" applyFill="1" applyBorder="1" applyAlignment="1">
      <alignment horizontal="center"/>
    </xf>
    <xf numFmtId="0" fontId="8" fillId="0" borderId="16" xfId="9" applyFont="1" applyFill="1" applyBorder="1"/>
    <xf numFmtId="1" fontId="8" fillId="0" borderId="1" xfId="13" applyNumberFormat="1" applyFont="1" applyFill="1" applyBorder="1" applyAlignment="1">
      <alignment horizontal="center" vertical="center" wrapText="1"/>
    </xf>
    <xf numFmtId="0" fontId="9" fillId="0" borderId="1" xfId="13" applyFont="1" applyFill="1" applyBorder="1" applyAlignment="1">
      <alignment vertical="center" wrapText="1"/>
    </xf>
    <xf numFmtId="0" fontId="9" fillId="0" borderId="1" xfId="13" applyFont="1" applyFill="1" applyBorder="1" applyAlignment="1">
      <alignment horizontal="center" vertical="center" wrapText="1"/>
    </xf>
    <xf numFmtId="1" fontId="9" fillId="0" borderId="1" xfId="13" applyNumberFormat="1" applyFont="1" applyFill="1" applyBorder="1" applyAlignment="1">
      <alignment horizontal="center" vertical="center" wrapText="1"/>
    </xf>
    <xf numFmtId="0" fontId="8" fillId="0" borderId="12" xfId="32" applyFont="1" applyFill="1" applyBorder="1" applyAlignment="1">
      <alignment horizontal="center" vertical="center" textRotation="90" wrapText="1"/>
    </xf>
    <xf numFmtId="0" fontId="8" fillId="0" borderId="0" xfId="32" applyFont="1" applyFill="1" applyAlignment="1">
      <alignment horizontal="center" vertical="center" textRotation="90" wrapText="1"/>
    </xf>
    <xf numFmtId="0" fontId="10" fillId="0" borderId="0" xfId="32" applyFont="1" applyFill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49" fontId="8" fillId="0" borderId="13" xfId="5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165" fontId="8" fillId="0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vertical="center"/>
    </xf>
    <xf numFmtId="2" fontId="8" fillId="0" borderId="13" xfId="5" applyNumberFormat="1" applyFont="1" applyFill="1" applyBorder="1" applyAlignment="1">
      <alignment horizontal="center" vertical="center" wrapText="1"/>
    </xf>
    <xf numFmtId="2" fontId="8" fillId="0" borderId="15" xfId="5" applyNumberFormat="1" applyFont="1" applyFill="1" applyBorder="1" applyAlignment="1">
      <alignment horizontal="center" vertical="center" wrapText="1"/>
    </xf>
    <xf numFmtId="2" fontId="8" fillId="0" borderId="16" xfId="5" applyNumberFormat="1" applyFont="1" applyFill="1" applyBorder="1" applyAlignment="1">
      <alignment horizontal="center" vertical="center" wrapText="1"/>
    </xf>
    <xf numFmtId="165" fontId="8" fillId="0" borderId="13" xfId="5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 wrapText="1"/>
    </xf>
    <xf numFmtId="2" fontId="30" fillId="0" borderId="13" xfId="0" applyNumberFormat="1" applyFont="1" applyFill="1" applyBorder="1" applyAlignment="1">
      <alignment horizontal="center" vertical="center" wrapText="1"/>
    </xf>
    <xf numFmtId="2" fontId="10" fillId="0" borderId="1" xfId="32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8" fillId="0" borderId="0" xfId="29" applyFont="1" applyFill="1" applyAlignment="1">
      <alignment vertical="center"/>
    </xf>
    <xf numFmtId="0" fontId="8" fillId="0" borderId="1" xfId="32" applyFont="1" applyFill="1" applyBorder="1" applyAlignment="1">
      <alignment horizontal="left" vertical="center"/>
    </xf>
    <xf numFmtId="49" fontId="8" fillId="0" borderId="2" xfId="32" applyNumberFormat="1" applyFont="1" applyFill="1" applyBorder="1" applyAlignment="1">
      <alignment horizontal="center" vertical="center" wrapText="1"/>
    </xf>
    <xf numFmtId="0" fontId="8" fillId="0" borderId="2" xfId="29" applyFont="1" applyFill="1" applyBorder="1" applyAlignment="1">
      <alignment vertical="center" wrapText="1"/>
    </xf>
    <xf numFmtId="0" fontId="8" fillId="0" borderId="4" xfId="29" applyFont="1" applyFill="1" applyBorder="1" applyAlignment="1">
      <alignment horizontal="center" vertical="center" wrapText="1"/>
    </xf>
    <xf numFmtId="1" fontId="8" fillId="0" borderId="2" xfId="29" applyNumberFormat="1" applyFont="1" applyFill="1" applyBorder="1" applyAlignment="1">
      <alignment horizontal="center" vertical="center" wrapText="1"/>
    </xf>
    <xf numFmtId="165" fontId="8" fillId="0" borderId="2" xfId="29" applyNumberFormat="1" applyFont="1" applyFill="1" applyBorder="1" applyAlignment="1">
      <alignment horizontal="center" vertical="center" wrapText="1"/>
    </xf>
    <xf numFmtId="2" fontId="8" fillId="0" borderId="1" xfId="33" applyNumberFormat="1" applyFont="1" applyFill="1" applyBorder="1" applyAlignment="1">
      <alignment horizontal="center" vertical="center" wrapText="1"/>
    </xf>
    <xf numFmtId="49" fontId="8" fillId="0" borderId="5" xfId="32" applyNumberFormat="1" applyFont="1" applyFill="1" applyBorder="1" applyAlignment="1">
      <alignment horizontal="center" vertical="center" wrapText="1"/>
    </xf>
    <xf numFmtId="0" fontId="8" fillId="0" borderId="5" xfId="29" applyFont="1" applyFill="1" applyBorder="1" applyAlignment="1">
      <alignment vertical="center" wrapText="1"/>
    </xf>
    <xf numFmtId="0" fontId="8" fillId="0" borderId="6" xfId="29" applyFont="1" applyFill="1" applyBorder="1" applyAlignment="1">
      <alignment horizontal="center" vertical="center" wrapText="1"/>
    </xf>
    <xf numFmtId="1" fontId="8" fillId="0" borderId="5" xfId="29" applyNumberFormat="1" applyFont="1" applyFill="1" applyBorder="1" applyAlignment="1">
      <alignment horizontal="center" vertical="center" wrapText="1"/>
    </xf>
    <xf numFmtId="165" fontId="8" fillId="0" borderId="5" xfId="29" applyNumberFormat="1" applyFont="1" applyFill="1" applyBorder="1" applyAlignment="1">
      <alignment horizontal="center" vertical="center" wrapText="1"/>
    </xf>
    <xf numFmtId="2" fontId="8" fillId="0" borderId="5" xfId="33" applyNumberFormat="1" applyFont="1" applyFill="1" applyBorder="1" applyAlignment="1">
      <alignment horizontal="center" vertical="center" wrapText="1"/>
    </xf>
    <xf numFmtId="49" fontId="8" fillId="0" borderId="3" xfId="32" applyNumberFormat="1" applyFont="1" applyFill="1" applyBorder="1" applyAlignment="1">
      <alignment horizontal="center" vertical="center" wrapText="1"/>
    </xf>
    <xf numFmtId="0" fontId="8" fillId="0" borderId="13" xfId="29" applyFont="1" applyFill="1" applyBorder="1" applyAlignment="1">
      <alignment vertical="center" wrapText="1"/>
    </xf>
    <xf numFmtId="0" fontId="8" fillId="0" borderId="13" xfId="29" applyFont="1" applyFill="1" applyBorder="1" applyAlignment="1">
      <alignment horizontal="center" vertical="center" textRotation="90" wrapText="1"/>
    </xf>
    <xf numFmtId="0" fontId="8" fillId="0" borderId="13" xfId="29" applyFont="1" applyFill="1" applyBorder="1" applyAlignment="1">
      <alignment vertical="center"/>
    </xf>
    <xf numFmtId="0" fontId="8" fillId="0" borderId="14" xfId="29" applyFont="1" applyFill="1" applyBorder="1" applyAlignment="1">
      <alignment vertical="center" wrapText="1"/>
    </xf>
    <xf numFmtId="0" fontId="8" fillId="0" borderId="1" xfId="29" applyFont="1" applyFill="1" applyBorder="1" applyAlignment="1">
      <alignment vertical="center" wrapText="1"/>
    </xf>
    <xf numFmtId="0" fontId="8" fillId="0" borderId="4" xfId="23" applyFont="1" applyFill="1" applyBorder="1" applyAlignment="1">
      <alignment horizontal="right" vertical="center" wrapText="1"/>
    </xf>
    <xf numFmtId="0" fontId="8" fillId="0" borderId="4" xfId="23" applyFont="1" applyFill="1" applyBorder="1" applyAlignment="1">
      <alignment horizontal="center" vertical="center" wrapText="1"/>
    </xf>
    <xf numFmtId="0" fontId="8" fillId="0" borderId="2" xfId="29" applyFont="1" applyFill="1" applyBorder="1" applyAlignment="1">
      <alignment horizontal="center" vertical="center" wrapText="1"/>
    </xf>
    <xf numFmtId="2" fontId="8" fillId="0" borderId="4" xfId="29" applyNumberFormat="1" applyFont="1" applyFill="1" applyBorder="1" applyAlignment="1">
      <alignment horizontal="left" vertical="center" wrapText="1"/>
    </xf>
    <xf numFmtId="2" fontId="8" fillId="0" borderId="4" xfId="29" applyNumberFormat="1" applyFont="1" applyFill="1" applyBorder="1" applyAlignment="1">
      <alignment horizontal="center" vertical="center" wrapText="1"/>
    </xf>
    <xf numFmtId="2" fontId="8" fillId="0" borderId="2" xfId="29" applyNumberFormat="1" applyFont="1" applyFill="1" applyBorder="1" applyAlignment="1">
      <alignment horizontal="center" vertical="center" wrapText="1"/>
    </xf>
    <xf numFmtId="0" fontId="8" fillId="0" borderId="2" xfId="32" applyFont="1" applyFill="1" applyBorder="1" applyAlignment="1">
      <alignment horizontal="center" vertical="center" wrapText="1"/>
    </xf>
    <xf numFmtId="2" fontId="8" fillId="0" borderId="1" xfId="32" applyNumberFormat="1" applyFont="1" applyFill="1" applyBorder="1" applyAlignment="1">
      <alignment horizontal="left"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8" fillId="0" borderId="2" xfId="30" applyNumberFormat="1" applyFont="1" applyFill="1" applyBorder="1" applyAlignment="1">
      <alignment horizontal="center" vertical="center" wrapText="1"/>
    </xf>
    <xf numFmtId="2" fontId="8" fillId="0" borderId="2" xfId="33" applyNumberFormat="1" applyFont="1" applyFill="1" applyBorder="1" applyAlignment="1">
      <alignment horizontal="center" vertical="center" wrapText="1"/>
    </xf>
    <xf numFmtId="0" fontId="8" fillId="0" borderId="1" xfId="23" applyFont="1" applyFill="1" applyBorder="1" applyAlignment="1">
      <alignment horizontal="center" vertical="center" wrapText="1"/>
    </xf>
    <xf numFmtId="0" fontId="8" fillId="0" borderId="2" xfId="23" applyFont="1" applyFill="1" applyBorder="1" applyAlignment="1">
      <alignment horizontal="center" vertical="center" wrapText="1"/>
    </xf>
    <xf numFmtId="2" fontId="8" fillId="0" borderId="1" xfId="29" applyNumberFormat="1" applyFont="1" applyFill="1" applyBorder="1" applyAlignment="1">
      <alignment horizontal="center" vertical="center" wrapText="1"/>
    </xf>
    <xf numFmtId="165" fontId="8" fillId="0" borderId="1" xfId="23" applyNumberFormat="1" applyFont="1" applyFill="1" applyBorder="1" applyAlignment="1">
      <alignment horizontal="center" vertical="center" wrapText="1"/>
    </xf>
    <xf numFmtId="0" fontId="8" fillId="0" borderId="1" xfId="29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8" fillId="0" borderId="5" xfId="30" applyNumberFormat="1" applyFont="1" applyFill="1" applyBorder="1" applyAlignment="1">
      <alignment horizontal="center" vertical="center" wrapText="1"/>
    </xf>
    <xf numFmtId="2" fontId="9" fillId="0" borderId="13" xfId="0" applyNumberFormat="1" applyFont="1" applyFill="1" applyBorder="1" applyAlignment="1">
      <alignment horizontal="center" vertical="center" wrapText="1"/>
    </xf>
    <xf numFmtId="2" fontId="8" fillId="0" borderId="13" xfId="3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2" fontId="8" fillId="0" borderId="13" xfId="0" applyNumberFormat="1" applyFont="1" applyFill="1" applyBorder="1" applyAlignment="1">
      <alignment horizontal="left" vertical="center" wrapText="1"/>
    </xf>
    <xf numFmtId="2" fontId="8" fillId="0" borderId="4" xfId="3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2" fontId="8" fillId="0" borderId="3" xfId="30" applyNumberFormat="1" applyFont="1" applyFill="1" applyBorder="1" applyAlignment="1">
      <alignment horizontal="center" vertical="center" wrapText="1"/>
    </xf>
    <xf numFmtId="2" fontId="8" fillId="0" borderId="0" xfId="30" applyNumberFormat="1" applyFont="1" applyFill="1" applyAlignment="1">
      <alignment horizontal="center" vertical="center" wrapText="1"/>
    </xf>
    <xf numFmtId="0" fontId="8" fillId="0" borderId="0" xfId="29" applyFont="1" applyFill="1" applyAlignment="1">
      <alignment horizontal="left" vertical="center"/>
    </xf>
    <xf numFmtId="0" fontId="8" fillId="0" borderId="0" xfId="29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9" xfId="23" applyFont="1" applyFill="1" applyBorder="1" applyAlignment="1">
      <alignment horizontal="left" vertical="center" wrapText="1"/>
    </xf>
    <xf numFmtId="0" fontId="8" fillId="0" borderId="0" xfId="23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8" fillId="0" borderId="3" xfId="32" applyFont="1" applyFill="1" applyBorder="1" applyAlignment="1">
      <alignment horizontal="center" vertical="center" wrapText="1"/>
    </xf>
    <xf numFmtId="2" fontId="8" fillId="0" borderId="17" xfId="5" applyNumberFormat="1" applyFont="1" applyFill="1" applyBorder="1" applyAlignment="1">
      <alignment horizontal="center" vertical="center" wrapText="1"/>
    </xf>
    <xf numFmtId="2" fontId="8" fillId="0" borderId="18" xfId="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2" fontId="8" fillId="0" borderId="14" xfId="32" applyNumberFormat="1" applyFont="1" applyFill="1" applyBorder="1" applyAlignment="1">
      <alignment horizontal="center" vertical="center" wrapText="1"/>
    </xf>
    <xf numFmtId="0" fontId="8" fillId="0" borderId="3" xfId="23" applyFont="1" applyFill="1" applyBorder="1" applyAlignment="1">
      <alignment horizontal="center" vertical="center"/>
    </xf>
    <xf numFmtId="0" fontId="9" fillId="0" borderId="1" xfId="32" applyFont="1" applyFill="1" applyBorder="1" applyAlignment="1">
      <alignment horizontal="left" vertical="center" wrapText="1"/>
    </xf>
    <xf numFmtId="165" fontId="9" fillId="0" borderId="1" xfId="32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32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8" fillId="0" borderId="5" xfId="32" applyNumberFormat="1" applyFont="1" applyFill="1" applyBorder="1" applyAlignment="1">
      <alignment horizontal="center" vertical="center" wrapText="1"/>
    </xf>
    <xf numFmtId="2" fontId="8" fillId="0" borderId="23" xfId="32" applyNumberFormat="1" applyFont="1" applyFill="1" applyBorder="1" applyAlignment="1">
      <alignment horizontal="center" vertical="center" wrapText="1"/>
    </xf>
    <xf numFmtId="164" fontId="8" fillId="0" borderId="23" xfId="1" applyNumberFormat="1" applyFont="1" applyFill="1" applyBorder="1" applyAlignment="1">
      <alignment horizontal="center" vertical="center"/>
    </xf>
    <xf numFmtId="164" fontId="8" fillId="0" borderId="23" xfId="1" applyNumberFormat="1" applyFont="1" applyFill="1" applyBorder="1" applyAlignment="1">
      <alignment horizontal="center" vertical="center" wrapText="1"/>
    </xf>
    <xf numFmtId="165" fontId="8" fillId="0" borderId="13" xfId="23" applyNumberFormat="1" applyFont="1" applyFill="1" applyBorder="1" applyAlignment="1">
      <alignment horizontal="center" vertical="center" wrapText="1"/>
    </xf>
    <xf numFmtId="1" fontId="8" fillId="0" borderId="13" xfId="32" applyNumberFormat="1" applyFont="1" applyFill="1" applyBorder="1" applyAlignment="1">
      <alignment horizontal="center" vertical="center" wrapText="1"/>
    </xf>
    <xf numFmtId="0" fontId="8" fillId="0" borderId="0" xfId="32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vertical="center"/>
    </xf>
    <xf numFmtId="2" fontId="8" fillId="0" borderId="0" xfId="0" applyNumberFormat="1" applyFont="1" applyFill="1" applyAlignment="1">
      <alignment horizontal="center" vertical="center"/>
    </xf>
    <xf numFmtId="0" fontId="8" fillId="0" borderId="0" xfId="15" applyFont="1" applyFill="1" applyAlignment="1">
      <alignment horizontal="center" vertical="center"/>
    </xf>
    <xf numFmtId="0" fontId="8" fillId="0" borderId="0" xfId="15" applyFont="1" applyFill="1" applyAlignment="1">
      <alignment horizontal="center" vertical="center" wrapText="1"/>
    </xf>
    <xf numFmtId="0" fontId="8" fillId="0" borderId="2" xfId="15" applyFont="1" applyFill="1" applyBorder="1" applyAlignment="1">
      <alignment horizontal="center" vertical="center"/>
    </xf>
    <xf numFmtId="0" fontId="8" fillId="0" borderId="2" xfId="15" applyFont="1" applyFill="1" applyBorder="1" applyAlignment="1">
      <alignment horizontal="left" vertical="center" wrapText="1"/>
    </xf>
    <xf numFmtId="164" fontId="8" fillId="0" borderId="0" xfId="0" applyNumberFormat="1" applyFont="1" applyFill="1" applyAlignment="1">
      <alignment vertical="center"/>
    </xf>
    <xf numFmtId="0" fontId="8" fillId="0" borderId="1" xfId="15" applyFont="1" applyFill="1" applyBorder="1" applyAlignment="1">
      <alignment horizontal="left" vertical="center" wrapText="1"/>
    </xf>
    <xf numFmtId="1" fontId="8" fillId="0" borderId="1" xfId="15" applyNumberFormat="1" applyFont="1" applyFill="1" applyBorder="1" applyAlignment="1">
      <alignment horizontal="left" vertical="center" wrapText="1"/>
    </xf>
    <xf numFmtId="164" fontId="8" fillId="0" borderId="0" xfId="15" applyNumberFormat="1" applyFont="1" applyFill="1" applyAlignment="1">
      <alignment horizontal="center" vertical="center"/>
    </xf>
    <xf numFmtId="2" fontId="9" fillId="0" borderId="0" xfId="15" applyNumberFormat="1" applyFont="1" applyFill="1" applyAlignment="1">
      <alignment horizontal="center" vertical="center" wrapText="1"/>
    </xf>
    <xf numFmtId="0" fontId="8" fillId="0" borderId="0" xfId="15" applyFont="1" applyFill="1" applyAlignment="1">
      <alignment vertical="center"/>
    </xf>
    <xf numFmtId="0" fontId="8" fillId="0" borderId="0" xfId="15" applyFont="1" applyFill="1" applyAlignment="1">
      <alignment horizontal="right" vertical="center"/>
    </xf>
    <xf numFmtId="9" fontId="8" fillId="0" borderId="0" xfId="15" applyNumberFormat="1" applyFont="1" applyFill="1" applyAlignment="1">
      <alignment horizontal="center" vertical="center"/>
    </xf>
    <xf numFmtId="2" fontId="8" fillId="0" borderId="0" xfId="15" applyNumberFormat="1" applyFont="1" applyFill="1" applyAlignment="1">
      <alignment vertical="center"/>
    </xf>
    <xf numFmtId="9" fontId="8" fillId="0" borderId="0" xfId="15" applyNumberFormat="1" applyFont="1" applyFill="1" applyAlignment="1">
      <alignment horizontal="right" vertical="center"/>
    </xf>
    <xf numFmtId="2" fontId="9" fillId="0" borderId="0" xfId="15" applyNumberFormat="1" applyFont="1" applyFill="1" applyAlignment="1">
      <alignment vertical="center"/>
    </xf>
    <xf numFmtId="0" fontId="8" fillId="0" borderId="0" xfId="15" applyFont="1" applyFill="1" applyAlignment="1">
      <alignment horizontal="right" vertical="center" wrapText="1"/>
    </xf>
    <xf numFmtId="9" fontId="8" fillId="0" borderId="0" xfId="15" applyNumberFormat="1" applyFont="1" applyFill="1" applyAlignment="1">
      <alignment horizontal="center" vertical="center" wrapText="1"/>
    </xf>
    <xf numFmtId="2" fontId="9" fillId="0" borderId="0" xfId="15" applyNumberFormat="1" applyFont="1" applyFill="1" applyAlignment="1">
      <alignment vertical="center" wrapText="1"/>
    </xf>
    <xf numFmtId="0" fontId="8" fillId="0" borderId="0" xfId="25" applyFont="1" applyFill="1" applyAlignment="1">
      <alignment horizontal="left" vertical="center"/>
    </xf>
    <xf numFmtId="0" fontId="8" fillId="0" borderId="0" xfId="15" applyFont="1" applyFill="1" applyAlignment="1">
      <alignment vertical="center" wrapText="1"/>
    </xf>
    <xf numFmtId="0" fontId="33" fillId="0" borderId="0" xfId="36" applyFont="1"/>
    <xf numFmtId="0" fontId="8" fillId="0" borderId="0" xfId="37" applyFont="1"/>
    <xf numFmtId="0" fontId="35" fillId="0" borderId="0" xfId="36" applyFont="1" applyAlignment="1">
      <alignment horizontal="center"/>
    </xf>
    <xf numFmtId="0" fontId="8" fillId="0" borderId="32" xfId="37" applyFont="1" applyBorder="1"/>
    <xf numFmtId="0" fontId="8" fillId="0" borderId="0" xfId="36" applyFont="1" applyAlignment="1">
      <alignment horizontal="right"/>
    </xf>
    <xf numFmtId="0" fontId="8" fillId="0" borderId="0" xfId="36" applyFont="1"/>
    <xf numFmtId="0" fontId="29" fillId="0" borderId="0" xfId="36" applyFont="1" applyAlignment="1">
      <alignment horizontal="center"/>
    </xf>
    <xf numFmtId="0" fontId="8" fillId="0" borderId="0" xfId="36" applyFont="1" applyAlignment="1">
      <alignment horizontal="left" vertical="center"/>
    </xf>
    <xf numFmtId="0" fontId="9" fillId="0" borderId="0" xfId="37" applyFont="1" applyAlignment="1">
      <alignment horizontal="center" vertical="center"/>
    </xf>
    <xf numFmtId="0" fontId="9" fillId="0" borderId="0" xfId="37" applyFont="1" applyAlignment="1">
      <alignment horizontal="left" vertical="center"/>
    </xf>
    <xf numFmtId="0" fontId="8" fillId="0" borderId="0" xfId="37" applyFont="1" applyAlignment="1">
      <alignment vertical="center"/>
    </xf>
    <xf numFmtId="0" fontId="8" fillId="0" borderId="0" xfId="37" applyFont="1" applyAlignment="1">
      <alignment horizontal="left" vertical="center"/>
    </xf>
    <xf numFmtId="0" fontId="8" fillId="0" borderId="0" xfId="37" applyFont="1" applyAlignment="1">
      <alignment horizontal="center" vertical="center"/>
    </xf>
    <xf numFmtId="0" fontId="8" fillId="0" borderId="0" xfId="37" applyFont="1" applyAlignment="1">
      <alignment horizontal="center" vertical="center" wrapText="1"/>
    </xf>
    <xf numFmtId="0" fontId="8" fillId="0" borderId="0" xfId="37" applyFont="1" applyAlignment="1">
      <alignment horizontal="left" vertical="center" wrapText="1"/>
    </xf>
    <xf numFmtId="0" fontId="1" fillId="0" borderId="0" xfId="37" applyFont="1"/>
    <xf numFmtId="2" fontId="8" fillId="4" borderId="0" xfId="37" applyNumberFormat="1" applyFont="1" applyFill="1" applyAlignment="1">
      <alignment horizontal="center" vertical="center"/>
    </xf>
    <xf numFmtId="0" fontId="8" fillId="4" borderId="28" xfId="37" applyFont="1" applyFill="1" applyBorder="1" applyAlignment="1">
      <alignment horizontal="center" vertical="center" wrapText="1"/>
    </xf>
    <xf numFmtId="0" fontId="8" fillId="0" borderId="28" xfId="37" applyFont="1" applyBorder="1" applyAlignment="1">
      <alignment horizontal="center" vertical="center"/>
    </xf>
    <xf numFmtId="0" fontId="8" fillId="0" borderId="28" xfId="37" applyFont="1" applyBorder="1" applyAlignment="1">
      <alignment horizontal="center" vertical="center" wrapText="1"/>
    </xf>
    <xf numFmtId="0" fontId="8" fillId="0" borderId="28" xfId="37" applyFont="1" applyBorder="1" applyAlignment="1">
      <alignment horizontal="left" vertical="center" wrapText="1"/>
    </xf>
    <xf numFmtId="0" fontId="9" fillId="0" borderId="0" xfId="37" applyFont="1" applyAlignment="1">
      <alignment horizontal="right" vertical="center"/>
    </xf>
    <xf numFmtId="0" fontId="9" fillId="0" borderId="0" xfId="37" applyFont="1" applyAlignment="1">
      <alignment horizontal="right" vertical="center" wrapText="1"/>
    </xf>
    <xf numFmtId="0" fontId="9" fillId="0" borderId="0" xfId="37" applyFont="1" applyAlignment="1">
      <alignment horizontal="center" vertical="center" wrapText="1"/>
    </xf>
    <xf numFmtId="0" fontId="8" fillId="0" borderId="0" xfId="37" applyFont="1" applyAlignment="1">
      <alignment horizontal="right" vertical="center" wrapText="1"/>
    </xf>
    <xf numFmtId="0" fontId="8" fillId="0" borderId="0" xfId="37" applyFont="1" applyAlignment="1">
      <alignment horizontal="right" vertical="center"/>
    </xf>
    <xf numFmtId="0" fontId="32" fillId="0" borderId="0" xfId="36"/>
    <xf numFmtId="0" fontId="8" fillId="0" borderId="0" xfId="15" applyNumberFormat="1" applyFont="1" applyFill="1" applyBorder="1" applyAlignment="1" applyProtection="1">
      <alignment horizontal="center" vertical="center" wrapText="1"/>
    </xf>
    <xf numFmtId="164" fontId="9" fillId="0" borderId="0" xfId="15" applyNumberFormat="1" applyFont="1" applyFill="1" applyBorder="1" applyAlignment="1" applyProtection="1">
      <alignment horizontal="right" vertical="center" wrapText="1"/>
    </xf>
    <xf numFmtId="0" fontId="8" fillId="0" borderId="28" xfId="0" applyFont="1" applyBorder="1" applyAlignment="1" applyProtection="1">
      <alignment horizontal="right" vertical="center"/>
    </xf>
    <xf numFmtId="0" fontId="8" fillId="0" borderId="28" xfId="0" applyFont="1" applyBorder="1" applyAlignment="1" applyProtection="1">
      <alignment horizontal="left" vertical="center"/>
    </xf>
    <xf numFmtId="0" fontId="10" fillId="0" borderId="28" xfId="0" applyFont="1" applyBorder="1" applyAlignment="1" applyProtection="1">
      <alignment horizontal="right" vertical="center"/>
    </xf>
    <xf numFmtId="9" fontId="8" fillId="0" borderId="28" xfId="0" applyNumberFormat="1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33" fillId="0" borderId="0" xfId="0" applyFont="1"/>
    <xf numFmtId="0" fontId="36" fillId="0" borderId="38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8" fillId="0" borderId="39" xfId="26" applyFont="1" applyFill="1" applyBorder="1" applyAlignment="1">
      <alignment horizontal="center" vertical="center" textRotation="90" wrapText="1"/>
    </xf>
    <xf numFmtId="0" fontId="8" fillId="0" borderId="5" xfId="26" applyFont="1" applyFill="1" applyBorder="1" applyAlignment="1">
      <alignment horizontal="center" vertical="center" textRotation="90" wrapText="1"/>
    </xf>
    <xf numFmtId="0" fontId="8" fillId="0" borderId="40" xfId="26" applyFont="1" applyFill="1" applyBorder="1" applyAlignment="1">
      <alignment horizontal="center" vertical="center" textRotation="90" wrapText="1"/>
    </xf>
    <xf numFmtId="0" fontId="8" fillId="0" borderId="6" xfId="26" applyFont="1" applyFill="1" applyBorder="1" applyAlignment="1">
      <alignment horizontal="center" vertical="center" textRotation="90" wrapText="1"/>
    </xf>
    <xf numFmtId="0" fontId="10" fillId="0" borderId="29" xfId="32" applyFont="1" applyFill="1" applyBorder="1" applyAlignment="1">
      <alignment horizontal="center" vertical="center"/>
    </xf>
    <xf numFmtId="2" fontId="8" fillId="0" borderId="29" xfId="35" applyNumberFormat="1" applyFont="1" applyFill="1" applyBorder="1" applyAlignment="1">
      <alignment horizontal="center" vertical="center" wrapText="1"/>
    </xf>
    <xf numFmtId="2" fontId="8" fillId="0" borderId="4" xfId="35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vertical="center"/>
    </xf>
    <xf numFmtId="2" fontId="8" fillId="0" borderId="6" xfId="35" applyNumberFormat="1" applyFont="1" applyFill="1" applyBorder="1" applyAlignment="1">
      <alignment horizontal="center" vertical="center" wrapText="1"/>
    </xf>
    <xf numFmtId="2" fontId="8" fillId="0" borderId="16" xfId="35" applyNumberFormat="1" applyFont="1" applyFill="1" applyBorder="1" applyAlignment="1">
      <alignment horizontal="center" vertical="center" wrapText="1"/>
    </xf>
    <xf numFmtId="0" fontId="8" fillId="0" borderId="13" xfId="26" applyFont="1" applyFill="1" applyBorder="1" applyAlignment="1">
      <alignment horizontal="center" vertical="center" textRotation="90" wrapText="1"/>
    </xf>
    <xf numFmtId="0" fontId="8" fillId="0" borderId="13" xfId="27" applyFont="1" applyFill="1" applyBorder="1" applyAlignment="1">
      <alignment vertical="center"/>
    </xf>
    <xf numFmtId="0" fontId="8" fillId="0" borderId="0" xfId="24" applyFont="1" applyFill="1" applyBorder="1" applyAlignment="1">
      <alignment horizontal="right" vertical="center" wrapText="1"/>
    </xf>
    <xf numFmtId="0" fontId="9" fillId="0" borderId="0" xfId="24" applyFont="1" applyFill="1" applyAlignment="1">
      <alignment horizontal="right" vertical="center"/>
    </xf>
    <xf numFmtId="9" fontId="9" fillId="0" borderId="0" xfId="24" applyNumberFormat="1" applyFont="1" applyFill="1" applyAlignment="1">
      <alignment horizontal="center" vertical="center"/>
    </xf>
    <xf numFmtId="0" fontId="9" fillId="0" borderId="0" xfId="24" applyFont="1" applyFill="1" applyAlignment="1">
      <alignment vertical="center"/>
    </xf>
    <xf numFmtId="2" fontId="8" fillId="0" borderId="0" xfId="35" applyNumberFormat="1" applyFont="1" applyFill="1" applyBorder="1" applyAlignment="1">
      <alignment horizontal="center" vertical="center" wrapText="1"/>
    </xf>
    <xf numFmtId="0" fontId="8" fillId="0" borderId="0" xfId="24" applyFont="1" applyFill="1" applyAlignment="1">
      <alignment vertical="center"/>
    </xf>
    <xf numFmtId="0" fontId="8" fillId="0" borderId="0" xfId="25" applyNumberFormat="1" applyFont="1" applyFill="1" applyBorder="1" applyAlignment="1" applyProtection="1">
      <alignment horizontal="right" vertical="center" wrapText="1"/>
    </xf>
    <xf numFmtId="0" fontId="9" fillId="0" borderId="0" xfId="25" applyNumberFormat="1" applyFont="1" applyFill="1" applyBorder="1" applyAlignment="1" applyProtection="1">
      <alignment horizontal="right" vertical="center"/>
    </xf>
    <xf numFmtId="0" fontId="9" fillId="0" borderId="0" xfId="25" applyNumberFormat="1" applyFont="1" applyFill="1" applyBorder="1" applyAlignment="1" applyProtection="1">
      <alignment vertical="center"/>
    </xf>
    <xf numFmtId="0" fontId="8" fillId="0" borderId="0" xfId="13" applyFont="1" applyFill="1" applyAlignment="1">
      <alignment vertical="center"/>
    </xf>
    <xf numFmtId="2" fontId="8" fillId="0" borderId="0" xfId="26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9" fillId="0" borderId="0" xfId="0" applyFont="1" applyFill="1"/>
    <xf numFmtId="0" fontId="38" fillId="0" borderId="0" xfId="0" applyFont="1" applyFill="1" applyAlignment="1">
      <alignment wrapText="1"/>
    </xf>
    <xf numFmtId="0" fontId="38" fillId="0" borderId="0" xfId="0" applyFont="1" applyFill="1"/>
    <xf numFmtId="0" fontId="38" fillId="0" borderId="0" xfId="0" applyFont="1" applyFill="1" applyBorder="1"/>
    <xf numFmtId="0" fontId="8" fillId="0" borderId="29" xfId="32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8" fillId="0" borderId="0" xfId="36" applyFont="1" applyBorder="1" applyAlignment="1">
      <alignment horizontal="right"/>
    </xf>
    <xf numFmtId="0" fontId="9" fillId="0" borderId="0" xfId="37" applyFont="1" applyAlignment="1">
      <alignment horizontal="center" vertical="center"/>
    </xf>
    <xf numFmtId="0" fontId="8" fillId="0" borderId="28" xfId="37" applyFont="1" applyBorder="1" applyAlignment="1">
      <alignment horizontal="center" vertical="center"/>
    </xf>
    <xf numFmtId="2" fontId="8" fillId="0" borderId="28" xfId="37" applyNumberFormat="1" applyFont="1" applyBorder="1" applyAlignment="1">
      <alignment horizontal="center" vertical="center"/>
    </xf>
    <xf numFmtId="167" fontId="8" fillId="0" borderId="28" xfId="37" applyNumberFormat="1" applyFont="1" applyBorder="1" applyAlignment="1">
      <alignment horizontal="center" vertical="center"/>
    </xf>
    <xf numFmtId="167" fontId="8" fillId="0" borderId="28" xfId="37" applyNumberFormat="1" applyFont="1" applyBorder="1" applyAlignment="1">
      <alignment horizontal="center" vertical="center" wrapText="1"/>
    </xf>
    <xf numFmtId="0" fontId="8" fillId="0" borderId="0" xfId="26" applyFont="1" applyFill="1" applyAlignment="1">
      <alignment horizontal="left" vertical="center" wrapText="1"/>
    </xf>
    <xf numFmtId="0" fontId="9" fillId="0" borderId="1" xfId="25" applyFont="1" applyFill="1" applyBorder="1" applyAlignment="1">
      <alignment horizontal="center" vertical="center" wrapText="1"/>
    </xf>
    <xf numFmtId="0" fontId="9" fillId="0" borderId="1" xfId="15" applyFont="1" applyFill="1" applyBorder="1" applyAlignment="1">
      <alignment horizontal="center" vertical="center" wrapText="1"/>
    </xf>
    <xf numFmtId="0" fontId="9" fillId="0" borderId="33" xfId="37" applyFont="1" applyBorder="1" applyAlignment="1">
      <alignment horizontal="center" vertical="center" wrapText="1"/>
    </xf>
    <xf numFmtId="0" fontId="9" fillId="0" borderId="37" xfId="37" applyFont="1" applyBorder="1" applyAlignment="1">
      <alignment horizontal="center" vertical="center" wrapText="1"/>
    </xf>
    <xf numFmtId="0" fontId="36" fillId="0" borderId="34" xfId="0" applyFont="1" applyBorder="1" applyAlignment="1" applyProtection="1">
      <alignment horizontal="center" vertical="center"/>
    </xf>
    <xf numFmtId="0" fontId="36" fillId="0" borderId="35" xfId="0" applyFont="1" applyBorder="1" applyAlignment="1" applyProtection="1">
      <alignment horizontal="center" vertical="center"/>
    </xf>
    <xf numFmtId="0" fontId="36" fillId="0" borderId="36" xfId="0" applyFont="1" applyBorder="1" applyAlignment="1" applyProtection="1">
      <alignment horizontal="center" vertical="center"/>
    </xf>
    <xf numFmtId="0" fontId="36" fillId="0" borderId="33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0" fontId="8" fillId="0" borderId="1" xfId="2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center" vertical="center" textRotation="90" wrapText="1"/>
    </xf>
    <xf numFmtId="0" fontId="8" fillId="0" borderId="1" xfId="32" applyFont="1" applyFill="1" applyBorder="1" applyAlignment="1">
      <alignment horizontal="center" vertical="center" wrapText="1"/>
    </xf>
    <xf numFmtId="0" fontId="8" fillId="0" borderId="1" xfId="32" applyFont="1" applyFill="1" applyBorder="1" applyAlignment="1">
      <alignment horizontal="center" vertical="center" textRotation="90"/>
    </xf>
    <xf numFmtId="0" fontId="8" fillId="0" borderId="0" xfId="32" applyFont="1" applyFill="1" applyAlignment="1">
      <alignment horizontal="right" vertical="center"/>
    </xf>
    <xf numFmtId="0" fontId="8" fillId="0" borderId="0" xfId="7" applyFont="1" applyFill="1" applyAlignment="1" applyProtection="1">
      <alignment horizontal="right" vertical="center"/>
      <protection locked="0"/>
    </xf>
    <xf numFmtId="0" fontId="8" fillId="0" borderId="0" xfId="7" applyFont="1" applyFill="1" applyAlignment="1" applyProtection="1">
      <alignment horizontal="left" vertical="center"/>
      <protection locked="0"/>
    </xf>
    <xf numFmtId="1" fontId="8" fillId="0" borderId="3" xfId="32" applyNumberFormat="1" applyFont="1" applyFill="1" applyBorder="1" applyAlignment="1">
      <alignment horizontal="center" vertical="center" wrapText="1"/>
    </xf>
    <xf numFmtId="1" fontId="8" fillId="0" borderId="27" xfId="32" applyNumberFormat="1" applyFont="1" applyFill="1" applyBorder="1" applyAlignment="1">
      <alignment horizontal="center" vertical="center" wrapText="1"/>
    </xf>
    <xf numFmtId="2" fontId="8" fillId="0" borderId="0" xfId="17" applyNumberFormat="1" applyFont="1" applyFill="1" applyAlignment="1">
      <alignment horizontal="center" vertical="center" wrapText="1"/>
    </xf>
    <xf numFmtId="0" fontId="8" fillId="0" borderId="1" xfId="32" applyFont="1" applyFill="1" applyBorder="1" applyAlignment="1">
      <alignment horizontal="left" vertical="center" textRotation="90" wrapText="1"/>
    </xf>
    <xf numFmtId="0" fontId="8" fillId="0" borderId="6" xfId="32" applyFont="1" applyFill="1" applyBorder="1" applyAlignment="1">
      <alignment horizontal="center" vertical="center" wrapText="1"/>
    </xf>
    <xf numFmtId="0" fontId="8" fillId="0" borderId="25" xfId="32" applyFont="1" applyFill="1" applyBorder="1" applyAlignment="1">
      <alignment horizontal="center" vertical="center" wrapText="1"/>
    </xf>
    <xf numFmtId="0" fontId="8" fillId="0" borderId="4" xfId="32" applyFont="1" applyFill="1" applyBorder="1" applyAlignment="1">
      <alignment horizontal="center" vertical="center" wrapText="1"/>
    </xf>
    <xf numFmtId="0" fontId="8" fillId="0" borderId="26" xfId="32" applyFont="1" applyFill="1" applyBorder="1" applyAlignment="1">
      <alignment horizontal="center" vertical="center" wrapText="1"/>
    </xf>
    <xf numFmtId="0" fontId="8" fillId="0" borderId="29" xfId="26" applyFont="1" applyFill="1" applyBorder="1" applyAlignment="1">
      <alignment horizontal="center" vertical="center"/>
    </xf>
    <xf numFmtId="0" fontId="8" fillId="0" borderId="30" xfId="26" applyFont="1" applyFill="1" applyBorder="1" applyAlignment="1">
      <alignment horizontal="center" vertical="center"/>
    </xf>
    <xf numFmtId="0" fontId="8" fillId="0" borderId="31" xfId="2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32" applyFont="1" applyFill="1" applyAlignment="1">
      <alignment vertical="center"/>
    </xf>
    <xf numFmtId="0" fontId="8" fillId="0" borderId="0" xfId="26" applyFont="1" applyFill="1" applyAlignment="1">
      <alignment vertical="center" wrapText="1"/>
    </xf>
    <xf numFmtId="0" fontId="8" fillId="0" borderId="0" xfId="7" applyFont="1" applyFill="1" applyAlignment="1" applyProtection="1">
      <alignment horizontal="center" vertical="center"/>
      <protection locked="0"/>
    </xf>
    <xf numFmtId="0" fontId="8" fillId="0" borderId="1" xfId="32" applyFont="1" applyFill="1" applyBorder="1" applyAlignment="1">
      <alignment vertical="center" textRotation="90" wrapText="1"/>
    </xf>
    <xf numFmtId="0" fontId="8" fillId="0" borderId="1" xfId="32" applyFont="1" applyFill="1" applyBorder="1" applyAlignment="1">
      <alignment vertical="center" wrapText="1"/>
    </xf>
    <xf numFmtId="0" fontId="13" fillId="0" borderId="17" xfId="13" applyFont="1" applyFill="1" applyBorder="1" applyAlignment="1">
      <alignment horizontal="center" vertical="justify"/>
    </xf>
    <xf numFmtId="0" fontId="10" fillId="0" borderId="17" xfId="13" applyFont="1" applyFill="1" applyBorder="1" applyAlignment="1">
      <alignment horizontal="center" vertical="justify"/>
    </xf>
    <xf numFmtId="0" fontId="8" fillId="0" borderId="1" xfId="23" applyFont="1" applyBorder="1" applyAlignment="1">
      <alignment vertical="center" wrapText="1"/>
    </xf>
    <xf numFmtId="2" fontId="40" fillId="0" borderId="1" xfId="32" applyNumberFormat="1" applyFont="1" applyBorder="1" applyAlignment="1">
      <alignment horizontal="center" vertical="center" wrapText="1"/>
    </xf>
    <xf numFmtId="165" fontId="40" fillId="0" borderId="1" xfId="32" applyNumberFormat="1" applyFont="1" applyFill="1" applyBorder="1" applyAlignment="1">
      <alignment horizontal="center" vertical="center" wrapText="1"/>
    </xf>
  </cellXfs>
  <cellStyles count="38">
    <cellStyle name="Comma 2" xfId="2" xr:uid="{00000000-0005-0000-0000-000000000000}"/>
    <cellStyle name="Excel Built-in Explanatory Text" xfId="3" xr:uid="{00000000-0005-0000-0000-000001000000}"/>
    <cellStyle name="Excel_BuiltIn_Explanatory Text" xfId="4" xr:uid="{00000000-0005-0000-0000-000002000000}"/>
    <cellStyle name="Explanatory Text 2" xfId="6" xr:uid="{00000000-0005-0000-0000-000003000000}"/>
    <cellStyle name="Good 2" xfId="7" xr:uid="{00000000-0005-0000-0000-000004000000}"/>
    <cellStyle name="Komats" xfId="1" builtinId="3"/>
    <cellStyle name="Normal 10" xfId="8" xr:uid="{00000000-0005-0000-0000-000006000000}"/>
    <cellStyle name="Normal 11" xfId="9" xr:uid="{00000000-0005-0000-0000-000007000000}"/>
    <cellStyle name="Normal 12" xfId="10" xr:uid="{00000000-0005-0000-0000-000008000000}"/>
    <cellStyle name="Normal 13" xfId="11" xr:uid="{00000000-0005-0000-0000-000009000000}"/>
    <cellStyle name="Normal 2" xfId="12" xr:uid="{00000000-0005-0000-0000-00000A000000}"/>
    <cellStyle name="Normal 2 2" xfId="13" xr:uid="{00000000-0005-0000-0000-00000B000000}"/>
    <cellStyle name="Normal 2_Tame AVK Uliha 56 07.05.2010." xfId="14" xr:uid="{00000000-0005-0000-0000-00000C000000}"/>
    <cellStyle name="Normal 3" xfId="15" xr:uid="{00000000-0005-0000-0000-00000D000000}"/>
    <cellStyle name="Normal 4" xfId="16" xr:uid="{00000000-0005-0000-0000-00000E000000}"/>
    <cellStyle name="Normal 4 2" xfId="17" xr:uid="{00000000-0005-0000-0000-00000F000000}"/>
    <cellStyle name="Normal 5" xfId="18" xr:uid="{00000000-0005-0000-0000-000010000000}"/>
    <cellStyle name="Normal 6" xfId="19" xr:uid="{00000000-0005-0000-0000-000011000000}"/>
    <cellStyle name="Normal 7" xfId="20" xr:uid="{00000000-0005-0000-0000-000012000000}"/>
    <cellStyle name="Normal 8" xfId="21" xr:uid="{00000000-0005-0000-0000-000013000000}"/>
    <cellStyle name="Normal 9" xfId="22" xr:uid="{00000000-0005-0000-0000-000014000000}"/>
    <cellStyle name="Normal_DA" xfId="23" xr:uid="{00000000-0005-0000-0000-000015000000}"/>
    <cellStyle name="Normal_Liepaja Peldu 5 UK tames" xfId="24" xr:uid="{00000000-0005-0000-0000-000016000000}"/>
    <cellStyle name="Normal_Sheet1 2" xfId="25" xr:uid="{00000000-0005-0000-0000-000017000000}"/>
    <cellStyle name="Normal_Siguldas 27 - tabulas" xfId="26" xr:uid="{00000000-0005-0000-0000-000018000000}"/>
    <cellStyle name="Normal_Tame AVK Uliha 56 07.05.2010." xfId="27" xr:uid="{00000000-0005-0000-0000-000019000000}"/>
    <cellStyle name="Parasts" xfId="0" builtinId="0"/>
    <cellStyle name="Parasts 2" xfId="28" xr:uid="{00000000-0005-0000-0000-00001B000000}"/>
    <cellStyle name="Parasts 3" xfId="29" xr:uid="{00000000-0005-0000-0000-00001C000000}"/>
    <cellStyle name="Parasts 3 2" xfId="30" xr:uid="{00000000-0005-0000-0000-00001D000000}"/>
    <cellStyle name="Parasts 4" xfId="36" xr:uid="{B4D6BDB5-754C-4E97-B46F-D665949797A9}"/>
    <cellStyle name="Paskaidrojošs teksts" xfId="5" builtinId="53"/>
    <cellStyle name="Paskaidrojošs teksts 2" xfId="37" xr:uid="{E7964351-68D3-41A8-8F38-C2818705EB8F}"/>
    <cellStyle name="Procenti 2" xfId="31" xr:uid="{00000000-0005-0000-0000-00001F000000}"/>
    <cellStyle name="Style 1" xfId="32" xr:uid="{00000000-0005-0000-0000-000020000000}"/>
    <cellStyle name="Style 1 2" xfId="33" xr:uid="{00000000-0005-0000-0000-000021000000}"/>
    <cellStyle name="Style 1 4" xfId="34" xr:uid="{00000000-0005-0000-0000-000022000000}"/>
    <cellStyle name="Стиль 1" xfId="35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132</xdr:row>
      <xdr:rowOff>66675</xdr:rowOff>
    </xdr:from>
    <xdr:to>
      <xdr:col>5</xdr:col>
      <xdr:colOff>342900</xdr:colOff>
      <xdr:row>132</xdr:row>
      <xdr:rowOff>142875</xdr:rowOff>
    </xdr:to>
    <xdr:sp macro="" textlink="">
      <xdr:nvSpPr>
        <xdr:cNvPr id="10709" name="Text Box 193">
          <a:extLst>
            <a:ext uri="{FF2B5EF4-FFF2-40B4-BE49-F238E27FC236}">
              <a16:creationId xmlns:a16="http://schemas.microsoft.com/office/drawing/2014/main" id="{2BF7F1CA-E5A5-463D-9CAE-4DBE293287F2}"/>
            </a:ext>
          </a:extLst>
        </xdr:cNvPr>
        <xdr:cNvSpPr>
          <a:spLocks noChangeArrowheads="1"/>
        </xdr:cNvSpPr>
      </xdr:nvSpPr>
      <xdr:spPr bwMode="auto">
        <a:xfrm>
          <a:off x="4191000" y="30965775"/>
          <a:ext cx="95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333375</xdr:colOff>
      <xdr:row>132</xdr:row>
      <xdr:rowOff>66675</xdr:rowOff>
    </xdr:from>
    <xdr:to>
      <xdr:col>5</xdr:col>
      <xdr:colOff>342900</xdr:colOff>
      <xdr:row>132</xdr:row>
      <xdr:rowOff>142875</xdr:rowOff>
    </xdr:to>
    <xdr:sp macro="" textlink="">
      <xdr:nvSpPr>
        <xdr:cNvPr id="10710" name="Text Box 194">
          <a:extLst>
            <a:ext uri="{FF2B5EF4-FFF2-40B4-BE49-F238E27FC236}">
              <a16:creationId xmlns:a16="http://schemas.microsoft.com/office/drawing/2014/main" id="{B9F0D184-1BC7-4238-8E95-46844CA83EAC}"/>
            </a:ext>
          </a:extLst>
        </xdr:cNvPr>
        <xdr:cNvSpPr>
          <a:spLocks noChangeArrowheads="1"/>
        </xdr:cNvSpPr>
      </xdr:nvSpPr>
      <xdr:spPr bwMode="auto">
        <a:xfrm>
          <a:off x="4191000" y="30965775"/>
          <a:ext cx="95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333375</xdr:colOff>
      <xdr:row>132</xdr:row>
      <xdr:rowOff>66675</xdr:rowOff>
    </xdr:from>
    <xdr:to>
      <xdr:col>5</xdr:col>
      <xdr:colOff>342900</xdr:colOff>
      <xdr:row>132</xdr:row>
      <xdr:rowOff>142875</xdr:rowOff>
    </xdr:to>
    <xdr:sp macro="" textlink="">
      <xdr:nvSpPr>
        <xdr:cNvPr id="10711" name="Text Box 195">
          <a:extLst>
            <a:ext uri="{FF2B5EF4-FFF2-40B4-BE49-F238E27FC236}">
              <a16:creationId xmlns:a16="http://schemas.microsoft.com/office/drawing/2014/main" id="{2F851313-31A7-4EE6-A9FE-D54C836AB523}"/>
            </a:ext>
          </a:extLst>
        </xdr:cNvPr>
        <xdr:cNvSpPr>
          <a:spLocks noChangeArrowheads="1"/>
        </xdr:cNvSpPr>
      </xdr:nvSpPr>
      <xdr:spPr bwMode="auto">
        <a:xfrm>
          <a:off x="4191000" y="30965775"/>
          <a:ext cx="95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46</xdr:row>
      <xdr:rowOff>66675</xdr:rowOff>
    </xdr:from>
    <xdr:to>
      <xdr:col>4</xdr:col>
      <xdr:colOff>342900</xdr:colOff>
      <xdr:row>46</xdr:row>
      <xdr:rowOff>142875</xdr:rowOff>
    </xdr:to>
    <xdr:sp macro="" textlink="">
      <xdr:nvSpPr>
        <xdr:cNvPr id="19859" name="Text Box 193">
          <a:extLst>
            <a:ext uri="{FF2B5EF4-FFF2-40B4-BE49-F238E27FC236}">
              <a16:creationId xmlns:a16="http://schemas.microsoft.com/office/drawing/2014/main" id="{243655AD-D504-46DF-927F-2168E1E5108F}"/>
            </a:ext>
          </a:extLst>
        </xdr:cNvPr>
        <xdr:cNvSpPr>
          <a:spLocks noChangeArrowheads="1"/>
        </xdr:cNvSpPr>
      </xdr:nvSpPr>
      <xdr:spPr bwMode="auto">
        <a:xfrm>
          <a:off x="4276725" y="9972675"/>
          <a:ext cx="95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333375</xdr:colOff>
      <xdr:row>46</xdr:row>
      <xdr:rowOff>66675</xdr:rowOff>
    </xdr:from>
    <xdr:to>
      <xdr:col>4</xdr:col>
      <xdr:colOff>342900</xdr:colOff>
      <xdr:row>46</xdr:row>
      <xdr:rowOff>142875</xdr:rowOff>
    </xdr:to>
    <xdr:sp macro="" textlink="">
      <xdr:nvSpPr>
        <xdr:cNvPr id="19860" name="Text Box 194">
          <a:extLst>
            <a:ext uri="{FF2B5EF4-FFF2-40B4-BE49-F238E27FC236}">
              <a16:creationId xmlns:a16="http://schemas.microsoft.com/office/drawing/2014/main" id="{E6BDD688-615F-41C5-BCF6-CA6B34794243}"/>
            </a:ext>
          </a:extLst>
        </xdr:cNvPr>
        <xdr:cNvSpPr>
          <a:spLocks noChangeArrowheads="1"/>
        </xdr:cNvSpPr>
      </xdr:nvSpPr>
      <xdr:spPr bwMode="auto">
        <a:xfrm>
          <a:off x="4276725" y="9972675"/>
          <a:ext cx="95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333375</xdr:colOff>
      <xdr:row>46</xdr:row>
      <xdr:rowOff>66675</xdr:rowOff>
    </xdr:from>
    <xdr:to>
      <xdr:col>4</xdr:col>
      <xdr:colOff>342900</xdr:colOff>
      <xdr:row>46</xdr:row>
      <xdr:rowOff>142875</xdr:rowOff>
    </xdr:to>
    <xdr:sp macro="" textlink="">
      <xdr:nvSpPr>
        <xdr:cNvPr id="19861" name="Text Box 195">
          <a:extLst>
            <a:ext uri="{FF2B5EF4-FFF2-40B4-BE49-F238E27FC236}">
              <a16:creationId xmlns:a16="http://schemas.microsoft.com/office/drawing/2014/main" id="{64FDC554-8F76-4328-89E5-18B38CF1F7D9}"/>
            </a:ext>
          </a:extLst>
        </xdr:cNvPr>
        <xdr:cNvSpPr>
          <a:spLocks noChangeArrowheads="1"/>
        </xdr:cNvSpPr>
      </xdr:nvSpPr>
      <xdr:spPr bwMode="auto">
        <a:xfrm>
          <a:off x="4276725" y="9972675"/>
          <a:ext cx="95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gaidu%20dokumenti/Renov&#257;cija_iepirkums/Altum_iepirkumi/47_E_Tise_50/DA_Tis&#275;_50_27.05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NAS16\Kopejiedati\_LNA%20dz&#299;vojam&#257;s%20m&#257;jas\_Turaidas%208a%20EA\T%20un%20DA%20Turaidas%208a\T_%20Turaidas%208a_21.06.2018%20sakret+vat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ERA\Users$\kbeihman\Documents\Reinu%20meza%203\Darbu%20apjomi%20Reinu%20meza%203%2021_05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"/>
      <sheetName val="KPDV"/>
      <sheetName val="AR"/>
      <sheetName val="apjomi"/>
      <sheetName val="Logi"/>
      <sheetName val="pagrabs"/>
      <sheetName val="cokols"/>
      <sheetName val="BK"/>
      <sheetName val="jumts"/>
      <sheetName val="ieejas"/>
      <sheetName val="AVK"/>
      <sheetName val="GA"/>
    </sheetNames>
    <sheetDataSet>
      <sheetData sheetId="0"/>
      <sheetData sheetId="1">
        <row r="10">
          <cell r="B10" t="str">
            <v>Tāme sastādīta .gada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kpdv"/>
      <sheetName val="AR"/>
      <sheetName val="logi"/>
      <sheetName val="Cokol"/>
      <sheetName val="Jumts"/>
      <sheetName val="pagr"/>
      <sheetName val="balkoni"/>
      <sheetName val="apjoms"/>
      <sheetName val="ieejas"/>
      <sheetName val="AVK"/>
      <sheetName val="gaze"/>
    </sheetNames>
    <sheetDataSet>
      <sheetData sheetId="0"/>
      <sheetData sheetId="1">
        <row r="27">
          <cell r="C27" t="str">
            <v>V.Maļukovs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"/>
      <sheetName val="KPDV"/>
      <sheetName val="AR"/>
      <sheetName val="apjomi"/>
      <sheetName val="Logi"/>
      <sheetName val="pagrabs"/>
      <sheetName val="cokols"/>
      <sheetName val="jumts"/>
      <sheetName val="Ieeja"/>
      <sheetName val="bēniņi"/>
      <sheetName val="lodžijas"/>
      <sheetName val="AVK"/>
      <sheetName val="zibens"/>
    </sheetNames>
    <sheetDataSet>
      <sheetData sheetId="0"/>
      <sheetData sheetId="1">
        <row r="31">
          <cell r="B31" t="str">
            <v>Sastādīja:</v>
          </cell>
        </row>
        <row r="32">
          <cell r="B32" t="str">
            <v>Tāme sastādīta</v>
          </cell>
        </row>
        <row r="34">
          <cell r="B34" t="str">
            <v>Pārbaudīja:</v>
          </cell>
        </row>
        <row r="35">
          <cell r="B35" t="str">
            <v>Sertifikāta Nr.: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24112-F775-4EE3-B2B8-3F6E0F9FAF6B}">
  <dimension ref="A1:AMK29"/>
  <sheetViews>
    <sheetView zoomScaleNormal="100" workbookViewId="0">
      <selection activeCell="D27" sqref="D27"/>
    </sheetView>
  </sheetViews>
  <sheetFormatPr defaultRowHeight="15" x14ac:dyDescent="0.25"/>
  <cols>
    <col min="1" max="1" width="9" style="289" customWidth="1"/>
    <col min="2" max="2" width="40.85546875" style="289" customWidth="1"/>
    <col min="3" max="3" width="10.28515625" style="289" customWidth="1"/>
    <col min="4" max="4" width="28.140625" style="289" customWidth="1"/>
    <col min="5" max="1025" width="9" style="289" customWidth="1"/>
    <col min="1026" max="16384" width="9.140625" style="315"/>
  </cols>
  <sheetData>
    <row r="1" spans="1:5" x14ac:dyDescent="0.25">
      <c r="B1" s="290"/>
      <c r="C1" s="290"/>
      <c r="D1" s="290"/>
      <c r="E1" s="290"/>
    </row>
    <row r="2" spans="1:5" x14ac:dyDescent="0.25">
      <c r="B2" s="291"/>
      <c r="C2" s="291"/>
      <c r="D2" s="290"/>
      <c r="E2" s="290"/>
    </row>
    <row r="3" spans="1:5" x14ac:dyDescent="0.25">
      <c r="B3" s="290"/>
      <c r="C3" s="290"/>
      <c r="D3" s="290"/>
      <c r="E3" s="290"/>
    </row>
    <row r="4" spans="1:5" x14ac:dyDescent="0.25">
      <c r="B4" s="290"/>
      <c r="C4" s="290"/>
      <c r="D4" s="292"/>
      <c r="E4" s="292"/>
    </row>
    <row r="5" spans="1:5" x14ac:dyDescent="0.25">
      <c r="B5" s="358"/>
      <c r="C5" s="358"/>
      <c r="D5" s="358"/>
      <c r="E5" s="358"/>
    </row>
    <row r="6" spans="1:5" x14ac:dyDescent="0.25">
      <c r="B6" s="293"/>
      <c r="C6" s="293"/>
      <c r="D6" s="293"/>
      <c r="E6" s="290"/>
    </row>
    <row r="7" spans="1:5" x14ac:dyDescent="0.25">
      <c r="B7" s="290"/>
      <c r="C7" s="294"/>
      <c r="D7" s="290"/>
      <c r="E7" s="290"/>
    </row>
    <row r="8" spans="1:5" x14ac:dyDescent="0.25">
      <c r="D8" s="295" t="s">
        <v>314</v>
      </c>
    </row>
    <row r="9" spans="1:5" x14ac:dyDescent="0.25">
      <c r="A9" s="359" t="s">
        <v>315</v>
      </c>
      <c r="B9" s="359"/>
      <c r="C9" s="359"/>
      <c r="D9" s="359"/>
    </row>
    <row r="10" spans="1:5" x14ac:dyDescent="0.25">
      <c r="A10" s="296" t="s">
        <v>316</v>
      </c>
      <c r="B10" s="297"/>
      <c r="C10" s="298"/>
      <c r="D10" s="297"/>
    </row>
    <row r="11" spans="1:5" ht="14.25" customHeight="1" x14ac:dyDescent="0.25">
      <c r="A11" s="299" t="s">
        <v>2</v>
      </c>
      <c r="B11" s="299"/>
      <c r="C11" s="299"/>
      <c r="D11" s="299"/>
    </row>
    <row r="12" spans="1:5" x14ac:dyDescent="0.25">
      <c r="A12" s="300" t="str">
        <f>KPDV!A7</f>
        <v>Objekta adrese: Raiņa iela 18/20, Liepāja</v>
      </c>
      <c r="B12" s="301"/>
      <c r="C12" s="300"/>
      <c r="D12" s="301"/>
    </row>
    <row r="13" spans="1:5" x14ac:dyDescent="0.25">
      <c r="A13" s="300" t="str">
        <f>KPDV!A8</f>
        <v>Pasūtījuma Nr.: EA-78-16</v>
      </c>
      <c r="B13" s="302"/>
      <c r="C13" s="303"/>
      <c r="D13" s="301"/>
    </row>
    <row r="14" spans="1:5" x14ac:dyDescent="0.25">
      <c r="A14" s="304"/>
      <c r="C14" s="298"/>
      <c r="D14" s="305" t="s">
        <v>317</v>
      </c>
    </row>
    <row r="17" spans="1:4" x14ac:dyDescent="0.25">
      <c r="A17" s="306" t="s">
        <v>17</v>
      </c>
      <c r="B17" s="307" t="s">
        <v>318</v>
      </c>
      <c r="C17" s="360" t="s">
        <v>319</v>
      </c>
      <c r="D17" s="360"/>
    </row>
    <row r="18" spans="1:4" ht="22.5" x14ac:dyDescent="0.25">
      <c r="A18" s="308">
        <v>1</v>
      </c>
      <c r="B18" s="309" t="s">
        <v>324</v>
      </c>
      <c r="C18" s="361"/>
      <c r="D18" s="361"/>
    </row>
    <row r="19" spans="1:4" x14ac:dyDescent="0.25">
      <c r="A19" s="302"/>
      <c r="B19" s="310" t="s">
        <v>320</v>
      </c>
      <c r="C19" s="362"/>
      <c r="D19" s="362"/>
    </row>
    <row r="20" spans="1:4" x14ac:dyDescent="0.25">
      <c r="B20" s="311" t="s">
        <v>321</v>
      </c>
      <c r="C20" s="363"/>
      <c r="D20" s="363"/>
    </row>
    <row r="21" spans="1:4" x14ac:dyDescent="0.25">
      <c r="A21" s="302"/>
      <c r="B21" s="311"/>
      <c r="C21" s="312"/>
    </row>
    <row r="22" spans="1:4" x14ac:dyDescent="0.25">
      <c r="A22" s="304"/>
      <c r="B22" s="313"/>
      <c r="C22" s="304"/>
      <c r="D22" s="304"/>
    </row>
    <row r="23" spans="1:4" x14ac:dyDescent="0.25">
      <c r="A23" s="304"/>
      <c r="B23" s="314"/>
      <c r="C23" s="304"/>
      <c r="D23" s="304"/>
    </row>
    <row r="24" spans="1:4" x14ac:dyDescent="0.25">
      <c r="C24" s="304"/>
      <c r="D24" s="301"/>
    </row>
    <row r="25" spans="1:4" x14ac:dyDescent="0.25">
      <c r="A25" s="304"/>
      <c r="B25" s="314" t="s">
        <v>322</v>
      </c>
      <c r="C25" s="300"/>
      <c r="D25" s="301"/>
    </row>
    <row r="26" spans="1:4" x14ac:dyDescent="0.25">
      <c r="A26" s="304"/>
      <c r="B26" s="314" t="s">
        <v>323</v>
      </c>
      <c r="C26" s="304"/>
      <c r="D26" s="304"/>
    </row>
    <row r="28" spans="1:4" x14ac:dyDescent="0.25">
      <c r="B28" s="313" t="s">
        <v>317</v>
      </c>
    </row>
    <row r="29" spans="1:4" x14ac:dyDescent="0.25">
      <c r="B29" s="314"/>
    </row>
  </sheetData>
  <mergeCells count="6">
    <mergeCell ref="C20:D20"/>
    <mergeCell ref="B5:E5"/>
    <mergeCell ref="A9:D9"/>
    <mergeCell ref="C17:D17"/>
    <mergeCell ref="C18:D18"/>
    <mergeCell ref="C19:D1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W20"/>
  <sheetViews>
    <sheetView zoomScale="70" zoomScaleNormal="70" zoomScaleSheetLayoutView="100" workbookViewId="0">
      <selection activeCell="E20" sqref="E20"/>
    </sheetView>
  </sheetViews>
  <sheetFormatPr defaultColWidth="9" defaultRowHeight="11.25" x14ac:dyDescent="0.2"/>
  <cols>
    <col min="1" max="1" width="4.5703125" style="2" customWidth="1"/>
    <col min="2" max="2" width="42.140625" style="1" customWidth="1"/>
    <col min="3" max="3" width="4" style="2" customWidth="1"/>
    <col min="4" max="5" width="7.140625" style="2" bestFit="1" customWidth="1"/>
    <col min="6" max="6" width="4.85546875" style="2" customWidth="1"/>
    <col min="7" max="7" width="9.85546875" style="2" customWidth="1"/>
    <col min="8" max="9" width="6.42578125" style="2" customWidth="1"/>
    <col min="10" max="10" width="5.85546875" style="2" customWidth="1"/>
    <col min="11" max="11" width="9.85546875" style="2" customWidth="1"/>
    <col min="12" max="12" width="7" style="2" customWidth="1"/>
    <col min="13" max="14" width="10.85546875" style="2" customWidth="1"/>
    <col min="15" max="15" width="7.42578125" style="2" customWidth="1"/>
    <col min="16" max="17" width="6.42578125" style="2" customWidth="1"/>
    <col min="18" max="18" width="7.42578125" style="2" customWidth="1"/>
    <col min="19" max="19" width="5.85546875" style="2" customWidth="1"/>
    <col min="20" max="21" width="9" style="2" customWidth="1"/>
    <col min="22" max="22" width="10.42578125" style="2" customWidth="1"/>
    <col min="23" max="23" width="7.85546875" style="2" customWidth="1"/>
    <col min="24" max="16384" width="9" style="2"/>
  </cols>
  <sheetData>
    <row r="1" spans="1:23" x14ac:dyDescent="0.2">
      <c r="K1" s="397" t="s">
        <v>85</v>
      </c>
      <c r="L1" s="397"/>
      <c r="M1" s="397" t="s">
        <v>86</v>
      </c>
      <c r="N1" s="397"/>
      <c r="O1" s="397" t="s">
        <v>87</v>
      </c>
      <c r="P1" s="397"/>
      <c r="Q1" s="398" t="s">
        <v>88</v>
      </c>
      <c r="R1" s="398"/>
      <c r="S1" s="398"/>
      <c r="T1" s="398"/>
      <c r="U1" s="398"/>
      <c r="V1" s="398"/>
      <c r="W1" s="1"/>
    </row>
    <row r="2" spans="1:23" ht="11.25" customHeight="1" x14ac:dyDescent="0.2">
      <c r="B2" s="399" t="s">
        <v>89</v>
      </c>
      <c r="C2" s="397" t="s">
        <v>90</v>
      </c>
      <c r="D2" s="397"/>
      <c r="E2" s="397"/>
      <c r="F2" s="397" t="s">
        <v>91</v>
      </c>
      <c r="G2" s="397"/>
      <c r="H2" s="397" t="s">
        <v>92</v>
      </c>
      <c r="I2" s="397"/>
      <c r="J2" s="397"/>
      <c r="M2" s="2" t="s">
        <v>93</v>
      </c>
      <c r="N2" s="2" t="s">
        <v>94</v>
      </c>
      <c r="O2" s="2" t="s">
        <v>94</v>
      </c>
      <c r="P2" s="2" t="s">
        <v>95</v>
      </c>
      <c r="Q2" s="395" t="s">
        <v>290</v>
      </c>
      <c r="R2" s="395" t="s">
        <v>291</v>
      </c>
      <c r="S2" s="395" t="s">
        <v>292</v>
      </c>
      <c r="T2" s="395" t="s">
        <v>293</v>
      </c>
      <c r="U2" s="395" t="s">
        <v>294</v>
      </c>
      <c r="V2" s="396" t="s">
        <v>295</v>
      </c>
    </row>
    <row r="3" spans="1:23" ht="31.5" customHeight="1" x14ac:dyDescent="0.2">
      <c r="B3" s="399"/>
      <c r="C3" s="2" t="s">
        <v>96</v>
      </c>
      <c r="D3" s="2" t="s">
        <v>97</v>
      </c>
      <c r="E3" s="2" t="s">
        <v>10</v>
      </c>
      <c r="F3" s="2" t="s">
        <v>98</v>
      </c>
      <c r="G3" s="2" t="s">
        <v>99</v>
      </c>
      <c r="H3" s="2" t="s">
        <v>175</v>
      </c>
      <c r="I3" s="2" t="str">
        <f>C3</f>
        <v>PVC</v>
      </c>
      <c r="J3" s="2" t="str">
        <f>D3</f>
        <v>koka</v>
      </c>
      <c r="K3" s="2" t="s">
        <v>100</v>
      </c>
      <c r="L3" s="2" t="s">
        <v>101</v>
      </c>
      <c r="M3" s="4">
        <v>0.25</v>
      </c>
      <c r="N3" s="4">
        <v>0.4</v>
      </c>
      <c r="Q3" s="395"/>
      <c r="R3" s="395"/>
      <c r="S3" s="395"/>
      <c r="T3" s="395"/>
      <c r="U3" s="395"/>
      <c r="V3" s="396"/>
    </row>
    <row r="4" spans="1:23" x14ac:dyDescent="0.2">
      <c r="B4" s="3" t="s">
        <v>102</v>
      </c>
      <c r="C4" s="5">
        <f t="shared" ref="C4:C9" si="0">E4-D4</f>
        <v>18</v>
      </c>
      <c r="D4" s="4">
        <v>6</v>
      </c>
      <c r="E4" s="4">
        <v>24</v>
      </c>
      <c r="F4" s="4">
        <v>2.0150000000000001</v>
      </c>
      <c r="G4" s="4">
        <v>1.5449999999999999</v>
      </c>
      <c r="H4" s="20">
        <f t="shared" ref="H4:H11" si="1">F4*G4</f>
        <v>3.113175</v>
      </c>
      <c r="I4" s="20">
        <f t="shared" ref="I4:I11" si="2">H4*C4</f>
        <v>56.037149999999997</v>
      </c>
      <c r="J4" s="20">
        <f t="shared" ref="J4:J11" si="3">H4*D4</f>
        <v>18.67905</v>
      </c>
      <c r="K4" s="20">
        <f t="shared" ref="K4:K9" si="4">(F4*2+G4*2)*E4</f>
        <v>170.88</v>
      </c>
      <c r="L4" s="20">
        <f t="shared" ref="L4:L9" si="5">(F4*2+G4*2)*D4</f>
        <v>42.72</v>
      </c>
      <c r="M4" s="20">
        <f t="shared" ref="M4:M11" si="6">K4*$M$3</f>
        <v>42.72</v>
      </c>
      <c r="N4" s="20">
        <f t="shared" ref="N4:N11" si="7">L4*$N$3</f>
        <v>17.088000000000001</v>
      </c>
      <c r="O4" s="20">
        <f>F4*D4</f>
        <v>12.09</v>
      </c>
      <c r="P4" s="20">
        <f>E4*F4*1.05</f>
        <v>50.777999999999999</v>
      </c>
      <c r="Q4" s="20">
        <f t="shared" ref="Q4:Q11" si="8">E4*(F4+2*G4)</f>
        <v>122.52000000000001</v>
      </c>
      <c r="R4" s="20">
        <f t="shared" ref="R4:R11" si="9">Q4</f>
        <v>122.52000000000001</v>
      </c>
      <c r="S4" s="20">
        <f t="shared" ref="S4:S11" si="10">E4*F4</f>
        <v>48.36</v>
      </c>
      <c r="T4" s="20">
        <f t="shared" ref="T4:T11" si="11">S4</f>
        <v>48.36</v>
      </c>
      <c r="U4" s="20">
        <f>E4*2</f>
        <v>48</v>
      </c>
      <c r="V4" s="6"/>
      <c r="W4" s="7" t="s">
        <v>296</v>
      </c>
    </row>
    <row r="5" spans="1:23" x14ac:dyDescent="0.2">
      <c r="B5" s="3" t="s">
        <v>103</v>
      </c>
      <c r="C5" s="5">
        <f t="shared" si="0"/>
        <v>11</v>
      </c>
      <c r="D5" s="4">
        <v>4</v>
      </c>
      <c r="E5" s="4">
        <v>15</v>
      </c>
      <c r="F5" s="4">
        <v>1.52</v>
      </c>
      <c r="G5" s="4">
        <v>1.425</v>
      </c>
      <c r="H5" s="20">
        <f t="shared" si="1"/>
        <v>2.1659999999999999</v>
      </c>
      <c r="I5" s="20">
        <f t="shared" si="2"/>
        <v>23.826000000000001</v>
      </c>
      <c r="J5" s="20">
        <f t="shared" si="3"/>
        <v>8.6639999999999997</v>
      </c>
      <c r="K5" s="20">
        <f t="shared" si="4"/>
        <v>88.350000000000009</v>
      </c>
      <c r="L5" s="20">
        <f t="shared" si="5"/>
        <v>23.560000000000002</v>
      </c>
      <c r="M5" s="20">
        <f t="shared" si="6"/>
        <v>22.087500000000002</v>
      </c>
      <c r="N5" s="20">
        <f t="shared" si="7"/>
        <v>9.4240000000000013</v>
      </c>
      <c r="O5" s="20">
        <f>F5*D5</f>
        <v>6.08</v>
      </c>
      <c r="P5" s="20">
        <f>E5*F5*1.05</f>
        <v>23.94</v>
      </c>
      <c r="Q5" s="20">
        <f t="shared" si="8"/>
        <v>65.55</v>
      </c>
      <c r="R5" s="20">
        <f t="shared" si="9"/>
        <v>65.55</v>
      </c>
      <c r="S5" s="20">
        <f t="shared" si="10"/>
        <v>22.8</v>
      </c>
      <c r="T5" s="20">
        <f t="shared" si="11"/>
        <v>22.8</v>
      </c>
      <c r="U5" s="20">
        <f t="shared" ref="U5:U11" si="12">E5*2</f>
        <v>30</v>
      </c>
      <c r="V5" s="6"/>
      <c r="W5" s="7"/>
    </row>
    <row r="6" spans="1:23" x14ac:dyDescent="0.2">
      <c r="B6" s="3" t="s">
        <v>115</v>
      </c>
      <c r="C6" s="5">
        <f t="shared" si="0"/>
        <v>0</v>
      </c>
      <c r="D6" s="4">
        <v>4</v>
      </c>
      <c r="E6" s="4">
        <v>4</v>
      </c>
      <c r="F6" s="4">
        <v>1.48</v>
      </c>
      <c r="G6" s="4">
        <v>1.54</v>
      </c>
      <c r="H6" s="20">
        <f t="shared" si="1"/>
        <v>2.2791999999999999</v>
      </c>
      <c r="I6" s="20">
        <f t="shared" si="2"/>
        <v>0</v>
      </c>
      <c r="J6" s="20">
        <f t="shared" si="3"/>
        <v>9.1167999999999996</v>
      </c>
      <c r="K6" s="20">
        <f t="shared" si="4"/>
        <v>24.16</v>
      </c>
      <c r="L6" s="20">
        <f t="shared" si="5"/>
        <v>24.16</v>
      </c>
      <c r="M6" s="20">
        <f t="shared" si="6"/>
        <v>6.04</v>
      </c>
      <c r="N6" s="20">
        <f t="shared" si="7"/>
        <v>9.6640000000000015</v>
      </c>
      <c r="O6" s="20">
        <f>F6*D6</f>
        <v>5.92</v>
      </c>
      <c r="P6" s="20">
        <f>E6*F6*1.05</f>
        <v>6.2160000000000002</v>
      </c>
      <c r="Q6" s="20">
        <f t="shared" si="8"/>
        <v>18.240000000000002</v>
      </c>
      <c r="R6" s="20">
        <f t="shared" si="9"/>
        <v>18.240000000000002</v>
      </c>
      <c r="S6" s="20">
        <f t="shared" si="10"/>
        <v>5.92</v>
      </c>
      <c r="T6" s="20">
        <f t="shared" si="11"/>
        <v>5.92</v>
      </c>
      <c r="U6" s="20">
        <f t="shared" si="12"/>
        <v>8</v>
      </c>
      <c r="V6" s="6"/>
      <c r="W6" s="7"/>
    </row>
    <row r="7" spans="1:23" x14ac:dyDescent="0.2">
      <c r="B7" s="3" t="s">
        <v>116</v>
      </c>
      <c r="C7" s="5">
        <f t="shared" si="0"/>
        <v>17</v>
      </c>
      <c r="D7" s="4">
        <v>3</v>
      </c>
      <c r="E7" s="4">
        <v>20</v>
      </c>
      <c r="F7" s="4">
        <v>1.52</v>
      </c>
      <c r="G7" s="4">
        <v>1.425</v>
      </c>
      <c r="H7" s="20">
        <f t="shared" si="1"/>
        <v>2.1659999999999999</v>
      </c>
      <c r="I7" s="20">
        <f t="shared" si="2"/>
        <v>36.821999999999996</v>
      </c>
      <c r="J7" s="20">
        <f t="shared" si="3"/>
        <v>6.4979999999999993</v>
      </c>
      <c r="K7" s="20">
        <f t="shared" si="4"/>
        <v>117.80000000000001</v>
      </c>
      <c r="L7" s="20">
        <f t="shared" si="5"/>
        <v>17.670000000000002</v>
      </c>
      <c r="M7" s="20">
        <f t="shared" si="6"/>
        <v>29.450000000000003</v>
      </c>
      <c r="N7" s="20">
        <f t="shared" si="7"/>
        <v>7.0680000000000014</v>
      </c>
      <c r="O7" s="20">
        <f>F7*D7</f>
        <v>4.5600000000000005</v>
      </c>
      <c r="P7" s="20">
        <f>E7*F7*1.05</f>
        <v>31.919999999999998</v>
      </c>
      <c r="Q7" s="20">
        <f t="shared" si="8"/>
        <v>87.4</v>
      </c>
      <c r="R7" s="20">
        <f t="shared" si="9"/>
        <v>87.4</v>
      </c>
      <c r="S7" s="20">
        <f t="shared" si="10"/>
        <v>30.4</v>
      </c>
      <c r="T7" s="20">
        <f t="shared" si="11"/>
        <v>30.4</v>
      </c>
      <c r="U7" s="20">
        <f t="shared" si="12"/>
        <v>40</v>
      </c>
      <c r="V7" s="6"/>
      <c r="W7" s="7"/>
    </row>
    <row r="8" spans="1:23" x14ac:dyDescent="0.2">
      <c r="B8" s="3" t="s">
        <v>117</v>
      </c>
      <c r="C8" s="5">
        <f t="shared" si="0"/>
        <v>0</v>
      </c>
      <c r="D8" s="4">
        <v>6</v>
      </c>
      <c r="E8" s="4">
        <v>6</v>
      </c>
      <c r="F8" s="4">
        <v>1.2</v>
      </c>
      <c r="G8" s="4">
        <v>0.5</v>
      </c>
      <c r="H8" s="20">
        <f t="shared" si="1"/>
        <v>0.6</v>
      </c>
      <c r="I8" s="20">
        <f t="shared" si="2"/>
        <v>0</v>
      </c>
      <c r="J8" s="20">
        <f t="shared" si="3"/>
        <v>3.5999999999999996</v>
      </c>
      <c r="K8" s="20">
        <f t="shared" si="4"/>
        <v>20.399999999999999</v>
      </c>
      <c r="L8" s="20">
        <f t="shared" si="5"/>
        <v>20.399999999999999</v>
      </c>
      <c r="M8" s="20">
        <f t="shared" si="6"/>
        <v>5.0999999999999996</v>
      </c>
      <c r="N8" s="20">
        <f t="shared" si="7"/>
        <v>8.16</v>
      </c>
      <c r="O8" s="20">
        <f>F8*D8</f>
        <v>7.1999999999999993</v>
      </c>
      <c r="P8" s="20">
        <f>E8*F8*1.05</f>
        <v>7.56</v>
      </c>
      <c r="Q8" s="20">
        <f t="shared" si="8"/>
        <v>13.200000000000001</v>
      </c>
      <c r="R8" s="20">
        <f t="shared" si="9"/>
        <v>13.200000000000001</v>
      </c>
      <c r="S8" s="20">
        <f t="shared" si="10"/>
        <v>7.1999999999999993</v>
      </c>
      <c r="T8" s="20">
        <f t="shared" si="11"/>
        <v>7.1999999999999993</v>
      </c>
      <c r="U8" s="20">
        <f t="shared" si="12"/>
        <v>12</v>
      </c>
      <c r="V8" s="6"/>
      <c r="W8" s="7"/>
    </row>
    <row r="9" spans="1:23" x14ac:dyDescent="0.2">
      <c r="B9" s="3" t="s">
        <v>118</v>
      </c>
      <c r="C9" s="5">
        <f t="shared" si="0"/>
        <v>0</v>
      </c>
      <c r="D9" s="4"/>
      <c r="E9" s="4"/>
      <c r="F9" s="4"/>
      <c r="G9" s="4"/>
      <c r="H9" s="20">
        <f t="shared" si="1"/>
        <v>0</v>
      </c>
      <c r="I9" s="20">
        <f t="shared" si="2"/>
        <v>0</v>
      </c>
      <c r="J9" s="20">
        <f t="shared" si="3"/>
        <v>0</v>
      </c>
      <c r="K9" s="20">
        <f t="shared" si="4"/>
        <v>0</v>
      </c>
      <c r="L9" s="20">
        <f t="shared" si="5"/>
        <v>0</v>
      </c>
      <c r="M9" s="20">
        <f t="shared" si="6"/>
        <v>0</v>
      </c>
      <c r="N9" s="20">
        <f t="shared" si="7"/>
        <v>0</v>
      </c>
      <c r="O9" s="20"/>
      <c r="P9" s="20"/>
      <c r="Q9" s="20">
        <f t="shared" si="8"/>
        <v>0</v>
      </c>
      <c r="R9" s="20">
        <f t="shared" si="9"/>
        <v>0</v>
      </c>
      <c r="S9" s="20">
        <f t="shared" si="10"/>
        <v>0</v>
      </c>
      <c r="T9" s="20">
        <f t="shared" si="11"/>
        <v>0</v>
      </c>
      <c r="U9" s="20">
        <f t="shared" si="12"/>
        <v>0</v>
      </c>
    </row>
    <row r="10" spans="1:23" x14ac:dyDescent="0.2">
      <c r="B10" s="3" t="s">
        <v>104</v>
      </c>
      <c r="C10" s="5">
        <v>0</v>
      </c>
      <c r="D10" s="4">
        <v>6</v>
      </c>
      <c r="E10" s="4">
        <v>6</v>
      </c>
      <c r="F10" s="4">
        <v>1.2</v>
      </c>
      <c r="G10" s="4">
        <v>0.5</v>
      </c>
      <c r="H10" s="20">
        <f t="shared" si="1"/>
        <v>0.6</v>
      </c>
      <c r="I10" s="20">
        <f t="shared" si="2"/>
        <v>0</v>
      </c>
      <c r="J10" s="20">
        <f t="shared" si="3"/>
        <v>3.5999999999999996</v>
      </c>
      <c r="K10" s="20">
        <f>(F10+G10*2)*E10</f>
        <v>13.200000000000001</v>
      </c>
      <c r="L10" s="20">
        <f>(F10+G10*2)*D10</f>
        <v>13.200000000000001</v>
      </c>
      <c r="M10" s="20">
        <f t="shared" si="6"/>
        <v>3.3000000000000003</v>
      </c>
      <c r="N10" s="20">
        <f t="shared" si="7"/>
        <v>5.2800000000000011</v>
      </c>
      <c r="O10" s="20">
        <f>F10*D10</f>
        <v>7.1999999999999993</v>
      </c>
      <c r="P10" s="20">
        <f>E10*F10*1.05</f>
        <v>7.56</v>
      </c>
      <c r="Q10" s="20">
        <f t="shared" si="8"/>
        <v>13.200000000000001</v>
      </c>
      <c r="R10" s="20">
        <f t="shared" si="9"/>
        <v>13.200000000000001</v>
      </c>
      <c r="S10" s="20">
        <f t="shared" si="10"/>
        <v>7.1999999999999993</v>
      </c>
      <c r="T10" s="20">
        <f t="shared" si="11"/>
        <v>7.1999999999999993</v>
      </c>
      <c r="U10" s="20">
        <f t="shared" si="12"/>
        <v>12</v>
      </c>
    </row>
    <row r="11" spans="1:23" x14ac:dyDescent="0.2">
      <c r="B11" s="3" t="s">
        <v>187</v>
      </c>
      <c r="C11" s="5">
        <v>0</v>
      </c>
      <c r="D11" s="4">
        <v>2</v>
      </c>
      <c r="E11" s="4">
        <v>2</v>
      </c>
      <c r="F11" s="4">
        <v>1</v>
      </c>
      <c r="G11" s="4">
        <v>0.6</v>
      </c>
      <c r="H11" s="20">
        <f t="shared" si="1"/>
        <v>0.6</v>
      </c>
      <c r="I11" s="20">
        <f t="shared" si="2"/>
        <v>0</v>
      </c>
      <c r="J11" s="20">
        <f t="shared" si="3"/>
        <v>1.2</v>
      </c>
      <c r="K11" s="20">
        <f>(F11+G11*2)*E11</f>
        <v>4.4000000000000004</v>
      </c>
      <c r="L11" s="20">
        <f>(F11+G11*2)*D11</f>
        <v>4.4000000000000004</v>
      </c>
      <c r="M11" s="20">
        <f t="shared" si="6"/>
        <v>1.1000000000000001</v>
      </c>
      <c r="N11" s="20">
        <f t="shared" si="7"/>
        <v>1.7600000000000002</v>
      </c>
      <c r="O11" s="20">
        <f>F11*D11</f>
        <v>2</v>
      </c>
      <c r="P11" s="20">
        <f>E11*F11*1.05</f>
        <v>2.1</v>
      </c>
      <c r="Q11" s="20">
        <f t="shared" si="8"/>
        <v>4.4000000000000004</v>
      </c>
      <c r="R11" s="20">
        <f t="shared" si="9"/>
        <v>4.4000000000000004</v>
      </c>
      <c r="S11" s="20">
        <f t="shared" si="10"/>
        <v>2</v>
      </c>
      <c r="T11" s="20">
        <f t="shared" si="11"/>
        <v>2</v>
      </c>
      <c r="U11" s="20">
        <f t="shared" si="12"/>
        <v>4</v>
      </c>
    </row>
    <row r="12" spans="1:23" x14ac:dyDescent="0.2">
      <c r="B12" s="3"/>
      <c r="D12" s="8"/>
      <c r="E12" s="9">
        <f>SUM(E4:E11)</f>
        <v>77</v>
      </c>
      <c r="F12" s="8"/>
      <c r="G12" s="8"/>
      <c r="H12" s="8"/>
      <c r="I12" s="9">
        <f t="shared" ref="I12:U12" si="13">SUM(I4:I11)</f>
        <v>116.68514999999999</v>
      </c>
      <c r="J12" s="9">
        <f t="shared" si="13"/>
        <v>51.357849999999999</v>
      </c>
      <c r="K12" s="9">
        <f t="shared" si="13"/>
        <v>439.19</v>
      </c>
      <c r="L12" s="9">
        <f t="shared" si="13"/>
        <v>146.10999999999999</v>
      </c>
      <c r="M12" s="9">
        <f t="shared" si="13"/>
        <v>109.7975</v>
      </c>
      <c r="N12" s="9">
        <f t="shared" si="13"/>
        <v>58.443999999999996</v>
      </c>
      <c r="O12" s="9">
        <f t="shared" si="13"/>
        <v>45.050000000000011</v>
      </c>
      <c r="P12" s="9">
        <f t="shared" si="13"/>
        <v>130.07400000000001</v>
      </c>
      <c r="Q12" s="9">
        <f t="shared" si="13"/>
        <v>324.51</v>
      </c>
      <c r="R12" s="9">
        <f t="shared" si="13"/>
        <v>324.51</v>
      </c>
      <c r="S12" s="9">
        <f t="shared" si="13"/>
        <v>123.88</v>
      </c>
      <c r="T12" s="9">
        <f t="shared" si="13"/>
        <v>123.88</v>
      </c>
      <c r="U12" s="9">
        <f t="shared" si="13"/>
        <v>154</v>
      </c>
      <c r="V12" s="10">
        <v>98</v>
      </c>
    </row>
    <row r="13" spans="1:23" x14ac:dyDescent="0.2">
      <c r="A13" s="11"/>
      <c r="B13" s="12" t="s">
        <v>105</v>
      </c>
    </row>
    <row r="14" spans="1:23" x14ac:dyDescent="0.2">
      <c r="A14" s="13" t="s">
        <v>106</v>
      </c>
      <c r="B14" s="13" t="s">
        <v>107</v>
      </c>
      <c r="C14" s="14"/>
      <c r="D14" s="14" t="s">
        <v>108</v>
      </c>
      <c r="E14" s="14"/>
    </row>
    <row r="15" spans="1:23" x14ac:dyDescent="0.2">
      <c r="A15" s="13"/>
      <c r="B15" s="15" t="s">
        <v>109</v>
      </c>
      <c r="C15" s="14"/>
      <c r="D15" s="14" t="s">
        <v>188</v>
      </c>
      <c r="E15" s="14" t="s">
        <v>189</v>
      </c>
    </row>
    <row r="16" spans="1:23" ht="31.35" customHeight="1" x14ac:dyDescent="0.2">
      <c r="A16" s="13" t="s">
        <v>110</v>
      </c>
      <c r="B16" s="16" t="s">
        <v>190</v>
      </c>
      <c r="C16" s="14" t="s">
        <v>32</v>
      </c>
      <c r="D16" s="18"/>
      <c r="E16" s="18">
        <v>825</v>
      </c>
    </row>
    <row r="17" spans="1:7" ht="31.35" customHeight="1" x14ac:dyDescent="0.2">
      <c r="A17" s="13" t="s">
        <v>111</v>
      </c>
      <c r="B17" s="16" t="s">
        <v>280</v>
      </c>
      <c r="C17" s="14" t="str">
        <f>C16</f>
        <v>m²</v>
      </c>
      <c r="D17" s="18">
        <v>110</v>
      </c>
      <c r="E17" s="17"/>
      <c r="F17" s="19"/>
      <c r="G17" s="19"/>
    </row>
    <row r="18" spans="1:7" ht="31.35" customHeight="1" x14ac:dyDescent="0.2">
      <c r="A18" s="13"/>
      <c r="B18" s="15" t="s">
        <v>112</v>
      </c>
      <c r="C18" s="14"/>
      <c r="D18" s="18">
        <f>SUM(D16:D17)</f>
        <v>110</v>
      </c>
      <c r="E18" s="18">
        <f>SUM(E16:E17)</f>
        <v>825</v>
      </c>
    </row>
    <row r="19" spans="1:7" ht="31.35" customHeight="1" x14ac:dyDescent="0.2">
      <c r="A19" s="13" t="s">
        <v>113</v>
      </c>
      <c r="B19" s="16" t="s">
        <v>191</v>
      </c>
      <c r="C19" s="14" t="s">
        <v>32</v>
      </c>
      <c r="D19" s="18"/>
      <c r="E19" s="18">
        <v>366</v>
      </c>
    </row>
    <row r="20" spans="1:7" ht="31.35" customHeight="1" x14ac:dyDescent="0.2">
      <c r="A20" s="13" t="s">
        <v>119</v>
      </c>
      <c r="B20" s="16" t="s">
        <v>192</v>
      </c>
      <c r="C20" s="14" t="s">
        <v>32</v>
      </c>
      <c r="D20" s="18"/>
      <c r="E20" s="22">
        <v>210</v>
      </c>
    </row>
  </sheetData>
  <sheetProtection selectLockedCells="1" selectUnlockedCells="1"/>
  <mergeCells count="14">
    <mergeCell ref="B2:B3"/>
    <mergeCell ref="C2:E2"/>
    <mergeCell ref="F2:G2"/>
    <mergeCell ref="H2:J2"/>
    <mergeCell ref="R2:R3"/>
    <mergeCell ref="S2:S3"/>
    <mergeCell ref="T2:T3"/>
    <mergeCell ref="V2:V3"/>
    <mergeCell ref="K1:L1"/>
    <mergeCell ref="M1:N1"/>
    <mergeCell ref="O1:P1"/>
    <mergeCell ref="Q1:V1"/>
    <mergeCell ref="Q2:Q3"/>
    <mergeCell ref="U2:U3"/>
  </mergeCells>
  <pageMargins left="0.78749999999999998" right="0" top="0.59027777777777779" bottom="0.78749999999999998" header="0.51180555555555551" footer="0.51180555555555551"/>
  <pageSetup paperSize="9" scale="69" firstPageNumber="0" orientation="landscape" horizontalDpi="300" verticalDpi="300" r:id="rId1"/>
  <headerFooter alignWithMargins="0"/>
  <colBreaks count="1" manualBreakCount="1">
    <brk id="2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N31"/>
  <sheetViews>
    <sheetView view="pageBreakPreview" zoomScale="85" zoomScaleNormal="100" zoomScaleSheetLayoutView="85" workbookViewId="0">
      <selection activeCell="C14" sqref="C14"/>
    </sheetView>
  </sheetViews>
  <sheetFormatPr defaultColWidth="11.5703125" defaultRowHeight="11.25" x14ac:dyDescent="0.2"/>
  <cols>
    <col min="1" max="1" width="4.5703125" style="27" customWidth="1"/>
    <col min="2" max="2" width="5.140625" style="27" customWidth="1"/>
    <col min="3" max="3" width="33.140625" style="91" customWidth="1"/>
    <col min="4" max="4" width="6.42578125" style="92" customWidth="1"/>
    <col min="5" max="5" width="10.42578125" style="92" customWidth="1"/>
    <col min="6" max="6" width="5.5703125" style="92" hidden="1" customWidth="1"/>
    <col min="7" max="7" width="9.140625" style="92" customWidth="1"/>
    <col min="8" max="13" width="7" style="92" customWidth="1"/>
    <col min="14" max="17" width="8" style="92" customWidth="1"/>
    <col min="18" max="16384" width="11.5703125" style="27"/>
  </cols>
  <sheetData>
    <row r="1" spans="1:17" x14ac:dyDescent="0.2">
      <c r="A1" s="401" t="s">
        <v>11</v>
      </c>
      <c r="B1" s="401"/>
      <c r="C1" s="401"/>
      <c r="D1" s="401"/>
      <c r="E1" s="401"/>
      <c r="F1" s="401"/>
      <c r="G1" s="401"/>
      <c r="H1" s="26">
        <f>KPDV!A22</f>
        <v>8</v>
      </c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36"/>
      <c r="B2" s="36"/>
      <c r="C2" s="38" t="s">
        <v>202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402" t="str">
        <f>KPDV!A5</f>
        <v>Būves nosaukums: Daudzdzīvokļu dzīvojamā ēka</v>
      </c>
      <c r="B3" s="402"/>
      <c r="C3" s="402"/>
      <c r="D3" s="402"/>
      <c r="E3" s="402"/>
      <c r="F3" s="402"/>
      <c r="G3" s="402"/>
      <c r="H3" s="402"/>
      <c r="I3" s="94"/>
      <c r="J3" s="94"/>
      <c r="K3" s="94"/>
      <c r="L3" s="94"/>
      <c r="M3" s="31"/>
      <c r="N3" s="31"/>
      <c r="O3" s="31"/>
      <c r="P3" s="31"/>
      <c r="Q3" s="26"/>
    </row>
    <row r="4" spans="1:17" x14ac:dyDescent="0.2">
      <c r="A4" s="402" t="str">
        <f>KPDV!A6</f>
        <v>Objekta nosaukums: Dzīvojamās ēkas fasādes vienkāršota atjaunošana</v>
      </c>
      <c r="B4" s="402"/>
      <c r="C4" s="402"/>
      <c r="D4" s="402"/>
      <c r="E4" s="402"/>
      <c r="F4" s="402"/>
      <c r="G4" s="402"/>
      <c r="H4" s="402"/>
      <c r="I4" s="32"/>
      <c r="J4" s="32"/>
      <c r="K4" s="31"/>
      <c r="L4" s="31"/>
      <c r="M4" s="31"/>
      <c r="N4" s="31"/>
      <c r="O4" s="31"/>
      <c r="P4" s="31"/>
      <c r="Q4" s="26"/>
    </row>
    <row r="5" spans="1:17" x14ac:dyDescent="0.2">
      <c r="A5" s="123" t="str">
        <f>KPDV!A7</f>
        <v>Objekta adrese: Raiņa iela 18/20, Liepāja</v>
      </c>
      <c r="B5" s="123"/>
      <c r="C5" s="123"/>
      <c r="D5" s="32"/>
      <c r="E5" s="94"/>
      <c r="F5" s="94"/>
      <c r="G5" s="32"/>
      <c r="H5" s="32"/>
      <c r="I5" s="32"/>
      <c r="J5" s="32"/>
      <c r="K5" s="31"/>
      <c r="L5" s="31"/>
      <c r="M5" s="31"/>
      <c r="N5" s="31"/>
      <c r="O5" s="31"/>
      <c r="P5" s="31"/>
      <c r="Q5" s="26"/>
    </row>
    <row r="6" spans="1:17" x14ac:dyDescent="0.2">
      <c r="A6" s="123" t="str">
        <f>KPDV!A8</f>
        <v>Pasūtījuma Nr.: EA-78-16</v>
      </c>
      <c r="B6" s="123"/>
      <c r="C6" s="123"/>
      <c r="D6" s="32"/>
      <c r="E6" s="32"/>
      <c r="F6" s="32"/>
      <c r="G6" s="32"/>
      <c r="H6" s="32"/>
      <c r="I6" s="32"/>
      <c r="J6" s="32"/>
      <c r="K6" s="31"/>
      <c r="L6" s="31"/>
      <c r="M6" s="31"/>
      <c r="N6" s="31"/>
      <c r="O6" s="31"/>
      <c r="P6" s="31"/>
      <c r="Q6" s="26"/>
    </row>
    <row r="7" spans="1:17" x14ac:dyDescent="0.2">
      <c r="A7" s="123"/>
      <c r="B7" s="123"/>
      <c r="C7" s="123"/>
      <c r="D7" s="32"/>
      <c r="E7" s="32"/>
      <c r="F7" s="32"/>
      <c r="G7" s="32"/>
      <c r="H7" s="32"/>
      <c r="I7" s="32"/>
      <c r="J7" s="32"/>
      <c r="K7" s="31"/>
      <c r="L7" s="31"/>
      <c r="M7" s="31"/>
      <c r="N7" s="31"/>
      <c r="O7" s="31"/>
      <c r="P7" s="31"/>
      <c r="Q7" s="26"/>
    </row>
    <row r="8" spans="1:17" x14ac:dyDescent="0.2">
      <c r="A8" s="380" t="s">
        <v>341</v>
      </c>
      <c r="B8" s="380"/>
      <c r="C8" s="380"/>
      <c r="D8" s="380"/>
      <c r="E8" s="35" t="s">
        <v>13</v>
      </c>
      <c r="F8" s="26"/>
      <c r="G8" s="403" t="s">
        <v>14</v>
      </c>
      <c r="H8" s="403"/>
      <c r="I8" s="403"/>
      <c r="J8" s="403"/>
      <c r="K8" s="26"/>
      <c r="L8" s="26"/>
      <c r="M8" s="26"/>
      <c r="N8" s="26" t="s">
        <v>15</v>
      </c>
      <c r="O8" s="26"/>
      <c r="P8" s="37">
        <f>Q21</f>
        <v>0</v>
      </c>
      <c r="Q8" s="21" t="s">
        <v>16</v>
      </c>
    </row>
    <row r="9" spans="1:17" x14ac:dyDescent="0.2">
      <c r="B9" s="38"/>
      <c r="C9" s="38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27" t="str">
        <f>dat</f>
        <v>Tāme sastādīta .gada</v>
      </c>
    </row>
    <row r="10" spans="1:17" x14ac:dyDescent="0.2">
      <c r="A10" s="404" t="s">
        <v>17</v>
      </c>
      <c r="B10" s="404" t="s">
        <v>18</v>
      </c>
      <c r="C10" s="405" t="s">
        <v>19</v>
      </c>
      <c r="D10" s="378" t="s">
        <v>20</v>
      </c>
      <c r="E10" s="376" t="s">
        <v>21</v>
      </c>
      <c r="F10" s="39"/>
      <c r="G10" s="375" t="s">
        <v>22</v>
      </c>
      <c r="H10" s="375"/>
      <c r="I10" s="375"/>
      <c r="J10" s="375"/>
      <c r="K10" s="375"/>
      <c r="L10" s="375"/>
      <c r="M10" s="375" t="s">
        <v>23</v>
      </c>
      <c r="N10" s="375"/>
      <c r="O10" s="375"/>
      <c r="P10" s="375"/>
      <c r="Q10" s="375"/>
    </row>
    <row r="11" spans="1:17" ht="66.75" x14ac:dyDescent="0.2">
      <c r="A11" s="404"/>
      <c r="B11" s="404"/>
      <c r="C11" s="405"/>
      <c r="D11" s="378"/>
      <c r="E11" s="376"/>
      <c r="F11" s="39"/>
      <c r="G11" s="328" t="s">
        <v>342</v>
      </c>
      <c r="H11" s="329" t="s">
        <v>343</v>
      </c>
      <c r="I11" s="329" t="s">
        <v>344</v>
      </c>
      <c r="J11" s="329" t="s">
        <v>345</v>
      </c>
      <c r="K11" s="329" t="s">
        <v>346</v>
      </c>
      <c r="L11" s="330" t="s">
        <v>333</v>
      </c>
      <c r="M11" s="328" t="s">
        <v>24</v>
      </c>
      <c r="N11" s="329" t="s">
        <v>344</v>
      </c>
      <c r="O11" s="329" t="s">
        <v>345</v>
      </c>
      <c r="P11" s="329" t="s">
        <v>346</v>
      </c>
      <c r="Q11" s="330" t="s">
        <v>347</v>
      </c>
    </row>
    <row r="12" spans="1:17" x14ac:dyDescent="0.2">
      <c r="A12" s="124">
        <v>1</v>
      </c>
      <c r="B12" s="124">
        <f>A12+1</f>
        <v>2</v>
      </c>
      <c r="C12" s="63">
        <f>B12+1</f>
        <v>3</v>
      </c>
      <c r="D12" s="125">
        <f>C12+1</f>
        <v>4</v>
      </c>
      <c r="E12" s="125">
        <f>D12+1</f>
        <v>5</v>
      </c>
      <c r="F12" s="98"/>
      <c r="G12" s="125">
        <f>E12+1</f>
        <v>6</v>
      </c>
      <c r="H12" s="125">
        <f t="shared" ref="H12:Q12" si="0">G12+1</f>
        <v>7</v>
      </c>
      <c r="I12" s="125">
        <f t="shared" si="0"/>
        <v>8</v>
      </c>
      <c r="J12" s="125">
        <f t="shared" si="0"/>
        <v>9</v>
      </c>
      <c r="K12" s="125">
        <f t="shared" si="0"/>
        <v>10</v>
      </c>
      <c r="L12" s="125">
        <f t="shared" si="0"/>
        <v>11</v>
      </c>
      <c r="M12" s="125">
        <f t="shared" si="0"/>
        <v>12</v>
      </c>
      <c r="N12" s="125">
        <f t="shared" si="0"/>
        <v>13</v>
      </c>
      <c r="O12" s="125">
        <f t="shared" si="0"/>
        <v>14</v>
      </c>
      <c r="P12" s="125">
        <f t="shared" si="0"/>
        <v>15</v>
      </c>
      <c r="Q12" s="125">
        <f t="shared" si="0"/>
        <v>16</v>
      </c>
    </row>
    <row r="13" spans="1:17" x14ac:dyDescent="0.2">
      <c r="A13" s="124"/>
      <c r="B13" s="124"/>
      <c r="C13" s="126" t="s">
        <v>154</v>
      </c>
      <c r="D13" s="125"/>
      <c r="E13" s="125"/>
      <c r="F13" s="98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7"/>
    </row>
    <row r="14" spans="1:17" ht="90" x14ac:dyDescent="0.2">
      <c r="A14" s="55">
        <f>IF(COUNTBLANK(B14)=1," ",COUNTA($B$13:B14))</f>
        <v>1</v>
      </c>
      <c r="B14" s="128" t="s">
        <v>25</v>
      </c>
      <c r="C14" s="129" t="s">
        <v>311</v>
      </c>
      <c r="D14" s="47" t="s">
        <v>143</v>
      </c>
      <c r="E14" s="130">
        <v>5</v>
      </c>
      <c r="F14" s="130"/>
      <c r="G14" s="71"/>
      <c r="H14" s="57"/>
      <c r="I14" s="71"/>
      <c r="J14" s="71"/>
      <c r="K14" s="71"/>
      <c r="L14" s="131"/>
      <c r="M14" s="132"/>
      <c r="N14" s="132"/>
      <c r="O14" s="132"/>
      <c r="P14" s="132"/>
      <c r="Q14" s="133"/>
    </row>
    <row r="15" spans="1:17" x14ac:dyDescent="0.2">
      <c r="A15" s="55">
        <f>IF(COUNTBLANK(B15)=1," ",COUNTA($B$13:B15))</f>
        <v>2</v>
      </c>
      <c r="B15" s="128" t="s">
        <v>25</v>
      </c>
      <c r="C15" s="129" t="s">
        <v>254</v>
      </c>
      <c r="D15" s="85" t="s">
        <v>131</v>
      </c>
      <c r="E15" s="130">
        <v>1</v>
      </c>
      <c r="F15" s="130"/>
      <c r="G15" s="71"/>
      <c r="H15" s="57"/>
      <c r="I15" s="71"/>
      <c r="J15" s="71"/>
      <c r="K15" s="71"/>
      <c r="L15" s="131"/>
      <c r="M15" s="132"/>
      <c r="N15" s="132"/>
      <c r="O15" s="132"/>
      <c r="P15" s="132"/>
      <c r="Q15" s="133"/>
    </row>
    <row r="16" spans="1:17" x14ac:dyDescent="0.2">
      <c r="A16" s="55">
        <f>IF(COUNTBLANK(B16)=1," ",COUNTA($B$13:B16))</f>
        <v>3</v>
      </c>
      <c r="B16" s="128" t="s">
        <v>25</v>
      </c>
      <c r="C16" s="129" t="s">
        <v>201</v>
      </c>
      <c r="D16" s="130" t="s">
        <v>27</v>
      </c>
      <c r="E16" s="130">
        <v>60</v>
      </c>
      <c r="F16" s="130"/>
      <c r="G16" s="71"/>
      <c r="H16" s="57"/>
      <c r="I16" s="71"/>
      <c r="J16" s="71"/>
      <c r="K16" s="71"/>
      <c r="L16" s="131"/>
      <c r="M16" s="132"/>
      <c r="N16" s="132"/>
      <c r="O16" s="132"/>
      <c r="P16" s="132"/>
      <c r="Q16" s="133"/>
    </row>
    <row r="17" spans="1:248" x14ac:dyDescent="0.2">
      <c r="A17" s="55">
        <f>IF(COUNTBLANK(B17)=1," ",COUNTA($B$13:B17))</f>
        <v>4</v>
      </c>
      <c r="B17" s="128" t="s">
        <v>25</v>
      </c>
      <c r="C17" s="134" t="s">
        <v>171</v>
      </c>
      <c r="D17" s="135" t="s">
        <v>32</v>
      </c>
      <c r="E17" s="130">
        <v>40</v>
      </c>
      <c r="F17" s="135"/>
      <c r="G17" s="130"/>
      <c r="H17" s="57"/>
      <c r="I17" s="130"/>
      <c r="J17" s="130"/>
      <c r="K17" s="130"/>
      <c r="L17" s="131"/>
      <c r="M17" s="132"/>
      <c r="N17" s="132"/>
      <c r="O17" s="132"/>
      <c r="P17" s="132"/>
      <c r="Q17" s="133"/>
      <c r="R17" s="400"/>
      <c r="S17" s="400"/>
    </row>
    <row r="18" spans="1:248" x14ac:dyDescent="0.2">
      <c r="A18" s="55">
        <f>IF(COUNTBLANK(B18)=1," ",COUNTA($B$13:B18))</f>
        <v>5</v>
      </c>
      <c r="B18" s="128" t="s">
        <v>25</v>
      </c>
      <c r="C18" s="134" t="s">
        <v>152</v>
      </c>
      <c r="D18" s="135" t="s">
        <v>27</v>
      </c>
      <c r="E18" s="130">
        <v>27</v>
      </c>
      <c r="F18" s="135"/>
      <c r="G18" s="130"/>
      <c r="H18" s="57"/>
      <c r="I18" s="130"/>
      <c r="J18" s="130"/>
      <c r="K18" s="130"/>
      <c r="L18" s="131"/>
      <c r="M18" s="132"/>
      <c r="N18" s="132"/>
      <c r="O18" s="132"/>
      <c r="P18" s="132"/>
      <c r="Q18" s="133"/>
      <c r="R18" s="400"/>
      <c r="S18" s="400"/>
    </row>
    <row r="19" spans="1:248" x14ac:dyDescent="0.2">
      <c r="A19" s="55">
        <f>IF(COUNTBLANK(B19)=1," ",COUNTA($B$13:B19))</f>
        <v>6</v>
      </c>
      <c r="B19" s="128" t="s">
        <v>25</v>
      </c>
      <c r="C19" s="134" t="s">
        <v>153</v>
      </c>
      <c r="D19" s="135" t="s">
        <v>32</v>
      </c>
      <c r="E19" s="130">
        <f>E17*1.25</f>
        <v>50</v>
      </c>
      <c r="F19" s="135"/>
      <c r="G19" s="130"/>
      <c r="H19" s="57"/>
      <c r="I19" s="130"/>
      <c r="J19" s="130"/>
      <c r="K19" s="130"/>
      <c r="L19" s="131"/>
      <c r="M19" s="132"/>
      <c r="N19" s="132"/>
      <c r="O19" s="132"/>
      <c r="P19" s="132"/>
      <c r="Q19" s="133"/>
    </row>
    <row r="20" spans="1:248" ht="22.5" x14ac:dyDescent="0.2">
      <c r="C20" s="340" t="s">
        <v>156</v>
      </c>
      <c r="D20" s="341"/>
      <c r="E20" s="342"/>
      <c r="F20" s="342"/>
      <c r="G20" s="343"/>
      <c r="H20" s="343"/>
      <c r="I20" s="343"/>
      <c r="J20" s="343"/>
      <c r="K20" s="343"/>
      <c r="L20" s="27"/>
      <c r="M20" s="344"/>
      <c r="N20" s="344"/>
      <c r="O20" s="344"/>
      <c r="P20" s="344"/>
      <c r="Q20" s="344"/>
    </row>
    <row r="21" spans="1:248" s="36" customFormat="1" x14ac:dyDescent="0.2">
      <c r="A21" s="72" t="str">
        <f>IF(COUNTBLANK(I21)=1," ",COUNTA($I21:I$126))</f>
        <v xml:space="preserve"> </v>
      </c>
      <c r="B21" s="27"/>
      <c r="C21" s="345"/>
      <c r="D21" s="345"/>
      <c r="E21" s="345"/>
      <c r="F21" s="345"/>
      <c r="G21" s="345"/>
      <c r="H21" s="345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</row>
    <row r="22" spans="1:248" s="36" customFormat="1" x14ac:dyDescent="0.2">
      <c r="A22" s="27"/>
      <c r="B22" s="27"/>
      <c r="C22" s="346" t="str">
        <f>[3]KPDV!$B$31</f>
        <v>Sastādīja:</v>
      </c>
      <c r="D22" s="347"/>
      <c r="E22" s="348"/>
      <c r="F22" s="348"/>
      <c r="G22" s="345"/>
      <c r="H22" s="345"/>
      <c r="I22" s="27"/>
      <c r="J22" s="27"/>
      <c r="K22" s="27"/>
      <c r="L22" s="27"/>
      <c r="M22" s="27"/>
      <c r="N22" s="27"/>
      <c r="O22" s="27"/>
      <c r="P22" s="27"/>
      <c r="Q22" s="27"/>
      <c r="IN22" s="27"/>
    </row>
    <row r="23" spans="1:248" s="36" customFormat="1" x14ac:dyDescent="0.2">
      <c r="A23" s="27"/>
      <c r="B23" s="27"/>
      <c r="C23" s="346" t="str">
        <f>[3]KPDV!$B$32</f>
        <v>Tāme sastādīta</v>
      </c>
      <c r="D23" s="123"/>
      <c r="E23" s="278"/>
      <c r="F23" s="278"/>
      <c r="G23" s="345"/>
      <c r="H23" s="345"/>
      <c r="I23" s="27"/>
      <c r="J23" s="27"/>
      <c r="K23" s="27"/>
      <c r="L23" s="27"/>
      <c r="M23" s="27"/>
      <c r="N23" s="27"/>
      <c r="O23" s="27"/>
      <c r="P23" s="27"/>
      <c r="Q23" s="27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</row>
    <row r="24" spans="1:248" s="36" customFormat="1" x14ac:dyDescent="0.2">
      <c r="A24" s="27"/>
      <c r="B24" s="27"/>
      <c r="C24" s="346"/>
      <c r="D24" s="123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27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</row>
    <row r="25" spans="1:248" x14ac:dyDescent="0.2">
      <c r="C25" s="346" t="str">
        <f>[3]KPDV!$B$34</f>
        <v>Pārbaudīja:</v>
      </c>
      <c r="D25" s="347"/>
      <c r="E25" s="348"/>
      <c r="F25" s="348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27"/>
    </row>
    <row r="26" spans="1:248" x14ac:dyDescent="0.2">
      <c r="C26" s="346" t="str">
        <f>[3]KPDV!$B$35</f>
        <v>Sertifikāta Nr.:</v>
      </c>
      <c r="D26" s="347"/>
      <c r="E26" s="349"/>
      <c r="F26" s="349"/>
      <c r="G26" s="123"/>
      <c r="H26" s="123"/>
      <c r="I26" s="123"/>
      <c r="J26" s="123"/>
      <c r="K26" s="123"/>
      <c r="L26" s="123"/>
      <c r="M26" s="350"/>
      <c r="N26" s="123"/>
      <c r="O26" s="350"/>
      <c r="P26" s="123"/>
      <c r="Q26" s="27"/>
    </row>
    <row r="27" spans="1:248" x14ac:dyDescent="0.2">
      <c r="C27" s="27"/>
      <c r="D27" s="27"/>
      <c r="E27" s="27"/>
      <c r="F27" s="27"/>
      <c r="G27" s="27"/>
      <c r="H27" s="27"/>
      <c r="I27" s="351"/>
      <c r="J27" s="267"/>
      <c r="K27" s="267"/>
      <c r="L27" s="27"/>
      <c r="M27" s="27"/>
      <c r="N27" s="27"/>
      <c r="O27" s="267"/>
      <c r="P27" s="267"/>
      <c r="Q27" s="27"/>
    </row>
    <row r="28" spans="1:248" ht="12.75" x14ac:dyDescent="0.2">
      <c r="B28" s="352" t="s">
        <v>348</v>
      </c>
      <c r="C28" s="353"/>
      <c r="D28" s="354"/>
      <c r="E28" s="354"/>
      <c r="F28" s="354"/>
      <c r="G28" s="355"/>
      <c r="H28" s="354"/>
      <c r="I28" s="354"/>
      <c r="J28" s="354"/>
      <c r="K28" s="354"/>
      <c r="L28" s="354"/>
      <c r="M28" s="354"/>
      <c r="N28" s="354"/>
      <c r="O28" s="354"/>
      <c r="P28" s="354"/>
      <c r="Q28" s="354"/>
    </row>
    <row r="29" spans="1:248" x14ac:dyDescent="0.2">
      <c r="B29" s="374" t="s">
        <v>349</v>
      </c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</row>
    <row r="30" spans="1:248" x14ac:dyDescent="0.2"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/>
    </row>
    <row r="31" spans="1:248" x14ac:dyDescent="0.2">
      <c r="B31" s="374"/>
      <c r="C31" s="374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</row>
  </sheetData>
  <sheetProtection selectLockedCells="1" selectUnlockedCells="1"/>
  <autoFilter ref="A12:Q41" xr:uid="{00000000-0009-0000-0000-000009000000}"/>
  <mergeCells count="14">
    <mergeCell ref="A10:A11"/>
    <mergeCell ref="B10:B11"/>
    <mergeCell ref="C10:C11"/>
    <mergeCell ref="D10:D11"/>
    <mergeCell ref="A1:G1"/>
    <mergeCell ref="A3:H3"/>
    <mergeCell ref="A4:H4"/>
    <mergeCell ref="A8:D8"/>
    <mergeCell ref="G8:J8"/>
    <mergeCell ref="B29:Q31"/>
    <mergeCell ref="E10:E11"/>
    <mergeCell ref="G10:L10"/>
    <mergeCell ref="M10:Q10"/>
    <mergeCell ref="R17:S18"/>
  </mergeCells>
  <pageMargins left="0.39374999999999999" right="0" top="0.5902777777777777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40"/>
  <sheetViews>
    <sheetView view="pageBreakPreview" topLeftCell="A103" zoomScale="85" zoomScaleNormal="100" zoomScaleSheetLayoutView="85" workbookViewId="0">
      <selection activeCell="C46" sqref="C46"/>
    </sheetView>
  </sheetViews>
  <sheetFormatPr defaultColWidth="9.140625" defaultRowHeight="11.25" x14ac:dyDescent="0.2"/>
  <cols>
    <col min="1" max="1" width="4.5703125" style="76" customWidth="1"/>
    <col min="2" max="2" width="3.85546875" style="76" customWidth="1"/>
    <col min="3" max="3" width="45.85546875" style="76" customWidth="1"/>
    <col min="4" max="4" width="3.5703125" style="93" customWidth="1"/>
    <col min="5" max="5" width="3.5703125" style="93" hidden="1" customWidth="1"/>
    <col min="6" max="6" width="5.140625" style="93" customWidth="1"/>
    <col min="7" max="7" width="6.5703125" style="76" customWidth="1"/>
    <col min="8" max="13" width="7.140625" style="76" customWidth="1"/>
    <col min="14" max="16" width="7.42578125" style="76" customWidth="1"/>
    <col min="17" max="16384" width="9.140625" style="76"/>
  </cols>
  <sheetData>
    <row r="1" spans="1:17" x14ac:dyDescent="0.2">
      <c r="A1" s="379" t="s">
        <v>11</v>
      </c>
      <c r="B1" s="379"/>
      <c r="C1" s="379"/>
      <c r="D1" s="379"/>
      <c r="E1" s="379"/>
      <c r="F1" s="379"/>
      <c r="G1" s="379"/>
      <c r="H1" s="26">
        <f>KPDV!A23</f>
        <v>9</v>
      </c>
      <c r="I1" s="26"/>
      <c r="J1" s="26"/>
      <c r="K1" s="26"/>
      <c r="L1" s="26"/>
      <c r="M1" s="26"/>
      <c r="N1" s="26"/>
      <c r="O1" s="26"/>
      <c r="P1" s="26"/>
    </row>
    <row r="2" spans="1:17" x14ac:dyDescent="0.2">
      <c r="A2" s="28"/>
      <c r="B2" s="28"/>
      <c r="C2" s="29" t="s">
        <v>340</v>
      </c>
      <c r="D2" s="26"/>
      <c r="E2" s="26"/>
      <c r="F2" s="26"/>
      <c r="G2" s="28"/>
      <c r="H2" s="28"/>
      <c r="I2" s="26"/>
      <c r="J2" s="26"/>
      <c r="K2" s="26"/>
      <c r="L2" s="26"/>
      <c r="M2" s="26"/>
      <c r="N2" s="26"/>
      <c r="O2" s="26"/>
      <c r="P2" s="26"/>
    </row>
    <row r="3" spans="1:17" x14ac:dyDescent="0.2">
      <c r="A3" s="364" t="str">
        <f>KPDV!A5</f>
        <v>Būves nosaukums: Daudzdzīvokļu dzīvojamā ēka</v>
      </c>
      <c r="B3" s="364"/>
      <c r="C3" s="364"/>
      <c r="D3" s="364"/>
      <c r="E3" s="364"/>
      <c r="F3" s="364"/>
      <c r="G3" s="364"/>
      <c r="H3" s="364"/>
      <c r="I3" s="30"/>
      <c r="J3" s="30"/>
      <c r="K3" s="30"/>
      <c r="L3" s="30"/>
      <c r="M3" s="31"/>
      <c r="N3" s="31"/>
      <c r="O3" s="31"/>
      <c r="P3" s="31"/>
    </row>
    <row r="4" spans="1:17" x14ac:dyDescent="0.2">
      <c r="A4" s="364" t="str">
        <f>KPDV!A6</f>
        <v>Objekta nosaukums: Dzīvojamās ēkas fasādes vienkāršota atjaunošana</v>
      </c>
      <c r="B4" s="364"/>
      <c r="C4" s="364"/>
      <c r="D4" s="364"/>
      <c r="E4" s="364"/>
      <c r="F4" s="364"/>
      <c r="G4" s="364"/>
      <c r="H4" s="364"/>
      <c r="I4" s="32"/>
      <c r="J4" s="32"/>
      <c r="K4" s="31"/>
      <c r="L4" s="31"/>
      <c r="M4" s="31"/>
      <c r="N4" s="31"/>
      <c r="O4" s="31"/>
      <c r="P4" s="31"/>
    </row>
    <row r="5" spans="1:17" x14ac:dyDescent="0.2">
      <c r="A5" s="33" t="str">
        <f>KPDV!A7</f>
        <v>Objekta adrese: Raiņa iela 18/20, Liepāja</v>
      </c>
      <c r="B5" s="33"/>
      <c r="C5" s="33"/>
      <c r="D5" s="32"/>
      <c r="E5" s="32"/>
      <c r="F5" s="94"/>
      <c r="G5" s="33"/>
      <c r="H5" s="33"/>
      <c r="I5" s="32"/>
      <c r="J5" s="32"/>
      <c r="K5" s="31"/>
      <c r="L5" s="31"/>
      <c r="M5" s="31"/>
      <c r="N5" s="31"/>
      <c r="O5" s="31"/>
      <c r="P5" s="31"/>
    </row>
    <row r="6" spans="1:17" x14ac:dyDescent="0.2">
      <c r="A6" s="33" t="str">
        <f>KPDV!A8</f>
        <v>Pasūtījuma Nr.: EA-78-16</v>
      </c>
      <c r="B6" s="33"/>
      <c r="C6" s="33"/>
      <c r="D6" s="32"/>
      <c r="E6" s="32"/>
      <c r="F6" s="32"/>
      <c r="G6" s="33"/>
      <c r="H6" s="33"/>
      <c r="I6" s="32"/>
      <c r="J6" s="32"/>
      <c r="K6" s="31"/>
      <c r="L6" s="31"/>
      <c r="M6" s="31"/>
      <c r="N6" s="31"/>
      <c r="O6" s="31"/>
      <c r="P6" s="31"/>
    </row>
    <row r="7" spans="1:17" x14ac:dyDescent="0.2">
      <c r="A7" s="33"/>
      <c r="B7" s="33"/>
      <c r="C7" s="33"/>
      <c r="D7" s="32"/>
      <c r="E7" s="32"/>
      <c r="F7" s="32"/>
      <c r="G7" s="33"/>
      <c r="H7" s="33"/>
      <c r="I7" s="32"/>
      <c r="J7" s="32"/>
      <c r="K7" s="31"/>
      <c r="L7" s="31"/>
      <c r="M7" s="31"/>
      <c r="N7" s="31"/>
      <c r="O7" s="31"/>
      <c r="P7" s="31"/>
    </row>
    <row r="8" spans="1:17" x14ac:dyDescent="0.2">
      <c r="A8" s="380" t="s">
        <v>341</v>
      </c>
      <c r="B8" s="380"/>
      <c r="C8" s="380"/>
      <c r="D8" s="380"/>
      <c r="E8" s="21"/>
      <c r="F8" s="35" t="s">
        <v>84</v>
      </c>
      <c r="G8" s="381" t="s">
        <v>14</v>
      </c>
      <c r="H8" s="381"/>
      <c r="I8" s="381"/>
      <c r="J8" s="381"/>
      <c r="K8" s="36"/>
      <c r="L8" s="36"/>
      <c r="M8" s="36"/>
      <c r="N8" s="36" t="s">
        <v>15</v>
      </c>
      <c r="O8" s="36"/>
      <c r="P8" s="37">
        <f>P131</f>
        <v>0</v>
      </c>
    </row>
    <row r="9" spans="1:17" x14ac:dyDescent="0.2">
      <c r="A9" s="77"/>
      <c r="B9" s="77"/>
      <c r="C9" s="78"/>
      <c r="D9" s="95"/>
      <c r="E9" s="95"/>
      <c r="F9" s="95"/>
      <c r="J9" s="79"/>
      <c r="K9" s="80"/>
      <c r="L9" s="80"/>
      <c r="P9" s="327" t="str">
        <f>dat</f>
        <v>Tāme sastādīta .gada</v>
      </c>
    </row>
    <row r="10" spans="1:17" x14ac:dyDescent="0.2">
      <c r="A10" s="376" t="s">
        <v>17</v>
      </c>
      <c r="B10" s="376" t="s">
        <v>18</v>
      </c>
      <c r="C10" s="377" t="s">
        <v>19</v>
      </c>
      <c r="D10" s="378" t="s">
        <v>20</v>
      </c>
      <c r="E10" s="96"/>
      <c r="F10" s="376" t="s">
        <v>21</v>
      </c>
      <c r="G10" s="375" t="s">
        <v>22</v>
      </c>
      <c r="H10" s="375"/>
      <c r="I10" s="375"/>
      <c r="J10" s="375"/>
      <c r="K10" s="375"/>
      <c r="L10" s="375"/>
      <c r="M10" s="375" t="s">
        <v>23</v>
      </c>
      <c r="N10" s="375"/>
      <c r="O10" s="375"/>
      <c r="P10" s="375"/>
    </row>
    <row r="11" spans="1:17" ht="72" customHeight="1" x14ac:dyDescent="0.2">
      <c r="A11" s="376"/>
      <c r="B11" s="376"/>
      <c r="C11" s="377"/>
      <c r="D11" s="378"/>
      <c r="E11" s="96" t="s">
        <v>170</v>
      </c>
      <c r="F11" s="376"/>
      <c r="G11" s="328" t="s">
        <v>342</v>
      </c>
      <c r="H11" s="329" t="s">
        <v>343</v>
      </c>
      <c r="I11" s="329" t="s">
        <v>344</v>
      </c>
      <c r="J11" s="329" t="s">
        <v>345</v>
      </c>
      <c r="K11" s="329" t="s">
        <v>346</v>
      </c>
      <c r="L11" s="330" t="s">
        <v>333</v>
      </c>
      <c r="M11" s="328" t="s">
        <v>24</v>
      </c>
      <c r="N11" s="329" t="s">
        <v>344</v>
      </c>
      <c r="O11" s="329" t="s">
        <v>345</v>
      </c>
      <c r="P11" s="331" t="s">
        <v>346</v>
      </c>
      <c r="Q11" s="338" t="s">
        <v>347</v>
      </c>
    </row>
    <row r="12" spans="1:17" x14ac:dyDescent="0.2">
      <c r="A12" s="81">
        <v>1</v>
      </c>
      <c r="B12" s="81">
        <f>A12+1</f>
        <v>2</v>
      </c>
      <c r="C12" s="97">
        <f>B12+1</f>
        <v>3</v>
      </c>
      <c r="D12" s="81">
        <f>C12+1</f>
        <v>4</v>
      </c>
      <c r="E12" s="81"/>
      <c r="F12" s="81">
        <f>D12+1</f>
        <v>5</v>
      </c>
      <c r="G12" s="81">
        <f>F12+1</f>
        <v>6</v>
      </c>
      <c r="H12" s="81">
        <f t="shared" ref="H12:P12" si="0">G12+1</f>
        <v>7</v>
      </c>
      <c r="I12" s="81">
        <f t="shared" si="0"/>
        <v>8</v>
      </c>
      <c r="J12" s="83">
        <f t="shared" si="0"/>
        <v>9</v>
      </c>
      <c r="K12" s="81">
        <f t="shared" si="0"/>
        <v>10</v>
      </c>
      <c r="L12" s="81">
        <f t="shared" si="0"/>
        <v>11</v>
      </c>
      <c r="M12" s="81">
        <f t="shared" si="0"/>
        <v>12</v>
      </c>
      <c r="N12" s="81">
        <f t="shared" si="0"/>
        <v>13</v>
      </c>
      <c r="O12" s="81">
        <f t="shared" si="0"/>
        <v>14</v>
      </c>
      <c r="P12" s="332">
        <f t="shared" si="0"/>
        <v>15</v>
      </c>
      <c r="Q12" s="120"/>
    </row>
    <row r="13" spans="1:17" x14ac:dyDescent="0.2">
      <c r="A13" s="50"/>
      <c r="B13" s="50"/>
      <c r="C13" s="47" t="s">
        <v>203</v>
      </c>
      <c r="D13" s="50"/>
      <c r="E13" s="50"/>
      <c r="F13" s="50"/>
      <c r="Q13" s="120"/>
    </row>
    <row r="14" spans="1:17" x14ac:dyDescent="0.2">
      <c r="A14" s="47">
        <v>1</v>
      </c>
      <c r="B14" s="47"/>
      <c r="C14" s="49" t="s">
        <v>204</v>
      </c>
      <c r="D14" s="85" t="s">
        <v>131</v>
      </c>
      <c r="E14" s="50"/>
      <c r="F14" s="50">
        <v>1</v>
      </c>
      <c r="G14" s="98"/>
      <c r="H14" s="98"/>
      <c r="I14" s="98"/>
      <c r="J14" s="99"/>
      <c r="K14" s="98"/>
      <c r="L14" s="100"/>
      <c r="M14" s="100"/>
      <c r="N14" s="100"/>
      <c r="O14" s="100"/>
      <c r="P14" s="333"/>
      <c r="Q14" s="120"/>
    </row>
    <row r="15" spans="1:17" x14ac:dyDescent="0.2">
      <c r="A15" s="47">
        <f>A14+1</f>
        <v>2</v>
      </c>
      <c r="B15" s="47"/>
      <c r="C15" s="49" t="s">
        <v>205</v>
      </c>
      <c r="D15" s="50" t="s">
        <v>27</v>
      </c>
      <c r="E15" s="50"/>
      <c r="F15" s="50">
        <v>24</v>
      </c>
      <c r="G15" s="98"/>
      <c r="H15" s="98"/>
      <c r="I15" s="98"/>
      <c r="J15" s="99"/>
      <c r="K15" s="98"/>
      <c r="L15" s="100"/>
      <c r="M15" s="100"/>
      <c r="N15" s="100"/>
      <c r="O15" s="100"/>
      <c r="P15" s="333"/>
      <c r="Q15" s="120"/>
    </row>
    <row r="16" spans="1:17" x14ac:dyDescent="0.2">
      <c r="A16" s="47">
        <f t="shared" ref="A16:A47" si="1">A15+1</f>
        <v>3</v>
      </c>
      <c r="B16" s="47"/>
      <c r="C16" s="49" t="s">
        <v>206</v>
      </c>
      <c r="D16" s="50" t="s">
        <v>27</v>
      </c>
      <c r="E16" s="50"/>
      <c r="F16" s="50">
        <v>72</v>
      </c>
      <c r="G16" s="98"/>
      <c r="H16" s="98"/>
      <c r="I16" s="98"/>
      <c r="J16" s="99"/>
      <c r="K16" s="98"/>
      <c r="L16" s="100"/>
      <c r="M16" s="100"/>
      <c r="N16" s="100"/>
      <c r="O16" s="100"/>
      <c r="P16" s="333"/>
      <c r="Q16" s="120"/>
    </row>
    <row r="17" spans="1:17" x14ac:dyDescent="0.2">
      <c r="A17" s="47">
        <f t="shared" si="1"/>
        <v>4</v>
      </c>
      <c r="B17" s="47"/>
      <c r="C17" s="49" t="s">
        <v>207</v>
      </c>
      <c r="D17" s="50" t="s">
        <v>27</v>
      </c>
      <c r="E17" s="50"/>
      <c r="F17" s="50">
        <v>12</v>
      </c>
      <c r="G17" s="98"/>
      <c r="H17" s="98"/>
      <c r="I17" s="98"/>
      <c r="J17" s="99"/>
      <c r="K17" s="98"/>
      <c r="L17" s="100"/>
      <c r="M17" s="100"/>
      <c r="N17" s="100"/>
      <c r="O17" s="100"/>
      <c r="P17" s="333"/>
      <c r="Q17" s="120"/>
    </row>
    <row r="18" spans="1:17" x14ac:dyDescent="0.2">
      <c r="A18" s="47">
        <f t="shared" si="1"/>
        <v>5</v>
      </c>
      <c r="B18" s="47"/>
      <c r="C18" s="49" t="s">
        <v>208</v>
      </c>
      <c r="D18" s="50" t="s">
        <v>27</v>
      </c>
      <c r="E18" s="50"/>
      <c r="F18" s="50">
        <v>8</v>
      </c>
      <c r="G18" s="98"/>
      <c r="H18" s="98"/>
      <c r="I18" s="98"/>
      <c r="J18" s="99"/>
      <c r="K18" s="98"/>
      <c r="L18" s="100"/>
      <c r="M18" s="100"/>
      <c r="N18" s="100"/>
      <c r="O18" s="100"/>
      <c r="P18" s="333"/>
      <c r="Q18" s="120"/>
    </row>
    <row r="19" spans="1:17" x14ac:dyDescent="0.2">
      <c r="A19" s="47">
        <f t="shared" si="1"/>
        <v>6</v>
      </c>
      <c r="B19" s="47"/>
      <c r="C19" s="49" t="s">
        <v>209</v>
      </c>
      <c r="D19" s="50" t="s">
        <v>143</v>
      </c>
      <c r="E19" s="50"/>
      <c r="F19" s="50">
        <v>2</v>
      </c>
      <c r="G19" s="98"/>
      <c r="H19" s="98"/>
      <c r="I19" s="98"/>
      <c r="J19" s="99"/>
      <c r="K19" s="98"/>
      <c r="L19" s="100"/>
      <c r="M19" s="100"/>
      <c r="N19" s="100"/>
      <c r="O19" s="100"/>
      <c r="P19" s="333"/>
      <c r="Q19" s="120"/>
    </row>
    <row r="20" spans="1:17" x14ac:dyDescent="0.2">
      <c r="A20" s="47">
        <f t="shared" si="1"/>
        <v>7</v>
      </c>
      <c r="B20" s="47"/>
      <c r="C20" s="49" t="s">
        <v>210</v>
      </c>
      <c r="D20" s="50" t="s">
        <v>143</v>
      </c>
      <c r="E20" s="50"/>
      <c r="F20" s="50">
        <v>8</v>
      </c>
      <c r="G20" s="98"/>
      <c r="H20" s="98"/>
      <c r="I20" s="98"/>
      <c r="J20" s="99"/>
      <c r="K20" s="98"/>
      <c r="L20" s="100"/>
      <c r="M20" s="100"/>
      <c r="N20" s="100"/>
      <c r="O20" s="100"/>
      <c r="P20" s="333"/>
      <c r="Q20" s="120"/>
    </row>
    <row r="21" spans="1:17" ht="33.75" x14ac:dyDescent="0.2">
      <c r="A21" s="47">
        <f t="shared" si="1"/>
        <v>8</v>
      </c>
      <c r="B21" s="47"/>
      <c r="C21" s="69" t="s">
        <v>301</v>
      </c>
      <c r="D21" s="50" t="s">
        <v>143</v>
      </c>
      <c r="E21" s="50"/>
      <c r="F21" s="50">
        <v>2</v>
      </c>
      <c r="G21" s="98"/>
      <c r="H21" s="98"/>
      <c r="I21" s="98"/>
      <c r="J21" s="99"/>
      <c r="K21" s="98"/>
      <c r="L21" s="100"/>
      <c r="M21" s="100"/>
      <c r="N21" s="100"/>
      <c r="O21" s="100"/>
      <c r="P21" s="333"/>
      <c r="Q21" s="120"/>
    </row>
    <row r="22" spans="1:17" ht="33.75" x14ac:dyDescent="0.2">
      <c r="A22" s="47">
        <f t="shared" si="1"/>
        <v>9</v>
      </c>
      <c r="B22" s="47"/>
      <c r="C22" s="69" t="s">
        <v>302</v>
      </c>
      <c r="D22" s="50" t="s">
        <v>143</v>
      </c>
      <c r="E22" s="50"/>
      <c r="F22" s="50">
        <v>2</v>
      </c>
      <c r="G22" s="101"/>
      <c r="H22" s="98"/>
      <c r="I22" s="101"/>
      <c r="J22" s="101"/>
      <c r="K22" s="101"/>
      <c r="L22" s="100"/>
      <c r="M22" s="100"/>
      <c r="N22" s="100"/>
      <c r="O22" s="100"/>
      <c r="P22" s="333"/>
      <c r="Q22" s="120"/>
    </row>
    <row r="23" spans="1:17" x14ac:dyDescent="0.2">
      <c r="A23" s="47">
        <f t="shared" si="1"/>
        <v>10</v>
      </c>
      <c r="B23" s="47"/>
      <c r="C23" s="49" t="s">
        <v>211</v>
      </c>
      <c r="D23" s="50" t="s">
        <v>143</v>
      </c>
      <c r="E23" s="50"/>
      <c r="F23" s="50">
        <v>4</v>
      </c>
      <c r="G23" s="101"/>
      <c r="H23" s="98"/>
      <c r="I23" s="101"/>
      <c r="J23" s="101"/>
      <c r="K23" s="101"/>
      <c r="L23" s="100"/>
      <c r="M23" s="100"/>
      <c r="N23" s="100"/>
      <c r="O23" s="100"/>
      <c r="P23" s="333"/>
      <c r="Q23" s="120"/>
    </row>
    <row r="24" spans="1:17" x14ac:dyDescent="0.2">
      <c r="A24" s="47">
        <f t="shared" si="1"/>
        <v>11</v>
      </c>
      <c r="B24" s="47"/>
      <c r="C24" s="49" t="s">
        <v>212</v>
      </c>
      <c r="D24" s="50" t="s">
        <v>143</v>
      </c>
      <c r="E24" s="50"/>
      <c r="F24" s="50">
        <v>4</v>
      </c>
      <c r="G24" s="101"/>
      <c r="H24" s="98"/>
      <c r="I24" s="101"/>
      <c r="J24" s="101"/>
      <c r="K24" s="101"/>
      <c r="L24" s="100"/>
      <c r="M24" s="100"/>
      <c r="N24" s="100"/>
      <c r="O24" s="100"/>
      <c r="P24" s="333"/>
      <c r="Q24" s="120"/>
    </row>
    <row r="25" spans="1:17" x14ac:dyDescent="0.2">
      <c r="A25" s="47">
        <f t="shared" si="1"/>
        <v>12</v>
      </c>
      <c r="B25" s="47"/>
      <c r="C25" s="49" t="s">
        <v>213</v>
      </c>
      <c r="D25" s="50" t="s">
        <v>143</v>
      </c>
      <c r="E25" s="50"/>
      <c r="F25" s="50">
        <v>2</v>
      </c>
      <c r="G25" s="101"/>
      <c r="H25" s="98"/>
      <c r="I25" s="101"/>
      <c r="J25" s="101"/>
      <c r="K25" s="101"/>
      <c r="L25" s="100"/>
      <c r="M25" s="100"/>
      <c r="N25" s="100"/>
      <c r="O25" s="100"/>
      <c r="P25" s="333"/>
      <c r="Q25" s="120"/>
    </row>
    <row r="26" spans="1:17" x14ac:dyDescent="0.2">
      <c r="A26" s="47">
        <f t="shared" si="1"/>
        <v>13</v>
      </c>
      <c r="B26" s="47"/>
      <c r="C26" s="49" t="s">
        <v>214</v>
      </c>
      <c r="D26" s="50" t="s">
        <v>143</v>
      </c>
      <c r="E26" s="50"/>
      <c r="F26" s="50">
        <v>8</v>
      </c>
      <c r="G26" s="101"/>
      <c r="H26" s="98"/>
      <c r="I26" s="101"/>
      <c r="J26" s="101"/>
      <c r="K26" s="101"/>
      <c r="L26" s="100"/>
      <c r="M26" s="100"/>
      <c r="N26" s="100"/>
      <c r="O26" s="100"/>
      <c r="P26" s="333"/>
      <c r="Q26" s="120"/>
    </row>
    <row r="27" spans="1:17" x14ac:dyDescent="0.2">
      <c r="A27" s="47">
        <f t="shared" si="1"/>
        <v>14</v>
      </c>
      <c r="B27" s="47"/>
      <c r="C27" s="49" t="s">
        <v>215</v>
      </c>
      <c r="D27" s="50" t="s">
        <v>143</v>
      </c>
      <c r="E27" s="50"/>
      <c r="F27" s="50">
        <v>4</v>
      </c>
      <c r="G27" s="98"/>
      <c r="H27" s="98"/>
      <c r="I27" s="101"/>
      <c r="J27" s="101"/>
      <c r="K27" s="101"/>
      <c r="L27" s="100"/>
      <c r="M27" s="100"/>
      <c r="N27" s="100"/>
      <c r="O27" s="100"/>
      <c r="P27" s="333"/>
      <c r="Q27" s="120"/>
    </row>
    <row r="28" spans="1:17" x14ac:dyDescent="0.2">
      <c r="A28" s="47">
        <f t="shared" si="1"/>
        <v>15</v>
      </c>
      <c r="B28" s="47"/>
      <c r="C28" s="49" t="s">
        <v>216</v>
      </c>
      <c r="D28" s="50" t="s">
        <v>143</v>
      </c>
      <c r="E28" s="50"/>
      <c r="F28" s="50">
        <v>4</v>
      </c>
      <c r="G28" s="98"/>
      <c r="H28" s="98"/>
      <c r="I28" s="101"/>
      <c r="J28" s="101"/>
      <c r="K28" s="101"/>
      <c r="L28" s="100"/>
      <c r="M28" s="100"/>
      <c r="N28" s="100"/>
      <c r="O28" s="100"/>
      <c r="P28" s="333"/>
      <c r="Q28" s="120"/>
    </row>
    <row r="29" spans="1:17" x14ac:dyDescent="0.2">
      <c r="A29" s="47">
        <f t="shared" si="1"/>
        <v>16</v>
      </c>
      <c r="B29" s="47"/>
      <c r="C29" s="49" t="s">
        <v>217</v>
      </c>
      <c r="D29" s="50" t="s">
        <v>143</v>
      </c>
      <c r="E29" s="102"/>
      <c r="F29" s="102">
        <v>12</v>
      </c>
      <c r="G29" s="98"/>
      <c r="H29" s="98"/>
      <c r="I29" s="101"/>
      <c r="J29" s="101"/>
      <c r="K29" s="101"/>
      <c r="L29" s="100"/>
      <c r="M29" s="100"/>
      <c r="N29" s="100"/>
      <c r="O29" s="100"/>
      <c r="P29" s="333"/>
      <c r="Q29" s="120"/>
    </row>
    <row r="30" spans="1:17" x14ac:dyDescent="0.2">
      <c r="A30" s="47">
        <f t="shared" si="1"/>
        <v>17</v>
      </c>
      <c r="B30" s="47"/>
      <c r="C30" s="69" t="s">
        <v>218</v>
      </c>
      <c r="D30" s="50" t="s">
        <v>143</v>
      </c>
      <c r="E30" s="50"/>
      <c r="F30" s="50">
        <v>4</v>
      </c>
      <c r="G30" s="98"/>
      <c r="H30" s="98"/>
      <c r="I30" s="101"/>
      <c r="J30" s="101"/>
      <c r="K30" s="101"/>
      <c r="L30" s="100"/>
      <c r="M30" s="100"/>
      <c r="N30" s="100"/>
      <c r="O30" s="100"/>
      <c r="P30" s="333"/>
      <c r="Q30" s="120"/>
    </row>
    <row r="31" spans="1:17" ht="33.75" x14ac:dyDescent="0.2">
      <c r="A31" s="47">
        <f t="shared" si="1"/>
        <v>18</v>
      </c>
      <c r="B31" s="47"/>
      <c r="C31" s="69" t="s">
        <v>375</v>
      </c>
      <c r="D31" s="50" t="s">
        <v>143</v>
      </c>
      <c r="E31" s="50"/>
      <c r="F31" s="50">
        <v>4</v>
      </c>
      <c r="G31" s="98"/>
      <c r="H31" s="98"/>
      <c r="I31" s="101"/>
      <c r="J31" s="101"/>
      <c r="K31" s="101"/>
      <c r="L31" s="100"/>
      <c r="M31" s="100"/>
      <c r="N31" s="100"/>
      <c r="O31" s="100"/>
      <c r="P31" s="333"/>
      <c r="Q31" s="120"/>
    </row>
    <row r="32" spans="1:17" ht="33.75" x14ac:dyDescent="0.2">
      <c r="A32" s="47">
        <f t="shared" si="1"/>
        <v>19</v>
      </c>
      <c r="B32" s="47"/>
      <c r="C32" s="69" t="s">
        <v>376</v>
      </c>
      <c r="D32" s="50" t="s">
        <v>143</v>
      </c>
      <c r="E32" s="50"/>
      <c r="F32" s="50">
        <v>8</v>
      </c>
      <c r="G32" s="98"/>
      <c r="H32" s="98"/>
      <c r="I32" s="101"/>
      <c r="J32" s="101"/>
      <c r="K32" s="101"/>
      <c r="L32" s="100"/>
      <c r="M32" s="100"/>
      <c r="N32" s="100"/>
      <c r="O32" s="100"/>
      <c r="P32" s="333"/>
      <c r="Q32" s="120"/>
    </row>
    <row r="33" spans="1:17" ht="33.75" x14ac:dyDescent="0.2">
      <c r="A33" s="47">
        <f t="shared" si="1"/>
        <v>20</v>
      </c>
      <c r="B33" s="47"/>
      <c r="C33" s="69" t="s">
        <v>377</v>
      </c>
      <c r="D33" s="50" t="s">
        <v>143</v>
      </c>
      <c r="E33" s="50"/>
      <c r="F33" s="50">
        <v>4</v>
      </c>
      <c r="G33" s="98"/>
      <c r="H33" s="98"/>
      <c r="I33" s="101"/>
      <c r="J33" s="101"/>
      <c r="K33" s="101"/>
      <c r="L33" s="100"/>
      <c r="M33" s="100"/>
      <c r="N33" s="100"/>
      <c r="O33" s="100"/>
      <c r="P33" s="333"/>
      <c r="Q33" s="120"/>
    </row>
    <row r="34" spans="1:17" ht="22.5" x14ac:dyDescent="0.2">
      <c r="A34" s="47">
        <f t="shared" si="1"/>
        <v>21</v>
      </c>
      <c r="B34" s="47"/>
      <c r="C34" s="69" t="s">
        <v>378</v>
      </c>
      <c r="D34" s="50" t="s">
        <v>27</v>
      </c>
      <c r="E34" s="50"/>
      <c r="F34" s="50">
        <v>24</v>
      </c>
      <c r="G34" s="98"/>
      <c r="H34" s="98"/>
      <c r="I34" s="101"/>
      <c r="J34" s="101"/>
      <c r="K34" s="101"/>
      <c r="L34" s="100"/>
      <c r="M34" s="100"/>
      <c r="N34" s="100"/>
      <c r="O34" s="100"/>
      <c r="P34" s="333"/>
      <c r="Q34" s="120"/>
    </row>
    <row r="35" spans="1:17" ht="22.5" x14ac:dyDescent="0.2">
      <c r="A35" s="47">
        <f t="shared" si="1"/>
        <v>22</v>
      </c>
      <c r="B35" s="47"/>
      <c r="C35" s="69" t="s">
        <v>219</v>
      </c>
      <c r="D35" s="50" t="s">
        <v>27</v>
      </c>
      <c r="E35" s="50"/>
      <c r="F35" s="50">
        <v>44</v>
      </c>
      <c r="G35" s="98"/>
      <c r="H35" s="98"/>
      <c r="I35" s="101"/>
      <c r="J35" s="101"/>
      <c r="K35" s="101"/>
      <c r="L35" s="100"/>
      <c r="M35" s="100"/>
      <c r="N35" s="100"/>
      <c r="O35" s="100"/>
      <c r="P35" s="333"/>
      <c r="Q35" s="120"/>
    </row>
    <row r="36" spans="1:17" ht="22.5" x14ac:dyDescent="0.2">
      <c r="A36" s="47">
        <f t="shared" si="1"/>
        <v>23</v>
      </c>
      <c r="B36" s="47"/>
      <c r="C36" s="69" t="s">
        <v>220</v>
      </c>
      <c r="D36" s="50" t="s">
        <v>27</v>
      </c>
      <c r="E36" s="50"/>
      <c r="F36" s="50">
        <v>28</v>
      </c>
      <c r="G36" s="98"/>
      <c r="H36" s="98"/>
      <c r="I36" s="101"/>
      <c r="J36" s="101"/>
      <c r="K36" s="101"/>
      <c r="L36" s="100"/>
      <c r="M36" s="100"/>
      <c r="N36" s="100"/>
      <c r="O36" s="100"/>
      <c r="P36" s="333"/>
      <c r="Q36" s="120"/>
    </row>
    <row r="37" spans="1:17" ht="22.5" x14ac:dyDescent="0.2">
      <c r="A37" s="47">
        <f t="shared" si="1"/>
        <v>24</v>
      </c>
      <c r="B37" s="47"/>
      <c r="C37" s="69" t="s">
        <v>221</v>
      </c>
      <c r="D37" s="50" t="s">
        <v>27</v>
      </c>
      <c r="E37" s="50"/>
      <c r="F37" s="50">
        <v>12</v>
      </c>
      <c r="G37" s="98"/>
      <c r="H37" s="98"/>
      <c r="I37" s="101"/>
      <c r="J37" s="101"/>
      <c r="K37" s="101"/>
      <c r="L37" s="100"/>
      <c r="M37" s="100"/>
      <c r="N37" s="100"/>
      <c r="O37" s="100"/>
      <c r="P37" s="333"/>
      <c r="Q37" s="120"/>
    </row>
    <row r="38" spans="1:17" ht="22.5" x14ac:dyDescent="0.2">
      <c r="A38" s="47">
        <f t="shared" si="1"/>
        <v>25</v>
      </c>
      <c r="B38" s="47"/>
      <c r="C38" s="69" t="s">
        <v>222</v>
      </c>
      <c r="D38" s="50" t="s">
        <v>27</v>
      </c>
      <c r="E38" s="50"/>
      <c r="F38" s="50">
        <v>8</v>
      </c>
      <c r="G38" s="98"/>
      <c r="H38" s="98"/>
      <c r="I38" s="101"/>
      <c r="J38" s="101"/>
      <c r="K38" s="101"/>
      <c r="L38" s="100"/>
      <c r="M38" s="100"/>
      <c r="N38" s="100"/>
      <c r="O38" s="100"/>
      <c r="P38" s="333"/>
      <c r="Q38" s="120"/>
    </row>
    <row r="39" spans="1:17" x14ac:dyDescent="0.2">
      <c r="A39" s="47">
        <f t="shared" si="1"/>
        <v>26</v>
      </c>
      <c r="B39" s="47"/>
      <c r="C39" s="69" t="s">
        <v>159</v>
      </c>
      <c r="D39" s="50" t="s">
        <v>41</v>
      </c>
      <c r="E39" s="50"/>
      <c r="F39" s="50">
        <v>12</v>
      </c>
      <c r="G39" s="98"/>
      <c r="H39" s="98"/>
      <c r="I39" s="101"/>
      <c r="J39" s="101"/>
      <c r="K39" s="101"/>
      <c r="L39" s="100"/>
      <c r="M39" s="100"/>
      <c r="N39" s="100"/>
      <c r="O39" s="100"/>
      <c r="P39" s="333"/>
      <c r="Q39" s="120"/>
    </row>
    <row r="40" spans="1:17" x14ac:dyDescent="0.2">
      <c r="A40" s="47">
        <f t="shared" si="1"/>
        <v>27</v>
      </c>
      <c r="B40" s="47"/>
      <c r="C40" s="69" t="s">
        <v>160</v>
      </c>
      <c r="D40" s="85" t="s">
        <v>131</v>
      </c>
      <c r="E40" s="50"/>
      <c r="F40" s="50">
        <v>1</v>
      </c>
      <c r="G40" s="98"/>
      <c r="H40" s="98"/>
      <c r="I40" s="101"/>
      <c r="J40" s="101"/>
      <c r="K40" s="101"/>
      <c r="L40" s="100"/>
      <c r="M40" s="100"/>
      <c r="N40" s="100"/>
      <c r="O40" s="100"/>
      <c r="P40" s="333"/>
      <c r="Q40" s="120"/>
    </row>
    <row r="41" spans="1:17" x14ac:dyDescent="0.2">
      <c r="A41" s="47">
        <f t="shared" si="1"/>
        <v>28</v>
      </c>
      <c r="B41" s="47"/>
      <c r="C41" s="69" t="s">
        <v>169</v>
      </c>
      <c r="D41" s="85" t="s">
        <v>131</v>
      </c>
      <c r="E41" s="50"/>
      <c r="F41" s="50">
        <v>1</v>
      </c>
      <c r="G41" s="98"/>
      <c r="H41" s="98"/>
      <c r="I41" s="101"/>
      <c r="J41" s="101"/>
      <c r="K41" s="101"/>
      <c r="L41" s="100"/>
      <c r="M41" s="100"/>
      <c r="N41" s="100"/>
      <c r="O41" s="100"/>
      <c r="P41" s="333"/>
      <c r="Q41" s="120"/>
    </row>
    <row r="42" spans="1:17" ht="22.5" x14ac:dyDescent="0.2">
      <c r="A42" s="47">
        <f t="shared" si="1"/>
        <v>29</v>
      </c>
      <c r="B42" s="47"/>
      <c r="C42" s="69" t="s">
        <v>162</v>
      </c>
      <c r="D42" s="85" t="s">
        <v>131</v>
      </c>
      <c r="E42" s="50"/>
      <c r="F42" s="50">
        <v>1</v>
      </c>
      <c r="G42" s="98"/>
      <c r="H42" s="98"/>
      <c r="I42" s="101"/>
      <c r="J42" s="101"/>
      <c r="K42" s="101"/>
      <c r="L42" s="100"/>
      <c r="M42" s="100"/>
      <c r="N42" s="100"/>
      <c r="O42" s="100"/>
      <c r="P42" s="333"/>
      <c r="Q42" s="120"/>
    </row>
    <row r="43" spans="1:17" x14ac:dyDescent="0.2">
      <c r="A43" s="47"/>
      <c r="B43" s="47"/>
      <c r="C43" s="103" t="s">
        <v>163</v>
      </c>
      <c r="D43" s="85" t="s">
        <v>131</v>
      </c>
      <c r="E43" s="50"/>
      <c r="F43" s="104"/>
      <c r="G43" s="98"/>
      <c r="H43" s="98"/>
      <c r="I43" s="101"/>
      <c r="J43" s="101"/>
      <c r="K43" s="101"/>
      <c r="L43" s="100"/>
      <c r="M43" s="100"/>
      <c r="N43" s="100"/>
      <c r="O43" s="100"/>
      <c r="P43" s="333"/>
      <c r="Q43" s="120"/>
    </row>
    <row r="44" spans="1:17" ht="22.5" x14ac:dyDescent="0.2">
      <c r="A44" s="47">
        <f t="shared" si="1"/>
        <v>1</v>
      </c>
      <c r="B44" s="50"/>
      <c r="C44" s="69" t="s">
        <v>379</v>
      </c>
      <c r="D44" s="85" t="s">
        <v>131</v>
      </c>
      <c r="E44" s="50">
        <v>1</v>
      </c>
      <c r="F44" s="50">
        <v>24</v>
      </c>
      <c r="G44" s="98"/>
      <c r="H44" s="98"/>
      <c r="I44" s="101"/>
      <c r="J44" s="101"/>
      <c r="K44" s="101"/>
      <c r="L44" s="100"/>
      <c r="M44" s="100"/>
      <c r="N44" s="100"/>
      <c r="O44" s="100"/>
      <c r="P44" s="333"/>
      <c r="Q44" s="120"/>
    </row>
    <row r="45" spans="1:17" ht="22.5" x14ac:dyDescent="0.2">
      <c r="A45" s="47">
        <f t="shared" si="1"/>
        <v>2</v>
      </c>
      <c r="B45" s="104"/>
      <c r="C45" s="105" t="s">
        <v>223</v>
      </c>
      <c r="D45" s="85" t="s">
        <v>131</v>
      </c>
      <c r="E45" s="104">
        <v>1</v>
      </c>
      <c r="F45" s="104">
        <v>24</v>
      </c>
      <c r="G45" s="98"/>
      <c r="H45" s="98"/>
      <c r="I45" s="101"/>
      <c r="J45" s="101"/>
      <c r="K45" s="101"/>
      <c r="L45" s="100"/>
      <c r="M45" s="100"/>
      <c r="N45" s="100"/>
      <c r="O45" s="100"/>
      <c r="P45" s="333"/>
      <c r="Q45" s="120"/>
    </row>
    <row r="46" spans="1:17" ht="22.5" x14ac:dyDescent="0.2">
      <c r="A46" s="47">
        <f t="shared" si="1"/>
        <v>3</v>
      </c>
      <c r="B46" s="104"/>
      <c r="C46" s="105" t="s">
        <v>164</v>
      </c>
      <c r="D46" s="85" t="s">
        <v>131</v>
      </c>
      <c r="E46" s="104">
        <v>1</v>
      </c>
      <c r="F46" s="104">
        <v>24</v>
      </c>
      <c r="G46" s="98"/>
      <c r="H46" s="98"/>
      <c r="I46" s="101"/>
      <c r="J46" s="101"/>
      <c r="K46" s="101"/>
      <c r="L46" s="100"/>
      <c r="M46" s="100"/>
      <c r="N46" s="100"/>
      <c r="O46" s="100"/>
      <c r="P46" s="333"/>
      <c r="Q46" s="120"/>
    </row>
    <row r="47" spans="1:17" x14ac:dyDescent="0.2">
      <c r="A47" s="47">
        <f t="shared" si="1"/>
        <v>4</v>
      </c>
      <c r="B47" s="104"/>
      <c r="C47" s="105" t="s">
        <v>165</v>
      </c>
      <c r="D47" s="85" t="s">
        <v>131</v>
      </c>
      <c r="E47" s="104">
        <v>1</v>
      </c>
      <c r="F47" s="104">
        <v>24</v>
      </c>
      <c r="G47" s="98"/>
      <c r="H47" s="98"/>
      <c r="I47" s="101"/>
      <c r="J47" s="101"/>
      <c r="K47" s="101"/>
      <c r="L47" s="100"/>
      <c r="M47" s="100"/>
      <c r="N47" s="100"/>
      <c r="O47" s="100"/>
      <c r="P47" s="333"/>
      <c r="Q47" s="120"/>
    </row>
    <row r="48" spans="1:17" ht="21" x14ac:dyDescent="0.2">
      <c r="A48" s="50"/>
      <c r="B48" s="50"/>
      <c r="C48" s="106" t="s">
        <v>224</v>
      </c>
      <c r="D48" s="55"/>
      <c r="E48" s="55"/>
      <c r="F48" s="47"/>
      <c r="G48" s="98"/>
      <c r="H48" s="98"/>
      <c r="I48" s="101"/>
      <c r="J48" s="101"/>
      <c r="K48" s="101"/>
      <c r="L48" s="100"/>
      <c r="M48" s="100"/>
      <c r="N48" s="100"/>
      <c r="O48" s="100"/>
      <c r="P48" s="333"/>
      <c r="Q48" s="120"/>
    </row>
    <row r="49" spans="1:17" ht="101.25" x14ac:dyDescent="0.2">
      <c r="A49" s="50">
        <v>1</v>
      </c>
      <c r="B49" s="92"/>
      <c r="C49" s="107" t="s">
        <v>249</v>
      </c>
      <c r="D49" s="85" t="s">
        <v>131</v>
      </c>
      <c r="E49" s="104">
        <v>1</v>
      </c>
      <c r="F49" s="104">
        <v>24</v>
      </c>
      <c r="G49" s="98"/>
      <c r="H49" s="98"/>
      <c r="I49" s="101"/>
      <c r="J49" s="101"/>
      <c r="K49" s="101"/>
      <c r="L49" s="100"/>
      <c r="M49" s="100"/>
      <c r="N49" s="100"/>
      <c r="O49" s="100"/>
      <c r="P49" s="333"/>
      <c r="Q49" s="120"/>
    </row>
    <row r="50" spans="1:17" ht="22.5" x14ac:dyDescent="0.2">
      <c r="A50" s="50">
        <v>2</v>
      </c>
      <c r="B50" s="92"/>
      <c r="C50" s="108" t="s">
        <v>303</v>
      </c>
      <c r="D50" s="58" t="s">
        <v>143</v>
      </c>
      <c r="E50" s="50">
        <v>1</v>
      </c>
      <c r="F50" s="50">
        <v>24</v>
      </c>
      <c r="G50" s="98"/>
      <c r="H50" s="98"/>
      <c r="I50" s="101"/>
      <c r="J50" s="101"/>
      <c r="K50" s="101"/>
      <c r="L50" s="100"/>
      <c r="M50" s="100"/>
      <c r="N50" s="100"/>
      <c r="O50" s="100"/>
      <c r="P50" s="333"/>
      <c r="Q50" s="120"/>
    </row>
    <row r="51" spans="1:17" x14ac:dyDescent="0.2">
      <c r="A51" s="50">
        <v>3</v>
      </c>
      <c r="B51" s="92"/>
      <c r="C51" s="109" t="s">
        <v>166</v>
      </c>
      <c r="D51" s="58" t="s">
        <v>143</v>
      </c>
      <c r="E51" s="104">
        <v>2</v>
      </c>
      <c r="F51" s="104">
        <v>48</v>
      </c>
      <c r="G51" s="98"/>
      <c r="H51" s="98"/>
      <c r="I51" s="101"/>
      <c r="J51" s="101"/>
      <c r="K51" s="101"/>
      <c r="L51" s="100"/>
      <c r="M51" s="100"/>
      <c r="N51" s="100"/>
      <c r="O51" s="100"/>
      <c r="P51" s="333"/>
      <c r="Q51" s="120"/>
    </row>
    <row r="52" spans="1:17" x14ac:dyDescent="0.2">
      <c r="A52" s="50">
        <v>4</v>
      </c>
      <c r="B52" s="92"/>
      <c r="C52" s="109" t="s">
        <v>167</v>
      </c>
      <c r="D52" s="58" t="s">
        <v>143</v>
      </c>
      <c r="E52" s="50">
        <v>1</v>
      </c>
      <c r="F52" s="50">
        <v>24</v>
      </c>
      <c r="G52" s="98"/>
      <c r="H52" s="98"/>
      <c r="I52" s="101"/>
      <c r="J52" s="101"/>
      <c r="K52" s="101"/>
      <c r="L52" s="100"/>
      <c r="M52" s="100"/>
      <c r="N52" s="100"/>
      <c r="O52" s="100"/>
      <c r="P52" s="333"/>
      <c r="Q52" s="120"/>
    </row>
    <row r="53" spans="1:17" x14ac:dyDescent="0.2">
      <c r="A53" s="50">
        <v>5</v>
      </c>
      <c r="B53" s="92"/>
      <c r="C53" s="109" t="s">
        <v>159</v>
      </c>
      <c r="D53" s="58" t="s">
        <v>41</v>
      </c>
      <c r="E53" s="50">
        <v>0.1</v>
      </c>
      <c r="F53" s="50">
        <v>2.4</v>
      </c>
      <c r="G53" s="98"/>
      <c r="H53" s="98"/>
      <c r="I53" s="101"/>
      <c r="J53" s="101"/>
      <c r="K53" s="101"/>
      <c r="L53" s="100"/>
      <c r="M53" s="100"/>
      <c r="N53" s="100"/>
      <c r="O53" s="100"/>
      <c r="P53" s="333"/>
      <c r="Q53" s="120"/>
    </row>
    <row r="54" spans="1:17" x14ac:dyDescent="0.2">
      <c r="A54" s="50">
        <v>6</v>
      </c>
      <c r="B54" s="92"/>
      <c r="C54" s="109" t="s">
        <v>160</v>
      </c>
      <c r="D54" s="85" t="s">
        <v>131</v>
      </c>
      <c r="E54" s="104">
        <v>1</v>
      </c>
      <c r="F54" s="104">
        <v>24</v>
      </c>
      <c r="G54" s="98"/>
      <c r="H54" s="98"/>
      <c r="I54" s="101"/>
      <c r="J54" s="101"/>
      <c r="K54" s="101"/>
      <c r="L54" s="100"/>
      <c r="M54" s="100"/>
      <c r="N54" s="100"/>
      <c r="O54" s="100"/>
      <c r="P54" s="333"/>
      <c r="Q54" s="120"/>
    </row>
    <row r="55" spans="1:17" x14ac:dyDescent="0.2">
      <c r="A55" s="50">
        <v>7</v>
      </c>
      <c r="B55" s="92"/>
      <c r="C55" s="109" t="s">
        <v>161</v>
      </c>
      <c r="D55" s="85" t="s">
        <v>131</v>
      </c>
      <c r="E55" s="50">
        <v>1</v>
      </c>
      <c r="F55" s="50">
        <v>24</v>
      </c>
      <c r="G55" s="98"/>
      <c r="H55" s="98"/>
      <c r="I55" s="101"/>
      <c r="J55" s="101"/>
      <c r="K55" s="101"/>
      <c r="L55" s="100"/>
      <c r="M55" s="100"/>
      <c r="N55" s="100"/>
      <c r="O55" s="100"/>
      <c r="P55" s="333"/>
      <c r="Q55" s="120"/>
    </row>
    <row r="56" spans="1:17" ht="22.5" x14ac:dyDescent="0.2">
      <c r="A56" s="50">
        <v>8</v>
      </c>
      <c r="B56" s="92"/>
      <c r="C56" s="109" t="s">
        <v>225</v>
      </c>
      <c r="D56" s="85" t="s">
        <v>131</v>
      </c>
      <c r="E56" s="50">
        <v>1</v>
      </c>
      <c r="F56" s="50">
        <v>24</v>
      </c>
      <c r="G56" s="98"/>
      <c r="H56" s="98"/>
      <c r="I56" s="101"/>
      <c r="J56" s="101"/>
      <c r="K56" s="101"/>
      <c r="L56" s="100"/>
      <c r="M56" s="100"/>
      <c r="N56" s="100"/>
      <c r="O56" s="100"/>
      <c r="P56" s="333"/>
      <c r="Q56" s="120"/>
    </row>
    <row r="57" spans="1:17" ht="22.5" x14ac:dyDescent="0.2">
      <c r="A57" s="50">
        <v>9</v>
      </c>
      <c r="B57" s="92"/>
      <c r="C57" s="109" t="s">
        <v>226</v>
      </c>
      <c r="D57" s="58" t="s">
        <v>32</v>
      </c>
      <c r="E57" s="50">
        <v>1</v>
      </c>
      <c r="F57" s="50">
        <v>24</v>
      </c>
      <c r="G57" s="98"/>
      <c r="H57" s="98"/>
      <c r="I57" s="101"/>
      <c r="J57" s="101"/>
      <c r="K57" s="101"/>
      <c r="L57" s="100"/>
      <c r="M57" s="100"/>
      <c r="N57" s="100"/>
      <c r="O57" s="100"/>
      <c r="P57" s="333"/>
      <c r="Q57" s="120"/>
    </row>
    <row r="58" spans="1:17" x14ac:dyDescent="0.2">
      <c r="A58" s="50"/>
      <c r="B58" s="50"/>
      <c r="C58" s="103" t="s">
        <v>227</v>
      </c>
      <c r="D58" s="50"/>
      <c r="E58" s="50"/>
      <c r="F58" s="50"/>
      <c r="G58" s="78"/>
      <c r="H58" s="78"/>
      <c r="I58" s="110"/>
      <c r="J58" s="110"/>
      <c r="K58" s="110"/>
      <c r="L58" s="100"/>
      <c r="M58" s="100"/>
      <c r="N58" s="100"/>
      <c r="O58" s="100"/>
      <c r="P58" s="333"/>
      <c r="Q58" s="120"/>
    </row>
    <row r="59" spans="1:17" x14ac:dyDescent="0.2">
      <c r="A59" s="50"/>
      <c r="B59" s="50"/>
      <c r="C59" s="47" t="s">
        <v>228</v>
      </c>
      <c r="D59" s="50"/>
      <c r="E59" s="50"/>
      <c r="F59" s="50"/>
      <c r="G59" s="98"/>
      <c r="H59" s="98"/>
      <c r="I59" s="98"/>
      <c r="J59" s="98"/>
      <c r="K59" s="101"/>
      <c r="L59" s="100"/>
      <c r="M59" s="100"/>
      <c r="N59" s="100"/>
      <c r="O59" s="100"/>
      <c r="P59" s="333"/>
      <c r="Q59" s="120"/>
    </row>
    <row r="60" spans="1:17" x14ac:dyDescent="0.2">
      <c r="A60" s="47">
        <v>1</v>
      </c>
      <c r="B60" s="47"/>
      <c r="C60" s="69" t="s">
        <v>158</v>
      </c>
      <c r="D60" s="85" t="s">
        <v>131</v>
      </c>
      <c r="E60" s="50">
        <v>1</v>
      </c>
      <c r="F60" s="50">
        <v>6</v>
      </c>
      <c r="G60" s="98"/>
      <c r="H60" s="98"/>
      <c r="I60" s="98"/>
      <c r="J60" s="98"/>
      <c r="K60" s="101"/>
      <c r="L60" s="100"/>
      <c r="M60" s="100"/>
      <c r="N60" s="100"/>
      <c r="O60" s="100"/>
      <c r="P60" s="333"/>
      <c r="Q60" s="120"/>
    </row>
    <row r="61" spans="1:17" ht="45" x14ac:dyDescent="0.2">
      <c r="A61" s="50">
        <v>2</v>
      </c>
      <c r="B61" s="50"/>
      <c r="C61" s="55" t="s">
        <v>308</v>
      </c>
      <c r="D61" s="85" t="s">
        <v>131</v>
      </c>
      <c r="E61" s="50">
        <v>1</v>
      </c>
      <c r="F61" s="50">
        <v>6</v>
      </c>
      <c r="G61" s="98"/>
      <c r="H61" s="98"/>
      <c r="I61" s="101"/>
      <c r="J61" s="101"/>
      <c r="K61" s="101"/>
      <c r="L61" s="100"/>
      <c r="M61" s="100"/>
      <c r="N61" s="100"/>
      <c r="O61" s="100"/>
      <c r="P61" s="333"/>
      <c r="Q61" s="120"/>
    </row>
    <row r="62" spans="1:17" ht="45" x14ac:dyDescent="0.2">
      <c r="A62" s="50">
        <v>3</v>
      </c>
      <c r="B62" s="50"/>
      <c r="C62" s="55" t="s">
        <v>306</v>
      </c>
      <c r="D62" s="85" t="s">
        <v>131</v>
      </c>
      <c r="E62" s="50">
        <v>1</v>
      </c>
      <c r="F62" s="50">
        <v>6</v>
      </c>
      <c r="G62" s="98"/>
      <c r="H62" s="98"/>
      <c r="I62" s="101"/>
      <c r="J62" s="101"/>
      <c r="K62" s="101"/>
      <c r="L62" s="100"/>
      <c r="M62" s="100"/>
      <c r="N62" s="100"/>
      <c r="O62" s="100"/>
      <c r="P62" s="333"/>
      <c r="Q62" s="120"/>
    </row>
    <row r="63" spans="1:17" ht="45" x14ac:dyDescent="0.2">
      <c r="A63" s="47">
        <v>4</v>
      </c>
      <c r="B63" s="47"/>
      <c r="C63" s="55" t="s">
        <v>310</v>
      </c>
      <c r="D63" s="85" t="s">
        <v>131</v>
      </c>
      <c r="E63" s="50">
        <v>1</v>
      </c>
      <c r="F63" s="50">
        <v>6</v>
      </c>
      <c r="G63" s="111"/>
      <c r="H63" s="111"/>
      <c r="I63" s="111"/>
      <c r="J63" s="111"/>
      <c r="K63" s="112"/>
      <c r="L63" s="113"/>
      <c r="M63" s="113"/>
      <c r="N63" s="113"/>
      <c r="O63" s="113"/>
      <c r="P63" s="334"/>
      <c r="Q63" s="120"/>
    </row>
    <row r="64" spans="1:17" ht="33.75" x14ac:dyDescent="0.2">
      <c r="A64" s="50">
        <v>5</v>
      </c>
      <c r="B64" s="50"/>
      <c r="C64" s="108" t="s">
        <v>304</v>
      </c>
      <c r="D64" s="85" t="s">
        <v>131</v>
      </c>
      <c r="E64" s="50">
        <v>3</v>
      </c>
      <c r="F64" s="50">
        <v>18</v>
      </c>
      <c r="G64" s="98"/>
      <c r="H64" s="98"/>
      <c r="I64" s="98"/>
      <c r="J64" s="98"/>
      <c r="K64" s="101"/>
      <c r="L64" s="100"/>
      <c r="M64" s="100"/>
      <c r="N64" s="100"/>
      <c r="O64" s="100"/>
      <c r="P64" s="333"/>
      <c r="Q64" s="120"/>
    </row>
    <row r="65" spans="1:17" ht="33.75" x14ac:dyDescent="0.2">
      <c r="A65" s="50">
        <v>6</v>
      </c>
      <c r="B65" s="50"/>
      <c r="C65" s="55" t="s">
        <v>305</v>
      </c>
      <c r="D65" s="50" t="s">
        <v>143</v>
      </c>
      <c r="E65" s="50">
        <v>3</v>
      </c>
      <c r="F65" s="50">
        <v>18</v>
      </c>
      <c r="G65" s="98"/>
      <c r="H65" s="98"/>
      <c r="I65" s="98"/>
      <c r="J65" s="98"/>
      <c r="K65" s="101"/>
      <c r="L65" s="100"/>
      <c r="M65" s="100"/>
      <c r="N65" s="100"/>
      <c r="O65" s="100"/>
      <c r="P65" s="333"/>
      <c r="Q65" s="120"/>
    </row>
    <row r="66" spans="1:17" ht="22.5" x14ac:dyDescent="0.2">
      <c r="A66" s="47">
        <v>7</v>
      </c>
      <c r="B66" s="47"/>
      <c r="C66" s="55" t="s">
        <v>229</v>
      </c>
      <c r="D66" s="50" t="s">
        <v>27</v>
      </c>
      <c r="E66" s="50">
        <v>56</v>
      </c>
      <c r="F66" s="50">
        <v>336</v>
      </c>
      <c r="G66" s="110"/>
      <c r="H66" s="110"/>
      <c r="I66" s="110"/>
      <c r="J66" s="110"/>
      <c r="K66" s="110"/>
      <c r="L66" s="100"/>
      <c r="M66" s="100"/>
      <c r="N66" s="100"/>
      <c r="O66" s="100"/>
      <c r="P66" s="333"/>
      <c r="Q66" s="120"/>
    </row>
    <row r="67" spans="1:17" x14ac:dyDescent="0.2">
      <c r="A67" s="50">
        <v>8</v>
      </c>
      <c r="B67" s="50"/>
      <c r="C67" s="55" t="s">
        <v>230</v>
      </c>
      <c r="D67" s="50" t="s">
        <v>143</v>
      </c>
      <c r="E67" s="50">
        <v>18</v>
      </c>
      <c r="F67" s="50">
        <v>108</v>
      </c>
      <c r="G67" s="98"/>
      <c r="H67" s="101"/>
      <c r="I67" s="98"/>
      <c r="J67" s="98"/>
      <c r="K67" s="101"/>
      <c r="L67" s="100"/>
      <c r="M67" s="100"/>
      <c r="N67" s="100"/>
      <c r="O67" s="100"/>
      <c r="P67" s="333"/>
      <c r="Q67" s="120"/>
    </row>
    <row r="68" spans="1:17" x14ac:dyDescent="0.2">
      <c r="A68" s="50">
        <v>9</v>
      </c>
      <c r="B68" s="50"/>
      <c r="C68" s="55" t="s">
        <v>231</v>
      </c>
      <c r="D68" s="50" t="s">
        <v>143</v>
      </c>
      <c r="E68" s="50">
        <v>4</v>
      </c>
      <c r="F68" s="50">
        <v>24</v>
      </c>
      <c r="G68" s="98"/>
      <c r="H68" s="101"/>
      <c r="I68" s="98"/>
      <c r="J68" s="98"/>
      <c r="K68" s="101"/>
      <c r="L68" s="100"/>
      <c r="M68" s="100"/>
      <c r="N68" s="100"/>
      <c r="O68" s="100"/>
      <c r="P68" s="333"/>
      <c r="Q68" s="120"/>
    </row>
    <row r="69" spans="1:17" x14ac:dyDescent="0.2">
      <c r="A69" s="47">
        <v>10</v>
      </c>
      <c r="B69" s="47"/>
      <c r="C69" s="55" t="s">
        <v>168</v>
      </c>
      <c r="D69" s="50" t="s">
        <v>143</v>
      </c>
      <c r="E69" s="50">
        <v>2</v>
      </c>
      <c r="F69" s="50">
        <v>12</v>
      </c>
      <c r="G69" s="101"/>
      <c r="H69" s="98"/>
      <c r="I69" s="101"/>
      <c r="J69" s="101"/>
      <c r="K69" s="101"/>
      <c r="L69" s="100"/>
      <c r="M69" s="100"/>
      <c r="N69" s="100"/>
      <c r="O69" s="100"/>
      <c r="P69" s="333"/>
      <c r="Q69" s="120"/>
    </row>
    <row r="70" spans="1:17" x14ac:dyDescent="0.2">
      <c r="A70" s="50">
        <v>11</v>
      </c>
      <c r="B70" s="50"/>
      <c r="C70" s="55" t="s">
        <v>232</v>
      </c>
      <c r="D70" s="50" t="s">
        <v>143</v>
      </c>
      <c r="E70" s="50">
        <v>2</v>
      </c>
      <c r="F70" s="50">
        <v>12</v>
      </c>
      <c r="G70" s="110"/>
      <c r="H70" s="98"/>
      <c r="I70" s="110"/>
      <c r="J70" s="110"/>
      <c r="K70" s="110"/>
      <c r="L70" s="100"/>
      <c r="M70" s="100"/>
      <c r="N70" s="100"/>
      <c r="O70" s="100"/>
      <c r="P70" s="333"/>
      <c r="Q70" s="120"/>
    </row>
    <row r="71" spans="1:17" ht="22.5" x14ac:dyDescent="0.2">
      <c r="A71" s="50">
        <v>12</v>
      </c>
      <c r="B71" s="50"/>
      <c r="C71" s="55" t="s">
        <v>233</v>
      </c>
      <c r="D71" s="50" t="s">
        <v>143</v>
      </c>
      <c r="E71" s="50">
        <v>10</v>
      </c>
      <c r="F71" s="50">
        <v>60</v>
      </c>
      <c r="G71" s="101"/>
      <c r="H71" s="98"/>
      <c r="I71" s="101"/>
      <c r="J71" s="101"/>
      <c r="K71" s="101"/>
      <c r="L71" s="100"/>
      <c r="M71" s="100"/>
      <c r="N71" s="100"/>
      <c r="O71" s="100"/>
      <c r="P71" s="333"/>
      <c r="Q71" s="120"/>
    </row>
    <row r="72" spans="1:17" s="115" customFormat="1" ht="12.75" x14ac:dyDescent="0.2">
      <c r="A72" s="47">
        <v>13</v>
      </c>
      <c r="B72" s="47"/>
      <c r="C72" s="55" t="s">
        <v>159</v>
      </c>
      <c r="D72" s="50" t="s">
        <v>41</v>
      </c>
      <c r="E72" s="50">
        <v>1</v>
      </c>
      <c r="F72" s="50">
        <v>6</v>
      </c>
      <c r="G72" s="114"/>
      <c r="H72" s="114"/>
      <c r="I72" s="114"/>
      <c r="J72" s="114"/>
      <c r="K72" s="114"/>
      <c r="L72" s="114"/>
      <c r="M72" s="114"/>
      <c r="N72" s="114"/>
      <c r="O72" s="114"/>
      <c r="P72" s="335"/>
      <c r="Q72" s="339"/>
    </row>
    <row r="73" spans="1:17" x14ac:dyDescent="0.2">
      <c r="A73" s="50">
        <v>14</v>
      </c>
      <c r="B73" s="50"/>
      <c r="C73" s="55" t="s">
        <v>160</v>
      </c>
      <c r="D73" s="85" t="s">
        <v>131</v>
      </c>
      <c r="E73" s="50">
        <v>1</v>
      </c>
      <c r="F73" s="50">
        <v>6</v>
      </c>
      <c r="G73" s="101"/>
      <c r="H73" s="98"/>
      <c r="I73" s="101"/>
      <c r="J73" s="101"/>
      <c r="K73" s="101"/>
      <c r="L73" s="100"/>
      <c r="M73" s="100"/>
      <c r="N73" s="100"/>
      <c r="O73" s="100"/>
      <c r="P73" s="333"/>
      <c r="Q73" s="120"/>
    </row>
    <row r="74" spans="1:17" x14ac:dyDescent="0.2">
      <c r="A74" s="50">
        <v>15</v>
      </c>
      <c r="B74" s="50"/>
      <c r="C74" s="55" t="s">
        <v>234</v>
      </c>
      <c r="D74" s="85" t="s">
        <v>131</v>
      </c>
      <c r="E74" s="50">
        <v>1</v>
      </c>
      <c r="F74" s="50">
        <v>6</v>
      </c>
      <c r="G74" s="101"/>
      <c r="H74" s="98"/>
      <c r="I74" s="101"/>
      <c r="J74" s="101"/>
      <c r="K74" s="101"/>
      <c r="L74" s="100"/>
      <c r="M74" s="100"/>
      <c r="N74" s="100"/>
      <c r="O74" s="100"/>
      <c r="P74" s="333"/>
      <c r="Q74" s="120"/>
    </row>
    <row r="75" spans="1:17" ht="22.5" x14ac:dyDescent="0.2">
      <c r="A75" s="47">
        <v>16</v>
      </c>
      <c r="B75" s="47"/>
      <c r="C75" s="55" t="s">
        <v>226</v>
      </c>
      <c r="D75" s="85" t="s">
        <v>131</v>
      </c>
      <c r="E75" s="50">
        <v>1</v>
      </c>
      <c r="F75" s="50">
        <v>6</v>
      </c>
      <c r="G75" s="101"/>
      <c r="H75" s="98"/>
      <c r="I75" s="101"/>
      <c r="J75" s="101"/>
      <c r="K75" s="101"/>
      <c r="L75" s="100"/>
      <c r="M75" s="100"/>
      <c r="N75" s="100"/>
      <c r="O75" s="100"/>
      <c r="P75" s="333"/>
      <c r="Q75" s="120"/>
    </row>
    <row r="76" spans="1:17" x14ac:dyDescent="0.2">
      <c r="A76" s="50"/>
      <c r="B76" s="50"/>
      <c r="C76" s="103" t="s">
        <v>235</v>
      </c>
      <c r="D76" s="50"/>
      <c r="E76" s="50"/>
      <c r="F76" s="50"/>
      <c r="G76" s="101"/>
      <c r="H76" s="98"/>
      <c r="I76" s="101"/>
      <c r="J76" s="101"/>
      <c r="K76" s="101"/>
      <c r="L76" s="100"/>
      <c r="M76" s="100"/>
      <c r="N76" s="100"/>
      <c r="O76" s="100"/>
      <c r="P76" s="333"/>
      <c r="Q76" s="120"/>
    </row>
    <row r="77" spans="1:17" x14ac:dyDescent="0.2">
      <c r="A77" s="50"/>
      <c r="B77" s="50"/>
      <c r="C77" s="47" t="s">
        <v>228</v>
      </c>
      <c r="D77" s="50"/>
      <c r="E77" s="50"/>
      <c r="F77" s="50"/>
      <c r="G77" s="98"/>
      <c r="H77" s="98"/>
      <c r="I77" s="101"/>
      <c r="J77" s="101"/>
      <c r="K77" s="101"/>
      <c r="L77" s="100"/>
      <c r="M77" s="100"/>
      <c r="N77" s="100"/>
      <c r="O77" s="100"/>
      <c r="P77" s="333"/>
      <c r="Q77" s="120"/>
    </row>
    <row r="78" spans="1:17" x14ac:dyDescent="0.2">
      <c r="A78" s="47">
        <v>1</v>
      </c>
      <c r="B78" s="47"/>
      <c r="C78" s="69" t="s">
        <v>158</v>
      </c>
      <c r="D78" s="85" t="s">
        <v>131</v>
      </c>
      <c r="E78" s="50">
        <v>1</v>
      </c>
      <c r="F78" s="50">
        <v>6</v>
      </c>
      <c r="G78" s="101"/>
      <c r="H78" s="98"/>
      <c r="I78" s="101"/>
      <c r="J78" s="101"/>
      <c r="K78" s="101"/>
      <c r="L78" s="100"/>
      <c r="M78" s="100"/>
      <c r="N78" s="100"/>
      <c r="O78" s="100"/>
      <c r="P78" s="333"/>
      <c r="Q78" s="120"/>
    </row>
    <row r="79" spans="1:17" ht="45" x14ac:dyDescent="0.2">
      <c r="A79" s="50">
        <v>2</v>
      </c>
      <c r="B79" s="50"/>
      <c r="C79" s="55" t="s">
        <v>308</v>
      </c>
      <c r="D79" s="85" t="s">
        <v>131</v>
      </c>
      <c r="E79" s="50">
        <v>1</v>
      </c>
      <c r="F79" s="50">
        <v>6</v>
      </c>
      <c r="G79" s="101"/>
      <c r="H79" s="98"/>
      <c r="I79" s="101"/>
      <c r="J79" s="101"/>
      <c r="K79" s="101"/>
      <c r="L79" s="100"/>
      <c r="M79" s="100"/>
      <c r="N79" s="100"/>
      <c r="O79" s="100"/>
      <c r="P79" s="333"/>
      <c r="Q79" s="120"/>
    </row>
    <row r="80" spans="1:17" ht="45" x14ac:dyDescent="0.2">
      <c r="A80" s="47">
        <v>3</v>
      </c>
      <c r="B80" s="47"/>
      <c r="C80" s="55" t="s">
        <v>310</v>
      </c>
      <c r="D80" s="85" t="s">
        <v>131</v>
      </c>
      <c r="E80" s="50">
        <v>1</v>
      </c>
      <c r="F80" s="50">
        <v>6</v>
      </c>
      <c r="G80" s="116"/>
      <c r="H80" s="98"/>
      <c r="I80" s="101"/>
      <c r="J80" s="101"/>
      <c r="K80" s="101"/>
      <c r="L80" s="100"/>
      <c r="M80" s="100"/>
      <c r="N80" s="100"/>
      <c r="O80" s="100"/>
      <c r="P80" s="333"/>
      <c r="Q80" s="120"/>
    </row>
    <row r="81" spans="1:17" ht="45" x14ac:dyDescent="0.2">
      <c r="A81" s="50">
        <v>4</v>
      </c>
      <c r="B81" s="50"/>
      <c r="C81" s="55" t="s">
        <v>306</v>
      </c>
      <c r="D81" s="85" t="s">
        <v>131</v>
      </c>
      <c r="E81" s="50">
        <v>1</v>
      </c>
      <c r="F81" s="50">
        <v>6</v>
      </c>
      <c r="H81" s="37"/>
      <c r="L81" s="74"/>
      <c r="M81" s="74"/>
      <c r="N81" s="74"/>
      <c r="O81" s="74"/>
      <c r="P81" s="74"/>
      <c r="Q81" s="120"/>
    </row>
    <row r="82" spans="1:17" ht="33.75" x14ac:dyDescent="0.2">
      <c r="A82" s="47">
        <v>5</v>
      </c>
      <c r="B82" s="47"/>
      <c r="C82" s="108" t="s">
        <v>304</v>
      </c>
      <c r="D82" s="85" t="s">
        <v>131</v>
      </c>
      <c r="E82" s="50">
        <v>3</v>
      </c>
      <c r="F82" s="50">
        <v>18</v>
      </c>
      <c r="H82" s="37"/>
      <c r="L82" s="74"/>
      <c r="M82" s="74"/>
      <c r="N82" s="74"/>
      <c r="O82" s="74"/>
      <c r="P82" s="74"/>
      <c r="Q82" s="120"/>
    </row>
    <row r="83" spans="1:17" ht="33.75" x14ac:dyDescent="0.2">
      <c r="A83" s="50">
        <v>6</v>
      </c>
      <c r="B83" s="50"/>
      <c r="C83" s="55" t="s">
        <v>305</v>
      </c>
      <c r="D83" s="50" t="s">
        <v>143</v>
      </c>
      <c r="E83" s="50">
        <v>3</v>
      </c>
      <c r="F83" s="50">
        <v>18</v>
      </c>
      <c r="G83" s="111"/>
      <c r="H83" s="111"/>
      <c r="I83" s="111"/>
      <c r="J83" s="111"/>
      <c r="K83" s="112"/>
      <c r="L83" s="113"/>
      <c r="M83" s="113"/>
      <c r="N83" s="113"/>
      <c r="O83" s="113"/>
      <c r="P83" s="334"/>
      <c r="Q83" s="120"/>
    </row>
    <row r="84" spans="1:17" ht="22.5" x14ac:dyDescent="0.2">
      <c r="A84" s="47">
        <v>7</v>
      </c>
      <c r="B84" s="47"/>
      <c r="C84" s="55" t="s">
        <v>229</v>
      </c>
      <c r="D84" s="50" t="s">
        <v>27</v>
      </c>
      <c r="E84" s="50">
        <v>32</v>
      </c>
      <c r="F84" s="50">
        <v>192</v>
      </c>
      <c r="G84" s="98"/>
      <c r="H84" s="98"/>
      <c r="I84" s="98"/>
      <c r="J84" s="98"/>
      <c r="K84" s="101"/>
      <c r="L84" s="100"/>
      <c r="M84" s="100"/>
      <c r="N84" s="100"/>
      <c r="O84" s="100"/>
      <c r="P84" s="333"/>
      <c r="Q84" s="120"/>
    </row>
    <row r="85" spans="1:17" x14ac:dyDescent="0.2">
      <c r="A85" s="50">
        <v>8</v>
      </c>
      <c r="B85" s="50"/>
      <c r="C85" s="55" t="s">
        <v>230</v>
      </c>
      <c r="D85" s="50" t="s">
        <v>143</v>
      </c>
      <c r="E85" s="50">
        <v>8</v>
      </c>
      <c r="F85" s="50">
        <v>48</v>
      </c>
      <c r="G85" s="98"/>
      <c r="H85" s="98"/>
      <c r="I85" s="98"/>
      <c r="J85" s="98"/>
      <c r="K85" s="101"/>
      <c r="L85" s="100"/>
      <c r="M85" s="100"/>
      <c r="N85" s="100"/>
      <c r="O85" s="100"/>
      <c r="P85" s="333"/>
      <c r="Q85" s="120"/>
    </row>
    <row r="86" spans="1:17" x14ac:dyDescent="0.2">
      <c r="A86" s="47">
        <v>9</v>
      </c>
      <c r="B86" s="47"/>
      <c r="C86" s="55" t="s">
        <v>231</v>
      </c>
      <c r="D86" s="50" t="s">
        <v>143</v>
      </c>
      <c r="E86" s="50">
        <v>4</v>
      </c>
      <c r="F86" s="50">
        <v>24</v>
      </c>
      <c r="G86" s="98"/>
      <c r="H86" s="98"/>
      <c r="I86" s="101"/>
      <c r="J86" s="101"/>
      <c r="K86" s="101"/>
      <c r="L86" s="100"/>
      <c r="M86" s="100"/>
      <c r="N86" s="100"/>
      <c r="O86" s="100"/>
      <c r="P86" s="333"/>
      <c r="Q86" s="120"/>
    </row>
    <row r="87" spans="1:17" x14ac:dyDescent="0.2">
      <c r="A87" s="50">
        <v>10</v>
      </c>
      <c r="B87" s="50"/>
      <c r="C87" s="55" t="s">
        <v>168</v>
      </c>
      <c r="D87" s="50" t="s">
        <v>143</v>
      </c>
      <c r="E87" s="50">
        <v>2</v>
      </c>
      <c r="F87" s="50">
        <v>12</v>
      </c>
      <c r="G87" s="98"/>
      <c r="H87" s="98"/>
      <c r="I87" s="98"/>
      <c r="J87" s="98"/>
      <c r="K87" s="101"/>
      <c r="L87" s="100"/>
      <c r="M87" s="100"/>
      <c r="N87" s="100"/>
      <c r="O87" s="100"/>
      <c r="P87" s="333"/>
      <c r="Q87" s="120"/>
    </row>
    <row r="88" spans="1:17" x14ac:dyDescent="0.2">
      <c r="A88" s="47">
        <v>11</v>
      </c>
      <c r="B88" s="47"/>
      <c r="C88" s="55" t="s">
        <v>232</v>
      </c>
      <c r="D88" s="50" t="s">
        <v>143</v>
      </c>
      <c r="E88" s="50">
        <v>2</v>
      </c>
      <c r="F88" s="50">
        <v>12</v>
      </c>
      <c r="G88" s="98"/>
      <c r="H88" s="98"/>
      <c r="I88" s="98"/>
      <c r="J88" s="98"/>
      <c r="K88" s="101"/>
      <c r="L88" s="100"/>
      <c r="M88" s="100"/>
      <c r="N88" s="100"/>
      <c r="O88" s="100"/>
      <c r="P88" s="333"/>
      <c r="Q88" s="120"/>
    </row>
    <row r="89" spans="1:17" ht="22.5" x14ac:dyDescent="0.2">
      <c r="A89" s="50">
        <v>12</v>
      </c>
      <c r="B89" s="50"/>
      <c r="C89" s="55" t="s">
        <v>233</v>
      </c>
      <c r="D89" s="50" t="s">
        <v>143</v>
      </c>
      <c r="E89" s="50">
        <v>6</v>
      </c>
      <c r="F89" s="50">
        <v>36</v>
      </c>
      <c r="G89" s="98"/>
      <c r="H89" s="98"/>
      <c r="I89" s="98"/>
      <c r="J89" s="98"/>
      <c r="K89" s="101"/>
      <c r="L89" s="100"/>
      <c r="M89" s="100"/>
      <c r="N89" s="100"/>
      <c r="O89" s="100"/>
      <c r="P89" s="333"/>
      <c r="Q89" s="120"/>
    </row>
    <row r="90" spans="1:17" x14ac:dyDescent="0.2">
      <c r="A90" s="47">
        <v>13</v>
      </c>
      <c r="B90" s="47"/>
      <c r="C90" s="55" t="s">
        <v>159</v>
      </c>
      <c r="D90" s="50" t="s">
        <v>41</v>
      </c>
      <c r="E90" s="50">
        <v>1</v>
      </c>
      <c r="F90" s="50">
        <v>6</v>
      </c>
      <c r="G90" s="117"/>
      <c r="H90" s="117"/>
      <c r="I90" s="117"/>
      <c r="J90" s="117"/>
      <c r="K90" s="118"/>
      <c r="L90" s="119"/>
      <c r="M90" s="119"/>
      <c r="N90" s="119"/>
      <c r="O90" s="119"/>
      <c r="P90" s="336"/>
      <c r="Q90" s="120"/>
    </row>
    <row r="91" spans="1:17" x14ac:dyDescent="0.2">
      <c r="A91" s="50">
        <v>14</v>
      </c>
      <c r="B91" s="50"/>
      <c r="C91" s="55" t="s">
        <v>160</v>
      </c>
      <c r="D91" s="85" t="s">
        <v>131</v>
      </c>
      <c r="E91" s="50">
        <v>1</v>
      </c>
      <c r="F91" s="50">
        <v>6</v>
      </c>
      <c r="G91" s="98"/>
      <c r="H91" s="98"/>
      <c r="I91" s="98"/>
      <c r="J91" s="98"/>
      <c r="K91" s="101"/>
      <c r="L91" s="100"/>
      <c r="M91" s="100"/>
      <c r="N91" s="100"/>
      <c r="O91" s="100"/>
      <c r="P91" s="333"/>
      <c r="Q91" s="120"/>
    </row>
    <row r="92" spans="1:17" x14ac:dyDescent="0.2">
      <c r="A92" s="47">
        <v>15</v>
      </c>
      <c r="B92" s="47"/>
      <c r="C92" s="55" t="s">
        <v>234</v>
      </c>
      <c r="D92" s="85" t="s">
        <v>131</v>
      </c>
      <c r="E92" s="50">
        <v>1</v>
      </c>
      <c r="F92" s="50">
        <v>6</v>
      </c>
      <c r="G92" s="98"/>
      <c r="H92" s="98"/>
      <c r="I92" s="98"/>
      <c r="J92" s="98"/>
      <c r="K92" s="101"/>
      <c r="L92" s="100"/>
      <c r="M92" s="100"/>
      <c r="N92" s="100"/>
      <c r="O92" s="100"/>
      <c r="P92" s="333"/>
      <c r="Q92" s="120"/>
    </row>
    <row r="93" spans="1:17" ht="22.5" x14ac:dyDescent="0.2">
      <c r="A93" s="50">
        <v>16</v>
      </c>
      <c r="B93" s="50"/>
      <c r="C93" s="55" t="s">
        <v>226</v>
      </c>
      <c r="D93" s="85" t="s">
        <v>131</v>
      </c>
      <c r="E93" s="50">
        <v>1</v>
      </c>
      <c r="F93" s="50">
        <v>6</v>
      </c>
      <c r="G93" s="117"/>
      <c r="H93" s="117"/>
      <c r="I93" s="117"/>
      <c r="J93" s="117"/>
      <c r="K93" s="118"/>
      <c r="L93" s="119"/>
      <c r="M93" s="119"/>
      <c r="N93" s="119"/>
      <c r="O93" s="119"/>
      <c r="P93" s="336"/>
      <c r="Q93" s="120"/>
    </row>
    <row r="94" spans="1:17" x14ac:dyDescent="0.2">
      <c r="A94" s="50"/>
      <c r="B94" s="50"/>
      <c r="C94" s="103" t="s">
        <v>236</v>
      </c>
      <c r="D94" s="50"/>
      <c r="E94" s="50"/>
      <c r="F94" s="50"/>
      <c r="G94" s="98"/>
      <c r="H94" s="98"/>
      <c r="I94" s="98"/>
      <c r="J94" s="98"/>
      <c r="K94" s="101"/>
      <c r="L94" s="100"/>
      <c r="M94" s="100"/>
      <c r="N94" s="100"/>
      <c r="O94" s="100"/>
      <c r="P94" s="333"/>
      <c r="Q94" s="120"/>
    </row>
    <row r="95" spans="1:17" x14ac:dyDescent="0.2">
      <c r="A95" s="50"/>
      <c r="B95" s="50"/>
      <c r="C95" s="47" t="s">
        <v>228</v>
      </c>
      <c r="D95" s="50"/>
      <c r="E95" s="50"/>
      <c r="F95" s="50"/>
      <c r="H95" s="37"/>
      <c r="L95" s="74"/>
      <c r="M95" s="74"/>
      <c r="N95" s="74"/>
      <c r="O95" s="74"/>
      <c r="P95" s="74"/>
      <c r="Q95" s="120"/>
    </row>
    <row r="96" spans="1:17" x14ac:dyDescent="0.2">
      <c r="A96" s="47">
        <v>1</v>
      </c>
      <c r="B96" s="47"/>
      <c r="C96" s="69" t="s">
        <v>158</v>
      </c>
      <c r="D96" s="85" t="s">
        <v>131</v>
      </c>
      <c r="E96" s="50">
        <v>1</v>
      </c>
      <c r="F96" s="50">
        <v>6</v>
      </c>
      <c r="H96" s="37"/>
      <c r="L96" s="74"/>
      <c r="M96" s="74"/>
      <c r="N96" s="74"/>
      <c r="O96" s="74"/>
      <c r="P96" s="74"/>
      <c r="Q96" s="120"/>
    </row>
    <row r="97" spans="1:17" ht="45" x14ac:dyDescent="0.2">
      <c r="A97" s="50">
        <v>2</v>
      </c>
      <c r="B97" s="50"/>
      <c r="C97" s="55" t="s">
        <v>308</v>
      </c>
      <c r="D97" s="85" t="s">
        <v>131</v>
      </c>
      <c r="E97" s="50">
        <v>1</v>
      </c>
      <c r="F97" s="50">
        <v>6</v>
      </c>
      <c r="G97" s="111"/>
      <c r="H97" s="111"/>
      <c r="I97" s="111"/>
      <c r="J97" s="111"/>
      <c r="K97" s="112"/>
      <c r="L97" s="113"/>
      <c r="M97" s="113"/>
      <c r="N97" s="113"/>
      <c r="O97" s="113"/>
      <c r="P97" s="334"/>
      <c r="Q97" s="120"/>
    </row>
    <row r="98" spans="1:17" ht="45" x14ac:dyDescent="0.2">
      <c r="A98" s="47">
        <v>3</v>
      </c>
      <c r="B98" s="47"/>
      <c r="C98" s="55" t="s">
        <v>309</v>
      </c>
      <c r="D98" s="85" t="s">
        <v>131</v>
      </c>
      <c r="E98" s="50">
        <v>1</v>
      </c>
      <c r="F98" s="50">
        <v>6</v>
      </c>
      <c r="G98" s="98"/>
      <c r="H98" s="98"/>
      <c r="I98" s="98"/>
      <c r="J98" s="98"/>
      <c r="K98" s="101"/>
      <c r="L98" s="100"/>
      <c r="M98" s="100"/>
      <c r="N98" s="100"/>
      <c r="O98" s="100"/>
      <c r="P98" s="333"/>
      <c r="Q98" s="120"/>
    </row>
    <row r="99" spans="1:17" ht="33.75" x14ac:dyDescent="0.2">
      <c r="A99" s="50">
        <v>4</v>
      </c>
      <c r="B99" s="50"/>
      <c r="C99" s="108" t="s">
        <v>304</v>
      </c>
      <c r="D99" s="85" t="s">
        <v>131</v>
      </c>
      <c r="E99" s="50">
        <v>2</v>
      </c>
      <c r="F99" s="50">
        <v>12</v>
      </c>
      <c r="G99" s="98"/>
      <c r="H99" s="98"/>
      <c r="I99" s="101"/>
      <c r="J99" s="101"/>
      <c r="K99" s="101"/>
      <c r="L99" s="100"/>
      <c r="M99" s="100"/>
      <c r="N99" s="100"/>
      <c r="O99" s="100"/>
      <c r="P99" s="333"/>
      <c r="Q99" s="120"/>
    </row>
    <row r="100" spans="1:17" ht="33.75" x14ac:dyDescent="0.2">
      <c r="A100" s="47">
        <v>5</v>
      </c>
      <c r="B100" s="47"/>
      <c r="C100" s="55" t="s">
        <v>305</v>
      </c>
      <c r="D100" s="50" t="s">
        <v>143</v>
      </c>
      <c r="E100" s="50">
        <v>2</v>
      </c>
      <c r="F100" s="50">
        <v>12</v>
      </c>
      <c r="G100" s="98"/>
      <c r="H100" s="98"/>
      <c r="I100" s="98"/>
      <c r="J100" s="98"/>
      <c r="K100" s="101"/>
      <c r="L100" s="100"/>
      <c r="M100" s="100"/>
      <c r="N100" s="100"/>
      <c r="O100" s="100"/>
      <c r="P100" s="333"/>
      <c r="Q100" s="120"/>
    </row>
    <row r="101" spans="1:17" ht="22.5" x14ac:dyDescent="0.2">
      <c r="A101" s="50">
        <v>6</v>
      </c>
      <c r="B101" s="50"/>
      <c r="C101" s="55" t="s">
        <v>229</v>
      </c>
      <c r="D101" s="50" t="s">
        <v>27</v>
      </c>
      <c r="E101" s="50">
        <v>26</v>
      </c>
      <c r="F101" s="50">
        <v>156</v>
      </c>
      <c r="G101" s="98"/>
      <c r="H101" s="98"/>
      <c r="I101" s="98"/>
      <c r="J101" s="98"/>
      <c r="K101" s="101"/>
      <c r="L101" s="100"/>
      <c r="M101" s="100"/>
      <c r="N101" s="100"/>
      <c r="O101" s="100"/>
      <c r="P101" s="333"/>
      <c r="Q101" s="120"/>
    </row>
    <row r="102" spans="1:17" x14ac:dyDescent="0.2">
      <c r="A102" s="47">
        <v>7</v>
      </c>
      <c r="B102" s="47"/>
      <c r="C102" s="55" t="s">
        <v>230</v>
      </c>
      <c r="D102" s="50" t="s">
        <v>143</v>
      </c>
      <c r="E102" s="50">
        <v>8</v>
      </c>
      <c r="F102" s="50">
        <v>48</v>
      </c>
      <c r="G102" s="98"/>
      <c r="H102" s="98"/>
      <c r="I102" s="98"/>
      <c r="J102" s="98"/>
      <c r="K102" s="101"/>
      <c r="L102" s="100"/>
      <c r="M102" s="100"/>
      <c r="N102" s="100"/>
      <c r="O102" s="100"/>
      <c r="P102" s="333"/>
      <c r="Q102" s="120"/>
    </row>
    <row r="103" spans="1:17" x14ac:dyDescent="0.2">
      <c r="A103" s="50">
        <v>8</v>
      </c>
      <c r="B103" s="50"/>
      <c r="C103" s="55" t="s">
        <v>231</v>
      </c>
      <c r="D103" s="50" t="s">
        <v>143</v>
      </c>
      <c r="E103" s="50">
        <v>2</v>
      </c>
      <c r="F103" s="50">
        <v>12</v>
      </c>
      <c r="G103" s="117"/>
      <c r="H103" s="117"/>
      <c r="I103" s="117"/>
      <c r="J103" s="117"/>
      <c r="K103" s="118"/>
      <c r="L103" s="119"/>
      <c r="M103" s="119"/>
      <c r="N103" s="119"/>
      <c r="O103" s="119"/>
      <c r="P103" s="336"/>
      <c r="Q103" s="120"/>
    </row>
    <row r="104" spans="1:17" x14ac:dyDescent="0.2">
      <c r="A104" s="47">
        <v>9</v>
      </c>
      <c r="B104" s="47"/>
      <c r="C104" s="55" t="s">
        <v>168</v>
      </c>
      <c r="D104" s="50" t="s">
        <v>143</v>
      </c>
      <c r="E104" s="50">
        <v>2</v>
      </c>
      <c r="F104" s="50">
        <v>12</v>
      </c>
      <c r="G104" s="98"/>
      <c r="H104" s="98"/>
      <c r="I104" s="98"/>
      <c r="J104" s="98"/>
      <c r="K104" s="101"/>
      <c r="L104" s="100"/>
      <c r="M104" s="100"/>
      <c r="N104" s="100"/>
      <c r="O104" s="100"/>
      <c r="P104" s="333"/>
      <c r="Q104" s="120"/>
    </row>
    <row r="105" spans="1:17" x14ac:dyDescent="0.2">
      <c r="A105" s="50">
        <v>10</v>
      </c>
      <c r="B105" s="50"/>
      <c r="C105" s="55" t="s">
        <v>232</v>
      </c>
      <c r="D105" s="50" t="s">
        <v>143</v>
      </c>
      <c r="E105" s="50">
        <v>2</v>
      </c>
      <c r="F105" s="50">
        <v>12</v>
      </c>
      <c r="G105" s="98"/>
      <c r="H105" s="98"/>
      <c r="I105" s="98"/>
      <c r="J105" s="98"/>
      <c r="K105" s="101"/>
      <c r="L105" s="100"/>
      <c r="M105" s="100"/>
      <c r="N105" s="100"/>
      <c r="O105" s="100"/>
      <c r="P105" s="333"/>
      <c r="Q105" s="120"/>
    </row>
    <row r="106" spans="1:17" ht="22.5" x14ac:dyDescent="0.2">
      <c r="A106" s="47">
        <v>11</v>
      </c>
      <c r="B106" s="47"/>
      <c r="C106" s="55" t="s">
        <v>233</v>
      </c>
      <c r="D106" s="50" t="s">
        <v>143</v>
      </c>
      <c r="E106" s="50">
        <v>4</v>
      </c>
      <c r="F106" s="50">
        <v>24</v>
      </c>
      <c r="G106" s="117"/>
      <c r="H106" s="117"/>
      <c r="I106" s="117"/>
      <c r="J106" s="117"/>
      <c r="K106" s="118"/>
      <c r="L106" s="119"/>
      <c r="M106" s="119"/>
      <c r="N106" s="119"/>
      <c r="O106" s="119"/>
      <c r="P106" s="336"/>
      <c r="Q106" s="120"/>
    </row>
    <row r="107" spans="1:17" x14ac:dyDescent="0.2">
      <c r="A107" s="50">
        <v>12</v>
      </c>
      <c r="B107" s="50"/>
      <c r="C107" s="55" t="s">
        <v>159</v>
      </c>
      <c r="D107" s="50" t="s">
        <v>41</v>
      </c>
      <c r="E107" s="50">
        <v>0.5</v>
      </c>
      <c r="F107" s="50">
        <v>3</v>
      </c>
      <c r="G107" s="117"/>
      <c r="H107" s="117"/>
      <c r="I107" s="117"/>
      <c r="J107" s="117"/>
      <c r="K107" s="118"/>
      <c r="L107" s="119"/>
      <c r="M107" s="119"/>
      <c r="N107" s="119"/>
      <c r="O107" s="119"/>
      <c r="P107" s="336"/>
      <c r="Q107" s="120"/>
    </row>
    <row r="108" spans="1:17" x14ac:dyDescent="0.2">
      <c r="A108" s="47">
        <v>13</v>
      </c>
      <c r="B108" s="47"/>
      <c r="C108" s="55" t="s">
        <v>160</v>
      </c>
      <c r="D108" s="85" t="s">
        <v>131</v>
      </c>
      <c r="E108" s="50">
        <v>1</v>
      </c>
      <c r="F108" s="50">
        <v>6</v>
      </c>
      <c r="G108" s="120"/>
      <c r="H108" s="121"/>
      <c r="I108" s="120"/>
      <c r="J108" s="120"/>
      <c r="K108" s="120"/>
      <c r="L108" s="54"/>
      <c r="M108" s="54"/>
      <c r="N108" s="54"/>
      <c r="O108" s="54"/>
      <c r="P108" s="337"/>
      <c r="Q108" s="120"/>
    </row>
    <row r="109" spans="1:17" x14ac:dyDescent="0.2">
      <c r="A109" s="50">
        <v>14</v>
      </c>
      <c r="B109" s="50"/>
      <c r="C109" s="55" t="s">
        <v>234</v>
      </c>
      <c r="D109" s="85" t="s">
        <v>131</v>
      </c>
      <c r="E109" s="50">
        <v>1</v>
      </c>
      <c r="F109" s="50">
        <v>6</v>
      </c>
      <c r="G109" s="120"/>
      <c r="H109" s="121"/>
      <c r="I109" s="120"/>
      <c r="J109" s="120"/>
      <c r="K109" s="120"/>
      <c r="L109" s="54"/>
      <c r="M109" s="54"/>
      <c r="N109" s="54"/>
      <c r="O109" s="54"/>
      <c r="P109" s="337"/>
      <c r="Q109" s="120"/>
    </row>
    <row r="110" spans="1:17" ht="22.5" x14ac:dyDescent="0.2">
      <c r="A110" s="47">
        <v>15</v>
      </c>
      <c r="B110" s="47"/>
      <c r="C110" s="55" t="s">
        <v>226</v>
      </c>
      <c r="D110" s="85" t="s">
        <v>131</v>
      </c>
      <c r="E110" s="50">
        <v>1</v>
      </c>
      <c r="F110" s="50">
        <v>6</v>
      </c>
      <c r="G110" s="120"/>
      <c r="H110" s="121"/>
      <c r="I110" s="120"/>
      <c r="J110" s="120"/>
      <c r="K110" s="120"/>
      <c r="L110" s="54"/>
      <c r="M110" s="54"/>
      <c r="N110" s="54"/>
      <c r="O110" s="54"/>
      <c r="P110" s="337"/>
      <c r="Q110" s="120"/>
    </row>
    <row r="111" spans="1:17" x14ac:dyDescent="0.2">
      <c r="A111" s="50"/>
      <c r="B111" s="50"/>
      <c r="C111" s="103" t="s">
        <v>237</v>
      </c>
      <c r="D111" s="50"/>
      <c r="E111" s="50"/>
      <c r="F111" s="50"/>
      <c r="G111" s="120"/>
      <c r="H111" s="121"/>
      <c r="I111" s="120"/>
      <c r="J111" s="120"/>
      <c r="K111" s="120"/>
      <c r="L111" s="54"/>
      <c r="M111" s="54"/>
      <c r="N111" s="54"/>
      <c r="O111" s="54"/>
      <c r="P111" s="337"/>
      <c r="Q111" s="120"/>
    </row>
    <row r="112" spans="1:17" x14ac:dyDescent="0.2">
      <c r="A112" s="50"/>
      <c r="B112" s="50"/>
      <c r="C112" s="47" t="s">
        <v>228</v>
      </c>
      <c r="D112" s="50"/>
      <c r="E112" s="50"/>
      <c r="F112" s="50"/>
      <c r="G112" s="120"/>
      <c r="H112" s="121"/>
      <c r="I112" s="120"/>
      <c r="J112" s="120"/>
      <c r="K112" s="120"/>
      <c r="L112" s="54"/>
      <c r="M112" s="54"/>
      <c r="N112" s="54"/>
      <c r="O112" s="54"/>
      <c r="P112" s="337"/>
      <c r="Q112" s="120"/>
    </row>
    <row r="113" spans="1:17" x14ac:dyDescent="0.2">
      <c r="A113" s="47">
        <v>1</v>
      </c>
      <c r="B113" s="47"/>
      <c r="C113" s="69" t="s">
        <v>158</v>
      </c>
      <c r="D113" s="85" t="s">
        <v>131</v>
      </c>
      <c r="E113" s="50">
        <v>1</v>
      </c>
      <c r="F113" s="50">
        <v>6</v>
      </c>
      <c r="G113" s="120"/>
      <c r="H113" s="121"/>
      <c r="I113" s="120"/>
      <c r="J113" s="120"/>
      <c r="K113" s="120"/>
      <c r="L113" s="54"/>
      <c r="M113" s="54"/>
      <c r="N113" s="54"/>
      <c r="O113" s="54"/>
      <c r="P113" s="337"/>
      <c r="Q113" s="120"/>
    </row>
    <row r="114" spans="1:17" ht="45" x14ac:dyDescent="0.2">
      <c r="A114" s="50">
        <v>2</v>
      </c>
      <c r="B114" s="50"/>
      <c r="C114" s="55" t="s">
        <v>308</v>
      </c>
      <c r="D114" s="85" t="s">
        <v>131</v>
      </c>
      <c r="E114" s="50">
        <v>1</v>
      </c>
      <c r="F114" s="50">
        <v>6</v>
      </c>
      <c r="G114" s="120"/>
      <c r="H114" s="121"/>
      <c r="I114" s="120"/>
      <c r="J114" s="120"/>
      <c r="K114" s="120"/>
      <c r="L114" s="54"/>
      <c r="M114" s="54"/>
      <c r="N114" s="54"/>
      <c r="O114" s="54"/>
      <c r="P114" s="337"/>
      <c r="Q114" s="120"/>
    </row>
    <row r="115" spans="1:17" ht="45" x14ac:dyDescent="0.2">
      <c r="A115" s="50">
        <v>3</v>
      </c>
      <c r="B115" s="50"/>
      <c r="C115" s="55" t="s">
        <v>307</v>
      </c>
      <c r="D115" s="85" t="s">
        <v>131</v>
      </c>
      <c r="E115" s="50">
        <v>1</v>
      </c>
      <c r="F115" s="50">
        <v>6</v>
      </c>
      <c r="G115" s="120"/>
      <c r="H115" s="121"/>
      <c r="I115" s="120"/>
      <c r="J115" s="120"/>
      <c r="K115" s="120"/>
      <c r="L115" s="54"/>
      <c r="M115" s="54"/>
      <c r="N115" s="54"/>
      <c r="O115" s="54"/>
      <c r="P115" s="337"/>
      <c r="Q115" s="120"/>
    </row>
    <row r="116" spans="1:17" ht="45" x14ac:dyDescent="0.2">
      <c r="A116" s="50">
        <v>4</v>
      </c>
      <c r="B116" s="50"/>
      <c r="C116" s="55" t="s">
        <v>306</v>
      </c>
      <c r="D116" s="85" t="s">
        <v>131</v>
      </c>
      <c r="E116" s="50">
        <v>1</v>
      </c>
      <c r="F116" s="50">
        <v>6</v>
      </c>
      <c r="G116" s="120"/>
      <c r="H116" s="121"/>
      <c r="I116" s="120"/>
      <c r="J116" s="120"/>
      <c r="K116" s="120"/>
      <c r="L116" s="54"/>
      <c r="M116" s="54"/>
      <c r="N116" s="54"/>
      <c r="O116" s="54"/>
      <c r="P116" s="337"/>
      <c r="Q116" s="120"/>
    </row>
    <row r="117" spans="1:17" ht="33.75" x14ac:dyDescent="0.2">
      <c r="A117" s="47">
        <v>5</v>
      </c>
      <c r="B117" s="47"/>
      <c r="C117" s="108" t="s">
        <v>304</v>
      </c>
      <c r="D117" s="85" t="s">
        <v>131</v>
      </c>
      <c r="E117" s="50">
        <v>3</v>
      </c>
      <c r="F117" s="50">
        <v>18</v>
      </c>
      <c r="G117" s="120"/>
      <c r="H117" s="121"/>
      <c r="I117" s="120"/>
      <c r="J117" s="120"/>
      <c r="K117" s="120"/>
      <c r="L117" s="54"/>
      <c r="M117" s="54"/>
      <c r="N117" s="54"/>
      <c r="O117" s="54"/>
      <c r="P117" s="337"/>
      <c r="Q117" s="120"/>
    </row>
    <row r="118" spans="1:17" ht="33.75" x14ac:dyDescent="0.2">
      <c r="A118" s="50">
        <v>6</v>
      </c>
      <c r="B118" s="50"/>
      <c r="C118" s="55" t="s">
        <v>305</v>
      </c>
      <c r="D118" s="50" t="s">
        <v>143</v>
      </c>
      <c r="E118" s="50">
        <v>3</v>
      </c>
      <c r="F118" s="50">
        <v>18</v>
      </c>
      <c r="G118" s="120"/>
      <c r="H118" s="121"/>
      <c r="I118" s="120"/>
      <c r="J118" s="120"/>
      <c r="K118" s="120"/>
      <c r="L118" s="54"/>
      <c r="M118" s="54"/>
      <c r="N118" s="54"/>
      <c r="O118" s="54"/>
      <c r="P118" s="337"/>
      <c r="Q118" s="120"/>
    </row>
    <row r="119" spans="1:17" ht="22.5" x14ac:dyDescent="0.2">
      <c r="A119" s="50">
        <v>7</v>
      </c>
      <c r="B119" s="50"/>
      <c r="C119" s="55" t="s">
        <v>229</v>
      </c>
      <c r="D119" s="50" t="s">
        <v>27</v>
      </c>
      <c r="E119" s="50">
        <v>60</v>
      </c>
      <c r="F119" s="50">
        <v>360</v>
      </c>
      <c r="G119" s="120"/>
      <c r="H119" s="121"/>
      <c r="I119" s="120"/>
      <c r="J119" s="120"/>
      <c r="K119" s="120"/>
      <c r="L119" s="54"/>
      <c r="M119" s="54"/>
      <c r="N119" s="54"/>
      <c r="O119" s="54"/>
      <c r="P119" s="337"/>
      <c r="Q119" s="120"/>
    </row>
    <row r="120" spans="1:17" x14ac:dyDescent="0.2">
      <c r="A120" s="50">
        <v>8</v>
      </c>
      <c r="B120" s="50"/>
      <c r="C120" s="55" t="s">
        <v>230</v>
      </c>
      <c r="D120" s="50" t="s">
        <v>143</v>
      </c>
      <c r="E120" s="50">
        <v>18</v>
      </c>
      <c r="F120" s="50">
        <v>108</v>
      </c>
      <c r="G120" s="120"/>
      <c r="H120" s="121"/>
      <c r="I120" s="120"/>
      <c r="J120" s="120"/>
      <c r="K120" s="120"/>
      <c r="L120" s="54"/>
      <c r="M120" s="54"/>
      <c r="N120" s="54"/>
      <c r="O120" s="54"/>
      <c r="P120" s="337"/>
      <c r="Q120" s="120"/>
    </row>
    <row r="121" spans="1:17" x14ac:dyDescent="0.2">
      <c r="A121" s="47">
        <v>9</v>
      </c>
      <c r="B121" s="47"/>
      <c r="C121" s="55" t="s">
        <v>231</v>
      </c>
      <c r="D121" s="50" t="s">
        <v>143</v>
      </c>
      <c r="E121" s="50">
        <v>4</v>
      </c>
      <c r="F121" s="50">
        <v>24</v>
      </c>
      <c r="G121" s="120"/>
      <c r="H121" s="121"/>
      <c r="I121" s="120"/>
      <c r="J121" s="120"/>
      <c r="K121" s="120"/>
      <c r="L121" s="54"/>
      <c r="M121" s="54"/>
      <c r="N121" s="54"/>
      <c r="O121" s="54"/>
      <c r="P121" s="337"/>
      <c r="Q121" s="120"/>
    </row>
    <row r="122" spans="1:17" x14ac:dyDescent="0.2">
      <c r="A122" s="50">
        <v>10</v>
      </c>
      <c r="B122" s="50"/>
      <c r="C122" s="55" t="s">
        <v>168</v>
      </c>
      <c r="D122" s="50" t="s">
        <v>143</v>
      </c>
      <c r="E122" s="50">
        <v>2</v>
      </c>
      <c r="F122" s="50">
        <v>12</v>
      </c>
      <c r="G122" s="120"/>
      <c r="H122" s="121"/>
      <c r="I122" s="120"/>
      <c r="J122" s="120"/>
      <c r="K122" s="120"/>
      <c r="L122" s="54"/>
      <c r="M122" s="54"/>
      <c r="N122" s="54"/>
      <c r="O122" s="54"/>
      <c r="P122" s="337"/>
      <c r="Q122" s="120"/>
    </row>
    <row r="123" spans="1:17" x14ac:dyDescent="0.2">
      <c r="A123" s="50">
        <v>11</v>
      </c>
      <c r="B123" s="50"/>
      <c r="C123" s="55" t="s">
        <v>232</v>
      </c>
      <c r="D123" s="50" t="s">
        <v>143</v>
      </c>
      <c r="E123" s="50">
        <v>2</v>
      </c>
      <c r="F123" s="50">
        <v>12</v>
      </c>
      <c r="G123" s="120"/>
      <c r="H123" s="121"/>
      <c r="I123" s="120"/>
      <c r="J123" s="120"/>
      <c r="K123" s="120"/>
      <c r="L123" s="54"/>
      <c r="M123" s="54"/>
      <c r="N123" s="54"/>
      <c r="O123" s="54"/>
      <c r="P123" s="337"/>
      <c r="Q123" s="120"/>
    </row>
    <row r="124" spans="1:17" ht="22.5" x14ac:dyDescent="0.2">
      <c r="A124" s="50">
        <v>12</v>
      </c>
      <c r="B124" s="50"/>
      <c r="C124" s="55" t="s">
        <v>233</v>
      </c>
      <c r="D124" s="50" t="s">
        <v>143</v>
      </c>
      <c r="E124" s="50">
        <v>10</v>
      </c>
      <c r="F124" s="50">
        <v>60</v>
      </c>
      <c r="G124" s="120"/>
      <c r="H124" s="121"/>
      <c r="I124" s="120"/>
      <c r="J124" s="120"/>
      <c r="K124" s="120"/>
      <c r="L124" s="54"/>
      <c r="M124" s="54"/>
      <c r="N124" s="54"/>
      <c r="O124" s="54"/>
      <c r="P124" s="337"/>
      <c r="Q124" s="120"/>
    </row>
    <row r="125" spans="1:17" x14ac:dyDescent="0.2">
      <c r="A125" s="47">
        <v>13</v>
      </c>
      <c r="B125" s="47"/>
      <c r="C125" s="55" t="s">
        <v>159</v>
      </c>
      <c r="D125" s="50" t="s">
        <v>41</v>
      </c>
      <c r="E125" s="50">
        <v>1</v>
      </c>
      <c r="F125" s="50">
        <v>6</v>
      </c>
      <c r="G125" s="120"/>
      <c r="H125" s="121"/>
      <c r="I125" s="120"/>
      <c r="J125" s="120"/>
      <c r="K125" s="120"/>
      <c r="L125" s="54"/>
      <c r="M125" s="54"/>
      <c r="N125" s="54"/>
      <c r="O125" s="54"/>
      <c r="P125" s="337"/>
      <c r="Q125" s="120"/>
    </row>
    <row r="126" spans="1:17" x14ac:dyDescent="0.2">
      <c r="A126" s="50">
        <v>14</v>
      </c>
      <c r="B126" s="50"/>
      <c r="C126" s="55" t="s">
        <v>160</v>
      </c>
      <c r="D126" s="85" t="s">
        <v>131</v>
      </c>
      <c r="E126" s="50">
        <v>1</v>
      </c>
      <c r="F126" s="50">
        <v>6</v>
      </c>
      <c r="G126" s="120"/>
      <c r="H126" s="121"/>
      <c r="I126" s="120"/>
      <c r="J126" s="120"/>
      <c r="K126" s="120"/>
      <c r="L126" s="54"/>
      <c r="M126" s="54"/>
      <c r="N126" s="54"/>
      <c r="O126" s="54"/>
      <c r="P126" s="337"/>
      <c r="Q126" s="120"/>
    </row>
    <row r="127" spans="1:17" x14ac:dyDescent="0.2">
      <c r="A127" s="50">
        <v>15</v>
      </c>
      <c r="B127" s="50"/>
      <c r="C127" s="55" t="s">
        <v>234</v>
      </c>
      <c r="D127" s="85" t="s">
        <v>131</v>
      </c>
      <c r="E127" s="50">
        <v>1</v>
      </c>
      <c r="F127" s="50">
        <v>6</v>
      </c>
      <c r="G127" s="120"/>
      <c r="H127" s="121"/>
      <c r="I127" s="120"/>
      <c r="J127" s="120"/>
      <c r="K127" s="120"/>
      <c r="L127" s="54"/>
      <c r="M127" s="54"/>
      <c r="N127" s="54"/>
      <c r="O127" s="54"/>
      <c r="P127" s="337"/>
      <c r="Q127" s="120"/>
    </row>
    <row r="128" spans="1:17" ht="22.5" x14ac:dyDescent="0.2">
      <c r="A128" s="50">
        <v>16</v>
      </c>
      <c r="B128" s="50"/>
      <c r="C128" s="55" t="s">
        <v>226</v>
      </c>
      <c r="D128" s="85" t="s">
        <v>131</v>
      </c>
      <c r="E128" s="50">
        <v>1</v>
      </c>
      <c r="F128" s="50">
        <v>6</v>
      </c>
      <c r="G128" s="120"/>
      <c r="H128" s="121"/>
      <c r="I128" s="120"/>
      <c r="J128" s="120"/>
      <c r="K128" s="120"/>
      <c r="L128" s="54"/>
      <c r="M128" s="54"/>
      <c r="N128" s="54"/>
      <c r="O128" s="54"/>
      <c r="P128" s="337"/>
      <c r="Q128" s="120"/>
    </row>
    <row r="129" spans="1:17" ht="22.5" x14ac:dyDescent="0.2">
      <c r="A129" s="92"/>
      <c r="B129" s="27"/>
      <c r="C129" s="340" t="s">
        <v>156</v>
      </c>
      <c r="D129" s="341"/>
      <c r="E129" s="342"/>
      <c r="F129" s="342"/>
      <c r="G129" s="343"/>
      <c r="H129" s="343"/>
      <c r="I129" s="343"/>
      <c r="J129" s="343"/>
      <c r="K129" s="343"/>
      <c r="L129" s="27"/>
      <c r="M129" s="344"/>
      <c r="N129" s="344"/>
      <c r="O129" s="344"/>
      <c r="P129" s="344"/>
      <c r="Q129" s="344"/>
    </row>
    <row r="130" spans="1:17" x14ac:dyDescent="0.2">
      <c r="B130" s="27"/>
      <c r="C130" s="345"/>
      <c r="D130" s="345"/>
      <c r="E130" s="345"/>
      <c r="F130" s="345"/>
      <c r="G130" s="345"/>
      <c r="H130" s="345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1:17" x14ac:dyDescent="0.2">
      <c r="B131" s="27"/>
      <c r="C131" s="346" t="str">
        <f>[3]KPDV!$B$31</f>
        <v>Sastādīja:</v>
      </c>
      <c r="D131" s="347"/>
      <c r="E131" s="348"/>
      <c r="F131" s="348"/>
      <c r="G131" s="345"/>
      <c r="H131" s="345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1:17" x14ac:dyDescent="0.2">
      <c r="B132" s="27"/>
      <c r="C132" s="346" t="str">
        <f>[3]KPDV!$B$32</f>
        <v>Tāme sastādīta</v>
      </c>
      <c r="D132" s="123"/>
      <c r="E132" s="278"/>
      <c r="F132" s="278"/>
      <c r="G132" s="345"/>
      <c r="H132" s="345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1:17" x14ac:dyDescent="0.2">
      <c r="B133" s="27"/>
      <c r="C133" s="346"/>
      <c r="D133" s="123"/>
      <c r="E133" s="345"/>
      <c r="F133" s="345"/>
      <c r="G133" s="345"/>
      <c r="H133" s="345"/>
      <c r="I133" s="345"/>
      <c r="J133" s="345"/>
      <c r="K133" s="345"/>
      <c r="L133" s="345"/>
      <c r="M133" s="345"/>
      <c r="N133" s="345"/>
      <c r="O133" s="345"/>
      <c r="P133" s="345"/>
      <c r="Q133" s="27"/>
    </row>
    <row r="134" spans="1:17" x14ac:dyDescent="0.2">
      <c r="B134" s="27"/>
      <c r="C134" s="346" t="str">
        <f>[3]KPDV!$B$34</f>
        <v>Pārbaudīja:</v>
      </c>
      <c r="D134" s="347"/>
      <c r="E134" s="348"/>
      <c r="F134" s="348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27"/>
    </row>
    <row r="135" spans="1:17" x14ac:dyDescent="0.2">
      <c r="B135" s="27"/>
      <c r="C135" s="346" t="str">
        <f>[3]KPDV!$B$35</f>
        <v>Sertifikāta Nr.:</v>
      </c>
      <c r="D135" s="347"/>
      <c r="E135" s="349"/>
      <c r="F135" s="349"/>
      <c r="G135" s="123"/>
      <c r="H135" s="123"/>
      <c r="I135" s="123"/>
      <c r="J135" s="123"/>
      <c r="K135" s="123"/>
      <c r="L135" s="123"/>
      <c r="M135" s="350"/>
      <c r="N135" s="123"/>
      <c r="O135" s="350"/>
      <c r="P135" s="123"/>
      <c r="Q135" s="27"/>
    </row>
    <row r="136" spans="1:17" x14ac:dyDescent="0.2">
      <c r="B136" s="27"/>
      <c r="C136" s="27"/>
      <c r="D136" s="27"/>
      <c r="E136" s="27"/>
      <c r="F136" s="27"/>
      <c r="G136" s="27"/>
      <c r="H136" s="27"/>
      <c r="I136" s="351"/>
      <c r="J136" s="267"/>
      <c r="K136" s="267"/>
      <c r="L136" s="27"/>
      <c r="M136" s="27"/>
      <c r="N136" s="27"/>
      <c r="O136" s="267"/>
      <c r="P136" s="267"/>
      <c r="Q136" s="27"/>
    </row>
    <row r="137" spans="1:17" ht="12.75" x14ac:dyDescent="0.2">
      <c r="B137" s="352" t="s">
        <v>348</v>
      </c>
      <c r="C137" s="353"/>
      <c r="D137" s="354"/>
      <c r="E137" s="354"/>
      <c r="F137" s="354"/>
      <c r="G137" s="355"/>
      <c r="H137" s="354"/>
      <c r="I137" s="354"/>
      <c r="J137" s="354"/>
      <c r="K137" s="354"/>
      <c r="L137" s="354"/>
      <c r="M137" s="354"/>
      <c r="N137" s="354"/>
      <c r="O137" s="354"/>
      <c r="P137" s="354"/>
      <c r="Q137" s="354"/>
    </row>
    <row r="138" spans="1:17" x14ac:dyDescent="0.2">
      <c r="B138" s="374" t="s">
        <v>349</v>
      </c>
      <c r="C138" s="374"/>
      <c r="D138" s="374"/>
      <c r="E138" s="374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4"/>
      <c r="Q138" s="374"/>
    </row>
    <row r="139" spans="1:17" x14ac:dyDescent="0.2">
      <c r="B139" s="374"/>
      <c r="C139" s="374"/>
      <c r="D139" s="374"/>
      <c r="E139" s="374"/>
      <c r="F139" s="374"/>
      <c r="G139" s="374"/>
      <c r="H139" s="374"/>
      <c r="I139" s="374"/>
      <c r="J139" s="374"/>
      <c r="K139" s="374"/>
      <c r="L139" s="374"/>
      <c r="M139" s="374"/>
      <c r="N139" s="374"/>
      <c r="O139" s="374"/>
      <c r="P139" s="374"/>
      <c r="Q139" s="374"/>
    </row>
    <row r="140" spans="1:17" x14ac:dyDescent="0.2">
      <c r="B140" s="374"/>
      <c r="C140" s="374"/>
      <c r="D140" s="374"/>
      <c r="E140" s="374"/>
      <c r="F140" s="374"/>
      <c r="G140" s="374"/>
      <c r="H140" s="374"/>
      <c r="I140" s="374"/>
      <c r="J140" s="374"/>
      <c r="K140" s="374"/>
      <c r="L140" s="374"/>
      <c r="M140" s="374"/>
      <c r="N140" s="374"/>
      <c r="O140" s="374"/>
      <c r="P140" s="374"/>
      <c r="Q140" s="374"/>
    </row>
  </sheetData>
  <sheetProtection selectLockedCells="1" selectUnlockedCells="1"/>
  <mergeCells count="13">
    <mergeCell ref="B138:Q140"/>
    <mergeCell ref="M10:P10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F10:F11"/>
    <mergeCell ref="G10:L10"/>
  </mergeCells>
  <pageMargins left="0.39374999999999999" right="0" top="0.59027777777777779" bottom="0.39374999999999999" header="0.51180555555555551" footer="0.51180555555555551"/>
  <pageSetup paperSize="9" firstPageNumber="0" orientation="landscape" horizontalDpi="300" verticalDpi="300" r:id="rId1"/>
  <headerFooter alignWithMargins="0"/>
  <rowBreaks count="2" manualBreakCount="2">
    <brk id="65" max="16383" man="1"/>
    <brk id="10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Q54"/>
  <sheetViews>
    <sheetView view="pageBreakPreview" zoomScale="85" zoomScaleNormal="85" zoomScaleSheetLayoutView="85" workbookViewId="0">
      <selection activeCell="C40" sqref="C40"/>
    </sheetView>
  </sheetViews>
  <sheetFormatPr defaultColWidth="9.140625" defaultRowHeight="11.25" x14ac:dyDescent="0.2"/>
  <cols>
    <col min="1" max="1" width="4.5703125" style="76" customWidth="1"/>
    <col min="2" max="2" width="3.85546875" style="76" customWidth="1"/>
    <col min="3" max="3" width="45.85546875" style="76" customWidth="1"/>
    <col min="4" max="4" width="4.85546875" style="76" customWidth="1"/>
    <col min="5" max="5" width="5.140625" style="76" customWidth="1"/>
    <col min="6" max="6" width="6.5703125" style="76" customWidth="1"/>
    <col min="7" max="12" width="7.140625" style="76" customWidth="1"/>
    <col min="13" max="15" width="7.42578125" style="76" customWidth="1"/>
    <col min="16" max="16" width="7.140625" style="76" customWidth="1"/>
    <col min="17" max="16384" width="9.140625" style="76"/>
  </cols>
  <sheetData>
    <row r="1" spans="1:16" x14ac:dyDescent="0.2">
      <c r="A1" s="379" t="s">
        <v>11</v>
      </c>
      <c r="B1" s="379"/>
      <c r="C1" s="379"/>
      <c r="D1" s="379"/>
      <c r="E1" s="379"/>
      <c r="F1" s="379"/>
      <c r="G1" s="26">
        <f>KPDV!A24</f>
        <v>10</v>
      </c>
      <c r="H1" s="26"/>
      <c r="I1" s="26"/>
      <c r="J1" s="26"/>
      <c r="K1" s="26"/>
      <c r="L1" s="26"/>
      <c r="M1" s="26"/>
      <c r="N1" s="26"/>
      <c r="O1" s="26"/>
      <c r="P1" s="26"/>
    </row>
    <row r="2" spans="1:16" x14ac:dyDescent="0.2">
      <c r="A2" s="28"/>
      <c r="B2" s="28"/>
      <c r="C2" s="29" t="s">
        <v>176</v>
      </c>
      <c r="D2" s="28"/>
      <c r="E2" s="28"/>
      <c r="F2" s="28"/>
      <c r="G2" s="28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2">
      <c r="A3" s="364" t="str">
        <f>KPDV!A5</f>
        <v>Būves nosaukums: Daudzdzīvokļu dzīvojamā ēka</v>
      </c>
      <c r="B3" s="364"/>
      <c r="C3" s="364"/>
      <c r="D3" s="364"/>
      <c r="E3" s="364"/>
      <c r="F3" s="364"/>
      <c r="G3" s="364"/>
      <c r="H3" s="30"/>
      <c r="I3" s="30"/>
      <c r="J3" s="30"/>
      <c r="K3" s="30"/>
      <c r="L3" s="31"/>
      <c r="M3" s="31"/>
      <c r="N3" s="31"/>
      <c r="O3" s="31"/>
      <c r="P3" s="26"/>
    </row>
    <row r="4" spans="1:16" x14ac:dyDescent="0.2">
      <c r="A4" s="364" t="str">
        <f>KPDV!A6</f>
        <v>Objekta nosaukums: Dzīvojamās ēkas fasādes vienkāršota atjaunošana</v>
      </c>
      <c r="B4" s="364"/>
      <c r="C4" s="364"/>
      <c r="D4" s="364"/>
      <c r="E4" s="364"/>
      <c r="F4" s="364"/>
      <c r="G4" s="364"/>
      <c r="H4" s="32"/>
      <c r="I4" s="32"/>
      <c r="J4" s="31"/>
      <c r="K4" s="31"/>
      <c r="L4" s="31"/>
      <c r="M4" s="31"/>
      <c r="N4" s="31"/>
      <c r="O4" s="31"/>
      <c r="P4" s="26"/>
    </row>
    <row r="5" spans="1:16" x14ac:dyDescent="0.2">
      <c r="A5" s="33" t="str">
        <f>KPDV!A7</f>
        <v>Objekta adrese: Raiņa iela 18/20, Liepāja</v>
      </c>
      <c r="B5" s="33"/>
      <c r="C5" s="33"/>
      <c r="D5" s="33"/>
      <c r="E5" s="34"/>
      <c r="F5" s="33"/>
      <c r="G5" s="33"/>
      <c r="H5" s="32"/>
      <c r="I5" s="32"/>
      <c r="J5" s="31"/>
      <c r="K5" s="31"/>
      <c r="L5" s="31"/>
      <c r="M5" s="31"/>
      <c r="N5" s="31"/>
      <c r="O5" s="31"/>
      <c r="P5" s="26"/>
    </row>
    <row r="6" spans="1:16" x14ac:dyDescent="0.2">
      <c r="A6" s="33" t="str">
        <f>KPDV!A8</f>
        <v>Pasūtījuma Nr.: EA-78-16</v>
      </c>
      <c r="B6" s="33"/>
      <c r="C6" s="33"/>
      <c r="D6" s="33"/>
      <c r="E6" s="33"/>
      <c r="F6" s="33"/>
      <c r="G6" s="33"/>
      <c r="H6" s="32"/>
      <c r="I6" s="32"/>
      <c r="J6" s="31"/>
      <c r="K6" s="31"/>
      <c r="L6" s="31"/>
      <c r="M6" s="31"/>
      <c r="N6" s="31"/>
      <c r="O6" s="31"/>
      <c r="P6" s="26"/>
    </row>
    <row r="7" spans="1:16" x14ac:dyDescent="0.2">
      <c r="A7" s="33"/>
      <c r="B7" s="33"/>
      <c r="C7" s="33"/>
      <c r="D7" s="33"/>
      <c r="E7" s="33"/>
      <c r="F7" s="33"/>
      <c r="G7" s="33"/>
      <c r="H7" s="32"/>
      <c r="I7" s="32"/>
      <c r="J7" s="31"/>
      <c r="K7" s="31"/>
      <c r="L7" s="31"/>
      <c r="M7" s="31"/>
      <c r="N7" s="31"/>
      <c r="O7" s="31"/>
      <c r="P7" s="26"/>
    </row>
    <row r="8" spans="1:16" x14ac:dyDescent="0.2">
      <c r="A8" s="380" t="s">
        <v>341</v>
      </c>
      <c r="B8" s="380"/>
      <c r="C8" s="380"/>
      <c r="D8" s="380"/>
      <c r="E8" s="35" t="s">
        <v>177</v>
      </c>
      <c r="F8" s="381" t="s">
        <v>14</v>
      </c>
      <c r="G8" s="381"/>
      <c r="H8" s="381"/>
      <c r="I8" s="381"/>
      <c r="J8" s="36"/>
      <c r="K8" s="36"/>
      <c r="L8" s="36"/>
      <c r="M8" s="36" t="s">
        <v>15</v>
      </c>
      <c r="N8" s="36"/>
      <c r="O8" s="37">
        <f>P44</f>
        <v>0</v>
      </c>
      <c r="P8" s="21" t="s">
        <v>16</v>
      </c>
    </row>
    <row r="9" spans="1:16" x14ac:dyDescent="0.2">
      <c r="A9" s="77"/>
      <c r="B9" s="77"/>
      <c r="C9" s="78"/>
      <c r="D9" s="78"/>
      <c r="E9" s="78"/>
      <c r="I9" s="79"/>
      <c r="J9" s="80"/>
      <c r="K9" s="80"/>
      <c r="O9" s="80"/>
      <c r="P9" s="327" t="str">
        <f>dat</f>
        <v>Tāme sastādīta .gada</v>
      </c>
    </row>
    <row r="10" spans="1:16" x14ac:dyDescent="0.2">
      <c r="A10" s="376" t="s">
        <v>17</v>
      </c>
      <c r="B10" s="376" t="s">
        <v>18</v>
      </c>
      <c r="C10" s="386" t="s">
        <v>19</v>
      </c>
      <c r="D10" s="378" t="s">
        <v>20</v>
      </c>
      <c r="E10" s="376" t="s">
        <v>21</v>
      </c>
      <c r="F10" s="375" t="s">
        <v>22</v>
      </c>
      <c r="G10" s="375"/>
      <c r="H10" s="375"/>
      <c r="I10" s="375"/>
      <c r="J10" s="375"/>
      <c r="K10" s="375"/>
      <c r="L10" s="375" t="s">
        <v>23</v>
      </c>
      <c r="M10" s="375"/>
      <c r="N10" s="375"/>
      <c r="O10" s="375"/>
      <c r="P10" s="375"/>
    </row>
    <row r="11" spans="1:16" ht="87" x14ac:dyDescent="0.2">
      <c r="A11" s="376"/>
      <c r="B11" s="376"/>
      <c r="C11" s="388"/>
      <c r="D11" s="378"/>
      <c r="E11" s="376"/>
      <c r="F11" s="328" t="s">
        <v>342</v>
      </c>
      <c r="G11" s="329" t="s">
        <v>343</v>
      </c>
      <c r="H11" s="329" t="s">
        <v>344</v>
      </c>
      <c r="I11" s="329" t="s">
        <v>345</v>
      </c>
      <c r="J11" s="329" t="s">
        <v>346</v>
      </c>
      <c r="K11" s="330" t="s">
        <v>333</v>
      </c>
      <c r="L11" s="328" t="s">
        <v>24</v>
      </c>
      <c r="M11" s="329" t="s">
        <v>344</v>
      </c>
      <c r="N11" s="329" t="s">
        <v>345</v>
      </c>
      <c r="O11" s="329" t="s">
        <v>346</v>
      </c>
      <c r="P11" s="330" t="s">
        <v>347</v>
      </c>
    </row>
    <row r="12" spans="1:16" x14ac:dyDescent="0.2">
      <c r="A12" s="81">
        <v>1</v>
      </c>
      <c r="B12" s="81">
        <f>A12+1</f>
        <v>2</v>
      </c>
      <c r="C12" s="82">
        <f>B12+1</f>
        <v>3</v>
      </c>
      <c r="D12" s="81">
        <f>C12+1</f>
        <v>4</v>
      </c>
      <c r="E12" s="81">
        <f>D12+1</f>
        <v>5</v>
      </c>
      <c r="F12" s="81">
        <f>E12+1</f>
        <v>6</v>
      </c>
      <c r="G12" s="81">
        <f t="shared" ref="G12:P12" si="0">F12+1</f>
        <v>7</v>
      </c>
      <c r="H12" s="81">
        <f t="shared" si="0"/>
        <v>8</v>
      </c>
      <c r="I12" s="83">
        <f t="shared" si="0"/>
        <v>9</v>
      </c>
      <c r="J12" s="81">
        <f t="shared" si="0"/>
        <v>10</v>
      </c>
      <c r="K12" s="81">
        <f t="shared" si="0"/>
        <v>11</v>
      </c>
      <c r="L12" s="81">
        <f t="shared" si="0"/>
        <v>12</v>
      </c>
      <c r="M12" s="81">
        <f t="shared" si="0"/>
        <v>13</v>
      </c>
      <c r="N12" s="81">
        <f t="shared" si="0"/>
        <v>14</v>
      </c>
      <c r="O12" s="81">
        <f t="shared" si="0"/>
        <v>15</v>
      </c>
      <c r="P12" s="81">
        <f t="shared" si="0"/>
        <v>16</v>
      </c>
    </row>
    <row r="13" spans="1:16" ht="12.75" customHeight="1" x14ac:dyDescent="0.2">
      <c r="A13" s="84"/>
      <c r="B13" s="406" t="s">
        <v>178</v>
      </c>
      <c r="C13" s="407"/>
      <c r="D13" s="407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16" ht="22.5" x14ac:dyDescent="0.2">
      <c r="A14" s="85">
        <v>1</v>
      </c>
      <c r="B14" s="86"/>
      <c r="C14" s="87" t="s">
        <v>381</v>
      </c>
      <c r="D14" s="85" t="s">
        <v>131</v>
      </c>
      <c r="E14" s="85">
        <v>1</v>
      </c>
      <c r="F14" s="88"/>
      <c r="G14" s="88"/>
      <c r="H14" s="88"/>
      <c r="I14" s="89"/>
      <c r="J14" s="90"/>
      <c r="K14" s="88"/>
      <c r="L14" s="88"/>
      <c r="M14" s="88"/>
      <c r="N14" s="88"/>
      <c r="O14" s="88"/>
      <c r="P14" s="88"/>
    </row>
    <row r="15" spans="1:16" x14ac:dyDescent="0.2">
      <c r="A15" s="85">
        <f>A14+1</f>
        <v>2</v>
      </c>
      <c r="B15" s="86"/>
      <c r="C15" s="87" t="s">
        <v>380</v>
      </c>
      <c r="D15" s="85" t="s">
        <v>131</v>
      </c>
      <c r="E15" s="85">
        <v>1</v>
      </c>
      <c r="F15" s="88"/>
      <c r="G15" s="88"/>
      <c r="H15" s="88"/>
      <c r="I15" s="89"/>
      <c r="J15" s="90"/>
      <c r="K15" s="88"/>
      <c r="L15" s="88"/>
      <c r="M15" s="88"/>
      <c r="N15" s="88"/>
      <c r="O15" s="88"/>
      <c r="P15" s="88"/>
    </row>
    <row r="16" spans="1:16" ht="20.25" customHeight="1" x14ac:dyDescent="0.2">
      <c r="A16" s="85">
        <f t="shared" ref="A16:A42" si="1">A15+1</f>
        <v>3</v>
      </c>
      <c r="B16" s="86"/>
      <c r="C16" s="87" t="s">
        <v>382</v>
      </c>
      <c r="D16" s="85" t="s">
        <v>131</v>
      </c>
      <c r="E16" s="85">
        <v>1</v>
      </c>
      <c r="F16" s="88"/>
      <c r="G16" s="88"/>
      <c r="H16" s="88"/>
      <c r="I16" s="89"/>
      <c r="J16" s="90"/>
      <c r="K16" s="88"/>
      <c r="L16" s="88"/>
      <c r="M16" s="88"/>
      <c r="N16" s="88"/>
      <c r="O16" s="88"/>
      <c r="P16" s="88"/>
    </row>
    <row r="17" spans="1:16" ht="22.5" x14ac:dyDescent="0.2">
      <c r="A17" s="85">
        <f t="shared" si="1"/>
        <v>4</v>
      </c>
      <c r="B17" s="86"/>
      <c r="C17" s="87" t="s">
        <v>383</v>
      </c>
      <c r="D17" s="85" t="s">
        <v>131</v>
      </c>
      <c r="E17" s="85">
        <v>2</v>
      </c>
      <c r="F17" s="88"/>
      <c r="G17" s="88"/>
      <c r="H17" s="88"/>
      <c r="I17" s="89"/>
      <c r="J17" s="90"/>
      <c r="K17" s="88"/>
      <c r="L17" s="88"/>
      <c r="M17" s="88"/>
      <c r="N17" s="88"/>
      <c r="O17" s="88"/>
      <c r="P17" s="88"/>
    </row>
    <row r="18" spans="1:16" x14ac:dyDescent="0.2">
      <c r="A18" s="85">
        <f t="shared" si="1"/>
        <v>5</v>
      </c>
      <c r="B18" s="86"/>
      <c r="C18" s="87" t="s">
        <v>384</v>
      </c>
      <c r="D18" s="85" t="s">
        <v>131</v>
      </c>
      <c r="E18" s="85">
        <v>1</v>
      </c>
      <c r="F18" s="88"/>
      <c r="G18" s="88"/>
      <c r="H18" s="88"/>
      <c r="I18" s="89"/>
      <c r="J18" s="90"/>
      <c r="K18" s="88"/>
      <c r="L18" s="88"/>
      <c r="M18" s="88"/>
      <c r="N18" s="88"/>
      <c r="O18" s="88"/>
      <c r="P18" s="88"/>
    </row>
    <row r="19" spans="1:16" x14ac:dyDescent="0.2">
      <c r="A19" s="85">
        <f t="shared" si="1"/>
        <v>6</v>
      </c>
      <c r="B19" s="86"/>
      <c r="C19" s="87" t="s">
        <v>385</v>
      </c>
      <c r="D19" s="47" t="s">
        <v>143</v>
      </c>
      <c r="E19" s="85">
        <v>20</v>
      </c>
      <c r="F19" s="88"/>
      <c r="G19" s="88"/>
      <c r="H19" s="88"/>
      <c r="I19" s="89"/>
      <c r="J19" s="90"/>
      <c r="K19" s="88"/>
      <c r="L19" s="88"/>
      <c r="M19" s="88"/>
      <c r="N19" s="88"/>
      <c r="O19" s="88"/>
      <c r="P19" s="88"/>
    </row>
    <row r="20" spans="1:16" x14ac:dyDescent="0.2">
      <c r="A20" s="85">
        <f t="shared" si="1"/>
        <v>7</v>
      </c>
      <c r="B20" s="86"/>
      <c r="C20" s="87" t="s">
        <v>386</v>
      </c>
      <c r="D20" s="85" t="s">
        <v>27</v>
      </c>
      <c r="E20" s="85">
        <v>40</v>
      </c>
      <c r="F20" s="88"/>
      <c r="G20" s="88"/>
      <c r="H20" s="88"/>
      <c r="I20" s="89"/>
      <c r="J20" s="90"/>
      <c r="K20" s="88"/>
      <c r="L20" s="88"/>
      <c r="M20" s="88"/>
      <c r="N20" s="88"/>
      <c r="O20" s="88"/>
      <c r="P20" s="88"/>
    </row>
    <row r="21" spans="1:16" ht="22.5" x14ac:dyDescent="0.2">
      <c r="A21" s="85">
        <f t="shared" si="1"/>
        <v>8</v>
      </c>
      <c r="B21" s="86"/>
      <c r="C21" s="87" t="s">
        <v>387</v>
      </c>
      <c r="D21" s="47" t="s">
        <v>143</v>
      </c>
      <c r="E21" s="85">
        <v>8</v>
      </c>
      <c r="F21" s="88"/>
      <c r="G21" s="88"/>
      <c r="H21" s="88"/>
      <c r="I21" s="89"/>
      <c r="J21" s="90"/>
      <c r="K21" s="88"/>
      <c r="L21" s="88"/>
      <c r="M21" s="88"/>
      <c r="N21" s="88"/>
      <c r="O21" s="88"/>
      <c r="P21" s="88"/>
    </row>
    <row r="22" spans="1:16" x14ac:dyDescent="0.2">
      <c r="A22" s="85">
        <f t="shared" si="1"/>
        <v>9</v>
      </c>
      <c r="B22" s="86"/>
      <c r="C22" s="87" t="s">
        <v>388</v>
      </c>
      <c r="D22" s="85" t="s">
        <v>131</v>
      </c>
      <c r="E22" s="85">
        <v>10</v>
      </c>
      <c r="F22" s="88"/>
      <c r="G22" s="88"/>
      <c r="H22" s="88"/>
      <c r="I22" s="89"/>
      <c r="J22" s="90"/>
      <c r="K22" s="88"/>
      <c r="L22" s="88"/>
      <c r="M22" s="88"/>
      <c r="N22" s="88"/>
      <c r="O22" s="88"/>
      <c r="P22" s="88"/>
    </row>
    <row r="23" spans="1:16" x14ac:dyDescent="0.2">
      <c r="A23" s="85">
        <f t="shared" si="1"/>
        <v>10</v>
      </c>
      <c r="B23" s="86"/>
      <c r="C23" s="87" t="s">
        <v>389</v>
      </c>
      <c r="D23" s="85" t="s">
        <v>131</v>
      </c>
      <c r="E23" s="85">
        <v>2</v>
      </c>
      <c r="F23" s="88"/>
      <c r="G23" s="88"/>
      <c r="H23" s="88"/>
      <c r="I23" s="89"/>
      <c r="J23" s="90"/>
      <c r="K23" s="88"/>
      <c r="L23" s="88"/>
      <c r="M23" s="88"/>
      <c r="N23" s="88"/>
      <c r="O23" s="88"/>
      <c r="P23" s="88"/>
    </row>
    <row r="24" spans="1:16" x14ac:dyDescent="0.2">
      <c r="A24" s="85">
        <f t="shared" si="1"/>
        <v>11</v>
      </c>
      <c r="B24" s="86"/>
      <c r="C24" s="87" t="s">
        <v>390</v>
      </c>
      <c r="D24" s="47" t="s">
        <v>143</v>
      </c>
      <c r="E24" s="85">
        <v>2</v>
      </c>
      <c r="F24" s="88"/>
      <c r="G24" s="88"/>
      <c r="H24" s="88"/>
      <c r="I24" s="89"/>
      <c r="J24" s="90"/>
      <c r="K24" s="88"/>
      <c r="L24" s="88"/>
      <c r="M24" s="88"/>
      <c r="N24" s="88"/>
      <c r="O24" s="88"/>
      <c r="P24" s="88"/>
    </row>
    <row r="25" spans="1:16" ht="10.35" customHeight="1" x14ac:dyDescent="0.2">
      <c r="A25" s="85">
        <f t="shared" si="1"/>
        <v>12</v>
      </c>
      <c r="B25" s="86"/>
      <c r="C25" s="87" t="s">
        <v>391</v>
      </c>
      <c r="D25" s="47" t="s">
        <v>143</v>
      </c>
      <c r="E25" s="85">
        <v>2</v>
      </c>
      <c r="F25" s="88"/>
      <c r="G25" s="88"/>
      <c r="H25" s="88"/>
      <c r="I25" s="89"/>
      <c r="J25" s="90"/>
      <c r="K25" s="88"/>
      <c r="L25" s="88"/>
      <c r="M25" s="88"/>
      <c r="N25" s="88"/>
      <c r="O25" s="88"/>
      <c r="P25" s="88"/>
    </row>
    <row r="26" spans="1:16" x14ac:dyDescent="0.2">
      <c r="A26" s="85">
        <f t="shared" si="1"/>
        <v>13</v>
      </c>
      <c r="B26" s="86"/>
      <c r="C26" s="87" t="s">
        <v>392</v>
      </c>
      <c r="D26" s="85" t="s">
        <v>131</v>
      </c>
      <c r="E26" s="85">
        <v>2</v>
      </c>
      <c r="F26" s="88"/>
      <c r="G26" s="88"/>
      <c r="H26" s="88"/>
      <c r="I26" s="89"/>
      <c r="J26" s="90"/>
      <c r="K26" s="88"/>
      <c r="L26" s="88"/>
      <c r="M26" s="88"/>
      <c r="N26" s="88"/>
      <c r="O26" s="88"/>
      <c r="P26" s="88"/>
    </row>
    <row r="27" spans="1:16" x14ac:dyDescent="0.2">
      <c r="A27" s="85">
        <f t="shared" si="1"/>
        <v>14</v>
      </c>
      <c r="B27" s="86"/>
      <c r="C27" s="87" t="s">
        <v>393</v>
      </c>
      <c r="D27" s="85" t="s">
        <v>27</v>
      </c>
      <c r="E27" s="85">
        <v>24</v>
      </c>
      <c r="F27" s="88"/>
      <c r="G27" s="88"/>
      <c r="H27" s="88"/>
      <c r="I27" s="89"/>
      <c r="J27" s="90"/>
      <c r="K27" s="88"/>
      <c r="L27" s="88"/>
      <c r="M27" s="88"/>
      <c r="N27" s="88"/>
      <c r="O27" s="88"/>
      <c r="P27" s="88"/>
    </row>
    <row r="28" spans="1:16" x14ac:dyDescent="0.2">
      <c r="A28" s="85">
        <f t="shared" si="1"/>
        <v>15</v>
      </c>
      <c r="B28" s="86"/>
      <c r="C28" s="87" t="s">
        <v>394</v>
      </c>
      <c r="D28" s="47" t="s">
        <v>143</v>
      </c>
      <c r="E28" s="85">
        <v>20</v>
      </c>
      <c r="F28" s="88"/>
      <c r="G28" s="88"/>
      <c r="H28" s="88"/>
      <c r="I28" s="89"/>
      <c r="J28" s="90"/>
      <c r="K28" s="88"/>
      <c r="L28" s="88"/>
      <c r="M28" s="88"/>
      <c r="N28" s="88"/>
      <c r="O28" s="88"/>
      <c r="P28" s="88"/>
    </row>
    <row r="29" spans="1:16" x14ac:dyDescent="0.2">
      <c r="A29" s="85">
        <f t="shared" si="1"/>
        <v>16</v>
      </c>
      <c r="B29" s="86"/>
      <c r="C29" s="87" t="s">
        <v>395</v>
      </c>
      <c r="D29" s="47" t="s">
        <v>143</v>
      </c>
      <c r="E29" s="85">
        <v>20</v>
      </c>
      <c r="F29" s="88"/>
      <c r="G29" s="88"/>
      <c r="H29" s="88"/>
      <c r="I29" s="89"/>
      <c r="J29" s="90"/>
      <c r="K29" s="88"/>
      <c r="L29" s="88"/>
      <c r="M29" s="88"/>
      <c r="N29" s="88"/>
      <c r="O29" s="88"/>
      <c r="P29" s="88"/>
    </row>
    <row r="30" spans="1:16" x14ac:dyDescent="0.2">
      <c r="A30" s="85">
        <f t="shared" si="1"/>
        <v>17</v>
      </c>
      <c r="B30" s="86"/>
      <c r="C30" s="87" t="s">
        <v>396</v>
      </c>
      <c r="D30" s="47" t="s">
        <v>143</v>
      </c>
      <c r="E30" s="85">
        <v>15</v>
      </c>
      <c r="F30" s="88"/>
      <c r="G30" s="88"/>
      <c r="H30" s="88"/>
      <c r="I30" s="89"/>
      <c r="J30" s="90"/>
      <c r="K30" s="88"/>
      <c r="L30" s="88"/>
      <c r="M30" s="88"/>
      <c r="N30" s="88"/>
      <c r="O30" s="88"/>
      <c r="P30" s="88"/>
    </row>
    <row r="31" spans="1:16" x14ac:dyDescent="0.2">
      <c r="A31" s="85">
        <f t="shared" si="1"/>
        <v>18</v>
      </c>
      <c r="B31" s="86"/>
      <c r="C31" s="87" t="s">
        <v>397</v>
      </c>
      <c r="D31" s="47" t="s">
        <v>143</v>
      </c>
      <c r="E31" s="85">
        <v>5</v>
      </c>
      <c r="F31" s="88"/>
      <c r="G31" s="88"/>
      <c r="H31" s="88"/>
      <c r="I31" s="89"/>
      <c r="J31" s="90"/>
      <c r="K31" s="88"/>
      <c r="L31" s="88"/>
      <c r="M31" s="88"/>
      <c r="N31" s="88"/>
      <c r="O31" s="88"/>
      <c r="P31" s="88"/>
    </row>
    <row r="32" spans="1:16" x14ac:dyDescent="0.2">
      <c r="A32" s="85">
        <f t="shared" si="1"/>
        <v>19</v>
      </c>
      <c r="B32" s="86"/>
      <c r="C32" s="87" t="s">
        <v>398</v>
      </c>
      <c r="D32" s="47" t="s">
        <v>143</v>
      </c>
      <c r="E32" s="85">
        <v>5</v>
      </c>
      <c r="F32" s="88"/>
      <c r="G32" s="88"/>
      <c r="H32" s="88"/>
      <c r="I32" s="89"/>
      <c r="J32" s="90"/>
      <c r="K32" s="88"/>
      <c r="L32" s="88"/>
      <c r="M32" s="88"/>
      <c r="N32" s="88"/>
      <c r="O32" s="88"/>
      <c r="P32" s="88"/>
    </row>
    <row r="33" spans="1:17" x14ac:dyDescent="0.2">
      <c r="A33" s="85">
        <f t="shared" si="1"/>
        <v>20</v>
      </c>
      <c r="B33" s="86"/>
      <c r="C33" s="87" t="s">
        <v>399</v>
      </c>
      <c r="D33" s="85" t="s">
        <v>179</v>
      </c>
      <c r="E33" s="85">
        <v>1</v>
      </c>
      <c r="F33" s="88"/>
      <c r="G33" s="88"/>
      <c r="H33" s="88"/>
      <c r="I33" s="89"/>
      <c r="J33" s="90"/>
      <c r="K33" s="88"/>
      <c r="L33" s="88"/>
      <c r="M33" s="88"/>
      <c r="N33" s="88"/>
      <c r="O33" s="88"/>
      <c r="P33" s="88"/>
    </row>
    <row r="34" spans="1:17" x14ac:dyDescent="0.2">
      <c r="A34" s="85">
        <f t="shared" si="1"/>
        <v>21</v>
      </c>
      <c r="B34" s="86"/>
      <c r="C34" s="87" t="s">
        <v>180</v>
      </c>
      <c r="D34" s="85" t="s">
        <v>27</v>
      </c>
      <c r="E34" s="85">
        <v>30</v>
      </c>
      <c r="F34" s="88"/>
      <c r="G34" s="88"/>
      <c r="H34" s="88"/>
      <c r="I34" s="89"/>
      <c r="J34" s="90"/>
      <c r="K34" s="88"/>
      <c r="L34" s="88"/>
      <c r="M34" s="88"/>
      <c r="N34" s="88"/>
      <c r="O34" s="88"/>
      <c r="P34" s="88"/>
    </row>
    <row r="35" spans="1:17" x14ac:dyDescent="0.2">
      <c r="A35" s="85">
        <f t="shared" si="1"/>
        <v>22</v>
      </c>
      <c r="B35" s="86"/>
      <c r="C35" s="87" t="s">
        <v>169</v>
      </c>
      <c r="D35" s="85" t="s">
        <v>131</v>
      </c>
      <c r="E35" s="85">
        <v>1</v>
      </c>
      <c r="F35" s="88"/>
      <c r="G35" s="88"/>
      <c r="H35" s="88"/>
      <c r="I35" s="89"/>
      <c r="J35" s="90"/>
      <c r="K35" s="88"/>
      <c r="L35" s="88"/>
      <c r="M35" s="88"/>
      <c r="N35" s="88"/>
      <c r="O35" s="88"/>
      <c r="P35" s="88"/>
    </row>
    <row r="36" spans="1:17" x14ac:dyDescent="0.2">
      <c r="A36" s="85">
        <f t="shared" si="1"/>
        <v>23</v>
      </c>
      <c r="B36" s="86"/>
      <c r="C36" s="87" t="s">
        <v>181</v>
      </c>
      <c r="D36" s="85" t="s">
        <v>131</v>
      </c>
      <c r="E36" s="85">
        <v>1</v>
      </c>
      <c r="F36" s="88"/>
      <c r="G36" s="88"/>
      <c r="H36" s="88"/>
      <c r="I36" s="89"/>
      <c r="J36" s="90"/>
      <c r="K36" s="88"/>
      <c r="L36" s="88"/>
      <c r="M36" s="88"/>
      <c r="N36" s="88"/>
      <c r="O36" s="88"/>
      <c r="P36" s="88"/>
    </row>
    <row r="37" spans="1:17" x14ac:dyDescent="0.2">
      <c r="A37" s="85">
        <f t="shared" si="1"/>
        <v>24</v>
      </c>
      <c r="B37" s="86"/>
      <c r="C37" s="87" t="s">
        <v>182</v>
      </c>
      <c r="D37" s="85" t="s">
        <v>27</v>
      </c>
      <c r="E37" s="85">
        <v>26</v>
      </c>
      <c r="F37" s="88"/>
      <c r="G37" s="88"/>
      <c r="H37" s="88"/>
      <c r="I37" s="89"/>
      <c r="J37" s="90"/>
      <c r="K37" s="88"/>
      <c r="L37" s="88"/>
      <c r="M37" s="88"/>
      <c r="N37" s="88"/>
      <c r="O37" s="88"/>
      <c r="P37" s="88"/>
    </row>
    <row r="38" spans="1:17" x14ac:dyDescent="0.2">
      <c r="A38" s="85">
        <f t="shared" si="1"/>
        <v>25</v>
      </c>
      <c r="B38" s="86"/>
      <c r="C38" s="87" t="s">
        <v>183</v>
      </c>
      <c r="D38" s="47" t="s">
        <v>143</v>
      </c>
      <c r="E38" s="85">
        <v>20</v>
      </c>
      <c r="F38" s="88"/>
      <c r="G38" s="88"/>
      <c r="H38" s="88"/>
      <c r="I38" s="89"/>
      <c r="J38" s="90"/>
      <c r="K38" s="88"/>
      <c r="L38" s="88"/>
      <c r="M38" s="88"/>
      <c r="N38" s="88"/>
      <c r="O38" s="88"/>
      <c r="P38" s="88"/>
    </row>
    <row r="39" spans="1:17" x14ac:dyDescent="0.2">
      <c r="A39" s="85">
        <f t="shared" si="1"/>
        <v>26</v>
      </c>
      <c r="B39" s="86"/>
      <c r="C39" s="87" t="s">
        <v>400</v>
      </c>
      <c r="D39" s="85" t="s">
        <v>131</v>
      </c>
      <c r="E39" s="85">
        <v>1</v>
      </c>
      <c r="F39" s="88"/>
      <c r="G39" s="88"/>
      <c r="H39" s="88"/>
      <c r="I39" s="89"/>
      <c r="J39" s="90"/>
      <c r="K39" s="88"/>
      <c r="L39" s="88"/>
      <c r="M39" s="88"/>
      <c r="N39" s="88"/>
      <c r="O39" s="88"/>
      <c r="P39" s="88"/>
    </row>
    <row r="40" spans="1:17" x14ac:dyDescent="0.2">
      <c r="A40" s="85">
        <f t="shared" si="1"/>
        <v>27</v>
      </c>
      <c r="B40" s="86"/>
      <c r="C40" s="87" t="s">
        <v>184</v>
      </c>
      <c r="D40" s="85" t="s">
        <v>32</v>
      </c>
      <c r="E40" s="85">
        <v>13</v>
      </c>
      <c r="F40" s="88"/>
      <c r="G40" s="88"/>
      <c r="H40" s="88"/>
      <c r="I40" s="89"/>
      <c r="J40" s="90"/>
      <c r="K40" s="88"/>
      <c r="L40" s="88"/>
      <c r="M40" s="88"/>
      <c r="N40" s="88"/>
      <c r="O40" s="88"/>
      <c r="P40" s="88"/>
    </row>
    <row r="41" spans="1:17" x14ac:dyDescent="0.2">
      <c r="A41" s="85">
        <f t="shared" si="1"/>
        <v>28</v>
      </c>
      <c r="B41" s="86"/>
      <c r="C41" s="87" t="s">
        <v>185</v>
      </c>
      <c r="D41" s="85" t="s">
        <v>131</v>
      </c>
      <c r="E41" s="85">
        <v>1</v>
      </c>
      <c r="F41" s="88"/>
      <c r="G41" s="88"/>
      <c r="H41" s="88"/>
      <c r="I41" s="89"/>
      <c r="J41" s="90"/>
      <c r="K41" s="88"/>
      <c r="L41" s="88"/>
      <c r="M41" s="88"/>
      <c r="N41" s="88"/>
      <c r="O41" s="88"/>
      <c r="P41" s="88"/>
    </row>
    <row r="42" spans="1:17" x14ac:dyDescent="0.2">
      <c r="A42" s="85">
        <f t="shared" si="1"/>
        <v>29</v>
      </c>
      <c r="B42" s="86"/>
      <c r="C42" s="87" t="s">
        <v>186</v>
      </c>
      <c r="D42" s="85" t="s">
        <v>131</v>
      </c>
      <c r="E42" s="85">
        <v>1</v>
      </c>
      <c r="F42" s="88"/>
      <c r="G42" s="88"/>
      <c r="H42" s="88"/>
      <c r="I42" s="89"/>
      <c r="J42" s="90"/>
      <c r="K42" s="88"/>
      <c r="L42" s="88"/>
      <c r="M42" s="88"/>
      <c r="N42" s="88"/>
      <c r="O42" s="88"/>
      <c r="P42" s="88"/>
    </row>
    <row r="43" spans="1:17" ht="22.5" x14ac:dyDescent="0.2">
      <c r="B43" s="27"/>
      <c r="C43" s="340" t="s">
        <v>156</v>
      </c>
      <c r="D43" s="341"/>
      <c r="E43" s="342"/>
      <c r="F43" s="342"/>
      <c r="G43" s="343"/>
      <c r="H43" s="343"/>
      <c r="I43" s="343"/>
      <c r="J43" s="343"/>
      <c r="K43" s="343"/>
      <c r="L43" s="27"/>
      <c r="M43" s="344"/>
      <c r="N43" s="344"/>
      <c r="O43" s="344"/>
      <c r="P43" s="344"/>
      <c r="Q43" s="344"/>
    </row>
    <row r="44" spans="1:17" x14ac:dyDescent="0.2">
      <c r="B44" s="27"/>
      <c r="C44" s="345"/>
      <c r="D44" s="345"/>
      <c r="E44" s="345"/>
      <c r="F44" s="345"/>
      <c r="G44" s="345"/>
      <c r="H44" s="345"/>
      <c r="I44" s="27"/>
      <c r="J44" s="27"/>
      <c r="K44" s="27"/>
      <c r="L44" s="27"/>
      <c r="M44" s="27"/>
      <c r="N44" s="27"/>
      <c r="O44" s="27"/>
      <c r="P44" s="27"/>
      <c r="Q44" s="27"/>
    </row>
    <row r="45" spans="1:17" x14ac:dyDescent="0.2">
      <c r="B45" s="27"/>
      <c r="C45" s="346" t="str">
        <f>[3]KPDV!$B$31</f>
        <v>Sastādīja:</v>
      </c>
      <c r="D45" s="347"/>
      <c r="E45" s="348"/>
      <c r="F45" s="348"/>
      <c r="G45" s="345"/>
      <c r="H45" s="345"/>
      <c r="I45" s="27"/>
      <c r="J45" s="27"/>
      <c r="K45" s="27"/>
      <c r="L45" s="27"/>
      <c r="M45" s="27"/>
      <c r="N45" s="27"/>
      <c r="O45" s="27"/>
      <c r="P45" s="27"/>
      <c r="Q45" s="27"/>
    </row>
    <row r="46" spans="1:17" x14ac:dyDescent="0.2">
      <c r="B46" s="27"/>
      <c r="C46" s="346" t="str">
        <f>[3]KPDV!$B$32</f>
        <v>Tāme sastādīta</v>
      </c>
      <c r="D46" s="123"/>
      <c r="E46" s="278"/>
      <c r="F46" s="278"/>
      <c r="G46" s="345"/>
      <c r="H46" s="345"/>
      <c r="I46" s="27"/>
      <c r="J46" s="27"/>
      <c r="K46" s="27"/>
      <c r="L46" s="27"/>
      <c r="M46" s="27"/>
      <c r="N46" s="27"/>
      <c r="O46" s="27"/>
      <c r="P46" s="27"/>
      <c r="Q46" s="27"/>
    </row>
    <row r="47" spans="1:17" x14ac:dyDescent="0.2">
      <c r="B47" s="27"/>
      <c r="C47" s="346"/>
      <c r="D47" s="123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27"/>
    </row>
    <row r="48" spans="1:17" x14ac:dyDescent="0.2">
      <c r="B48" s="27"/>
      <c r="C48" s="346" t="str">
        <f>[3]KPDV!$B$34</f>
        <v>Pārbaudīja:</v>
      </c>
      <c r="D48" s="347"/>
      <c r="E48" s="348"/>
      <c r="F48" s="348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27"/>
    </row>
    <row r="49" spans="2:17" x14ac:dyDescent="0.2">
      <c r="B49" s="27"/>
      <c r="C49" s="346" t="str">
        <f>[3]KPDV!$B$35</f>
        <v>Sertifikāta Nr.:</v>
      </c>
      <c r="D49" s="347"/>
      <c r="E49" s="349"/>
      <c r="F49" s="349"/>
      <c r="G49" s="123"/>
      <c r="H49" s="123"/>
      <c r="I49" s="123"/>
      <c r="J49" s="123"/>
      <c r="K49" s="123"/>
      <c r="L49" s="123"/>
      <c r="M49" s="350"/>
      <c r="N49" s="123"/>
      <c r="O49" s="350"/>
      <c r="P49" s="123"/>
      <c r="Q49" s="27"/>
    </row>
    <row r="50" spans="2:17" x14ac:dyDescent="0.2">
      <c r="B50" s="27"/>
      <c r="C50" s="27"/>
      <c r="D50" s="27"/>
      <c r="E50" s="27"/>
      <c r="F50" s="27"/>
      <c r="G50" s="27"/>
      <c r="H50" s="27"/>
      <c r="I50" s="351"/>
      <c r="J50" s="267"/>
      <c r="K50" s="267"/>
      <c r="L50" s="27"/>
      <c r="M50" s="27"/>
      <c r="N50" s="27"/>
      <c r="O50" s="267"/>
      <c r="P50" s="267"/>
      <c r="Q50" s="27"/>
    </row>
    <row r="51" spans="2:17" ht="12.75" x14ac:dyDescent="0.2">
      <c r="B51" s="352" t="s">
        <v>348</v>
      </c>
      <c r="C51" s="353"/>
      <c r="D51" s="354"/>
      <c r="E51" s="354"/>
      <c r="F51" s="354"/>
      <c r="G51" s="355"/>
      <c r="H51" s="354"/>
      <c r="I51" s="354"/>
      <c r="J51" s="354"/>
      <c r="K51" s="354"/>
      <c r="L51" s="354"/>
      <c r="M51" s="354"/>
      <c r="N51" s="354"/>
      <c r="O51" s="354"/>
      <c r="P51" s="354"/>
      <c r="Q51" s="354"/>
    </row>
    <row r="52" spans="2:17" x14ac:dyDescent="0.2">
      <c r="B52" s="374" t="s">
        <v>349</v>
      </c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</row>
    <row r="53" spans="2:17" x14ac:dyDescent="0.2">
      <c r="B53" s="374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</row>
    <row r="54" spans="2:17" x14ac:dyDescent="0.2"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</row>
  </sheetData>
  <sheetProtection selectLockedCells="1" selectUnlockedCells="1"/>
  <mergeCells count="14">
    <mergeCell ref="B52:Q54"/>
    <mergeCell ref="A10:A11"/>
    <mergeCell ref="B10:B11"/>
    <mergeCell ref="A1:F1"/>
    <mergeCell ref="A3:G3"/>
    <mergeCell ref="A4:G4"/>
    <mergeCell ref="A8:D8"/>
    <mergeCell ref="F8:I8"/>
    <mergeCell ref="B13:D13"/>
    <mergeCell ref="D10:D11"/>
    <mergeCell ref="E10:E11"/>
    <mergeCell ref="F10:K10"/>
    <mergeCell ref="L10:P10"/>
    <mergeCell ref="C10:C11"/>
  </mergeCells>
  <pageMargins left="0.39374999999999999" right="0" top="0.59027777777777779" bottom="0.39374999999999999" header="0.51180555555555551" footer="0.51180555555555551"/>
  <pageSetup paperSize="9" scale="92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37"/>
  <sheetViews>
    <sheetView view="pageBreakPreview" zoomScale="130" zoomScaleNormal="120" zoomScaleSheetLayoutView="130" workbookViewId="0">
      <selection activeCell="B21" sqref="B21"/>
    </sheetView>
  </sheetViews>
  <sheetFormatPr defaultColWidth="9" defaultRowHeight="11.25" x14ac:dyDescent="0.2"/>
  <cols>
    <col min="1" max="1" width="18" style="27" customWidth="1"/>
    <col min="2" max="2" width="41" style="27" customWidth="1"/>
    <col min="3" max="3" width="11.85546875" style="27" customWidth="1"/>
    <col min="4" max="6" width="9.85546875" style="27" customWidth="1"/>
    <col min="7" max="7" width="15" style="27" customWidth="1"/>
    <col min="8" max="8" width="9" style="27"/>
    <col min="9" max="9" width="37.42578125" style="27" customWidth="1"/>
    <col min="10" max="10" width="10" style="27" customWidth="1"/>
    <col min="11" max="16384" width="9" style="27"/>
  </cols>
  <sheetData>
    <row r="1" spans="1:10" x14ac:dyDescent="0.2">
      <c r="B1" s="27" t="s">
        <v>0</v>
      </c>
    </row>
    <row r="2" spans="1:10" x14ac:dyDescent="0.2">
      <c r="A2" s="158"/>
      <c r="B2" s="158"/>
      <c r="C2" s="158"/>
      <c r="D2" s="158"/>
      <c r="E2" s="158"/>
      <c r="F2" s="158"/>
      <c r="G2" s="158"/>
      <c r="H2" s="158"/>
    </row>
    <row r="3" spans="1:10" x14ac:dyDescent="0.2">
      <c r="A3" s="158"/>
      <c r="B3" s="158" t="s">
        <v>1</v>
      </c>
      <c r="C3" s="158"/>
      <c r="D3" s="158"/>
      <c r="E3" s="158"/>
      <c r="F3" s="158"/>
      <c r="G3" s="158"/>
      <c r="H3" s="158"/>
    </row>
    <row r="4" spans="1:10" x14ac:dyDescent="0.2">
      <c r="A4" s="158"/>
      <c r="B4" s="158"/>
      <c r="C4" s="158"/>
      <c r="D4" s="158"/>
      <c r="E4" s="158"/>
      <c r="F4" s="158"/>
      <c r="G4" s="158"/>
      <c r="H4" s="158"/>
    </row>
    <row r="5" spans="1:10" ht="11.25" customHeight="1" x14ac:dyDescent="0.2">
      <c r="A5" s="364" t="s">
        <v>2</v>
      </c>
      <c r="B5" s="364"/>
      <c r="C5" s="364"/>
      <c r="D5" s="364"/>
      <c r="E5" s="364"/>
      <c r="F5" s="364"/>
      <c r="G5" s="364"/>
      <c r="H5" s="158"/>
    </row>
    <row r="6" spans="1:10" x14ac:dyDescent="0.2">
      <c r="A6" s="33" t="s">
        <v>114</v>
      </c>
      <c r="B6" s="33"/>
      <c r="C6" s="33"/>
      <c r="D6" s="33"/>
      <c r="E6" s="33"/>
      <c r="F6" s="33"/>
      <c r="G6" s="33"/>
      <c r="H6" s="158"/>
    </row>
    <row r="7" spans="1:10" x14ac:dyDescent="0.2">
      <c r="A7" s="33" t="s">
        <v>172</v>
      </c>
      <c r="B7" s="33"/>
      <c r="C7" s="33"/>
      <c r="D7" s="33"/>
      <c r="E7" s="33"/>
      <c r="F7" s="33"/>
      <c r="G7" s="33"/>
      <c r="H7" s="158"/>
    </row>
    <row r="8" spans="1:10" x14ac:dyDescent="0.2">
      <c r="A8" s="33" t="s">
        <v>326</v>
      </c>
      <c r="B8" s="33"/>
      <c r="C8" s="33"/>
      <c r="D8" s="34"/>
      <c r="E8" s="34"/>
      <c r="F8" s="34"/>
      <c r="G8" s="33"/>
    </row>
    <row r="9" spans="1:10" x14ac:dyDescent="0.2">
      <c r="A9" s="33"/>
      <c r="B9" s="33"/>
      <c r="C9" s="33"/>
      <c r="D9" s="94"/>
      <c r="E9" s="94"/>
      <c r="F9" s="34"/>
      <c r="G9" s="32"/>
    </row>
    <row r="10" spans="1:10" x14ac:dyDescent="0.2">
      <c r="A10" s="27" t="s">
        <v>3</v>
      </c>
      <c r="C10" s="267">
        <f>G32</f>
        <v>0</v>
      </c>
      <c r="D10" s="267"/>
    </row>
    <row r="11" spans="1:10" x14ac:dyDescent="0.2">
      <c r="A11" s="27" t="s">
        <v>4</v>
      </c>
      <c r="C11" s="268">
        <f>C26</f>
        <v>0</v>
      </c>
      <c r="D11" s="267"/>
    </row>
    <row r="12" spans="1:10" ht="12" thickBot="1" x14ac:dyDescent="0.25">
      <c r="A12" s="27" t="s">
        <v>325</v>
      </c>
    </row>
    <row r="13" spans="1:10" s="269" customFormat="1" ht="11.25" customHeight="1" thickBot="1" x14ac:dyDescent="0.25">
      <c r="A13" s="365" t="s">
        <v>5</v>
      </c>
      <c r="B13" s="366" t="s">
        <v>6</v>
      </c>
      <c r="C13" s="367" t="s">
        <v>335</v>
      </c>
      <c r="D13" s="369" t="s">
        <v>8</v>
      </c>
      <c r="E13" s="370"/>
      <c r="F13" s="371"/>
      <c r="G13" s="372" t="s">
        <v>7</v>
      </c>
    </row>
    <row r="14" spans="1:10" s="270" customFormat="1" ht="34.5" thickBot="1" x14ac:dyDescent="0.25">
      <c r="A14" s="365"/>
      <c r="B14" s="366"/>
      <c r="C14" s="368"/>
      <c r="D14" s="326" t="s">
        <v>336</v>
      </c>
      <c r="E14" s="326" t="s">
        <v>337</v>
      </c>
      <c r="F14" s="326" t="s">
        <v>338</v>
      </c>
      <c r="G14" s="373"/>
    </row>
    <row r="15" spans="1:10" x14ac:dyDescent="0.2">
      <c r="A15" s="271">
        <v>1</v>
      </c>
      <c r="B15" s="272" t="str">
        <f>'AR '!C2</f>
        <v>Ārsienu siltināšanas darbi</v>
      </c>
      <c r="C15" s="23"/>
      <c r="D15" s="23"/>
      <c r="E15" s="23"/>
      <c r="F15" s="23"/>
      <c r="G15" s="23"/>
      <c r="J15" s="273"/>
    </row>
    <row r="16" spans="1:10" x14ac:dyDescent="0.2">
      <c r="A16" s="271">
        <f t="shared" ref="A16:A24" si="0">A15+1</f>
        <v>2</v>
      </c>
      <c r="B16" s="272" t="str">
        <f>logi!C2</f>
        <v>Logu un durvju nomaiņa</v>
      </c>
      <c r="C16" s="23"/>
      <c r="D16" s="23"/>
      <c r="E16" s="23"/>
      <c r="F16" s="23"/>
      <c r="G16" s="23"/>
      <c r="J16" s="273"/>
    </row>
    <row r="17" spans="1:10" x14ac:dyDescent="0.2">
      <c r="A17" s="271">
        <f t="shared" si="0"/>
        <v>3</v>
      </c>
      <c r="B17" s="272" t="str">
        <f>'C'!C2</f>
        <v>Cokola siltināšanas darbi</v>
      </c>
      <c r="C17" s="23"/>
      <c r="D17" s="23"/>
      <c r="E17" s="23"/>
      <c r="F17" s="23"/>
      <c r="G17" s="23"/>
      <c r="J17" s="273"/>
    </row>
    <row r="18" spans="1:10" x14ac:dyDescent="0.2">
      <c r="A18" s="271">
        <f t="shared" si="0"/>
        <v>4</v>
      </c>
      <c r="B18" s="272" t="str">
        <f>P!C2</f>
        <v>Pagraba pārseguma siltināšana</v>
      </c>
      <c r="C18" s="23"/>
      <c r="D18" s="23"/>
      <c r="E18" s="23"/>
      <c r="F18" s="23"/>
      <c r="G18" s="23"/>
      <c r="J18" s="273"/>
    </row>
    <row r="19" spans="1:10" x14ac:dyDescent="0.2">
      <c r="A19" s="271">
        <f t="shared" si="0"/>
        <v>5</v>
      </c>
      <c r="B19" s="274" t="str">
        <f>IM!C2</f>
        <v>Ieejas mezglu rekonstrukcijas darbi</v>
      </c>
      <c r="C19" s="24"/>
      <c r="D19" s="24"/>
      <c r="E19" s="24"/>
      <c r="F19" s="24"/>
      <c r="G19" s="24"/>
      <c r="J19" s="273"/>
    </row>
    <row r="20" spans="1:10" x14ac:dyDescent="0.2">
      <c r="A20" s="271">
        <f t="shared" si="0"/>
        <v>6</v>
      </c>
      <c r="B20" s="274" t="str">
        <f>BS!C2</f>
        <v>Bēniņu siltināšanas darbi</v>
      </c>
      <c r="C20" s="24"/>
      <c r="D20" s="24"/>
      <c r="E20" s="24"/>
      <c r="F20" s="24"/>
      <c r="G20" s="24"/>
      <c r="J20" s="273"/>
    </row>
    <row r="21" spans="1:10" x14ac:dyDescent="0.2">
      <c r="A21" s="271">
        <f t="shared" si="0"/>
        <v>7</v>
      </c>
      <c r="B21" s="274" t="str">
        <f>Jumts!C2</f>
        <v>Jumta rekonstrukcijas darbi</v>
      </c>
      <c r="C21" s="25"/>
      <c r="D21" s="25"/>
      <c r="E21" s="25"/>
      <c r="F21" s="25"/>
      <c r="G21" s="25"/>
      <c r="J21" s="273"/>
    </row>
    <row r="22" spans="1:10" x14ac:dyDescent="0.2">
      <c r="A22" s="271">
        <f t="shared" si="0"/>
        <v>8</v>
      </c>
      <c r="B22" s="274" t="str">
        <f>BK!C2</f>
        <v>Plaisu remonts fasādē</v>
      </c>
      <c r="C22" s="25"/>
      <c r="D22" s="25"/>
      <c r="E22" s="25"/>
      <c r="F22" s="25"/>
      <c r="G22" s="25"/>
      <c r="J22" s="273"/>
    </row>
    <row r="23" spans="1:10" x14ac:dyDescent="0.2">
      <c r="A23" s="271">
        <f t="shared" si="0"/>
        <v>9</v>
      </c>
      <c r="B23" s="275" t="str">
        <f>AVK!C2</f>
        <v>Ēkas apkure</v>
      </c>
      <c r="C23" s="24"/>
      <c r="D23" s="24"/>
      <c r="E23" s="24"/>
      <c r="F23" s="24"/>
      <c r="G23" s="24"/>
    </row>
    <row r="24" spans="1:10" x14ac:dyDescent="0.2">
      <c r="A24" s="271">
        <f t="shared" si="0"/>
        <v>10</v>
      </c>
      <c r="B24" s="275" t="str">
        <f>zibens!C2</f>
        <v>Zibensaizsardzība</v>
      </c>
      <c r="C24" s="24"/>
      <c r="D24" s="24"/>
      <c r="E24" s="24"/>
      <c r="F24" s="24"/>
      <c r="G24" s="24"/>
    </row>
    <row r="25" spans="1:10" x14ac:dyDescent="0.2">
      <c r="A25" s="316"/>
      <c r="B25" s="317" t="s">
        <v>9</v>
      </c>
      <c r="C25" s="276"/>
      <c r="D25" s="276"/>
      <c r="E25" s="276"/>
      <c r="F25" s="276"/>
      <c r="G25" s="276"/>
    </row>
    <row r="26" spans="1:10" x14ac:dyDescent="0.2">
      <c r="A26" s="318" t="s">
        <v>327</v>
      </c>
      <c r="B26" s="319" t="s">
        <v>328</v>
      </c>
      <c r="C26" s="277"/>
      <c r="D26" s="277"/>
      <c r="E26" s="277"/>
      <c r="F26" s="277"/>
      <c r="G26" s="277"/>
    </row>
    <row r="27" spans="1:10" x14ac:dyDescent="0.2">
      <c r="A27" s="320" t="s">
        <v>329</v>
      </c>
      <c r="B27" s="319"/>
      <c r="C27" s="278"/>
      <c r="D27" s="278"/>
      <c r="E27" s="279"/>
      <c r="F27" s="280"/>
      <c r="G27" s="281"/>
    </row>
    <row r="28" spans="1:10" x14ac:dyDescent="0.2">
      <c r="A28" s="318" t="s">
        <v>330</v>
      </c>
      <c r="B28" s="319" t="s">
        <v>328</v>
      </c>
      <c r="C28" s="278"/>
      <c r="D28" s="278"/>
      <c r="E28" s="279"/>
      <c r="F28" s="282"/>
      <c r="G28" s="281"/>
    </row>
    <row r="29" spans="1:10" x14ac:dyDescent="0.2">
      <c r="A29" s="318" t="s">
        <v>331</v>
      </c>
      <c r="B29" s="319"/>
      <c r="C29" s="278"/>
      <c r="D29" s="278"/>
      <c r="E29" s="279"/>
      <c r="F29" s="280"/>
      <c r="G29" s="281"/>
    </row>
    <row r="30" spans="1:10" x14ac:dyDescent="0.2">
      <c r="A30" s="318" t="s">
        <v>332</v>
      </c>
      <c r="B30" s="321">
        <v>0.02</v>
      </c>
      <c r="C30" s="278"/>
      <c r="D30" s="278"/>
      <c r="E30" s="279"/>
      <c r="F30" s="269"/>
      <c r="G30" s="283"/>
    </row>
    <row r="31" spans="1:10" x14ac:dyDescent="0.2">
      <c r="A31" s="322" t="s">
        <v>333</v>
      </c>
      <c r="B31" s="319"/>
      <c r="C31" s="278"/>
      <c r="D31" s="278"/>
      <c r="E31" s="284"/>
      <c r="F31" s="285"/>
      <c r="G31" s="286"/>
    </row>
    <row r="32" spans="1:10" x14ac:dyDescent="0.2">
      <c r="A32" s="323"/>
      <c r="B32" s="324"/>
      <c r="D32" s="287"/>
      <c r="E32" s="279"/>
      <c r="F32" s="288"/>
      <c r="G32" s="286"/>
    </row>
    <row r="33" spans="1:4" x14ac:dyDescent="0.2">
      <c r="A33" s="278"/>
      <c r="B33" s="314" t="s">
        <v>322</v>
      </c>
      <c r="C33" s="278"/>
    </row>
    <row r="34" spans="1:4" x14ac:dyDescent="0.2">
      <c r="A34" s="278"/>
      <c r="B34" s="313" t="s">
        <v>317</v>
      </c>
      <c r="C34" s="278"/>
      <c r="D34" s="278"/>
    </row>
    <row r="35" spans="1:4" ht="15" x14ac:dyDescent="0.25">
      <c r="A35" s="278"/>
      <c r="B35" s="325"/>
    </row>
    <row r="36" spans="1:4" x14ac:dyDescent="0.2">
      <c r="A36" s="278"/>
      <c r="B36" s="314" t="s">
        <v>334</v>
      </c>
    </row>
    <row r="37" spans="1:4" x14ac:dyDescent="0.2">
      <c r="A37" s="278"/>
      <c r="B37" s="314" t="s">
        <v>323</v>
      </c>
    </row>
  </sheetData>
  <sheetProtection selectLockedCells="1" selectUnlockedCells="1"/>
  <mergeCells count="6">
    <mergeCell ref="A5:G5"/>
    <mergeCell ref="A13:A14"/>
    <mergeCell ref="B13:B14"/>
    <mergeCell ref="C13:C14"/>
    <mergeCell ref="D13:F13"/>
    <mergeCell ref="G13:G14"/>
  </mergeCells>
  <pageMargins left="0.39374999999999999" right="0" top="0.5902777777777777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74"/>
  <sheetViews>
    <sheetView view="pageBreakPreview" topLeftCell="A31" zoomScaleNormal="70" zoomScaleSheetLayoutView="100" workbookViewId="0">
      <selection activeCell="C48" sqref="C48"/>
    </sheetView>
  </sheetViews>
  <sheetFormatPr defaultColWidth="9" defaultRowHeight="11.25" x14ac:dyDescent="0.2"/>
  <cols>
    <col min="1" max="1" width="4.5703125" style="92" customWidth="1"/>
    <col min="2" max="2" width="5.85546875" style="27" customWidth="1"/>
    <col min="3" max="3" width="37.85546875" style="151" customWidth="1"/>
    <col min="4" max="4" width="6.85546875" style="27" customWidth="1"/>
    <col min="5" max="5" width="7.42578125" style="27" customWidth="1"/>
    <col min="6" max="6" width="9" style="27" hidden="1" customWidth="1"/>
    <col min="7" max="13" width="6.42578125" style="27" customWidth="1"/>
    <col min="14" max="14" width="7.140625" style="27" customWidth="1"/>
    <col min="15" max="15" width="8.85546875" style="27" customWidth="1"/>
    <col min="16" max="16" width="7.5703125" style="27" customWidth="1"/>
    <col min="17" max="17" width="9.85546875" style="27" customWidth="1"/>
    <col min="18" max="16384" width="9" style="27"/>
  </cols>
  <sheetData>
    <row r="1" spans="1:17" x14ac:dyDescent="0.2">
      <c r="A1" s="379" t="s">
        <v>11</v>
      </c>
      <c r="B1" s="379"/>
      <c r="C1" s="379"/>
      <c r="D1" s="379"/>
      <c r="E1" s="379"/>
      <c r="F1" s="379"/>
      <c r="G1" s="379"/>
      <c r="H1" s="26">
        <f>KPDV!A15</f>
        <v>1</v>
      </c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8"/>
      <c r="B2" s="28"/>
      <c r="C2" s="160" t="s">
        <v>12</v>
      </c>
      <c r="D2" s="28"/>
      <c r="E2" s="28"/>
      <c r="F2" s="28"/>
      <c r="G2" s="28"/>
      <c r="H2" s="28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364" t="str">
        <f>KPDV!A5</f>
        <v>Būves nosaukums: Daudzdzīvokļu dzīvojamā ēka</v>
      </c>
      <c r="B3" s="364"/>
      <c r="C3" s="364"/>
      <c r="D3" s="364"/>
      <c r="E3" s="364"/>
      <c r="F3" s="364"/>
      <c r="G3" s="364"/>
      <c r="H3" s="364"/>
      <c r="I3" s="30"/>
      <c r="J3" s="30"/>
      <c r="K3" s="30"/>
      <c r="L3" s="30"/>
      <c r="M3" s="31"/>
      <c r="N3" s="31"/>
      <c r="O3" s="31"/>
      <c r="P3" s="31"/>
      <c r="Q3" s="26"/>
    </row>
    <row r="4" spans="1:17" x14ac:dyDescent="0.2">
      <c r="A4" s="364" t="str">
        <f>KPDV!A6</f>
        <v>Objekta nosaukums: Dzīvojamās ēkas fasādes vienkāršota atjaunošana</v>
      </c>
      <c r="B4" s="364"/>
      <c r="C4" s="364"/>
      <c r="D4" s="364"/>
      <c r="E4" s="364"/>
      <c r="F4" s="364"/>
      <c r="G4" s="364"/>
      <c r="H4" s="364"/>
      <c r="I4" s="32"/>
      <c r="J4" s="32"/>
      <c r="K4" s="31"/>
      <c r="L4" s="31"/>
      <c r="M4" s="31"/>
      <c r="N4" s="31"/>
      <c r="O4" s="31"/>
      <c r="P4" s="31"/>
      <c r="Q4" s="26"/>
    </row>
    <row r="5" spans="1:17" x14ac:dyDescent="0.2">
      <c r="A5" s="33" t="str">
        <f>KPDV!A7</f>
        <v>Objekta adrese: Raiņa iela 18/20, Liepāja</v>
      </c>
      <c r="B5" s="33"/>
      <c r="C5" s="34"/>
      <c r="D5" s="33"/>
      <c r="E5" s="34"/>
      <c r="F5" s="34"/>
      <c r="G5" s="33"/>
      <c r="H5" s="33"/>
      <c r="I5" s="32"/>
      <c r="J5" s="32"/>
      <c r="K5" s="31"/>
      <c r="L5" s="31"/>
      <c r="M5" s="31"/>
      <c r="N5" s="31"/>
      <c r="O5" s="31"/>
      <c r="P5" s="31"/>
      <c r="Q5" s="26"/>
    </row>
    <row r="6" spans="1:17" x14ac:dyDescent="0.2">
      <c r="A6" s="33" t="str">
        <f>KPDV!A8</f>
        <v>Pasūtījuma Nr.: EA-78-16</v>
      </c>
      <c r="B6" s="33"/>
      <c r="C6" s="34"/>
      <c r="D6" s="33"/>
      <c r="E6" s="33"/>
      <c r="F6" s="33"/>
      <c r="G6" s="33"/>
      <c r="H6" s="33"/>
      <c r="I6" s="32"/>
      <c r="J6" s="32"/>
      <c r="K6" s="31"/>
      <c r="L6" s="31"/>
      <c r="M6" s="31"/>
      <c r="N6" s="31"/>
      <c r="O6" s="31"/>
      <c r="P6" s="31"/>
      <c r="Q6" s="26"/>
    </row>
    <row r="7" spans="1:17" x14ac:dyDescent="0.2">
      <c r="A7" s="33"/>
      <c r="B7" s="33"/>
      <c r="C7" s="34"/>
      <c r="D7" s="33"/>
      <c r="E7" s="33"/>
      <c r="F7" s="33"/>
      <c r="G7" s="33"/>
      <c r="H7" s="33"/>
      <c r="I7" s="32"/>
      <c r="J7" s="32"/>
      <c r="K7" s="31"/>
      <c r="L7" s="31"/>
      <c r="M7" s="31"/>
      <c r="N7" s="31"/>
      <c r="O7" s="31"/>
      <c r="P7" s="31"/>
      <c r="Q7" s="26"/>
    </row>
    <row r="8" spans="1:17" x14ac:dyDescent="0.2">
      <c r="A8" s="380" t="s">
        <v>341</v>
      </c>
      <c r="B8" s="380"/>
      <c r="C8" s="380"/>
      <c r="D8" s="380"/>
      <c r="E8" s="35" t="s">
        <v>13</v>
      </c>
      <c r="F8" s="33"/>
      <c r="G8" s="381" t="s">
        <v>14</v>
      </c>
      <c r="H8" s="381"/>
      <c r="I8" s="381"/>
      <c r="J8" s="381"/>
      <c r="K8" s="36"/>
      <c r="L8" s="36"/>
      <c r="M8" s="36"/>
      <c r="N8" s="36" t="s">
        <v>15</v>
      </c>
      <c r="O8" s="36"/>
      <c r="P8" s="37">
        <f>Q64</f>
        <v>0</v>
      </c>
      <c r="Q8" s="21" t="s">
        <v>16</v>
      </c>
    </row>
    <row r="9" spans="1:17" x14ac:dyDescent="0.2">
      <c r="B9" s="38"/>
      <c r="C9" s="160"/>
      <c r="D9" s="38"/>
      <c r="E9" s="38"/>
      <c r="F9" s="33"/>
      <c r="G9" s="38"/>
      <c r="H9" s="38"/>
      <c r="I9" s="38"/>
      <c r="J9" s="38"/>
      <c r="K9" s="38"/>
      <c r="L9" s="38"/>
      <c r="M9" s="38"/>
      <c r="N9" s="38"/>
      <c r="O9" s="38"/>
      <c r="P9" s="38"/>
      <c r="Q9" s="327" t="str">
        <f>dat</f>
        <v>Tāme sastādīta .gada</v>
      </c>
    </row>
    <row r="10" spans="1:17" x14ac:dyDescent="0.2">
      <c r="A10" s="376" t="s">
        <v>17</v>
      </c>
      <c r="B10" s="376" t="s">
        <v>18</v>
      </c>
      <c r="C10" s="377" t="s">
        <v>19</v>
      </c>
      <c r="D10" s="378" t="s">
        <v>20</v>
      </c>
      <c r="E10" s="376" t="s">
        <v>21</v>
      </c>
      <c r="F10" s="33"/>
      <c r="G10" s="375" t="s">
        <v>22</v>
      </c>
      <c r="H10" s="375"/>
      <c r="I10" s="375"/>
      <c r="J10" s="375"/>
      <c r="K10" s="375"/>
      <c r="L10" s="375"/>
      <c r="M10" s="375" t="s">
        <v>23</v>
      </c>
      <c r="N10" s="375"/>
      <c r="O10" s="375"/>
      <c r="P10" s="375"/>
      <c r="Q10" s="375"/>
    </row>
    <row r="11" spans="1:17" ht="66" x14ac:dyDescent="0.2">
      <c r="A11" s="376"/>
      <c r="B11" s="376"/>
      <c r="C11" s="377"/>
      <c r="D11" s="378"/>
      <c r="E11" s="376"/>
      <c r="F11" s="33"/>
      <c r="G11" s="328" t="s">
        <v>342</v>
      </c>
      <c r="H11" s="329" t="s">
        <v>343</v>
      </c>
      <c r="I11" s="329" t="s">
        <v>344</v>
      </c>
      <c r="J11" s="329" t="s">
        <v>345</v>
      </c>
      <c r="K11" s="329" t="s">
        <v>346</v>
      </c>
      <c r="L11" s="330" t="s">
        <v>333</v>
      </c>
      <c r="M11" s="328" t="s">
        <v>24</v>
      </c>
      <c r="N11" s="329" t="s">
        <v>344</v>
      </c>
      <c r="O11" s="329" t="s">
        <v>345</v>
      </c>
      <c r="P11" s="329" t="s">
        <v>346</v>
      </c>
      <c r="Q11" s="330" t="s">
        <v>347</v>
      </c>
    </row>
    <row r="12" spans="1:17" x14ac:dyDescent="0.2">
      <c r="A12" s="81">
        <v>1</v>
      </c>
      <c r="B12" s="81">
        <v>2</v>
      </c>
      <c r="C12" s="97">
        <f>B12+1</f>
        <v>3</v>
      </c>
      <c r="D12" s="81">
        <f>C12+1</f>
        <v>4</v>
      </c>
      <c r="E12" s="81">
        <f>D12+1</f>
        <v>5</v>
      </c>
      <c r="F12" s="137"/>
      <c r="G12" s="81">
        <f>E12+1</f>
        <v>6</v>
      </c>
      <c r="H12" s="81">
        <f t="shared" ref="H12:Q12" si="0">G12+1</f>
        <v>7</v>
      </c>
      <c r="I12" s="81">
        <f t="shared" si="0"/>
        <v>8</v>
      </c>
      <c r="J12" s="81">
        <f t="shared" si="0"/>
        <v>9</v>
      </c>
      <c r="K12" s="81">
        <f t="shared" si="0"/>
        <v>10</v>
      </c>
      <c r="L12" s="81">
        <f t="shared" si="0"/>
        <v>11</v>
      </c>
      <c r="M12" s="81">
        <f t="shared" si="0"/>
        <v>12</v>
      </c>
      <c r="N12" s="81">
        <f t="shared" si="0"/>
        <v>13</v>
      </c>
      <c r="O12" s="81">
        <f t="shared" si="0"/>
        <v>14</v>
      </c>
      <c r="P12" s="81">
        <f t="shared" si="0"/>
        <v>15</v>
      </c>
      <c r="Q12" s="81">
        <f t="shared" si="0"/>
        <v>16</v>
      </c>
    </row>
    <row r="13" spans="1:17" x14ac:dyDescent="0.2">
      <c r="A13" s="47">
        <f t="shared" ref="A13:A36" si="1">IF(COUNTBLANK(B13)=1," ",COUNTA($B$13:B13))</f>
        <v>1</v>
      </c>
      <c r="B13" s="192" t="s">
        <v>25</v>
      </c>
      <c r="C13" s="105" t="s">
        <v>26</v>
      </c>
      <c r="D13" s="241" t="s">
        <v>27</v>
      </c>
      <c r="E13" s="242">
        <f>apjomi!V12*1.2</f>
        <v>117.6</v>
      </c>
      <c r="F13" s="243"/>
      <c r="G13" s="70"/>
      <c r="H13" s="130"/>
      <c r="I13" s="70"/>
      <c r="J13" s="70"/>
      <c r="K13" s="70"/>
      <c r="L13" s="131"/>
      <c r="M13" s="132"/>
      <c r="N13" s="132"/>
      <c r="O13" s="132"/>
      <c r="P13" s="132"/>
      <c r="Q13" s="132"/>
    </row>
    <row r="14" spans="1:17" x14ac:dyDescent="0.2">
      <c r="A14" s="47" t="str">
        <f t="shared" si="1"/>
        <v xml:space="preserve"> </v>
      </c>
      <c r="B14" s="48"/>
      <c r="C14" s="69" t="s">
        <v>28</v>
      </c>
      <c r="D14" s="47" t="s">
        <v>143</v>
      </c>
      <c r="E14" s="135">
        <f>ROUNDUP(E13/3.5,0)</f>
        <v>34</v>
      </c>
      <c r="F14" s="130">
        <v>3.5</v>
      </c>
      <c r="G14" s="70"/>
      <c r="H14" s="130"/>
      <c r="I14" s="70"/>
      <c r="J14" s="244"/>
      <c r="K14" s="70"/>
      <c r="L14" s="131"/>
      <c r="M14" s="132"/>
      <c r="N14" s="132"/>
      <c r="O14" s="132"/>
      <c r="P14" s="132"/>
      <c r="Q14" s="132"/>
    </row>
    <row r="15" spans="1:17" x14ac:dyDescent="0.2">
      <c r="A15" s="47" t="str">
        <f t="shared" si="1"/>
        <v xml:space="preserve"> </v>
      </c>
      <c r="B15" s="48"/>
      <c r="C15" s="69" t="s">
        <v>29</v>
      </c>
      <c r="D15" s="47" t="s">
        <v>143</v>
      </c>
      <c r="E15" s="135">
        <f>E14+1</f>
        <v>35</v>
      </c>
      <c r="F15" s="130">
        <f>F14</f>
        <v>3.5</v>
      </c>
      <c r="G15" s="70"/>
      <c r="H15" s="130"/>
      <c r="I15" s="70"/>
      <c r="J15" s="244"/>
      <c r="K15" s="70"/>
      <c r="L15" s="131"/>
      <c r="M15" s="132"/>
      <c r="N15" s="132"/>
      <c r="O15" s="132"/>
      <c r="P15" s="132"/>
      <c r="Q15" s="132"/>
    </row>
    <row r="16" spans="1:17" x14ac:dyDescent="0.2">
      <c r="A16" s="47">
        <f t="shared" si="1"/>
        <v>2</v>
      </c>
      <c r="B16" s="48" t="s">
        <v>25</v>
      </c>
      <c r="C16" s="69" t="s">
        <v>30</v>
      </c>
      <c r="D16" s="52" t="s">
        <v>27</v>
      </c>
      <c r="E16" s="226">
        <f>E13</f>
        <v>117.6</v>
      </c>
      <c r="F16" s="70"/>
      <c r="G16" s="70"/>
      <c r="H16" s="130"/>
      <c r="I16" s="70"/>
      <c r="J16" s="70"/>
      <c r="K16" s="70"/>
      <c r="L16" s="131"/>
      <c r="M16" s="132"/>
      <c r="N16" s="132"/>
      <c r="O16" s="132"/>
      <c r="P16" s="132"/>
      <c r="Q16" s="132"/>
    </row>
    <row r="17" spans="1:17" x14ac:dyDescent="0.2">
      <c r="A17" s="47">
        <f t="shared" si="1"/>
        <v>3</v>
      </c>
      <c r="B17" s="48" t="s">
        <v>25</v>
      </c>
      <c r="C17" s="69" t="s">
        <v>31</v>
      </c>
      <c r="D17" s="47" t="s">
        <v>32</v>
      </c>
      <c r="E17" s="226">
        <f>apjomi!V12*11</f>
        <v>1078</v>
      </c>
      <c r="F17" s="70"/>
      <c r="G17" s="70"/>
      <c r="H17" s="130"/>
      <c r="I17" s="70"/>
      <c r="J17" s="70"/>
      <c r="K17" s="70"/>
      <c r="L17" s="131"/>
      <c r="M17" s="132"/>
      <c r="N17" s="132"/>
      <c r="O17" s="132"/>
      <c r="P17" s="132"/>
      <c r="Q17" s="132"/>
    </row>
    <row r="18" spans="1:17" x14ac:dyDescent="0.2">
      <c r="A18" s="47" t="str">
        <f t="shared" si="1"/>
        <v xml:space="preserve"> </v>
      </c>
      <c r="B18" s="48"/>
      <c r="C18" s="69" t="s">
        <v>33</v>
      </c>
      <c r="D18" s="47" t="s">
        <v>32</v>
      </c>
      <c r="E18" s="226">
        <f>E17</f>
        <v>1078</v>
      </c>
      <c r="F18" s="130">
        <v>1</v>
      </c>
      <c r="G18" s="70"/>
      <c r="H18" s="130"/>
      <c r="I18" s="70"/>
      <c r="J18" s="70"/>
      <c r="K18" s="70"/>
      <c r="L18" s="131"/>
      <c r="M18" s="132"/>
      <c r="N18" s="132"/>
      <c r="O18" s="132"/>
      <c r="P18" s="132"/>
      <c r="Q18" s="132"/>
    </row>
    <row r="19" spans="1:17" x14ac:dyDescent="0.2">
      <c r="A19" s="47"/>
      <c r="B19" s="48"/>
      <c r="C19" s="69" t="s">
        <v>271</v>
      </c>
      <c r="D19" s="47" t="s">
        <v>32</v>
      </c>
      <c r="E19" s="226">
        <f>E17*F19</f>
        <v>1293.5999999999999</v>
      </c>
      <c r="F19" s="130">
        <v>1.2</v>
      </c>
      <c r="G19" s="70"/>
      <c r="H19" s="130"/>
      <c r="I19" s="70"/>
      <c r="J19" s="161"/>
      <c r="K19" s="161"/>
      <c r="L19" s="131"/>
      <c r="M19" s="132"/>
      <c r="N19" s="132"/>
      <c r="O19" s="132"/>
      <c r="P19" s="132"/>
      <c r="Q19" s="132"/>
    </row>
    <row r="20" spans="1:17" x14ac:dyDescent="0.2">
      <c r="A20" s="47">
        <f t="shared" si="1"/>
        <v>4</v>
      </c>
      <c r="B20" s="48" t="s">
        <v>25</v>
      </c>
      <c r="C20" s="69" t="s">
        <v>34</v>
      </c>
      <c r="D20" s="47" t="s">
        <v>143</v>
      </c>
      <c r="E20" s="226">
        <v>1</v>
      </c>
      <c r="F20" s="70"/>
      <c r="G20" s="70"/>
      <c r="H20" s="130"/>
      <c r="I20" s="70"/>
      <c r="J20" s="53"/>
      <c r="K20" s="53"/>
      <c r="L20" s="131"/>
      <c r="M20" s="132"/>
      <c r="N20" s="132"/>
      <c r="O20" s="132"/>
      <c r="P20" s="132"/>
      <c r="Q20" s="132"/>
    </row>
    <row r="21" spans="1:17" x14ac:dyDescent="0.2">
      <c r="A21" s="47" t="str">
        <f t="shared" si="1"/>
        <v xml:space="preserve"> </v>
      </c>
      <c r="B21" s="48"/>
      <c r="C21" s="69" t="s">
        <v>35</v>
      </c>
      <c r="D21" s="47" t="s">
        <v>36</v>
      </c>
      <c r="E21" s="226">
        <v>5</v>
      </c>
      <c r="F21" s="70"/>
      <c r="G21" s="70"/>
      <c r="H21" s="130"/>
      <c r="I21" s="70"/>
      <c r="J21" s="70"/>
      <c r="K21" s="70"/>
      <c r="L21" s="131"/>
      <c r="M21" s="132"/>
      <c r="N21" s="132"/>
      <c r="O21" s="132"/>
      <c r="P21" s="132"/>
      <c r="Q21" s="132"/>
    </row>
    <row r="22" spans="1:17" x14ac:dyDescent="0.2">
      <c r="A22" s="47">
        <f t="shared" si="1"/>
        <v>5</v>
      </c>
      <c r="B22" s="48" t="s">
        <v>25</v>
      </c>
      <c r="C22" s="69" t="s">
        <v>37</v>
      </c>
      <c r="D22" s="47" t="s">
        <v>143</v>
      </c>
      <c r="E22" s="226">
        <v>1</v>
      </c>
      <c r="F22" s="70"/>
      <c r="G22" s="70"/>
      <c r="H22" s="130"/>
      <c r="I22" s="70"/>
      <c r="J22" s="70"/>
      <c r="K22" s="70"/>
      <c r="L22" s="131"/>
      <c r="M22" s="132"/>
      <c r="N22" s="132"/>
      <c r="O22" s="132"/>
      <c r="P22" s="132"/>
      <c r="Q22" s="132"/>
    </row>
    <row r="23" spans="1:17" x14ac:dyDescent="0.2">
      <c r="A23" s="47">
        <f t="shared" si="1"/>
        <v>6</v>
      </c>
      <c r="B23" s="48" t="s">
        <v>25</v>
      </c>
      <c r="C23" s="69" t="s">
        <v>38</v>
      </c>
      <c r="D23" s="47" t="s">
        <v>143</v>
      </c>
      <c r="E23" s="226">
        <v>2</v>
      </c>
      <c r="G23" s="70"/>
      <c r="H23" s="130"/>
      <c r="I23" s="70"/>
      <c r="J23" s="70"/>
      <c r="K23" s="70"/>
      <c r="L23" s="131"/>
      <c r="M23" s="132"/>
      <c r="N23" s="132"/>
      <c r="O23" s="132"/>
      <c r="P23" s="132"/>
      <c r="Q23" s="132"/>
    </row>
    <row r="24" spans="1:17" x14ac:dyDescent="0.2">
      <c r="A24" s="47">
        <f t="shared" si="1"/>
        <v>7</v>
      </c>
      <c r="B24" s="48" t="s">
        <v>25</v>
      </c>
      <c r="C24" s="245" t="s">
        <v>39</v>
      </c>
      <c r="D24" s="47" t="s">
        <v>143</v>
      </c>
      <c r="E24" s="224">
        <v>1</v>
      </c>
      <c r="F24" s="47"/>
      <c r="G24" s="70"/>
      <c r="H24" s="130"/>
      <c r="I24" s="70"/>
      <c r="J24" s="70"/>
      <c r="K24" s="70"/>
      <c r="L24" s="131"/>
      <c r="M24" s="132"/>
      <c r="N24" s="132"/>
      <c r="O24" s="132"/>
      <c r="P24" s="132"/>
      <c r="Q24" s="132"/>
    </row>
    <row r="25" spans="1:17" x14ac:dyDescent="0.2">
      <c r="A25" s="47">
        <f>IF(COUNTBLANK(B25)=1," ",COUNTA($B$13:B25))</f>
        <v>8</v>
      </c>
      <c r="B25" s="48" t="s">
        <v>25</v>
      </c>
      <c r="C25" s="246" t="s">
        <v>244</v>
      </c>
      <c r="D25" s="47" t="s">
        <v>143</v>
      </c>
      <c r="E25" s="224">
        <v>1</v>
      </c>
      <c r="F25" s="47"/>
      <c r="G25" s="70"/>
      <c r="H25" s="130"/>
      <c r="I25" s="70"/>
      <c r="J25" s="70"/>
      <c r="K25" s="70"/>
      <c r="L25" s="131"/>
      <c r="M25" s="132"/>
      <c r="N25" s="132"/>
      <c r="O25" s="132"/>
      <c r="P25" s="132"/>
      <c r="Q25" s="132"/>
    </row>
    <row r="26" spans="1:17" s="154" customFormat="1" ht="30.4" customHeight="1" x14ac:dyDescent="0.2">
      <c r="A26" s="47">
        <f t="shared" si="1"/>
        <v>9</v>
      </c>
      <c r="B26" s="48" t="s">
        <v>25</v>
      </c>
      <c r="C26" s="247" t="s">
        <v>40</v>
      </c>
      <c r="D26" s="50" t="s">
        <v>32</v>
      </c>
      <c r="E26" s="248">
        <f>(E29)/F29</f>
        <v>825</v>
      </c>
      <c r="F26" s="47"/>
      <c r="G26" s="71"/>
      <c r="H26" s="130"/>
      <c r="I26" s="53"/>
      <c r="J26" s="53"/>
      <c r="K26" s="57"/>
      <c r="L26" s="131"/>
      <c r="M26" s="132"/>
      <c r="N26" s="132"/>
      <c r="O26" s="132"/>
      <c r="P26" s="132"/>
      <c r="Q26" s="132"/>
    </row>
    <row r="27" spans="1:17" s="154" customFormat="1" x14ac:dyDescent="0.2">
      <c r="A27" s="47" t="str">
        <f t="shared" si="1"/>
        <v xml:space="preserve"> </v>
      </c>
      <c r="B27" s="47"/>
      <c r="C27" s="146" t="s">
        <v>284</v>
      </c>
      <c r="D27" s="249" t="s">
        <v>41</v>
      </c>
      <c r="E27" s="70">
        <f>ROUNDUP(E26*F27,2)</f>
        <v>33</v>
      </c>
      <c r="F27" s="130">
        <v>0.04</v>
      </c>
      <c r="G27" s="250"/>
      <c r="H27" s="251"/>
      <c r="I27" s="250"/>
      <c r="J27" s="250"/>
      <c r="K27" s="250"/>
      <c r="L27" s="131"/>
      <c r="M27" s="132"/>
      <c r="N27" s="132"/>
      <c r="O27" s="132"/>
      <c r="P27" s="132"/>
      <c r="Q27" s="132"/>
    </row>
    <row r="28" spans="1:17" s="154" customFormat="1" x14ac:dyDescent="0.2">
      <c r="A28" s="47" t="str">
        <f t="shared" si="1"/>
        <v xml:space="preserve"> </v>
      </c>
      <c r="B28" s="47"/>
      <c r="C28" s="59" t="s">
        <v>288</v>
      </c>
      <c r="D28" s="249" t="s">
        <v>41</v>
      </c>
      <c r="E28" s="70">
        <f>ROUNDUP(E26*F28,2)</f>
        <v>4125</v>
      </c>
      <c r="F28" s="130">
        <v>5</v>
      </c>
      <c r="G28" s="181"/>
      <c r="H28" s="182"/>
      <c r="I28" s="181"/>
      <c r="J28" s="181"/>
      <c r="K28" s="181"/>
      <c r="L28" s="131"/>
      <c r="M28" s="132"/>
      <c r="N28" s="132"/>
      <c r="O28" s="132"/>
      <c r="P28" s="132"/>
      <c r="Q28" s="132"/>
    </row>
    <row r="29" spans="1:17" s="122" customFormat="1" ht="45" x14ac:dyDescent="0.2">
      <c r="A29" s="47">
        <f t="shared" si="1"/>
        <v>10</v>
      </c>
      <c r="B29" s="47" t="str">
        <f>apjomi!A16</f>
        <v>S1</v>
      </c>
      <c r="C29" s="69" t="str">
        <f>apjomi!B16</f>
        <v>Apmetuma sistēma virs siltinājuma (AS-2), b=7mm; Grunts; Akmens vate λ=0,036W/m²K, b=150mm; Līmjava; Grunts ; Esošā siena - silikātķieģeļu mūris, b=380/510mm</v>
      </c>
      <c r="D29" s="50" t="s">
        <v>32</v>
      </c>
      <c r="E29" s="51">
        <f>(apjomi!D16+apjomi!E16)*F29</f>
        <v>907.50000000000011</v>
      </c>
      <c r="F29" s="47">
        <v>1.1000000000000001</v>
      </c>
      <c r="G29" s="47"/>
      <c r="H29" s="47"/>
      <c r="I29" s="47"/>
      <c r="J29" s="70"/>
      <c r="K29" s="70"/>
      <c r="L29" s="131"/>
      <c r="M29" s="132"/>
      <c r="N29" s="132"/>
      <c r="O29" s="132"/>
      <c r="P29" s="132"/>
      <c r="Q29" s="132"/>
    </row>
    <row r="30" spans="1:17" s="122" customFormat="1" ht="45" x14ac:dyDescent="0.2">
      <c r="A30" s="48"/>
      <c r="B30" s="48"/>
      <c r="C30" s="69" t="s">
        <v>286</v>
      </c>
      <c r="D30" s="50"/>
      <c r="E30" s="51"/>
      <c r="F30" s="47"/>
      <c r="G30" s="47"/>
      <c r="H30" s="47"/>
      <c r="I30" s="47"/>
      <c r="J30" s="70"/>
      <c r="K30" s="70"/>
      <c r="L30" s="131"/>
      <c r="M30" s="132"/>
      <c r="N30" s="132"/>
      <c r="O30" s="132"/>
      <c r="P30" s="132"/>
      <c r="Q30" s="132"/>
    </row>
    <row r="31" spans="1:17" s="122" customFormat="1" x14ac:dyDescent="0.2">
      <c r="A31" s="48"/>
      <c r="B31" s="48"/>
      <c r="C31" s="252" t="s">
        <v>282</v>
      </c>
      <c r="D31" s="47" t="s">
        <v>143</v>
      </c>
      <c r="E31" s="70">
        <f>ROUNDUP((E29)*F31,0)</f>
        <v>6353</v>
      </c>
      <c r="F31" s="70">
        <v>7</v>
      </c>
      <c r="G31" s="70"/>
      <c r="H31" s="70"/>
      <c r="I31" s="47"/>
      <c r="J31" s="70"/>
      <c r="K31" s="70"/>
      <c r="L31" s="131"/>
      <c r="M31" s="132"/>
      <c r="N31" s="132"/>
      <c r="O31" s="132"/>
      <c r="P31" s="132"/>
      <c r="Q31" s="132"/>
    </row>
    <row r="32" spans="1:17" x14ac:dyDescent="0.2">
      <c r="A32" s="48"/>
      <c r="B32" s="48"/>
      <c r="C32" s="59" t="s">
        <v>285</v>
      </c>
      <c r="D32" s="249" t="s">
        <v>41</v>
      </c>
      <c r="E32" s="70">
        <f>ROUNDUP(E26*F32,2)</f>
        <v>4125</v>
      </c>
      <c r="F32" s="130">
        <v>5</v>
      </c>
      <c r="G32" s="130"/>
      <c r="H32" s="253"/>
      <c r="I32" s="130"/>
      <c r="J32" s="130"/>
      <c r="K32" s="130"/>
      <c r="L32" s="131"/>
      <c r="M32" s="132"/>
      <c r="N32" s="132"/>
      <c r="O32" s="132"/>
      <c r="P32" s="132"/>
      <c r="Q32" s="132"/>
    </row>
    <row r="33" spans="1:17" x14ac:dyDescent="0.2">
      <c r="A33" s="48"/>
      <c r="B33" s="48"/>
      <c r="C33" s="63" t="s">
        <v>281</v>
      </c>
      <c r="D33" s="254" t="s">
        <v>32</v>
      </c>
      <c r="E33" s="70">
        <f>ROUNDUP(E26*F33,2)</f>
        <v>1815</v>
      </c>
      <c r="F33" s="130">
        <v>2.2000000000000002</v>
      </c>
      <c r="G33" s="130"/>
      <c r="H33" s="253"/>
      <c r="I33" s="130"/>
      <c r="J33" s="130"/>
      <c r="K33" s="130"/>
      <c r="L33" s="131"/>
      <c r="M33" s="132"/>
      <c r="N33" s="132"/>
      <c r="O33" s="132"/>
      <c r="P33" s="132"/>
      <c r="Q33" s="132"/>
    </row>
    <row r="34" spans="1:17" ht="56.25" x14ac:dyDescent="0.2">
      <c r="A34" s="47">
        <f t="shared" si="1"/>
        <v>11</v>
      </c>
      <c r="B34" s="48" t="s">
        <v>25</v>
      </c>
      <c r="C34" s="153" t="s">
        <v>283</v>
      </c>
      <c r="D34" s="47" t="s">
        <v>32</v>
      </c>
      <c r="E34" s="70">
        <f>apjomi!E18</f>
        <v>825</v>
      </c>
      <c r="F34" s="130"/>
      <c r="G34" s="130"/>
      <c r="H34" s="130"/>
      <c r="I34" s="130"/>
      <c r="J34" s="130"/>
      <c r="K34" s="130"/>
      <c r="L34" s="131"/>
      <c r="M34" s="132"/>
      <c r="N34" s="132"/>
      <c r="O34" s="132"/>
      <c r="P34" s="132"/>
      <c r="Q34" s="132"/>
    </row>
    <row r="35" spans="1:17" x14ac:dyDescent="0.2">
      <c r="A35" s="47" t="str">
        <f t="shared" si="1"/>
        <v xml:space="preserve"> </v>
      </c>
      <c r="B35" s="138"/>
      <c r="C35" s="59" t="s">
        <v>285</v>
      </c>
      <c r="D35" s="249" t="s">
        <v>41</v>
      </c>
      <c r="E35" s="70">
        <f>ROUNDUP(E34*F35,2)</f>
        <v>4125</v>
      </c>
      <c r="F35" s="130">
        <v>5</v>
      </c>
      <c r="G35" s="130"/>
      <c r="H35" s="130"/>
      <c r="I35" s="130"/>
      <c r="J35" s="130"/>
      <c r="K35" s="130"/>
      <c r="L35" s="131"/>
      <c r="M35" s="132"/>
      <c r="N35" s="132"/>
      <c r="O35" s="132"/>
      <c r="P35" s="132"/>
      <c r="Q35" s="132"/>
    </row>
    <row r="36" spans="1:17" x14ac:dyDescent="0.2">
      <c r="A36" s="47" t="str">
        <f t="shared" si="1"/>
        <v xml:space="preserve"> </v>
      </c>
      <c r="B36" s="138"/>
      <c r="C36" s="63" t="s">
        <v>281</v>
      </c>
      <c r="D36" s="249" t="s">
        <v>41</v>
      </c>
      <c r="E36" s="70">
        <f>ROUNDUP(E34*F36,2)</f>
        <v>907.5</v>
      </c>
      <c r="F36" s="130">
        <v>1.1000000000000001</v>
      </c>
      <c r="G36" s="130"/>
      <c r="H36" s="130"/>
      <c r="I36" s="130"/>
      <c r="J36" s="130"/>
      <c r="K36" s="130"/>
      <c r="L36" s="131"/>
      <c r="M36" s="132"/>
      <c r="N36" s="132"/>
      <c r="O36" s="132"/>
      <c r="P36" s="132"/>
      <c r="Q36" s="132"/>
    </row>
    <row r="37" spans="1:17" x14ac:dyDescent="0.2">
      <c r="A37" s="47"/>
      <c r="B37" s="138"/>
      <c r="C37" s="64" t="s">
        <v>284</v>
      </c>
      <c r="D37" s="254" t="s">
        <v>32</v>
      </c>
      <c r="E37" s="70">
        <f>ROUNDUP(E34*F37,2)</f>
        <v>206.25</v>
      </c>
      <c r="F37" s="130">
        <v>0.25</v>
      </c>
      <c r="G37" s="130"/>
      <c r="H37" s="130"/>
      <c r="I37" s="130"/>
      <c r="J37" s="130"/>
      <c r="K37" s="130"/>
      <c r="L37" s="131"/>
      <c r="M37" s="132"/>
      <c r="N37" s="132"/>
      <c r="O37" s="132"/>
      <c r="P37" s="132"/>
      <c r="Q37" s="132"/>
    </row>
    <row r="38" spans="1:17" x14ac:dyDescent="0.2">
      <c r="A38" s="47"/>
      <c r="B38" s="138"/>
      <c r="C38" s="59" t="s">
        <v>285</v>
      </c>
      <c r="D38" s="249" t="s">
        <v>41</v>
      </c>
      <c r="E38" s="70">
        <f>ROUNDUP(E34*F38,2)</f>
        <v>4125</v>
      </c>
      <c r="F38" s="130">
        <v>5</v>
      </c>
      <c r="G38" s="130"/>
      <c r="H38" s="130"/>
      <c r="I38" s="130"/>
      <c r="J38" s="130"/>
      <c r="K38" s="130"/>
      <c r="L38" s="131"/>
      <c r="M38" s="132"/>
      <c r="N38" s="132"/>
      <c r="O38" s="132"/>
      <c r="P38" s="132"/>
      <c r="Q38" s="132"/>
    </row>
    <row r="39" spans="1:17" ht="22.5" x14ac:dyDescent="0.2">
      <c r="A39" s="47" t="str">
        <f t="shared" ref="A39:A61" si="2">IF(COUNTBLANK(B39)=1," ",COUNTA($B$13:B39))</f>
        <v xml:space="preserve"> </v>
      </c>
      <c r="B39" s="138"/>
      <c r="C39" s="63" t="s">
        <v>287</v>
      </c>
      <c r="D39" s="249" t="s">
        <v>41</v>
      </c>
      <c r="E39" s="70">
        <f>ROUNDUP(E34*F39,2)</f>
        <v>2310</v>
      </c>
      <c r="F39" s="130">
        <v>2.8</v>
      </c>
      <c r="G39" s="130"/>
      <c r="H39" s="130"/>
      <c r="I39" s="130"/>
      <c r="J39" s="130"/>
      <c r="K39" s="130"/>
      <c r="L39" s="131"/>
      <c r="M39" s="132"/>
      <c r="N39" s="132"/>
      <c r="O39" s="132"/>
      <c r="P39" s="132"/>
      <c r="Q39" s="132"/>
    </row>
    <row r="40" spans="1:17" x14ac:dyDescent="0.2">
      <c r="A40" s="47" t="str">
        <f t="shared" si="2"/>
        <v xml:space="preserve"> </v>
      </c>
      <c r="B40" s="138"/>
      <c r="C40" s="63" t="s">
        <v>42</v>
      </c>
      <c r="D40" s="125" t="s">
        <v>131</v>
      </c>
      <c r="E40" s="70">
        <f>ROUNDUP(E34*F40,0)</f>
        <v>75</v>
      </c>
      <c r="F40" s="130">
        <v>0.09</v>
      </c>
      <c r="G40" s="130"/>
      <c r="H40" s="130"/>
      <c r="I40" s="130"/>
      <c r="J40" s="130"/>
      <c r="K40" s="71"/>
      <c r="L40" s="131"/>
      <c r="M40" s="132"/>
      <c r="N40" s="132"/>
      <c r="O40" s="132"/>
      <c r="P40" s="132"/>
      <c r="Q40" s="132"/>
    </row>
    <row r="41" spans="1:17" s="38" customFormat="1" ht="22.5" x14ac:dyDescent="0.2">
      <c r="A41" s="47">
        <f t="shared" si="2"/>
        <v>12</v>
      </c>
      <c r="B41" s="48" t="s">
        <v>25</v>
      </c>
      <c r="C41" s="255" t="s">
        <v>350</v>
      </c>
      <c r="D41" s="254" t="s">
        <v>32</v>
      </c>
      <c r="E41" s="256">
        <f>apjomi!M12</f>
        <v>109.7975</v>
      </c>
      <c r="F41" s="130"/>
      <c r="G41" s="130"/>
      <c r="H41" s="130"/>
      <c r="I41" s="130"/>
      <c r="J41" s="130"/>
      <c r="K41" s="130"/>
      <c r="L41" s="131"/>
      <c r="M41" s="132"/>
      <c r="N41" s="132"/>
      <c r="O41" s="132"/>
      <c r="P41" s="132"/>
      <c r="Q41" s="132"/>
    </row>
    <row r="42" spans="1:17" s="36" customFormat="1" x14ac:dyDescent="0.2">
      <c r="A42" s="47" t="str">
        <f t="shared" si="2"/>
        <v xml:space="preserve"> </v>
      </c>
      <c r="B42" s="138"/>
      <c r="C42" s="146" t="s">
        <v>284</v>
      </c>
      <c r="D42" s="138" t="s">
        <v>41</v>
      </c>
      <c r="E42" s="130">
        <f>E41*F42</f>
        <v>4.3918999999999997</v>
      </c>
      <c r="F42" s="130">
        <v>0.04</v>
      </c>
      <c r="G42" s="130"/>
      <c r="H42" s="130"/>
      <c r="I42" s="130"/>
      <c r="J42" s="130"/>
      <c r="K42" s="130"/>
      <c r="L42" s="131"/>
      <c r="M42" s="132"/>
      <c r="N42" s="132"/>
      <c r="O42" s="132"/>
      <c r="P42" s="132"/>
      <c r="Q42" s="132"/>
    </row>
    <row r="43" spans="1:17" s="36" customFormat="1" x14ac:dyDescent="0.2">
      <c r="A43" s="47" t="str">
        <f t="shared" si="2"/>
        <v xml:space="preserve"> </v>
      </c>
      <c r="B43" s="138"/>
      <c r="C43" s="153" t="s">
        <v>351</v>
      </c>
      <c r="D43" s="138" t="s">
        <v>32</v>
      </c>
      <c r="E43" s="130">
        <f>E41*F43</f>
        <v>115.287375</v>
      </c>
      <c r="F43" s="130">
        <v>1.05</v>
      </c>
      <c r="G43" s="130"/>
      <c r="H43" s="130"/>
      <c r="I43" s="130"/>
      <c r="J43" s="130"/>
      <c r="K43" s="130"/>
      <c r="L43" s="131"/>
      <c r="M43" s="132"/>
      <c r="N43" s="132"/>
      <c r="O43" s="132"/>
      <c r="P43" s="132"/>
      <c r="Q43" s="132"/>
    </row>
    <row r="44" spans="1:17" s="36" customFormat="1" x14ac:dyDescent="0.2">
      <c r="A44" s="47" t="str">
        <f t="shared" si="2"/>
        <v xml:space="preserve"> </v>
      </c>
      <c r="B44" s="138"/>
      <c r="C44" s="59" t="s">
        <v>288</v>
      </c>
      <c r="D44" s="138" t="s">
        <v>41</v>
      </c>
      <c r="E44" s="130">
        <f>E41*F44</f>
        <v>494.08875</v>
      </c>
      <c r="F44" s="130">
        <v>4.5</v>
      </c>
      <c r="G44" s="130"/>
      <c r="H44" s="130"/>
      <c r="I44" s="130"/>
      <c r="J44" s="130"/>
      <c r="K44" s="130"/>
      <c r="L44" s="131"/>
      <c r="M44" s="132"/>
      <c r="N44" s="132"/>
      <c r="O44" s="132"/>
      <c r="P44" s="132"/>
      <c r="Q44" s="132"/>
    </row>
    <row r="45" spans="1:17" s="36" customFormat="1" x14ac:dyDescent="0.2">
      <c r="A45" s="47" t="str">
        <f t="shared" si="2"/>
        <v xml:space="preserve"> </v>
      </c>
      <c r="B45" s="138"/>
      <c r="C45" s="153" t="s">
        <v>352</v>
      </c>
      <c r="D45" s="47" t="s">
        <v>143</v>
      </c>
      <c r="E45" s="130">
        <f>E41*F45</f>
        <v>658.78499999999997</v>
      </c>
      <c r="F45" s="130">
        <v>6</v>
      </c>
      <c r="G45" s="130"/>
      <c r="H45" s="130"/>
      <c r="I45" s="130"/>
      <c r="J45" s="130"/>
      <c r="K45" s="130"/>
      <c r="L45" s="131"/>
      <c r="M45" s="132"/>
      <c r="N45" s="132"/>
      <c r="O45" s="132"/>
      <c r="P45" s="132"/>
      <c r="Q45" s="132"/>
    </row>
    <row r="46" spans="1:17" s="36" customFormat="1" x14ac:dyDescent="0.2">
      <c r="A46" s="47" t="str">
        <f t="shared" si="2"/>
        <v xml:space="preserve"> </v>
      </c>
      <c r="B46" s="138"/>
      <c r="C46" s="59" t="s">
        <v>285</v>
      </c>
      <c r="D46" s="138" t="s">
        <v>41</v>
      </c>
      <c r="E46" s="130">
        <f>E41*F46</f>
        <v>548.98749999999995</v>
      </c>
      <c r="F46" s="130">
        <v>5</v>
      </c>
      <c r="G46" s="130"/>
      <c r="H46" s="130"/>
      <c r="I46" s="130"/>
      <c r="J46" s="130"/>
      <c r="K46" s="130"/>
      <c r="L46" s="131"/>
      <c r="M46" s="132"/>
      <c r="N46" s="132"/>
      <c r="O46" s="132"/>
      <c r="P46" s="132"/>
      <c r="Q46" s="132"/>
    </row>
    <row r="47" spans="1:17" s="36" customFormat="1" x14ac:dyDescent="0.2">
      <c r="A47" s="47" t="str">
        <f t="shared" si="2"/>
        <v xml:space="preserve"> </v>
      </c>
      <c r="B47" s="138"/>
      <c r="C47" s="63" t="s">
        <v>281</v>
      </c>
      <c r="D47" s="138" t="s">
        <v>32</v>
      </c>
      <c r="E47" s="130">
        <f>E41*F47</f>
        <v>241.55450000000002</v>
      </c>
      <c r="F47" s="130">
        <v>2.2000000000000002</v>
      </c>
      <c r="G47" s="71"/>
      <c r="H47" s="71"/>
      <c r="I47" s="71"/>
      <c r="J47" s="71"/>
      <c r="K47" s="71"/>
      <c r="L47" s="131"/>
      <c r="M47" s="132"/>
      <c r="N47" s="132"/>
      <c r="O47" s="132"/>
      <c r="P47" s="132"/>
      <c r="Q47" s="132"/>
    </row>
    <row r="48" spans="1:17" ht="33.75" x14ac:dyDescent="0.2">
      <c r="A48" s="47">
        <f t="shared" si="2"/>
        <v>13</v>
      </c>
      <c r="B48" s="48" t="s">
        <v>25</v>
      </c>
      <c r="C48" s="69" t="s">
        <v>289</v>
      </c>
      <c r="D48" s="138" t="s">
        <v>32</v>
      </c>
      <c r="E48" s="226">
        <f>0.5*0.3*4*apjomi!E12</f>
        <v>46.199999999999996</v>
      </c>
      <c r="F48" s="227"/>
      <c r="G48" s="130"/>
      <c r="H48" s="130"/>
      <c r="I48" s="130"/>
      <c r="J48" s="130"/>
      <c r="K48" s="130"/>
      <c r="L48" s="131"/>
      <c r="M48" s="132"/>
      <c r="N48" s="132"/>
      <c r="O48" s="132"/>
      <c r="P48" s="132"/>
      <c r="Q48" s="132"/>
    </row>
    <row r="49" spans="1:17" x14ac:dyDescent="0.2">
      <c r="A49" s="47" t="str">
        <f t="shared" si="2"/>
        <v xml:space="preserve"> </v>
      </c>
      <c r="B49" s="138"/>
      <c r="C49" s="59" t="s">
        <v>285</v>
      </c>
      <c r="D49" s="138" t="s">
        <v>41</v>
      </c>
      <c r="E49" s="130">
        <f>E48*F49</f>
        <v>44.351999999999997</v>
      </c>
      <c r="F49" s="130">
        <v>0.96</v>
      </c>
      <c r="G49" s="71"/>
      <c r="H49" s="71"/>
      <c r="I49" s="71"/>
      <c r="J49" s="130"/>
      <c r="K49" s="71"/>
      <c r="L49" s="131"/>
      <c r="M49" s="132"/>
      <c r="N49" s="132"/>
      <c r="O49" s="132"/>
      <c r="P49" s="132"/>
      <c r="Q49" s="132"/>
    </row>
    <row r="50" spans="1:17" x14ac:dyDescent="0.2">
      <c r="A50" s="257" t="str">
        <f t="shared" si="2"/>
        <v xml:space="preserve"> </v>
      </c>
      <c r="B50" s="258"/>
      <c r="C50" s="63" t="s">
        <v>281</v>
      </c>
      <c r="D50" s="258" t="s">
        <v>32</v>
      </c>
      <c r="E50" s="259">
        <f>ROUNDUP(E48*F50,0)</f>
        <v>7</v>
      </c>
      <c r="F50" s="260">
        <v>0.15</v>
      </c>
      <c r="G50" s="261"/>
      <c r="H50" s="261"/>
      <c r="I50" s="261"/>
      <c r="J50" s="261"/>
      <c r="K50" s="261"/>
      <c r="L50" s="262"/>
      <c r="M50" s="263"/>
      <c r="N50" s="263"/>
      <c r="O50" s="263"/>
      <c r="P50" s="263"/>
      <c r="Q50" s="263"/>
    </row>
    <row r="51" spans="1:17" ht="22.5" x14ac:dyDescent="0.2">
      <c r="A51" s="58">
        <f t="shared" si="2"/>
        <v>14</v>
      </c>
      <c r="B51" s="145" t="s">
        <v>25</v>
      </c>
      <c r="C51" s="109" t="s">
        <v>43</v>
      </c>
      <c r="D51" s="58" t="s">
        <v>27</v>
      </c>
      <c r="E51" s="60">
        <f>apjomi!P12</f>
        <v>130.07400000000001</v>
      </c>
      <c r="F51" s="58"/>
      <c r="G51" s="71"/>
      <c r="H51" s="71"/>
      <c r="I51" s="71"/>
      <c r="J51" s="71"/>
      <c r="K51" s="71"/>
      <c r="L51" s="131"/>
      <c r="M51" s="132"/>
      <c r="N51" s="132"/>
      <c r="O51" s="132"/>
      <c r="P51" s="132"/>
      <c r="Q51" s="132"/>
    </row>
    <row r="52" spans="1:17" x14ac:dyDescent="0.2">
      <c r="A52" s="58">
        <f t="shared" si="2"/>
        <v>15</v>
      </c>
      <c r="B52" s="145" t="s">
        <v>25</v>
      </c>
      <c r="C52" s="109" t="str">
        <f>apjomi!Q2</f>
        <v>Stūra profils</v>
      </c>
      <c r="D52" s="58" t="s">
        <v>27</v>
      </c>
      <c r="E52" s="60">
        <f>apjomi!Q12</f>
        <v>324.51</v>
      </c>
      <c r="F52" s="58"/>
      <c r="G52" s="71"/>
      <c r="H52" s="71"/>
      <c r="I52" s="71"/>
      <c r="J52" s="71"/>
      <c r="K52" s="71"/>
      <c r="L52" s="131"/>
      <c r="M52" s="132"/>
      <c r="N52" s="132"/>
      <c r="O52" s="132"/>
      <c r="P52" s="132"/>
      <c r="Q52" s="132"/>
    </row>
    <row r="53" spans="1:17" x14ac:dyDescent="0.2">
      <c r="A53" s="58">
        <f t="shared" si="2"/>
        <v>16</v>
      </c>
      <c r="B53" s="145" t="s">
        <v>25</v>
      </c>
      <c r="C53" s="109" t="str">
        <f>apjomi!R2</f>
        <v>Loga pielaiduma profils</v>
      </c>
      <c r="D53" s="58" t="s">
        <v>27</v>
      </c>
      <c r="E53" s="264">
        <f>apjomi!R12</f>
        <v>324.51</v>
      </c>
      <c r="F53" s="58"/>
      <c r="G53" s="71"/>
      <c r="H53" s="71"/>
      <c r="I53" s="71"/>
      <c r="J53" s="71"/>
      <c r="K53" s="71"/>
      <c r="L53" s="131"/>
      <c r="M53" s="132"/>
      <c r="N53" s="132"/>
      <c r="O53" s="132"/>
      <c r="P53" s="132"/>
      <c r="Q53" s="132"/>
    </row>
    <row r="54" spans="1:17" x14ac:dyDescent="0.2">
      <c r="A54" s="58">
        <f t="shared" si="2"/>
        <v>17</v>
      </c>
      <c r="B54" s="145" t="s">
        <v>25</v>
      </c>
      <c r="C54" s="109" t="str">
        <f>apjomi!S2</f>
        <v>Stūra lāsenis</v>
      </c>
      <c r="D54" s="148" t="s">
        <v>27</v>
      </c>
      <c r="E54" s="264">
        <f>apjomi!S12</f>
        <v>123.88</v>
      </c>
      <c r="F54" s="58"/>
      <c r="G54" s="71"/>
      <c r="H54" s="71"/>
      <c r="I54" s="71"/>
      <c r="J54" s="71"/>
      <c r="K54" s="71"/>
      <c r="L54" s="131"/>
      <c r="M54" s="132"/>
      <c r="N54" s="132"/>
      <c r="O54" s="132"/>
      <c r="P54" s="132"/>
      <c r="Q54" s="132"/>
    </row>
    <row r="55" spans="1:17" x14ac:dyDescent="0.2">
      <c r="A55" s="58">
        <f t="shared" si="2"/>
        <v>18</v>
      </c>
      <c r="B55" s="145" t="s">
        <v>25</v>
      </c>
      <c r="C55" s="109" t="str">
        <f>apjomi!T2</f>
        <v>Palodzes montāžas profils</v>
      </c>
      <c r="D55" s="148" t="s">
        <v>27</v>
      </c>
      <c r="E55" s="264">
        <f>apjomi!T12</f>
        <v>123.88</v>
      </c>
      <c r="F55" s="58"/>
      <c r="G55" s="71"/>
      <c r="H55" s="71"/>
      <c r="I55" s="71"/>
      <c r="J55" s="71"/>
      <c r="K55" s="71"/>
      <c r="L55" s="131"/>
      <c r="M55" s="132"/>
      <c r="N55" s="132"/>
      <c r="O55" s="132"/>
      <c r="P55" s="132"/>
      <c r="Q55" s="132"/>
    </row>
    <row r="56" spans="1:17" x14ac:dyDescent="0.2">
      <c r="A56" s="58">
        <f>IF(COUNTBLANK(B56)=1," ",COUNTA($B$13:B56))</f>
        <v>19</v>
      </c>
      <c r="B56" s="145" t="s">
        <v>25</v>
      </c>
      <c r="C56" s="109" t="str">
        <f>apjomi!U2</f>
        <v>Palodzes sāna pieslēguma profils</v>
      </c>
      <c r="D56" s="47" t="s">
        <v>143</v>
      </c>
      <c r="E56" s="264">
        <f>apjomi!U12</f>
        <v>154</v>
      </c>
      <c r="F56" s="58"/>
      <c r="G56" s="71"/>
      <c r="H56" s="71"/>
      <c r="I56" s="71"/>
      <c r="J56" s="71"/>
      <c r="K56" s="71"/>
      <c r="L56" s="131"/>
      <c r="M56" s="132"/>
      <c r="N56" s="132"/>
      <c r="O56" s="132"/>
      <c r="P56" s="132"/>
      <c r="Q56" s="132"/>
    </row>
    <row r="57" spans="1:17" x14ac:dyDescent="0.2">
      <c r="A57" s="58">
        <f>IF(COUNTBLANK(B57)=1," ",COUNTA($B$13:B57))</f>
        <v>20</v>
      </c>
      <c r="B57" s="145" t="s">
        <v>25</v>
      </c>
      <c r="C57" s="109" t="str">
        <f>apjomi!V2</f>
        <v>Cokola profils</v>
      </c>
      <c r="D57" s="58" t="s">
        <v>27</v>
      </c>
      <c r="E57" s="53">
        <f>apjomi!V12</f>
        <v>98</v>
      </c>
      <c r="F57" s="58"/>
      <c r="G57" s="71"/>
      <c r="H57" s="71"/>
      <c r="I57" s="71"/>
      <c r="J57" s="71"/>
      <c r="K57" s="71"/>
      <c r="L57" s="131"/>
      <c r="M57" s="132"/>
      <c r="N57" s="132"/>
      <c r="O57" s="132"/>
      <c r="P57" s="132"/>
      <c r="Q57" s="132"/>
    </row>
    <row r="58" spans="1:17" x14ac:dyDescent="0.2">
      <c r="A58" s="58">
        <f t="shared" si="2"/>
        <v>21</v>
      </c>
      <c r="B58" s="145" t="s">
        <v>25</v>
      </c>
      <c r="C58" s="109" t="s">
        <v>44</v>
      </c>
      <c r="D58" s="85" t="s">
        <v>27</v>
      </c>
      <c r="E58" s="60">
        <f>4.7+5.4</f>
        <v>10.100000000000001</v>
      </c>
      <c r="F58" s="71"/>
      <c r="G58" s="71"/>
      <c r="H58" s="71"/>
      <c r="I58" s="71"/>
      <c r="J58" s="71"/>
      <c r="K58" s="71"/>
      <c r="L58" s="131"/>
      <c r="M58" s="132"/>
      <c r="N58" s="132"/>
      <c r="O58" s="132"/>
      <c r="P58" s="132"/>
      <c r="Q58" s="132"/>
    </row>
    <row r="59" spans="1:17" ht="22.5" x14ac:dyDescent="0.2">
      <c r="A59" s="58">
        <f t="shared" si="2"/>
        <v>22</v>
      </c>
      <c r="B59" s="145" t="s">
        <v>25</v>
      </c>
      <c r="C59" s="109" t="s">
        <v>45</v>
      </c>
      <c r="D59" s="85" t="s">
        <v>27</v>
      </c>
      <c r="E59" s="60">
        <f>E58</f>
        <v>10.100000000000001</v>
      </c>
      <c r="F59" s="71"/>
      <c r="G59" s="71"/>
      <c r="H59" s="71"/>
      <c r="I59" s="71"/>
      <c r="J59" s="71"/>
      <c r="K59" s="71"/>
      <c r="L59" s="131"/>
      <c r="M59" s="132"/>
      <c r="N59" s="132"/>
      <c r="O59" s="132"/>
      <c r="P59" s="132"/>
      <c r="Q59" s="132"/>
    </row>
    <row r="60" spans="1:17" s="26" customFormat="1" x14ac:dyDescent="0.2">
      <c r="A60" s="58">
        <f t="shared" si="2"/>
        <v>23</v>
      </c>
      <c r="B60" s="145" t="s">
        <v>25</v>
      </c>
      <c r="C60" s="159" t="s">
        <v>140</v>
      </c>
      <c r="D60" s="71" t="s">
        <v>27</v>
      </c>
      <c r="E60" s="265">
        <f>apjomi!P12</f>
        <v>130.07400000000001</v>
      </c>
      <c r="F60" s="147"/>
      <c r="G60" s="71"/>
      <c r="H60" s="71"/>
      <c r="I60" s="71"/>
      <c r="J60" s="71"/>
      <c r="K60" s="71"/>
      <c r="L60" s="131"/>
      <c r="M60" s="132"/>
      <c r="N60" s="132"/>
      <c r="O60" s="132"/>
      <c r="P60" s="132"/>
      <c r="Q60" s="132"/>
    </row>
    <row r="61" spans="1:17" s="26" customFormat="1" x14ac:dyDescent="0.2">
      <c r="A61" s="58">
        <f t="shared" si="2"/>
        <v>24</v>
      </c>
      <c r="B61" s="145" t="s">
        <v>25</v>
      </c>
      <c r="C61" s="159" t="s">
        <v>155</v>
      </c>
      <c r="D61" s="71" t="s">
        <v>131</v>
      </c>
      <c r="E61" s="265">
        <v>1</v>
      </c>
      <c r="F61" s="147"/>
      <c r="G61" s="53"/>
      <c r="H61" s="71"/>
      <c r="I61" s="71"/>
      <c r="J61" s="53"/>
      <c r="K61" s="53"/>
      <c r="L61" s="131"/>
      <c r="M61" s="132"/>
      <c r="N61" s="132"/>
      <c r="O61" s="132"/>
      <c r="P61" s="132"/>
      <c r="Q61" s="132"/>
    </row>
    <row r="62" spans="1:17" s="26" customFormat="1" ht="22.5" x14ac:dyDescent="0.2">
      <c r="A62" s="58">
        <f>IF(COUNTBLANK(B62)=1," ",COUNTA($B$13:B62))</f>
        <v>25</v>
      </c>
      <c r="B62" s="145" t="s">
        <v>25</v>
      </c>
      <c r="C62" s="159" t="s">
        <v>200</v>
      </c>
      <c r="D62" s="71" t="s">
        <v>131</v>
      </c>
      <c r="E62" s="265">
        <v>3</v>
      </c>
      <c r="F62" s="147"/>
      <c r="G62" s="53"/>
      <c r="H62" s="71"/>
      <c r="I62" s="71"/>
      <c r="J62" s="53"/>
      <c r="K62" s="53"/>
      <c r="L62" s="131"/>
      <c r="M62" s="132"/>
      <c r="N62" s="132"/>
      <c r="O62" s="132"/>
      <c r="P62" s="132"/>
      <c r="Q62" s="132"/>
    </row>
    <row r="63" spans="1:17" ht="22.5" x14ac:dyDescent="0.2">
      <c r="A63" s="31"/>
      <c r="C63" s="340" t="s">
        <v>156</v>
      </c>
      <c r="D63" s="341"/>
      <c r="E63" s="342"/>
      <c r="F63" s="342"/>
      <c r="G63" s="343"/>
      <c r="H63" s="343"/>
      <c r="I63" s="343"/>
      <c r="J63" s="343"/>
      <c r="K63" s="343"/>
      <c r="M63" s="344"/>
      <c r="N63" s="344"/>
      <c r="O63" s="344"/>
      <c r="P63" s="344"/>
      <c r="Q63" s="344"/>
    </row>
    <row r="64" spans="1:17" x14ac:dyDescent="0.2">
      <c r="A64" s="266" t="str">
        <f>IF(COUNTBLANK(I64)=1," ",COUNTA($I$25:I64))</f>
        <v xml:space="preserve"> </v>
      </c>
      <c r="C64" s="345"/>
      <c r="D64" s="345"/>
      <c r="E64" s="345"/>
      <c r="F64" s="345"/>
      <c r="G64" s="345"/>
      <c r="H64" s="345"/>
    </row>
    <row r="65" spans="2:17" x14ac:dyDescent="0.2">
      <c r="C65" s="346" t="str">
        <f>[3]KPDV!$B$31</f>
        <v>Sastādīja:</v>
      </c>
      <c r="D65" s="347"/>
      <c r="E65" s="348"/>
      <c r="F65" s="348"/>
      <c r="G65" s="345"/>
      <c r="H65" s="345"/>
    </row>
    <row r="66" spans="2:17" x14ac:dyDescent="0.2">
      <c r="C66" s="346" t="str">
        <f>[3]KPDV!$B$32</f>
        <v>Tāme sastādīta</v>
      </c>
      <c r="D66" s="123"/>
      <c r="E66" s="278"/>
      <c r="F66" s="278"/>
      <c r="G66" s="345"/>
      <c r="H66" s="345"/>
    </row>
    <row r="67" spans="2:17" x14ac:dyDescent="0.2">
      <c r="C67" s="346"/>
      <c r="D67" s="123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</row>
    <row r="68" spans="2:17" x14ac:dyDescent="0.2">
      <c r="C68" s="346" t="str">
        <f>[3]KPDV!$B$34</f>
        <v>Pārbaudīja:</v>
      </c>
      <c r="D68" s="347"/>
      <c r="E68" s="348"/>
      <c r="F68" s="348"/>
      <c r="G68" s="123"/>
      <c r="H68" s="123"/>
      <c r="I68" s="123"/>
      <c r="J68" s="123"/>
      <c r="K68" s="123"/>
      <c r="L68" s="123"/>
      <c r="M68" s="123"/>
      <c r="N68" s="123"/>
      <c r="O68" s="123"/>
      <c r="P68" s="123"/>
    </row>
    <row r="69" spans="2:17" x14ac:dyDescent="0.2">
      <c r="C69" s="346" t="str">
        <f>[3]KPDV!$B$35</f>
        <v>Sertifikāta Nr.:</v>
      </c>
      <c r="D69" s="347"/>
      <c r="E69" s="349"/>
      <c r="F69" s="349"/>
      <c r="G69" s="123"/>
      <c r="H69" s="123"/>
      <c r="I69" s="123"/>
      <c r="J69" s="123"/>
      <c r="K69" s="123"/>
      <c r="L69" s="123"/>
      <c r="M69" s="350"/>
      <c r="N69" s="123"/>
      <c r="O69" s="350"/>
      <c r="P69" s="123"/>
    </row>
    <row r="70" spans="2:17" x14ac:dyDescent="0.2">
      <c r="C70" s="27"/>
      <c r="I70" s="351"/>
      <c r="J70" s="267"/>
      <c r="K70" s="267"/>
      <c r="O70" s="267"/>
      <c r="P70" s="267"/>
    </row>
    <row r="71" spans="2:17" ht="12.75" x14ac:dyDescent="0.2">
      <c r="B71" s="352" t="s">
        <v>348</v>
      </c>
      <c r="C71" s="353"/>
      <c r="D71" s="354"/>
      <c r="E71" s="354"/>
      <c r="F71" s="354"/>
      <c r="G71" s="355"/>
      <c r="H71" s="354"/>
      <c r="I71" s="354"/>
      <c r="J71" s="354"/>
      <c r="K71" s="354"/>
      <c r="L71" s="354"/>
      <c r="M71" s="354"/>
      <c r="N71" s="354"/>
      <c r="O71" s="354"/>
      <c r="P71" s="354"/>
      <c r="Q71" s="354"/>
    </row>
    <row r="72" spans="2:17" x14ac:dyDescent="0.2">
      <c r="B72" s="374" t="s">
        <v>349</v>
      </c>
      <c r="C72" s="374"/>
      <c r="D72" s="374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/>
    </row>
    <row r="73" spans="2:17" x14ac:dyDescent="0.2">
      <c r="B73" s="374"/>
      <c r="C73" s="374"/>
      <c r="D73" s="374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</row>
    <row r="74" spans="2:17" x14ac:dyDescent="0.2"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  <c r="Q74" s="374"/>
    </row>
  </sheetData>
  <sheetProtection selectLockedCells="1" selectUnlockedCells="1"/>
  <autoFilter ref="A12:Q62" xr:uid="{00000000-0009-0000-0000-000001000000}"/>
  <mergeCells count="13">
    <mergeCell ref="A1:G1"/>
    <mergeCell ref="A3:H3"/>
    <mergeCell ref="A4:H4"/>
    <mergeCell ref="A8:D8"/>
    <mergeCell ref="G8:J8"/>
    <mergeCell ref="B72:Q74"/>
    <mergeCell ref="G10:L10"/>
    <mergeCell ref="M10:Q10"/>
    <mergeCell ref="A10:A11"/>
    <mergeCell ref="B10:B11"/>
    <mergeCell ref="C10:C11"/>
    <mergeCell ref="D10:D11"/>
    <mergeCell ref="E10:E11"/>
  </mergeCells>
  <pageMargins left="0.39374999999999999" right="0" top="0.59027777777777779" bottom="0.39374999999999999" header="0.51180555555555551" footer="0.51180555555555551"/>
  <pageSetup paperSize="9" scale="98" firstPageNumber="0" orientation="landscape" horizontalDpi="300" verticalDpi="300" r:id="rId1"/>
  <headerFooter alignWithMargins="0"/>
  <rowBreaks count="2" manualBreakCount="2">
    <brk id="30" max="16383" man="1"/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K59"/>
  <sheetViews>
    <sheetView view="pageBreakPreview" zoomScaleNormal="100" zoomScaleSheetLayoutView="100" workbookViewId="0">
      <selection activeCell="C46" sqref="C46"/>
    </sheetView>
  </sheetViews>
  <sheetFormatPr defaultColWidth="9.140625" defaultRowHeight="11.25" x14ac:dyDescent="0.2"/>
  <cols>
    <col min="1" max="1" width="4.5703125" style="239" customWidth="1"/>
    <col min="2" max="2" width="4.85546875" style="190" customWidth="1"/>
    <col min="3" max="3" width="42.42578125" style="190" customWidth="1"/>
    <col min="4" max="5" width="4.85546875" style="240" customWidth="1"/>
    <col min="6" max="6" width="4.5703125" style="190" customWidth="1"/>
    <col min="7" max="7" width="5.85546875" style="190" customWidth="1"/>
    <col min="8" max="8" width="3.42578125" style="190" hidden="1" customWidth="1"/>
    <col min="9" max="13" width="5.85546875" style="190" customWidth="1"/>
    <col min="14" max="14" width="7.140625" style="190" customWidth="1"/>
    <col min="15" max="16" width="6.140625" style="190" customWidth="1"/>
    <col min="17" max="17" width="7.5703125" style="190" customWidth="1"/>
    <col min="18" max="18" width="7.140625" style="190" customWidth="1"/>
    <col min="19" max="16384" width="9.140625" style="190"/>
  </cols>
  <sheetData>
    <row r="1" spans="1:19" x14ac:dyDescent="0.2">
      <c r="A1" s="379" t="s">
        <v>11</v>
      </c>
      <c r="B1" s="379"/>
      <c r="C1" s="379"/>
      <c r="D1" s="379"/>
      <c r="E1" s="379"/>
      <c r="F1" s="379"/>
      <c r="G1" s="379"/>
      <c r="H1" s="379"/>
      <c r="I1" s="379"/>
      <c r="J1" s="26">
        <f>KPDV!A16</f>
        <v>2</v>
      </c>
      <c r="K1" s="26"/>
      <c r="L1" s="26"/>
      <c r="M1" s="26"/>
      <c r="N1" s="26"/>
      <c r="O1" s="26"/>
      <c r="P1" s="26"/>
      <c r="Q1" s="26"/>
      <c r="R1" s="26"/>
    </row>
    <row r="2" spans="1:19" x14ac:dyDescent="0.2">
      <c r="A2" s="28"/>
      <c r="B2" s="28"/>
      <c r="C2" s="29" t="s">
        <v>339</v>
      </c>
      <c r="D2" s="35"/>
      <c r="E2" s="35"/>
      <c r="F2" s="28"/>
      <c r="G2" s="28"/>
      <c r="H2" s="28"/>
      <c r="I2" s="28"/>
      <c r="J2" s="28"/>
      <c r="K2" s="26"/>
      <c r="L2" s="26"/>
      <c r="M2" s="26"/>
      <c r="N2" s="26"/>
      <c r="O2" s="26"/>
      <c r="P2" s="26"/>
      <c r="Q2" s="26"/>
      <c r="R2" s="26"/>
    </row>
    <row r="3" spans="1:19" x14ac:dyDescent="0.2">
      <c r="A3" s="33" t="str">
        <f>KPDV!A5</f>
        <v>Būves nosaukums: Daudzdzīvokļu dzīvojamā ēka</v>
      </c>
      <c r="B3" s="34"/>
      <c r="C3" s="34"/>
      <c r="D3" s="94"/>
      <c r="E3" s="94"/>
      <c r="F3" s="34"/>
      <c r="G3" s="34"/>
      <c r="H3" s="34"/>
      <c r="I3" s="34"/>
      <c r="J3" s="34"/>
      <c r="K3" s="30"/>
      <c r="L3" s="30"/>
      <c r="M3" s="30"/>
      <c r="N3" s="30"/>
      <c r="O3" s="31"/>
      <c r="P3" s="31"/>
      <c r="Q3" s="31"/>
      <c r="R3" s="26"/>
    </row>
    <row r="4" spans="1:19" x14ac:dyDescent="0.2">
      <c r="A4" s="33" t="str">
        <f>KPDV!A6</f>
        <v>Objekta nosaukums: Dzīvojamās ēkas fasādes vienkāršota atjaunošana</v>
      </c>
      <c r="B4" s="34"/>
      <c r="C4" s="34"/>
      <c r="D4" s="94"/>
      <c r="E4" s="94"/>
      <c r="F4" s="34"/>
      <c r="G4" s="34"/>
      <c r="H4" s="34"/>
      <c r="I4" s="34"/>
      <c r="J4" s="34"/>
      <c r="K4" s="32"/>
      <c r="L4" s="32"/>
      <c r="M4" s="31"/>
      <c r="N4" s="31"/>
      <c r="O4" s="31"/>
      <c r="P4" s="31"/>
      <c r="Q4" s="31"/>
      <c r="R4" s="26"/>
    </row>
    <row r="5" spans="1:19" x14ac:dyDescent="0.2">
      <c r="A5" s="33" t="str">
        <f>KPDV!A7</f>
        <v>Objekta adrese: Raiņa iela 18/20, Liepāja</v>
      </c>
      <c r="B5" s="33"/>
      <c r="C5" s="33"/>
      <c r="D5" s="32"/>
      <c r="E5" s="32"/>
      <c r="F5" s="33"/>
      <c r="G5" s="34"/>
      <c r="H5" s="34"/>
      <c r="I5" s="33"/>
      <c r="J5" s="33"/>
      <c r="K5" s="32"/>
      <c r="L5" s="32"/>
      <c r="M5" s="31"/>
      <c r="N5" s="31"/>
      <c r="O5" s="31"/>
      <c r="P5" s="31"/>
      <c r="Q5" s="31"/>
      <c r="R5" s="26"/>
    </row>
    <row r="6" spans="1:19" x14ac:dyDescent="0.2">
      <c r="A6" s="33" t="str">
        <f>KPDV!A8</f>
        <v>Pasūtījuma Nr.: EA-78-16</v>
      </c>
      <c r="B6" s="33"/>
      <c r="C6" s="33"/>
      <c r="D6" s="32"/>
      <c r="E6" s="32"/>
      <c r="F6" s="33"/>
      <c r="G6" s="33"/>
      <c r="H6" s="33"/>
      <c r="I6" s="33"/>
      <c r="J6" s="33"/>
      <c r="K6" s="32"/>
      <c r="L6" s="32"/>
      <c r="M6" s="31"/>
      <c r="N6" s="31"/>
      <c r="O6" s="31"/>
      <c r="P6" s="31"/>
      <c r="Q6" s="31"/>
      <c r="R6" s="26"/>
    </row>
    <row r="7" spans="1:19" x14ac:dyDescent="0.2">
      <c r="A7" s="33"/>
      <c r="B7" s="33"/>
      <c r="C7" s="33"/>
      <c r="D7" s="32"/>
      <c r="E7" s="32"/>
      <c r="F7" s="33"/>
      <c r="G7" s="33"/>
      <c r="H7" s="33"/>
      <c r="I7" s="33"/>
      <c r="J7" s="33"/>
      <c r="K7" s="32"/>
      <c r="L7" s="32"/>
      <c r="M7" s="31"/>
      <c r="N7" s="31"/>
      <c r="O7" s="31"/>
      <c r="P7" s="31"/>
      <c r="Q7" s="31"/>
      <c r="R7" s="26"/>
    </row>
    <row r="8" spans="1:19" x14ac:dyDescent="0.2">
      <c r="A8" s="380" t="s">
        <v>341</v>
      </c>
      <c r="B8" s="380"/>
      <c r="C8" s="380"/>
      <c r="D8" s="380"/>
      <c r="E8" s="380"/>
      <c r="F8" s="380"/>
      <c r="G8" s="35" t="s">
        <v>13</v>
      </c>
      <c r="H8" s="26"/>
      <c r="I8" s="381" t="s">
        <v>14</v>
      </c>
      <c r="J8" s="381"/>
      <c r="K8" s="381"/>
      <c r="L8" s="381"/>
      <c r="M8" s="36"/>
      <c r="N8" s="36"/>
      <c r="O8" s="36"/>
      <c r="P8" s="36" t="s">
        <v>15</v>
      </c>
      <c r="Q8" s="37">
        <f>R49</f>
        <v>0</v>
      </c>
      <c r="R8" s="21" t="s">
        <v>16</v>
      </c>
    </row>
    <row r="9" spans="1:19" ht="10.35" customHeight="1" x14ac:dyDescent="0.2">
      <c r="A9" s="28"/>
      <c r="B9" s="26"/>
      <c r="C9" s="2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384" t="s">
        <v>325</v>
      </c>
      <c r="Q9" s="384"/>
      <c r="R9" s="384"/>
    </row>
    <row r="10" spans="1:19" ht="10.35" customHeight="1" x14ac:dyDescent="0.2">
      <c r="A10" s="385" t="s">
        <v>17</v>
      </c>
      <c r="B10" s="376" t="s">
        <v>18</v>
      </c>
      <c r="C10" s="386" t="s">
        <v>19</v>
      </c>
      <c r="D10" s="387"/>
      <c r="E10" s="387"/>
      <c r="F10" s="378" t="s">
        <v>20</v>
      </c>
      <c r="G10" s="376" t="s">
        <v>21</v>
      </c>
      <c r="H10" s="26"/>
      <c r="I10" s="375" t="s">
        <v>22</v>
      </c>
      <c r="J10" s="375"/>
      <c r="K10" s="375"/>
      <c r="L10" s="375"/>
      <c r="M10" s="375"/>
      <c r="N10" s="375"/>
      <c r="O10" s="375" t="s">
        <v>23</v>
      </c>
      <c r="P10" s="375"/>
      <c r="Q10" s="375"/>
      <c r="R10" s="375"/>
    </row>
    <row r="11" spans="1:19" ht="66" x14ac:dyDescent="0.2">
      <c r="A11" s="385"/>
      <c r="B11" s="376"/>
      <c r="C11" s="388"/>
      <c r="D11" s="389"/>
      <c r="E11" s="389"/>
      <c r="F11" s="378"/>
      <c r="G11" s="376"/>
      <c r="H11" s="26"/>
      <c r="I11" s="328" t="s">
        <v>342</v>
      </c>
      <c r="J11" s="329" t="s">
        <v>343</v>
      </c>
      <c r="K11" s="329" t="s">
        <v>344</v>
      </c>
      <c r="L11" s="329" t="s">
        <v>345</v>
      </c>
      <c r="M11" s="329" t="s">
        <v>346</v>
      </c>
      <c r="N11" s="330" t="s">
        <v>333</v>
      </c>
      <c r="O11" s="328" t="s">
        <v>24</v>
      </c>
      <c r="P11" s="329" t="s">
        <v>344</v>
      </c>
      <c r="Q11" s="329" t="s">
        <v>345</v>
      </c>
      <c r="R11" s="331" t="s">
        <v>346</v>
      </c>
      <c r="S11" s="338" t="s">
        <v>347</v>
      </c>
    </row>
    <row r="12" spans="1:19" x14ac:dyDescent="0.2">
      <c r="A12" s="191">
        <v>1</v>
      </c>
      <c r="B12" s="125">
        <f>A12+1</f>
        <v>2</v>
      </c>
      <c r="C12" s="382">
        <f>B12+1</f>
        <v>3</v>
      </c>
      <c r="D12" s="383"/>
      <c r="E12" s="383"/>
      <c r="F12" s="125">
        <f>C12+1</f>
        <v>4</v>
      </c>
      <c r="G12" s="125">
        <f>F12+1</f>
        <v>5</v>
      </c>
      <c r="H12" s="125"/>
      <c r="I12" s="125">
        <f>G12+1</f>
        <v>6</v>
      </c>
      <c r="J12" s="125">
        <f t="shared" ref="J12:P12" si="0">I12+1</f>
        <v>7</v>
      </c>
      <c r="K12" s="125">
        <f t="shared" si="0"/>
        <v>8</v>
      </c>
      <c r="L12" s="125">
        <f t="shared" si="0"/>
        <v>9</v>
      </c>
      <c r="M12" s="125">
        <f t="shared" si="0"/>
        <v>10</v>
      </c>
      <c r="N12" s="125">
        <f t="shared" si="0"/>
        <v>11</v>
      </c>
      <c r="O12" s="125">
        <f t="shared" si="0"/>
        <v>12</v>
      </c>
      <c r="P12" s="125">
        <f t="shared" si="0"/>
        <v>13</v>
      </c>
      <c r="Q12" s="125">
        <f>P12+1</f>
        <v>14</v>
      </c>
      <c r="R12" s="356">
        <f>Q12+1</f>
        <v>15</v>
      </c>
      <c r="S12" s="207"/>
    </row>
    <row r="13" spans="1:19" x14ac:dyDescent="0.2">
      <c r="A13" s="47">
        <f>IF(COUNTBLANK(B13)=1," ",COUNTA($B$13:B13))</f>
        <v>1</v>
      </c>
      <c r="B13" s="192" t="s">
        <v>25</v>
      </c>
      <c r="C13" s="193" t="s">
        <v>46</v>
      </c>
      <c r="D13" s="194"/>
      <c r="E13" s="194"/>
      <c r="F13" s="194" t="s">
        <v>32</v>
      </c>
      <c r="G13" s="195">
        <f>apjomi!J12</f>
        <v>51.357849999999999</v>
      </c>
      <c r="H13" s="196"/>
      <c r="I13" s="140"/>
      <c r="J13" s="197"/>
      <c r="K13" s="140"/>
      <c r="L13" s="140"/>
      <c r="M13" s="140"/>
      <c r="N13" s="131"/>
      <c r="O13" s="132"/>
      <c r="P13" s="132"/>
      <c r="Q13" s="132"/>
      <c r="R13" s="133"/>
      <c r="S13" s="207"/>
    </row>
    <row r="14" spans="1:19" x14ac:dyDescent="0.2">
      <c r="A14" s="47">
        <f>IF(COUNTBLANK(B14)=1," ",COUNTA($B$13:B14))</f>
        <v>2</v>
      </c>
      <c r="B14" s="198" t="s">
        <v>25</v>
      </c>
      <c r="C14" s="199" t="s">
        <v>47</v>
      </c>
      <c r="D14" s="200"/>
      <c r="E14" s="200"/>
      <c r="F14" s="200" t="s">
        <v>27</v>
      </c>
      <c r="G14" s="201">
        <f>apjomi!P12</f>
        <v>130.07400000000001</v>
      </c>
      <c r="H14" s="202"/>
      <c r="I14" s="203"/>
      <c r="J14" s="130"/>
      <c r="K14" s="203"/>
      <c r="L14" s="203"/>
      <c r="M14" s="203"/>
      <c r="N14" s="131"/>
      <c r="O14" s="132"/>
      <c r="P14" s="132"/>
      <c r="Q14" s="132"/>
      <c r="R14" s="133"/>
      <c r="S14" s="207"/>
    </row>
    <row r="15" spans="1:19" ht="78.75" x14ac:dyDescent="0.2">
      <c r="A15" s="47" t="str">
        <f>IF(COUNTBLANK(B15)=1," ",COUNTA($B$13:B15))</f>
        <v xml:space="preserve"> </v>
      </c>
      <c r="B15" s="204"/>
      <c r="C15" s="205" t="s">
        <v>353</v>
      </c>
      <c r="D15" s="206" t="s">
        <v>194</v>
      </c>
      <c r="E15" s="206" t="s">
        <v>193</v>
      </c>
      <c r="F15" s="207"/>
      <c r="G15" s="207"/>
      <c r="H15" s="205"/>
      <c r="I15" s="205"/>
      <c r="J15" s="205"/>
      <c r="K15" s="208"/>
      <c r="L15" s="209"/>
      <c r="M15" s="209"/>
      <c r="N15" s="131"/>
      <c r="O15" s="132"/>
      <c r="P15" s="132"/>
      <c r="Q15" s="132"/>
      <c r="R15" s="133"/>
      <c r="S15" s="207"/>
    </row>
    <row r="16" spans="1:19" x14ac:dyDescent="0.2">
      <c r="A16" s="47">
        <f>IF(COUNTBLANK(B16)=1," ",COUNTA($B$13:B16))</f>
        <v>3</v>
      </c>
      <c r="B16" s="192" t="s">
        <v>25</v>
      </c>
      <c r="C16" s="210" t="str">
        <f>apjomi!B4</f>
        <v>L1</v>
      </c>
      <c r="D16" s="211">
        <f>apjomi!F4</f>
        <v>2.0150000000000001</v>
      </c>
      <c r="E16" s="211">
        <f>apjomi!G4</f>
        <v>1.5449999999999999</v>
      </c>
      <c r="F16" s="212" t="s">
        <v>143</v>
      </c>
      <c r="G16" s="211">
        <f>apjomi!D4</f>
        <v>6</v>
      </c>
      <c r="H16" s="212"/>
      <c r="I16" s="197"/>
      <c r="J16" s="130"/>
      <c r="K16" s="203"/>
      <c r="L16" s="197"/>
      <c r="M16" s="197"/>
      <c r="N16" s="131"/>
      <c r="O16" s="132"/>
      <c r="P16" s="132"/>
      <c r="Q16" s="132"/>
      <c r="R16" s="133"/>
      <c r="S16" s="207"/>
    </row>
    <row r="17" spans="1:19" x14ac:dyDescent="0.2">
      <c r="A17" s="47">
        <f>IF(COUNTBLANK(B17)=1," ",COUNTA($B$13:B17))</f>
        <v>4</v>
      </c>
      <c r="B17" s="48" t="s">
        <v>25</v>
      </c>
      <c r="C17" s="210" t="s">
        <v>120</v>
      </c>
      <c r="D17" s="211">
        <f>apjomi!F5</f>
        <v>1.52</v>
      </c>
      <c r="E17" s="211">
        <f>apjomi!G5</f>
        <v>1.425</v>
      </c>
      <c r="F17" s="212" t="s">
        <v>143</v>
      </c>
      <c r="G17" s="211">
        <f>apjomi!D5</f>
        <v>4</v>
      </c>
      <c r="H17" s="212"/>
      <c r="I17" s="197"/>
      <c r="J17" s="130"/>
      <c r="K17" s="203"/>
      <c r="L17" s="197"/>
      <c r="M17" s="197"/>
      <c r="N17" s="131"/>
      <c r="O17" s="132"/>
      <c r="P17" s="132"/>
      <c r="Q17" s="132"/>
      <c r="R17" s="133"/>
      <c r="S17" s="207"/>
    </row>
    <row r="18" spans="1:19" x14ac:dyDescent="0.2">
      <c r="A18" s="47">
        <f>IF(COUNTBLANK(B18)=1," ",COUNTA($B$13:B18))</f>
        <v>5</v>
      </c>
      <c r="B18" s="48" t="s">
        <v>25</v>
      </c>
      <c r="C18" s="210" t="s">
        <v>121</v>
      </c>
      <c r="D18" s="211">
        <f>apjomi!F6</f>
        <v>1.48</v>
      </c>
      <c r="E18" s="211">
        <f>apjomi!G6</f>
        <v>1.54</v>
      </c>
      <c r="F18" s="212" t="s">
        <v>143</v>
      </c>
      <c r="G18" s="211">
        <f>apjomi!D6</f>
        <v>4</v>
      </c>
      <c r="H18" s="212"/>
      <c r="I18" s="197"/>
      <c r="J18" s="130"/>
      <c r="K18" s="203"/>
      <c r="L18" s="197"/>
      <c r="M18" s="197"/>
      <c r="N18" s="131"/>
      <c r="O18" s="132"/>
      <c r="P18" s="132"/>
      <c r="Q18" s="132"/>
      <c r="R18" s="133"/>
      <c r="S18" s="207"/>
    </row>
    <row r="19" spans="1:19" x14ac:dyDescent="0.2">
      <c r="A19" s="47">
        <f>IF(COUNTBLANK(B19)=1," ",COUNTA($B$13:B19))</f>
        <v>6</v>
      </c>
      <c r="B19" s="48" t="s">
        <v>25</v>
      </c>
      <c r="C19" s="210" t="s">
        <v>122</v>
      </c>
      <c r="D19" s="211">
        <f>apjomi!F7</f>
        <v>1.52</v>
      </c>
      <c r="E19" s="211">
        <f>apjomi!G7</f>
        <v>1.425</v>
      </c>
      <c r="F19" s="212" t="s">
        <v>143</v>
      </c>
      <c r="G19" s="211">
        <f>apjomi!D7</f>
        <v>3</v>
      </c>
      <c r="H19" s="212"/>
      <c r="I19" s="197"/>
      <c r="J19" s="130"/>
      <c r="K19" s="203"/>
      <c r="L19" s="197"/>
      <c r="M19" s="197"/>
      <c r="N19" s="131"/>
      <c r="O19" s="132"/>
      <c r="P19" s="132"/>
      <c r="Q19" s="132"/>
      <c r="R19" s="133"/>
      <c r="S19" s="207"/>
    </row>
    <row r="20" spans="1:19" x14ac:dyDescent="0.2">
      <c r="A20" s="47">
        <f>IF(COUNTBLANK(B20)=1," ",COUNTA($B$13:B20))</f>
        <v>7</v>
      </c>
      <c r="B20" s="48" t="s">
        <v>25</v>
      </c>
      <c r="C20" s="210" t="s">
        <v>123</v>
      </c>
      <c r="D20" s="211">
        <f>apjomi!F8</f>
        <v>1.2</v>
      </c>
      <c r="E20" s="211">
        <f>apjomi!G8</f>
        <v>0.5</v>
      </c>
      <c r="F20" s="212" t="s">
        <v>143</v>
      </c>
      <c r="G20" s="211">
        <f>apjomi!D8</f>
        <v>6</v>
      </c>
      <c r="H20" s="212"/>
      <c r="I20" s="197"/>
      <c r="J20" s="130"/>
      <c r="K20" s="203"/>
      <c r="L20" s="197"/>
      <c r="M20" s="197"/>
      <c r="N20" s="131"/>
      <c r="O20" s="132"/>
      <c r="P20" s="132"/>
      <c r="Q20" s="132"/>
      <c r="R20" s="133"/>
      <c r="S20" s="207"/>
    </row>
    <row r="21" spans="1:19" x14ac:dyDescent="0.2">
      <c r="A21" s="47">
        <f t="shared" ref="A21:A26" si="1">IF(COUNTBLANK(B21)=1," ",COUNTA($B$13:B21))</f>
        <v>8</v>
      </c>
      <c r="B21" s="192" t="s">
        <v>25</v>
      </c>
      <c r="C21" s="213" t="s">
        <v>48</v>
      </c>
      <c r="D21" s="214"/>
      <c r="E21" s="214"/>
      <c r="F21" s="212" t="s">
        <v>143</v>
      </c>
      <c r="G21" s="215">
        <f>SUM(G16:G20)</f>
        <v>23</v>
      </c>
      <c r="H21" s="152"/>
      <c r="I21" s="197"/>
      <c r="J21" s="130"/>
      <c r="K21" s="197"/>
      <c r="L21" s="197"/>
      <c r="M21" s="197"/>
      <c r="N21" s="131"/>
      <c r="O21" s="132"/>
      <c r="P21" s="132"/>
      <c r="Q21" s="132"/>
      <c r="R21" s="133"/>
      <c r="S21" s="207"/>
    </row>
    <row r="22" spans="1:19" x14ac:dyDescent="0.2">
      <c r="A22" s="47" t="str">
        <f t="shared" si="1"/>
        <v xml:space="preserve"> </v>
      </c>
      <c r="B22" s="138"/>
      <c r="C22" s="153" t="s">
        <v>49</v>
      </c>
      <c r="D22" s="216"/>
      <c r="E22" s="216"/>
      <c r="F22" s="47" t="s">
        <v>143</v>
      </c>
      <c r="G22" s="53">
        <f>ROUNDUP(G21*H22,0)</f>
        <v>138</v>
      </c>
      <c r="H22" s="53">
        <v>6</v>
      </c>
      <c r="I22" s="197"/>
      <c r="J22" s="130"/>
      <c r="K22" s="197"/>
      <c r="L22" s="197"/>
      <c r="M22" s="197"/>
      <c r="N22" s="131"/>
      <c r="O22" s="132"/>
      <c r="P22" s="132"/>
      <c r="Q22" s="132"/>
      <c r="R22" s="133"/>
      <c r="S22" s="207"/>
    </row>
    <row r="23" spans="1:19" x14ac:dyDescent="0.2">
      <c r="A23" s="47" t="str">
        <f t="shared" si="1"/>
        <v xml:space="preserve"> </v>
      </c>
      <c r="B23" s="138"/>
      <c r="C23" s="217" t="s">
        <v>50</v>
      </c>
      <c r="D23" s="130"/>
      <c r="E23" s="130"/>
      <c r="F23" s="47" t="s">
        <v>143</v>
      </c>
      <c r="G23" s="53">
        <f>ROUNDUP(G21*H23,0)</f>
        <v>92</v>
      </c>
      <c r="H23" s="53">
        <v>4</v>
      </c>
      <c r="I23" s="197"/>
      <c r="J23" s="130"/>
      <c r="K23" s="197"/>
      <c r="L23" s="197"/>
      <c r="M23" s="197"/>
      <c r="N23" s="131"/>
      <c r="O23" s="132"/>
      <c r="P23" s="132"/>
      <c r="Q23" s="132"/>
      <c r="R23" s="133"/>
      <c r="S23" s="207"/>
    </row>
    <row r="24" spans="1:19" x14ac:dyDescent="0.2">
      <c r="A24" s="47" t="str">
        <f t="shared" si="1"/>
        <v xml:space="preserve"> </v>
      </c>
      <c r="B24" s="138"/>
      <c r="C24" s="153" t="s">
        <v>355</v>
      </c>
      <c r="D24" s="138"/>
      <c r="E24" s="138"/>
      <c r="F24" s="138" t="s">
        <v>51</v>
      </c>
      <c r="G24" s="53">
        <f>ROUNDUP(G21*H24,0)</f>
        <v>23</v>
      </c>
      <c r="H24" s="53">
        <v>1</v>
      </c>
      <c r="I24" s="197"/>
      <c r="J24" s="130"/>
      <c r="K24" s="197"/>
      <c r="L24" s="197"/>
      <c r="M24" s="197"/>
      <c r="N24" s="131"/>
      <c r="O24" s="132"/>
      <c r="P24" s="132"/>
      <c r="Q24" s="132"/>
      <c r="R24" s="133"/>
      <c r="S24" s="207"/>
    </row>
    <row r="25" spans="1:19" x14ac:dyDescent="0.2">
      <c r="A25" s="47" t="str">
        <f t="shared" si="1"/>
        <v xml:space="preserve"> </v>
      </c>
      <c r="B25" s="138"/>
      <c r="C25" s="153" t="s">
        <v>52</v>
      </c>
      <c r="D25" s="138"/>
      <c r="E25" s="138"/>
      <c r="F25" s="47" t="s">
        <v>143</v>
      </c>
      <c r="G25" s="218">
        <f>ROUNDUP(G21*H25,0)</f>
        <v>115</v>
      </c>
      <c r="H25" s="218">
        <v>5</v>
      </c>
      <c r="I25" s="219"/>
      <c r="J25" s="130"/>
      <c r="K25" s="220"/>
      <c r="L25" s="220"/>
      <c r="M25" s="219"/>
      <c r="N25" s="131"/>
      <c r="O25" s="132"/>
      <c r="P25" s="132"/>
      <c r="Q25" s="132"/>
      <c r="R25" s="133"/>
      <c r="S25" s="207"/>
    </row>
    <row r="26" spans="1:19" x14ac:dyDescent="0.2">
      <c r="A26" s="47" t="str">
        <f t="shared" si="1"/>
        <v xml:space="preserve"> </v>
      </c>
      <c r="B26" s="138"/>
      <c r="C26" s="153" t="s">
        <v>354</v>
      </c>
      <c r="D26" s="138"/>
      <c r="E26" s="138"/>
      <c r="F26" s="138" t="s">
        <v>51</v>
      </c>
      <c r="G26" s="53">
        <f>ROUNDUP(G21*H26,2)</f>
        <v>23</v>
      </c>
      <c r="H26" s="53">
        <v>1</v>
      </c>
      <c r="I26" s="140"/>
      <c r="J26" s="130"/>
      <c r="K26" s="197"/>
      <c r="L26" s="197"/>
      <c r="M26" s="140"/>
      <c r="N26" s="131"/>
      <c r="O26" s="132"/>
      <c r="P26" s="132"/>
      <c r="Q26" s="132"/>
      <c r="R26" s="133"/>
      <c r="S26" s="207"/>
    </row>
    <row r="27" spans="1:19" ht="45" x14ac:dyDescent="0.2">
      <c r="A27" s="47">
        <f>IF(COUNTBLANK(B27)=1," ",COUNTA($B$13:B27))</f>
        <v>9</v>
      </c>
      <c r="B27" s="48" t="s">
        <v>25</v>
      </c>
      <c r="C27" s="134" t="s">
        <v>279</v>
      </c>
      <c r="D27" s="221"/>
      <c r="E27" s="221"/>
      <c r="F27" s="222" t="s">
        <v>32</v>
      </c>
      <c r="G27" s="53">
        <f>apjomi!J10</f>
        <v>3.5999999999999996</v>
      </c>
      <c r="H27" s="53"/>
      <c r="I27" s="223"/>
      <c r="J27" s="130"/>
      <c r="K27" s="223"/>
      <c r="L27" s="223"/>
      <c r="M27" s="223"/>
      <c r="N27" s="131"/>
      <c r="O27" s="132"/>
      <c r="P27" s="132"/>
      <c r="Q27" s="132"/>
      <c r="R27" s="133"/>
      <c r="S27" s="207"/>
    </row>
    <row r="28" spans="1:19" ht="45" x14ac:dyDescent="0.2">
      <c r="A28" s="47">
        <f>IF(COUNTBLANK(B28)=1," ",COUNTA($B$13:B28))</f>
        <v>10</v>
      </c>
      <c r="B28" s="48" t="s">
        <v>25</v>
      </c>
      <c r="C28" s="134" t="s">
        <v>278</v>
      </c>
      <c r="D28" s="221"/>
      <c r="E28" s="221"/>
      <c r="F28" s="222" t="s">
        <v>32</v>
      </c>
      <c r="G28" s="53">
        <f>apjomi!J11</f>
        <v>1.2</v>
      </c>
      <c r="H28" s="223"/>
      <c r="I28" s="223"/>
      <c r="J28" s="130"/>
      <c r="K28" s="223"/>
      <c r="L28" s="223"/>
      <c r="M28" s="223"/>
      <c r="N28" s="131"/>
      <c r="O28" s="132"/>
      <c r="P28" s="132"/>
      <c r="Q28" s="132"/>
      <c r="R28" s="133"/>
      <c r="S28" s="207"/>
    </row>
    <row r="29" spans="1:19" x14ac:dyDescent="0.2">
      <c r="A29" s="47">
        <f t="shared" ref="A29:A34" si="2">IF(COUNTBLANK(B29)=1," ",COUNTA($B$13:B29))</f>
        <v>11</v>
      </c>
      <c r="B29" s="192" t="s">
        <v>25</v>
      </c>
      <c r="C29" s="213" t="s">
        <v>255</v>
      </c>
      <c r="D29" s="214"/>
      <c r="E29" s="214"/>
      <c r="F29" s="212" t="s">
        <v>32</v>
      </c>
      <c r="G29" s="215">
        <f>G28+G27</f>
        <v>4.8</v>
      </c>
      <c r="H29" s="152"/>
      <c r="I29" s="223"/>
      <c r="J29" s="130"/>
      <c r="K29" s="223"/>
      <c r="L29" s="223"/>
      <c r="M29" s="223"/>
      <c r="N29" s="131"/>
      <c r="O29" s="132"/>
      <c r="P29" s="132"/>
      <c r="Q29" s="132"/>
      <c r="R29" s="133"/>
      <c r="S29" s="207"/>
    </row>
    <row r="30" spans="1:19" x14ac:dyDescent="0.2">
      <c r="A30" s="47" t="str">
        <f t="shared" si="2"/>
        <v xml:space="preserve"> </v>
      </c>
      <c r="B30" s="138"/>
      <c r="C30" s="153" t="s">
        <v>49</v>
      </c>
      <c r="D30" s="216"/>
      <c r="E30" s="216"/>
      <c r="F30" s="47" t="s">
        <v>143</v>
      </c>
      <c r="G30" s="53">
        <f>ROUNDUP(G29*H30,0)</f>
        <v>13</v>
      </c>
      <c r="H30" s="53">
        <v>2.6</v>
      </c>
      <c r="I30" s="223"/>
      <c r="J30" s="130"/>
      <c r="K30" s="223"/>
      <c r="L30" s="130"/>
      <c r="M30" s="223"/>
      <c r="N30" s="131"/>
      <c r="O30" s="132"/>
      <c r="P30" s="132"/>
      <c r="Q30" s="132"/>
      <c r="R30" s="133"/>
      <c r="S30" s="207"/>
    </row>
    <row r="31" spans="1:19" x14ac:dyDescent="0.2">
      <c r="A31" s="47" t="str">
        <f t="shared" si="2"/>
        <v xml:space="preserve"> </v>
      </c>
      <c r="B31" s="138"/>
      <c r="C31" s="217" t="s">
        <v>50</v>
      </c>
      <c r="D31" s="130"/>
      <c r="E31" s="130"/>
      <c r="F31" s="47" t="s">
        <v>143</v>
      </c>
      <c r="G31" s="53">
        <f>ROUNDUP(G29*H31,0)</f>
        <v>10</v>
      </c>
      <c r="H31" s="53">
        <v>2</v>
      </c>
      <c r="I31" s="223"/>
      <c r="J31" s="130"/>
      <c r="K31" s="223"/>
      <c r="L31" s="130"/>
      <c r="M31" s="223"/>
      <c r="N31" s="131"/>
      <c r="O31" s="132"/>
      <c r="P31" s="132"/>
      <c r="Q31" s="132"/>
      <c r="R31" s="133"/>
      <c r="S31" s="207"/>
    </row>
    <row r="32" spans="1:19" x14ac:dyDescent="0.2">
      <c r="A32" s="47" t="str">
        <f t="shared" si="2"/>
        <v xml:space="preserve"> </v>
      </c>
      <c r="B32" s="138"/>
      <c r="C32" s="153" t="s">
        <v>355</v>
      </c>
      <c r="D32" s="138"/>
      <c r="E32" s="138"/>
      <c r="F32" s="138" t="s">
        <v>51</v>
      </c>
      <c r="G32" s="53">
        <f>ROUNDUP(G29*H32,0)</f>
        <v>2</v>
      </c>
      <c r="H32" s="53">
        <v>0.4</v>
      </c>
      <c r="I32" s="223"/>
      <c r="J32" s="130"/>
      <c r="K32" s="223"/>
      <c r="L32" s="130"/>
      <c r="M32" s="223"/>
      <c r="N32" s="131"/>
      <c r="O32" s="132"/>
      <c r="P32" s="132"/>
      <c r="Q32" s="132"/>
      <c r="R32" s="133"/>
      <c r="S32" s="207"/>
    </row>
    <row r="33" spans="1:19" x14ac:dyDescent="0.2">
      <c r="A33" s="47" t="str">
        <f t="shared" si="2"/>
        <v xml:space="preserve"> </v>
      </c>
      <c r="B33" s="138"/>
      <c r="C33" s="153" t="s">
        <v>52</v>
      </c>
      <c r="D33" s="138"/>
      <c r="E33" s="138"/>
      <c r="F33" s="47" t="s">
        <v>143</v>
      </c>
      <c r="G33" s="218">
        <f>ROUNDUP(G29*H33,0)</f>
        <v>12</v>
      </c>
      <c r="H33" s="218">
        <v>2.5</v>
      </c>
      <c r="I33" s="223"/>
      <c r="J33" s="130"/>
      <c r="K33" s="223"/>
      <c r="L33" s="130"/>
      <c r="M33" s="223"/>
      <c r="N33" s="131"/>
      <c r="O33" s="132"/>
      <c r="P33" s="132"/>
      <c r="Q33" s="132"/>
      <c r="R33" s="133"/>
      <c r="S33" s="207"/>
    </row>
    <row r="34" spans="1:19" x14ac:dyDescent="0.2">
      <c r="A34" s="47" t="str">
        <f t="shared" si="2"/>
        <v xml:space="preserve"> </v>
      </c>
      <c r="B34" s="138"/>
      <c r="C34" s="153" t="s">
        <v>354</v>
      </c>
      <c r="D34" s="138"/>
      <c r="E34" s="138"/>
      <c r="F34" s="138" t="s">
        <v>51</v>
      </c>
      <c r="G34" s="53">
        <f>ROUNDUP(G29*H34,2)</f>
        <v>1.2</v>
      </c>
      <c r="H34" s="53">
        <v>0.25</v>
      </c>
      <c r="I34" s="223"/>
      <c r="J34" s="130"/>
      <c r="K34" s="223"/>
      <c r="L34" s="130"/>
      <c r="M34" s="223"/>
      <c r="N34" s="131"/>
      <c r="O34" s="132"/>
      <c r="P34" s="132"/>
      <c r="Q34" s="132"/>
      <c r="R34" s="133"/>
      <c r="S34" s="207"/>
    </row>
    <row r="35" spans="1:19" x14ac:dyDescent="0.2">
      <c r="A35" s="47">
        <f>IF(COUNTBLANK(B35)=1," ",COUNTA($B$13:B35))</f>
        <v>12</v>
      </c>
      <c r="B35" s="48" t="s">
        <v>25</v>
      </c>
      <c r="C35" s="134" t="s">
        <v>124</v>
      </c>
      <c r="D35" s="221"/>
      <c r="E35" s="221"/>
      <c r="F35" s="221" t="s">
        <v>27</v>
      </c>
      <c r="G35" s="224">
        <f>apjomi!K12</f>
        <v>439.19</v>
      </c>
      <c r="H35" s="225"/>
      <c r="I35" s="53"/>
      <c r="J35" s="130"/>
      <c r="K35" s="70"/>
      <c r="L35" s="130"/>
      <c r="M35" s="70"/>
      <c r="N35" s="131"/>
      <c r="O35" s="132"/>
      <c r="P35" s="132"/>
      <c r="Q35" s="132"/>
      <c r="R35" s="133"/>
      <c r="S35" s="207"/>
    </row>
    <row r="36" spans="1:19" x14ac:dyDescent="0.2">
      <c r="A36" s="47">
        <f>IF(COUNTBLANK(B36)=1," ",COUNTA($B$13:B36))</f>
        <v>13</v>
      </c>
      <c r="B36" s="48" t="s">
        <v>25</v>
      </c>
      <c r="C36" s="134" t="s">
        <v>125</v>
      </c>
      <c r="D36" s="221"/>
      <c r="E36" s="221"/>
      <c r="F36" s="221" t="s">
        <v>27</v>
      </c>
      <c r="G36" s="224">
        <f>apjomi!L12</f>
        <v>146.10999999999999</v>
      </c>
      <c r="H36" s="225"/>
      <c r="I36" s="53"/>
      <c r="J36" s="130"/>
      <c r="K36" s="70"/>
      <c r="L36" s="130"/>
      <c r="M36" s="70"/>
      <c r="N36" s="131"/>
      <c r="O36" s="132"/>
      <c r="P36" s="132"/>
      <c r="Q36" s="132"/>
      <c r="R36" s="133"/>
      <c r="S36" s="207"/>
    </row>
    <row r="37" spans="1:19" ht="22.5" x14ac:dyDescent="0.2">
      <c r="A37" s="47">
        <f>IF(COUNTBLANK(B37)=1," ",COUNTA($B$13:B37))</f>
        <v>14</v>
      </c>
      <c r="B37" s="48" t="s">
        <v>25</v>
      </c>
      <c r="C37" s="55" t="s">
        <v>53</v>
      </c>
      <c r="D37" s="47"/>
      <c r="E37" s="47"/>
      <c r="F37" s="47" t="s">
        <v>27</v>
      </c>
      <c r="G37" s="226">
        <f>G14</f>
        <v>130.07400000000001</v>
      </c>
      <c r="H37" s="227"/>
      <c r="I37" s="54"/>
      <c r="J37" s="130"/>
      <c r="K37" s="54"/>
      <c r="L37" s="54"/>
      <c r="M37" s="54"/>
      <c r="N37" s="131"/>
      <c r="O37" s="132"/>
      <c r="P37" s="132"/>
      <c r="Q37" s="132"/>
      <c r="R37" s="133"/>
      <c r="S37" s="207"/>
    </row>
    <row r="38" spans="1:19" x14ac:dyDescent="0.2">
      <c r="A38" s="47">
        <f>IF(COUNTBLANK(B38)=1," ",COUNTA($B$13:B38))</f>
        <v>15</v>
      </c>
      <c r="B38" s="48" t="s">
        <v>25</v>
      </c>
      <c r="C38" s="134" t="s">
        <v>54</v>
      </c>
      <c r="D38" s="221"/>
      <c r="E38" s="221"/>
      <c r="F38" s="221" t="s">
        <v>27</v>
      </c>
      <c r="G38" s="224">
        <f>apjomi!O12</f>
        <v>45.050000000000011</v>
      </c>
      <c r="H38" s="225"/>
      <c r="I38" s="140"/>
      <c r="J38" s="130"/>
      <c r="K38" s="228"/>
      <c r="L38" s="228"/>
      <c r="M38" s="228"/>
      <c r="N38" s="131"/>
      <c r="O38" s="132"/>
      <c r="P38" s="132"/>
      <c r="Q38" s="132"/>
      <c r="R38" s="133"/>
      <c r="S38" s="207"/>
    </row>
    <row r="39" spans="1:19" s="231" customFormat="1" ht="22.5" x14ac:dyDescent="0.2">
      <c r="A39" s="47">
        <f>IF(COUNTBLANK(B39)=1," ",COUNTA($B$13:B39))</f>
        <v>16</v>
      </c>
      <c r="B39" s="145" t="s">
        <v>25</v>
      </c>
      <c r="C39" s="134" t="s">
        <v>55</v>
      </c>
      <c r="D39" s="221"/>
      <c r="E39" s="221"/>
      <c r="F39" s="221" t="s">
        <v>32</v>
      </c>
      <c r="G39" s="224">
        <f>apjomi!N12</f>
        <v>58.443999999999996</v>
      </c>
      <c r="H39" s="229"/>
      <c r="I39" s="140"/>
      <c r="J39" s="56"/>
      <c r="K39" s="230"/>
      <c r="L39" s="230"/>
      <c r="M39" s="68"/>
      <c r="N39" s="131"/>
      <c r="O39" s="132"/>
      <c r="P39" s="132"/>
      <c r="Q39" s="132"/>
      <c r="R39" s="133"/>
      <c r="S39" s="357"/>
    </row>
    <row r="40" spans="1:19" s="236" customFormat="1" x14ac:dyDescent="0.2">
      <c r="A40" s="109" t="str">
        <f>IF(COUNTBLANK(B40)=1," ",COUNTA($B$12:B40))</f>
        <v xml:space="preserve"> </v>
      </c>
      <c r="B40" s="232"/>
      <c r="C40" s="233" t="s">
        <v>256</v>
      </c>
      <c r="D40" s="58"/>
      <c r="E40" s="58"/>
      <c r="F40" s="53" t="s">
        <v>27</v>
      </c>
      <c r="G40" s="53">
        <f>apjomi!L12</f>
        <v>146.10999999999999</v>
      </c>
      <c r="H40" s="53"/>
      <c r="I40" s="140"/>
      <c r="J40" s="130"/>
      <c r="K40" s="234"/>
      <c r="L40" s="230"/>
      <c r="M40" s="235"/>
      <c r="N40" s="131"/>
      <c r="O40" s="132"/>
      <c r="P40" s="132"/>
      <c r="Q40" s="132"/>
      <c r="R40" s="133"/>
      <c r="S40" s="235"/>
    </row>
    <row r="41" spans="1:19" s="236" customFormat="1" x14ac:dyDescent="0.2">
      <c r="A41" s="109" t="str">
        <f>IF(COUNTBLANK(B41)=1," ",COUNTA($B$12:B41))</f>
        <v xml:space="preserve"> </v>
      </c>
      <c r="B41" s="232"/>
      <c r="C41" s="233" t="s">
        <v>257</v>
      </c>
      <c r="D41" s="58"/>
      <c r="E41" s="58"/>
      <c r="F41" s="85" t="s">
        <v>32</v>
      </c>
      <c r="G41" s="53">
        <f>G39*H41</f>
        <v>64.288399999999996</v>
      </c>
      <c r="H41" s="53">
        <v>1.1000000000000001</v>
      </c>
      <c r="I41" s="140"/>
      <c r="J41" s="130"/>
      <c r="K41" s="237"/>
      <c r="L41" s="230"/>
      <c r="M41" s="235"/>
      <c r="N41" s="131"/>
      <c r="O41" s="132"/>
      <c r="P41" s="132"/>
      <c r="Q41" s="132"/>
      <c r="R41" s="133"/>
      <c r="S41" s="235"/>
    </row>
    <row r="42" spans="1:19" s="236" customFormat="1" x14ac:dyDescent="0.2">
      <c r="A42" s="109" t="str">
        <f>IF(COUNTBLANK(B42)=1," ",COUNTA($B$12:B42))</f>
        <v xml:space="preserve"> </v>
      </c>
      <c r="B42" s="232"/>
      <c r="C42" s="233" t="s">
        <v>357</v>
      </c>
      <c r="D42" s="58"/>
      <c r="E42" s="58"/>
      <c r="F42" s="85" t="s">
        <v>32</v>
      </c>
      <c r="G42" s="53">
        <f>G39*H42</f>
        <v>64.288399999999996</v>
      </c>
      <c r="H42" s="53">
        <f>H41</f>
        <v>1.1000000000000001</v>
      </c>
      <c r="I42" s="140"/>
      <c r="J42" s="130"/>
      <c r="K42" s="237"/>
      <c r="L42" s="230"/>
      <c r="M42" s="235"/>
      <c r="N42" s="131"/>
      <c r="O42" s="132"/>
      <c r="P42" s="132"/>
      <c r="Q42" s="132"/>
      <c r="R42" s="133"/>
      <c r="S42" s="235"/>
    </row>
    <row r="43" spans="1:19" s="236" customFormat="1" x14ac:dyDescent="0.2">
      <c r="A43" s="109" t="str">
        <f>IF(COUNTBLANK(B43)=1," ",COUNTA($B$12:B43))</f>
        <v xml:space="preserve"> </v>
      </c>
      <c r="B43" s="232"/>
      <c r="C43" s="233" t="s">
        <v>356</v>
      </c>
      <c r="D43" s="53"/>
      <c r="E43" s="53"/>
      <c r="F43" s="53" t="s">
        <v>41</v>
      </c>
      <c r="G43" s="53">
        <f>G39*H43</f>
        <v>292.21999999999997</v>
      </c>
      <c r="H43" s="53">
        <v>5</v>
      </c>
      <c r="I43" s="140"/>
      <c r="J43" s="130"/>
      <c r="K43" s="237"/>
      <c r="L43" s="230"/>
      <c r="M43" s="235"/>
      <c r="N43" s="131"/>
      <c r="O43" s="132"/>
      <c r="P43" s="132"/>
      <c r="Q43" s="132"/>
      <c r="R43" s="133"/>
      <c r="S43" s="235"/>
    </row>
    <row r="44" spans="1:19" s="236" customFormat="1" x14ac:dyDescent="0.2">
      <c r="A44" s="109" t="str">
        <f>IF(COUNTBLANK(B44)=1," ",COUNTA($B$12:B44))</f>
        <v xml:space="preserve"> </v>
      </c>
      <c r="B44" s="232"/>
      <c r="C44" s="233" t="s">
        <v>52</v>
      </c>
      <c r="D44" s="53"/>
      <c r="E44" s="53"/>
      <c r="F44" s="53" t="s">
        <v>143</v>
      </c>
      <c r="G44" s="53">
        <f>G39*H44</f>
        <v>233.77599999999998</v>
      </c>
      <c r="H44" s="53">
        <v>4</v>
      </c>
      <c r="I44" s="140"/>
      <c r="J44" s="130"/>
      <c r="K44" s="237"/>
      <c r="L44" s="230"/>
      <c r="M44" s="235"/>
      <c r="N44" s="131"/>
      <c r="O44" s="132"/>
      <c r="P44" s="132"/>
      <c r="Q44" s="132"/>
      <c r="R44" s="133"/>
      <c r="S44" s="235"/>
    </row>
    <row r="45" spans="1:19" s="236" customFormat="1" x14ac:dyDescent="0.2">
      <c r="A45" s="109" t="str">
        <f>IF(COUNTBLANK(B45)=1," ",COUNTA($B$12:B45))</f>
        <v xml:space="preserve"> </v>
      </c>
      <c r="B45" s="232"/>
      <c r="C45" s="233" t="s">
        <v>358</v>
      </c>
      <c r="D45" s="53"/>
      <c r="E45" s="53"/>
      <c r="F45" s="53" t="s">
        <v>41</v>
      </c>
      <c r="G45" s="53">
        <f>G39*H45</f>
        <v>70.132799999999989</v>
      </c>
      <c r="H45" s="53">
        <v>1.2</v>
      </c>
      <c r="I45" s="140"/>
      <c r="J45" s="130"/>
      <c r="K45" s="237"/>
      <c r="L45" s="230"/>
      <c r="M45" s="235"/>
      <c r="N45" s="131"/>
      <c r="O45" s="132"/>
      <c r="P45" s="132"/>
      <c r="Q45" s="132"/>
      <c r="R45" s="133"/>
      <c r="S45" s="235"/>
    </row>
    <row r="46" spans="1:19" s="236" customFormat="1" x14ac:dyDescent="0.2">
      <c r="A46" s="109"/>
      <c r="B46" s="232"/>
      <c r="C46" s="233" t="s">
        <v>258</v>
      </c>
      <c r="D46" s="53"/>
      <c r="E46" s="53"/>
      <c r="F46" s="53" t="s">
        <v>51</v>
      </c>
      <c r="G46" s="53">
        <f>G39*H46</f>
        <v>14.610999999999999</v>
      </c>
      <c r="H46" s="53">
        <v>0.25</v>
      </c>
      <c r="I46" s="238"/>
      <c r="J46" s="130"/>
      <c r="K46" s="238"/>
      <c r="L46" s="230"/>
      <c r="M46" s="235"/>
      <c r="N46" s="131"/>
      <c r="O46" s="132"/>
      <c r="P46" s="132"/>
      <c r="Q46" s="132"/>
      <c r="R46" s="133"/>
      <c r="S46" s="235"/>
    </row>
    <row r="47" spans="1:19" s="236" customFormat="1" x14ac:dyDescent="0.2">
      <c r="A47" s="109" t="str">
        <f>IF(COUNTBLANK(B47)=1," ",COUNTA($B$12:B47))</f>
        <v xml:space="preserve"> </v>
      </c>
      <c r="B47" s="232"/>
      <c r="C47" s="233" t="s">
        <v>56</v>
      </c>
      <c r="D47" s="58"/>
      <c r="E47" s="58"/>
      <c r="F47" s="53" t="s">
        <v>27</v>
      </c>
      <c r="G47" s="53">
        <f>G39*H47</f>
        <v>5.8444000000000003</v>
      </c>
      <c r="H47" s="53">
        <v>0.1</v>
      </c>
      <c r="I47" s="53"/>
      <c r="J47" s="130"/>
      <c r="K47" s="62"/>
      <c r="L47" s="53"/>
      <c r="M47" s="235"/>
      <c r="N47" s="131"/>
      <c r="O47" s="132"/>
      <c r="P47" s="132"/>
      <c r="Q47" s="132"/>
      <c r="R47" s="133"/>
      <c r="S47" s="235"/>
    </row>
    <row r="48" spans="1:19" ht="22.5" x14ac:dyDescent="0.2">
      <c r="A48" s="122"/>
      <c r="B48" s="27"/>
      <c r="C48" s="340" t="s">
        <v>156</v>
      </c>
      <c r="D48" s="341"/>
      <c r="E48" s="342"/>
      <c r="F48" s="342"/>
      <c r="G48" s="343"/>
      <c r="H48" s="343"/>
      <c r="I48" s="343"/>
      <c r="J48" s="343"/>
      <c r="K48" s="343"/>
      <c r="L48" s="27"/>
      <c r="M48" s="344"/>
      <c r="N48" s="344"/>
      <c r="O48" s="344"/>
      <c r="P48" s="344"/>
      <c r="Q48" s="344"/>
      <c r="R48" s="74"/>
    </row>
    <row r="49" spans="1:245" s="26" customFormat="1" x14ac:dyDescent="0.2">
      <c r="A49" s="31" t="str">
        <f>IF(COUNTBLANK(K49)=1," ",COUNTA($K49:K$144))</f>
        <v xml:space="preserve"> </v>
      </c>
      <c r="B49" s="27"/>
      <c r="C49" s="345"/>
      <c r="D49" s="345"/>
      <c r="E49" s="345"/>
      <c r="F49" s="345"/>
      <c r="G49" s="345"/>
      <c r="H49" s="345"/>
      <c r="I49" s="27"/>
      <c r="J49" s="27"/>
      <c r="K49" s="27"/>
      <c r="L49" s="27"/>
      <c r="M49" s="27"/>
      <c r="N49" s="27"/>
      <c r="O49" s="27"/>
      <c r="P49" s="27"/>
      <c r="Q49" s="27"/>
      <c r="R49" s="74">
        <f>SUM(R13:R47)</f>
        <v>0</v>
      </c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</row>
    <row r="50" spans="1:245" s="26" customFormat="1" x14ac:dyDescent="0.2">
      <c r="A50" s="27"/>
      <c r="B50" s="27"/>
      <c r="C50" s="346" t="str">
        <f>[3]KPDV!$B$31</f>
        <v>Sastādīja:</v>
      </c>
      <c r="D50" s="347"/>
      <c r="E50" s="348"/>
      <c r="F50" s="348"/>
      <c r="G50" s="345"/>
      <c r="H50" s="345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27"/>
    </row>
    <row r="51" spans="1:245" s="26" customFormat="1" x14ac:dyDescent="0.2">
      <c r="A51" s="27"/>
      <c r="B51" s="27"/>
      <c r="C51" s="346" t="str">
        <f>[3]KPDV!$B$32</f>
        <v>Tāme sastādīta</v>
      </c>
      <c r="D51" s="123"/>
      <c r="E51" s="278"/>
      <c r="F51" s="278"/>
      <c r="G51" s="345"/>
      <c r="H51" s="345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75"/>
      <c r="FD51" s="75"/>
      <c r="FE51" s="75"/>
      <c r="FF51" s="75"/>
      <c r="FG51" s="75"/>
      <c r="FH51" s="75"/>
      <c r="FI51" s="75"/>
      <c r="FJ51" s="75"/>
      <c r="FK51" s="75"/>
      <c r="FL51" s="75"/>
      <c r="FM51" s="75"/>
      <c r="FN51" s="75"/>
      <c r="FO51" s="75"/>
      <c r="FP51" s="75"/>
      <c r="FQ51" s="75"/>
      <c r="FR51" s="75"/>
      <c r="FS51" s="75"/>
      <c r="FT51" s="75"/>
      <c r="FU51" s="75"/>
      <c r="FV51" s="75"/>
      <c r="FW51" s="75"/>
      <c r="FX51" s="75"/>
      <c r="FY51" s="75"/>
      <c r="FZ51" s="75"/>
      <c r="GA51" s="75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5"/>
      <c r="GM51" s="75"/>
      <c r="GN51" s="75"/>
      <c r="GO51" s="75"/>
      <c r="GP51" s="75"/>
      <c r="GQ51" s="75"/>
      <c r="GR51" s="75"/>
      <c r="GS51" s="75"/>
      <c r="GT51" s="75"/>
      <c r="GU51" s="75"/>
      <c r="GV51" s="75"/>
      <c r="GW51" s="75"/>
      <c r="GX51" s="75"/>
      <c r="GY51" s="75"/>
      <c r="GZ51" s="75"/>
      <c r="HA51" s="75"/>
      <c r="HB51" s="75"/>
      <c r="HC51" s="75"/>
      <c r="HD51" s="75"/>
      <c r="HE51" s="75"/>
      <c r="HF51" s="75"/>
      <c r="HG51" s="75"/>
      <c r="HH51" s="75"/>
      <c r="HI51" s="75"/>
      <c r="HJ51" s="75"/>
      <c r="HK51" s="75"/>
      <c r="HL51" s="75"/>
      <c r="HM51" s="75"/>
      <c r="HN51" s="75"/>
      <c r="HO51" s="75"/>
      <c r="HP51" s="75"/>
      <c r="HQ51" s="75"/>
      <c r="HR51" s="75"/>
      <c r="HS51" s="75"/>
      <c r="HT51" s="75"/>
      <c r="HU51" s="75"/>
      <c r="HV51" s="75"/>
      <c r="HW51" s="75"/>
      <c r="HX51" s="75"/>
      <c r="HY51" s="75"/>
      <c r="HZ51" s="75"/>
      <c r="IA51" s="75"/>
      <c r="IB51" s="75"/>
      <c r="IC51" s="75"/>
      <c r="ID51" s="75"/>
      <c r="IE51" s="75"/>
      <c r="IF51" s="75"/>
      <c r="IG51" s="75"/>
      <c r="IH51" s="75"/>
      <c r="II51" s="75"/>
      <c r="IJ51" s="75"/>
      <c r="IK51" s="75"/>
    </row>
    <row r="52" spans="1:245" s="26" customFormat="1" x14ac:dyDescent="0.2">
      <c r="A52" s="27"/>
      <c r="B52" s="27"/>
      <c r="C52" s="346"/>
      <c r="D52" s="123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27"/>
      <c r="R52" s="27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  <c r="GS52" s="75"/>
      <c r="GT52" s="75"/>
      <c r="GU52" s="75"/>
      <c r="GV52" s="75"/>
      <c r="GW52" s="75"/>
      <c r="GX52" s="75"/>
      <c r="GY52" s="75"/>
      <c r="GZ52" s="75"/>
      <c r="HA52" s="75"/>
      <c r="HB52" s="75"/>
      <c r="HC52" s="75"/>
      <c r="HD52" s="75"/>
      <c r="HE52" s="75"/>
      <c r="HF52" s="75"/>
      <c r="HG52" s="75"/>
      <c r="HH52" s="75"/>
      <c r="HI52" s="75"/>
      <c r="HJ52" s="75"/>
      <c r="HK52" s="75"/>
      <c r="HL52" s="75"/>
      <c r="HM52" s="75"/>
      <c r="HN52" s="75"/>
      <c r="HO52" s="75"/>
      <c r="HP52" s="75"/>
      <c r="HQ52" s="75"/>
      <c r="HR52" s="75"/>
      <c r="HS52" s="75"/>
      <c r="HT52" s="75"/>
      <c r="HU52" s="75"/>
      <c r="HV52" s="75"/>
      <c r="HW52" s="75"/>
      <c r="HX52" s="75"/>
      <c r="HY52" s="75"/>
      <c r="HZ52" s="75"/>
      <c r="IA52" s="75"/>
      <c r="IB52" s="75"/>
      <c r="IC52" s="75"/>
      <c r="ID52" s="75"/>
      <c r="IE52" s="75"/>
      <c r="IF52" s="75"/>
      <c r="IG52" s="75"/>
      <c r="IH52" s="75"/>
      <c r="II52" s="75"/>
      <c r="IJ52" s="75"/>
      <c r="IK52" s="75"/>
    </row>
    <row r="53" spans="1:245" x14ac:dyDescent="0.2">
      <c r="B53" s="27"/>
      <c r="C53" s="346" t="str">
        <f>[3]KPDV!$B$34</f>
        <v>Pārbaudīja:</v>
      </c>
      <c r="D53" s="347"/>
      <c r="E53" s="348"/>
      <c r="F53" s="348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27"/>
    </row>
    <row r="54" spans="1:245" x14ac:dyDescent="0.2">
      <c r="B54" s="27"/>
      <c r="C54" s="346" t="str">
        <f>[3]KPDV!$B$35</f>
        <v>Sertifikāta Nr.:</v>
      </c>
      <c r="D54" s="347"/>
      <c r="E54" s="349"/>
      <c r="F54" s="349"/>
      <c r="G54" s="123"/>
      <c r="H54" s="123"/>
      <c r="I54" s="123"/>
      <c r="J54" s="123"/>
      <c r="K54" s="123"/>
      <c r="L54" s="123"/>
      <c r="M54" s="350"/>
      <c r="N54" s="123"/>
      <c r="O54" s="350"/>
      <c r="P54" s="123"/>
      <c r="Q54" s="27"/>
    </row>
    <row r="55" spans="1:245" x14ac:dyDescent="0.2">
      <c r="B55" s="27"/>
      <c r="C55" s="27"/>
      <c r="D55" s="27"/>
      <c r="E55" s="27"/>
      <c r="F55" s="27"/>
      <c r="G55" s="27"/>
      <c r="H55" s="27"/>
      <c r="I55" s="351"/>
      <c r="J55" s="267"/>
      <c r="K55" s="267"/>
      <c r="L55" s="27"/>
      <c r="M55" s="27"/>
      <c r="N55" s="27"/>
      <c r="O55" s="267"/>
      <c r="P55" s="267"/>
      <c r="Q55" s="27"/>
    </row>
    <row r="56" spans="1:245" ht="12.75" x14ac:dyDescent="0.2">
      <c r="B56" s="352" t="s">
        <v>348</v>
      </c>
      <c r="C56" s="353"/>
      <c r="D56" s="354"/>
      <c r="E56" s="354"/>
      <c r="F56" s="354"/>
      <c r="G56" s="355"/>
      <c r="H56" s="354"/>
      <c r="I56" s="354"/>
      <c r="J56" s="354"/>
      <c r="K56" s="354"/>
      <c r="L56" s="354"/>
      <c r="M56" s="354"/>
      <c r="N56" s="354"/>
      <c r="O56" s="354"/>
      <c r="P56" s="354"/>
      <c r="Q56" s="354"/>
    </row>
    <row r="57" spans="1:245" x14ac:dyDescent="0.2">
      <c r="B57" s="374" t="s">
        <v>349</v>
      </c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</row>
    <row r="58" spans="1:245" x14ac:dyDescent="0.2">
      <c r="B58" s="374"/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</row>
    <row r="59" spans="1:245" x14ac:dyDescent="0.2">
      <c r="B59" s="374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</row>
  </sheetData>
  <sheetProtection selectLockedCells="1" selectUnlockedCells="1"/>
  <mergeCells count="13">
    <mergeCell ref="A1:I1"/>
    <mergeCell ref="A8:F8"/>
    <mergeCell ref="I8:L8"/>
    <mergeCell ref="P9:R9"/>
    <mergeCell ref="A10:A11"/>
    <mergeCell ref="B10:B11"/>
    <mergeCell ref="F10:F11"/>
    <mergeCell ref="C10:E11"/>
    <mergeCell ref="B57:Q59"/>
    <mergeCell ref="C12:E12"/>
    <mergeCell ref="G10:G11"/>
    <mergeCell ref="I10:N10"/>
    <mergeCell ref="O10:R10"/>
  </mergeCells>
  <pageMargins left="0.39374999999999999" right="0" top="0.59027777777777779" bottom="0.39374999999999999" header="0.51180555555555551" footer="0.51180555555555551"/>
  <pageSetup paperSize="9" scale="96" firstPageNumber="0" orientation="landscape" horizontalDpi="300" verticalDpi="300" r:id="rId1"/>
  <headerFooter alignWithMargins="0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K53"/>
  <sheetViews>
    <sheetView view="pageBreakPreview" topLeftCell="A9" zoomScaleNormal="100" zoomScaleSheetLayoutView="100" workbookViewId="0">
      <selection activeCell="C27" sqref="C27"/>
    </sheetView>
  </sheetViews>
  <sheetFormatPr defaultColWidth="11.5703125" defaultRowHeight="11.25" x14ac:dyDescent="0.2"/>
  <cols>
    <col min="1" max="1" width="4.5703125" style="27" customWidth="1"/>
    <col min="2" max="2" width="5.140625" style="27" customWidth="1"/>
    <col min="3" max="3" width="37.140625" style="27" customWidth="1"/>
    <col min="4" max="4" width="4" style="27" customWidth="1"/>
    <col min="5" max="5" width="7.28515625" style="27" customWidth="1"/>
    <col min="6" max="6" width="3.42578125" style="27" hidden="1" customWidth="1"/>
    <col min="7" max="7" width="7.42578125" style="27" customWidth="1"/>
    <col min="8" max="8" width="8.140625" style="27" customWidth="1"/>
    <col min="9" max="10" width="7.42578125" style="27" customWidth="1"/>
    <col min="11" max="13" width="8.140625" style="27" customWidth="1"/>
    <col min="14" max="14" width="11.85546875" style="27" customWidth="1"/>
    <col min="15" max="17" width="8.140625" style="27" customWidth="1"/>
    <col min="18" max="16384" width="11.5703125" style="27"/>
  </cols>
  <sheetData>
    <row r="1" spans="1:17" x14ac:dyDescent="0.2">
      <c r="A1" s="379" t="s">
        <v>11</v>
      </c>
      <c r="B1" s="379"/>
      <c r="C1" s="379"/>
      <c r="D1" s="379"/>
      <c r="E1" s="379"/>
      <c r="F1" s="379"/>
      <c r="G1" s="379"/>
      <c r="H1" s="26">
        <f>KPDV!A17</f>
        <v>3</v>
      </c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8"/>
      <c r="B2" s="28"/>
      <c r="C2" s="29" t="s">
        <v>57</v>
      </c>
      <c r="D2" s="28"/>
      <c r="E2" s="28"/>
      <c r="F2" s="28"/>
      <c r="G2" s="28"/>
      <c r="H2" s="28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364" t="str">
        <f>KPDV!A5</f>
        <v>Būves nosaukums: Daudzdzīvokļu dzīvojamā ēka</v>
      </c>
      <c r="B3" s="364"/>
      <c r="C3" s="364"/>
      <c r="D3" s="364"/>
      <c r="E3" s="364"/>
      <c r="F3" s="364"/>
      <c r="G3" s="364"/>
      <c r="H3" s="364"/>
      <c r="I3" s="30"/>
      <c r="J3" s="30"/>
      <c r="K3" s="30"/>
      <c r="L3" s="30"/>
      <c r="M3" s="31"/>
      <c r="N3" s="31"/>
      <c r="O3" s="31"/>
      <c r="P3" s="31"/>
      <c r="Q3" s="26"/>
    </row>
    <row r="4" spans="1:17" x14ac:dyDescent="0.2">
      <c r="A4" s="364" t="str">
        <f>KPDV!A6</f>
        <v>Objekta nosaukums: Dzīvojamās ēkas fasādes vienkāršota atjaunošana</v>
      </c>
      <c r="B4" s="364"/>
      <c r="C4" s="364"/>
      <c r="D4" s="364"/>
      <c r="E4" s="364"/>
      <c r="F4" s="364"/>
      <c r="G4" s="364"/>
      <c r="H4" s="364"/>
      <c r="I4" s="32"/>
      <c r="J4" s="32"/>
      <c r="K4" s="31"/>
      <c r="L4" s="31"/>
      <c r="M4" s="31"/>
      <c r="N4" s="31"/>
      <c r="O4" s="31"/>
      <c r="P4" s="31"/>
      <c r="Q4" s="26"/>
    </row>
    <row r="5" spans="1:17" x14ac:dyDescent="0.2">
      <c r="A5" s="33" t="str">
        <f>KPDV!A7</f>
        <v>Objekta adrese: Raiņa iela 18/20, Liepāja</v>
      </c>
      <c r="B5" s="33"/>
      <c r="C5" s="33"/>
      <c r="D5" s="33"/>
      <c r="E5" s="34"/>
      <c r="F5" s="34"/>
      <c r="G5" s="33"/>
      <c r="H5" s="33"/>
      <c r="I5" s="32"/>
      <c r="J5" s="32"/>
      <c r="K5" s="31"/>
      <c r="L5" s="31"/>
      <c r="M5" s="31"/>
      <c r="N5" s="31"/>
      <c r="O5" s="31"/>
      <c r="P5" s="31"/>
      <c r="Q5" s="26"/>
    </row>
    <row r="6" spans="1:17" x14ac:dyDescent="0.2">
      <c r="A6" s="33" t="str">
        <f>KPDV!A8</f>
        <v>Pasūtījuma Nr.: EA-78-16</v>
      </c>
      <c r="B6" s="33"/>
      <c r="C6" s="33"/>
      <c r="D6" s="33"/>
      <c r="E6" s="33"/>
      <c r="F6" s="33"/>
      <c r="G6" s="33"/>
      <c r="H6" s="33"/>
      <c r="I6" s="32"/>
      <c r="J6" s="32"/>
      <c r="K6" s="31"/>
      <c r="L6" s="31"/>
      <c r="M6" s="31"/>
      <c r="N6" s="31"/>
      <c r="O6" s="31"/>
      <c r="P6" s="31"/>
      <c r="Q6" s="26"/>
    </row>
    <row r="7" spans="1:17" x14ac:dyDescent="0.2">
      <c r="A7" s="33"/>
      <c r="B7" s="33"/>
      <c r="C7" s="33"/>
      <c r="D7" s="33"/>
      <c r="E7" s="33"/>
      <c r="F7" s="33"/>
      <c r="G7" s="33"/>
      <c r="H7" s="33"/>
      <c r="I7" s="32"/>
      <c r="J7" s="32"/>
      <c r="K7" s="31"/>
      <c r="L7" s="31"/>
      <c r="M7" s="31"/>
      <c r="N7" s="31"/>
      <c r="O7" s="31"/>
      <c r="P7" s="31"/>
      <c r="Q7" s="26"/>
    </row>
    <row r="8" spans="1:17" x14ac:dyDescent="0.2">
      <c r="A8" s="380" t="s">
        <v>341</v>
      </c>
      <c r="B8" s="380"/>
      <c r="C8" s="380"/>
      <c r="D8" s="380"/>
      <c r="E8" s="35" t="s">
        <v>13</v>
      </c>
      <c r="F8" s="26"/>
      <c r="G8" s="381" t="s">
        <v>14</v>
      </c>
      <c r="H8" s="381"/>
      <c r="I8" s="381"/>
      <c r="J8" s="381"/>
      <c r="K8" s="36"/>
      <c r="L8" s="36"/>
      <c r="M8" s="36"/>
      <c r="N8" s="36" t="s">
        <v>15</v>
      </c>
      <c r="O8" s="36"/>
      <c r="P8" s="37">
        <f>Q43</f>
        <v>0</v>
      </c>
      <c r="Q8" s="21" t="s">
        <v>16</v>
      </c>
    </row>
    <row r="9" spans="1:17" x14ac:dyDescent="0.2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27" t="str">
        <f>dat</f>
        <v>Tāme sastādīta .gada</v>
      </c>
    </row>
    <row r="10" spans="1:17" x14ac:dyDescent="0.2">
      <c r="A10" s="376" t="s">
        <v>17</v>
      </c>
      <c r="B10" s="376" t="s">
        <v>18</v>
      </c>
      <c r="C10" s="393" t="s">
        <v>19</v>
      </c>
      <c r="D10" s="378" t="s">
        <v>20</v>
      </c>
      <c r="E10" s="376" t="s">
        <v>21</v>
      </c>
      <c r="F10" s="39"/>
      <c r="G10" s="390" t="s">
        <v>22</v>
      </c>
      <c r="H10" s="391"/>
      <c r="I10" s="391"/>
      <c r="J10" s="391"/>
      <c r="K10" s="391"/>
      <c r="L10" s="392"/>
      <c r="M10" s="390" t="s">
        <v>23</v>
      </c>
      <c r="N10" s="391"/>
      <c r="O10" s="391"/>
      <c r="P10" s="391"/>
      <c r="Q10" s="392"/>
    </row>
    <row r="11" spans="1:17" ht="42" customHeight="1" x14ac:dyDescent="0.2">
      <c r="A11" s="376"/>
      <c r="B11" s="376"/>
      <c r="C11" s="393"/>
      <c r="D11" s="378"/>
      <c r="E11" s="376"/>
      <c r="F11" s="39"/>
      <c r="G11" s="328" t="s">
        <v>342</v>
      </c>
      <c r="H11" s="329" t="s">
        <v>343</v>
      </c>
      <c r="I11" s="329" t="s">
        <v>344</v>
      </c>
      <c r="J11" s="329" t="s">
        <v>345</v>
      </c>
      <c r="K11" s="329" t="s">
        <v>346</v>
      </c>
      <c r="L11" s="330" t="s">
        <v>333</v>
      </c>
      <c r="M11" s="328" t="s">
        <v>24</v>
      </c>
      <c r="N11" s="329" t="s">
        <v>344</v>
      </c>
      <c r="O11" s="329" t="s">
        <v>345</v>
      </c>
      <c r="P11" s="329" t="s">
        <v>346</v>
      </c>
      <c r="Q11" s="330" t="s">
        <v>347</v>
      </c>
    </row>
    <row r="12" spans="1:17" x14ac:dyDescent="0.2">
      <c r="A12" s="40">
        <v>1</v>
      </c>
      <c r="B12" s="40">
        <f>A12+1</f>
        <v>2</v>
      </c>
      <c r="C12" s="41">
        <f>B12+1</f>
        <v>3</v>
      </c>
      <c r="D12" s="40">
        <f>C12+1</f>
        <v>4</v>
      </c>
      <c r="E12" s="40">
        <f>D12+1</f>
        <v>5</v>
      </c>
      <c r="F12" s="42"/>
      <c r="G12" s="43">
        <f>E12+1</f>
        <v>6</v>
      </c>
      <c r="H12" s="44">
        <f t="shared" ref="H12:Q12" si="0">G12+1</f>
        <v>7</v>
      </c>
      <c r="I12" s="44">
        <f t="shared" si="0"/>
        <v>8</v>
      </c>
      <c r="J12" s="44">
        <f t="shared" si="0"/>
        <v>9</v>
      </c>
      <c r="K12" s="45">
        <f t="shared" si="0"/>
        <v>10</v>
      </c>
      <c r="L12" s="40">
        <f t="shared" si="0"/>
        <v>11</v>
      </c>
      <c r="M12" s="43">
        <f t="shared" si="0"/>
        <v>12</v>
      </c>
      <c r="N12" s="44">
        <f t="shared" si="0"/>
        <v>13</v>
      </c>
      <c r="O12" s="44">
        <f t="shared" si="0"/>
        <v>14</v>
      </c>
      <c r="P12" s="44">
        <f t="shared" si="0"/>
        <v>15</v>
      </c>
      <c r="Q12" s="46">
        <f t="shared" si="0"/>
        <v>16</v>
      </c>
    </row>
    <row r="13" spans="1:17" x14ac:dyDescent="0.2">
      <c r="A13" s="47">
        <f>IF(COUNTBLANK(B13)=1," ",COUNTA($B$13:B13))</f>
        <v>1</v>
      </c>
      <c r="B13" s="48" t="s">
        <v>25</v>
      </c>
      <c r="C13" s="49" t="s">
        <v>58</v>
      </c>
      <c r="D13" s="50" t="s">
        <v>32</v>
      </c>
      <c r="E13" s="51">
        <f>E28+E27</f>
        <v>40</v>
      </c>
      <c r="F13" s="52"/>
      <c r="G13" s="53"/>
      <c r="H13" s="53"/>
      <c r="I13" s="53"/>
      <c r="J13" s="53"/>
      <c r="K13" s="53"/>
      <c r="L13" s="54"/>
      <c r="M13" s="54"/>
      <c r="N13" s="54"/>
      <c r="O13" s="54"/>
      <c r="P13" s="54"/>
      <c r="Q13" s="54"/>
    </row>
    <row r="14" spans="1:17" ht="22.5" x14ac:dyDescent="0.2">
      <c r="A14" s="47">
        <f>IF(COUNTBLANK(B14)=1," ",COUNTA($B$13:B14))</f>
        <v>2</v>
      </c>
      <c r="B14" s="48" t="s">
        <v>25</v>
      </c>
      <c r="C14" s="55" t="s">
        <v>267</v>
      </c>
      <c r="D14" s="50" t="s">
        <v>59</v>
      </c>
      <c r="E14" s="51">
        <f>apjomi!V12*1</f>
        <v>98</v>
      </c>
      <c r="F14" s="56"/>
      <c r="G14" s="53"/>
      <c r="H14" s="57"/>
      <c r="I14" s="53"/>
      <c r="J14" s="53"/>
      <c r="K14" s="53"/>
      <c r="L14" s="54"/>
      <c r="M14" s="54"/>
      <c r="N14" s="54"/>
      <c r="O14" s="54"/>
      <c r="P14" s="54"/>
      <c r="Q14" s="54"/>
    </row>
    <row r="15" spans="1:17" ht="56.25" x14ac:dyDescent="0.2">
      <c r="A15" s="58">
        <f>IF(COUNTBLANK(B15)=1," ",COUNTA(B$14:B15))</f>
        <v>2</v>
      </c>
      <c r="B15" s="59" t="str">
        <f>apjomi!A17</f>
        <v>S2</v>
      </c>
      <c r="C15" s="59" t="str">
        <f>apjomi!B17</f>
        <v>Apmetuma sistēma (AS-1), b=7mm; Grunts; Putupolistirola plāksne (ekvivalents Tenapors NEO);  λ=0,031W/mK, b=120mm; Līmjava; Vertikālā hidroizolācija; Gruntējums; Esošā  betona bloku siena,b=400mm</v>
      </c>
      <c r="D15" s="58" t="s">
        <v>32</v>
      </c>
      <c r="E15" s="60">
        <f>(1.15+1)*apjomi!V12</f>
        <v>210.7</v>
      </c>
      <c r="F15" s="56"/>
      <c r="G15" s="53"/>
      <c r="H15" s="57"/>
      <c r="I15" s="53"/>
      <c r="J15" s="53"/>
      <c r="K15" s="53"/>
      <c r="L15" s="54"/>
      <c r="M15" s="54"/>
      <c r="N15" s="54"/>
      <c r="O15" s="54"/>
      <c r="P15" s="54"/>
      <c r="Q15" s="54"/>
    </row>
    <row r="16" spans="1:17" ht="10.15" customHeight="1" x14ac:dyDescent="0.2">
      <c r="A16" s="58" t="str">
        <f>IF(COUNTBLANK(B16)=1," ",COUNTA(B$14:B16))</f>
        <v xml:space="preserve"> </v>
      </c>
      <c r="B16" s="61"/>
      <c r="C16" s="59" t="s">
        <v>359</v>
      </c>
      <c r="D16" s="58" t="s">
        <v>32</v>
      </c>
      <c r="E16" s="53">
        <f>E15*F16</f>
        <v>231.77</v>
      </c>
      <c r="F16" s="56">
        <v>1.1000000000000001</v>
      </c>
      <c r="G16" s="53"/>
      <c r="H16" s="57"/>
      <c r="I16" s="53"/>
      <c r="J16" s="53"/>
      <c r="K16" s="53"/>
      <c r="L16" s="54"/>
      <c r="M16" s="54"/>
      <c r="N16" s="54"/>
      <c r="O16" s="54"/>
      <c r="P16" s="54"/>
      <c r="Q16" s="54"/>
    </row>
    <row r="17" spans="1:17" x14ac:dyDescent="0.2">
      <c r="A17" s="58" t="str">
        <f>IF(COUNTBLANK(B17)=1," ",COUNTA(B$14:B17))</f>
        <v xml:space="preserve"> </v>
      </c>
      <c r="B17" s="58"/>
      <c r="C17" s="59" t="s">
        <v>288</v>
      </c>
      <c r="D17" s="58" t="s">
        <v>41</v>
      </c>
      <c r="E17" s="53">
        <f>E15*F17</f>
        <v>1053.5</v>
      </c>
      <c r="F17" s="56">
        <v>5</v>
      </c>
      <c r="G17" s="53"/>
      <c r="H17" s="57"/>
      <c r="I17" s="53"/>
      <c r="J17" s="53"/>
      <c r="K17" s="53"/>
      <c r="L17" s="54"/>
      <c r="M17" s="54"/>
      <c r="N17" s="54"/>
      <c r="O17" s="54"/>
      <c r="P17" s="54"/>
      <c r="Q17" s="54"/>
    </row>
    <row r="18" spans="1:17" x14ac:dyDescent="0.2">
      <c r="A18" s="58" t="str">
        <f>IF(COUNTBLANK(B18)=1," ",COUNTA(B$14:B18))</f>
        <v xml:space="preserve"> </v>
      </c>
      <c r="B18" s="58"/>
      <c r="C18" s="59" t="s">
        <v>360</v>
      </c>
      <c r="D18" s="47" t="s">
        <v>143</v>
      </c>
      <c r="E18" s="53">
        <f>ROUNDUP(E15*F18,0)</f>
        <v>1054</v>
      </c>
      <c r="F18" s="56">
        <v>5</v>
      </c>
      <c r="G18" s="53"/>
      <c r="H18" s="57"/>
      <c r="I18" s="53"/>
      <c r="J18" s="53"/>
      <c r="K18" s="53"/>
      <c r="L18" s="54"/>
      <c r="M18" s="54"/>
      <c r="N18" s="54"/>
      <c r="O18" s="54"/>
      <c r="P18" s="54"/>
      <c r="Q18" s="54"/>
    </row>
    <row r="19" spans="1:17" x14ac:dyDescent="0.2">
      <c r="A19" s="58">
        <f>IF(COUNTBLANK(B19)=1," ",COUNTA(B$14:B19))</f>
        <v>3</v>
      </c>
      <c r="B19" s="61" t="s">
        <v>25</v>
      </c>
      <c r="C19" s="59" t="s">
        <v>269</v>
      </c>
      <c r="D19" s="58" t="s">
        <v>59</v>
      </c>
      <c r="E19" s="60">
        <f>E14</f>
        <v>98</v>
      </c>
      <c r="F19" s="56"/>
      <c r="G19" s="53"/>
      <c r="H19" s="57"/>
      <c r="I19" s="53"/>
      <c r="J19" s="53"/>
      <c r="K19" s="53"/>
      <c r="L19" s="54"/>
      <c r="M19" s="54"/>
      <c r="N19" s="54"/>
      <c r="O19" s="54"/>
      <c r="P19" s="54"/>
      <c r="Q19" s="54"/>
    </row>
    <row r="20" spans="1:17" ht="22.5" x14ac:dyDescent="0.2">
      <c r="A20" s="58">
        <f>IF(COUNTBLANK(B20)=1," ",COUNTA(B$14:B20))</f>
        <v>4</v>
      </c>
      <c r="B20" s="61" t="s">
        <v>25</v>
      </c>
      <c r="C20" s="59" t="s">
        <v>270</v>
      </c>
      <c r="D20" s="58" t="s">
        <v>32</v>
      </c>
      <c r="E20" s="60">
        <f>apjomi!D17</f>
        <v>110</v>
      </c>
      <c r="F20" s="56"/>
      <c r="G20" s="53"/>
      <c r="H20" s="57"/>
      <c r="I20" s="53"/>
      <c r="J20" s="53"/>
      <c r="K20" s="53"/>
      <c r="L20" s="54"/>
      <c r="M20" s="54"/>
      <c r="N20" s="54"/>
      <c r="O20" s="54"/>
      <c r="P20" s="54"/>
      <c r="Q20" s="54"/>
    </row>
    <row r="21" spans="1:17" x14ac:dyDescent="0.2">
      <c r="A21" s="58" t="str">
        <f>IF(COUNTBLANK(B21)=1," ",COUNTA(B$14:B21))</f>
        <v xml:space="preserve"> </v>
      </c>
      <c r="B21" s="58"/>
      <c r="C21" s="59" t="s">
        <v>285</v>
      </c>
      <c r="D21" s="58" t="s">
        <v>41</v>
      </c>
      <c r="E21" s="53">
        <f>E20*F21</f>
        <v>550</v>
      </c>
      <c r="F21" s="62">
        <v>5</v>
      </c>
      <c r="G21" s="53"/>
      <c r="H21" s="57"/>
      <c r="I21" s="53"/>
      <c r="J21" s="53"/>
      <c r="K21" s="53"/>
      <c r="L21" s="54"/>
      <c r="M21" s="54"/>
      <c r="N21" s="54"/>
      <c r="O21" s="54"/>
      <c r="P21" s="54"/>
      <c r="Q21" s="54"/>
    </row>
    <row r="22" spans="1:17" x14ac:dyDescent="0.2">
      <c r="A22" s="58" t="str">
        <f>IF(COUNTBLANK(B22)=1," ",COUNTA(B$14:B22))</f>
        <v xml:space="preserve"> </v>
      </c>
      <c r="B22" s="58"/>
      <c r="C22" s="63" t="s">
        <v>281</v>
      </c>
      <c r="D22" s="58" t="s">
        <v>32</v>
      </c>
      <c r="E22" s="53">
        <f>E20*F22</f>
        <v>121.00000000000001</v>
      </c>
      <c r="F22" s="62">
        <v>1.1000000000000001</v>
      </c>
      <c r="G22" s="53"/>
      <c r="H22" s="57"/>
      <c r="I22" s="53"/>
      <c r="J22" s="53"/>
      <c r="K22" s="53"/>
      <c r="L22" s="54"/>
      <c r="M22" s="54"/>
      <c r="N22" s="54"/>
      <c r="O22" s="54"/>
      <c r="P22" s="54"/>
      <c r="Q22" s="54"/>
    </row>
    <row r="23" spans="1:17" x14ac:dyDescent="0.2">
      <c r="A23" s="58" t="str">
        <f>IF(COUNTBLANK(B23)=1," ",COUNTA(B$14:B23))</f>
        <v xml:space="preserve"> </v>
      </c>
      <c r="B23" s="58"/>
      <c r="C23" s="59" t="s">
        <v>42</v>
      </c>
      <c r="D23" s="125" t="s">
        <v>131</v>
      </c>
      <c r="E23" s="53">
        <f>E20*F23</f>
        <v>9.9</v>
      </c>
      <c r="F23" s="62">
        <v>0.09</v>
      </c>
      <c r="G23" s="53"/>
      <c r="H23" s="57"/>
      <c r="I23" s="53"/>
      <c r="J23" s="53"/>
      <c r="K23" s="53"/>
      <c r="L23" s="54"/>
      <c r="M23" s="54"/>
      <c r="N23" s="54"/>
      <c r="O23" s="54"/>
      <c r="P23" s="54"/>
      <c r="Q23" s="54"/>
    </row>
    <row r="24" spans="1:17" x14ac:dyDescent="0.2">
      <c r="A24" s="58" t="str">
        <f>IF(COUNTBLANK(B24)=1," ",COUNTA(B$14:B24))</f>
        <v xml:space="preserve"> </v>
      </c>
      <c r="B24" s="58"/>
      <c r="C24" s="64" t="s">
        <v>284</v>
      </c>
      <c r="D24" s="58" t="s">
        <v>41</v>
      </c>
      <c r="E24" s="53">
        <f>E20*F24</f>
        <v>27.5</v>
      </c>
      <c r="F24" s="62">
        <v>0.25</v>
      </c>
      <c r="G24" s="53"/>
      <c r="H24" s="57"/>
      <c r="I24" s="53"/>
      <c r="J24" s="53"/>
      <c r="K24" s="53"/>
      <c r="L24" s="54"/>
      <c r="M24" s="54"/>
      <c r="N24" s="54"/>
      <c r="O24" s="54"/>
      <c r="P24" s="54"/>
      <c r="Q24" s="54"/>
    </row>
    <row r="25" spans="1:17" x14ac:dyDescent="0.2">
      <c r="A25" s="58" t="str">
        <f>IF(COUNTBLANK(B25)=1," ",COUNTA(B$14:B25))</f>
        <v xml:space="preserve"> </v>
      </c>
      <c r="B25" s="58"/>
      <c r="C25" s="59" t="s">
        <v>297</v>
      </c>
      <c r="D25" s="58" t="s">
        <v>41</v>
      </c>
      <c r="E25" s="53">
        <f>E20*F25</f>
        <v>550</v>
      </c>
      <c r="F25" s="62">
        <v>5</v>
      </c>
      <c r="G25" s="53"/>
      <c r="H25" s="57"/>
      <c r="I25" s="53"/>
      <c r="J25" s="53"/>
      <c r="K25" s="53"/>
      <c r="L25" s="54"/>
      <c r="M25" s="54"/>
      <c r="N25" s="54"/>
      <c r="O25" s="54"/>
      <c r="P25" s="54"/>
      <c r="Q25" s="54"/>
    </row>
    <row r="26" spans="1:17" x14ac:dyDescent="0.2">
      <c r="A26" s="47">
        <f>IF(COUNTBLANK(B26)=1," ",COUNTA($B$13:B26))</f>
        <v>6</v>
      </c>
      <c r="B26" s="48" t="s">
        <v>25</v>
      </c>
      <c r="C26" s="65" t="s">
        <v>361</v>
      </c>
      <c r="D26" s="50" t="s">
        <v>32</v>
      </c>
      <c r="E26" s="51">
        <f>apjomi!V12*0.375</f>
        <v>36.75</v>
      </c>
      <c r="F26" s="66"/>
      <c r="G26" s="53"/>
      <c r="H26" s="57"/>
      <c r="I26" s="53"/>
      <c r="J26" s="53"/>
      <c r="K26" s="53"/>
      <c r="L26" s="54"/>
      <c r="M26" s="54"/>
      <c r="N26" s="54"/>
      <c r="O26" s="54"/>
      <c r="P26" s="54"/>
      <c r="Q26" s="54"/>
    </row>
    <row r="27" spans="1:17" ht="20.25" customHeight="1" x14ac:dyDescent="0.2">
      <c r="A27" s="47">
        <f>IF(COUNTBLANK(B27)=1," ",COUNTA($B$13:B27))</f>
        <v>7</v>
      </c>
      <c r="B27" s="48" t="s">
        <v>25</v>
      </c>
      <c r="C27" s="65" t="s">
        <v>132</v>
      </c>
      <c r="D27" s="50" t="s">
        <v>32</v>
      </c>
      <c r="E27" s="51">
        <v>8</v>
      </c>
      <c r="F27" s="66"/>
      <c r="G27" s="53"/>
      <c r="H27" s="57"/>
      <c r="I27" s="53"/>
      <c r="J27" s="53"/>
      <c r="K27" s="53"/>
      <c r="L27" s="54"/>
      <c r="M27" s="54"/>
      <c r="N27" s="54"/>
      <c r="O27" s="54"/>
      <c r="P27" s="54"/>
      <c r="Q27" s="54"/>
    </row>
    <row r="28" spans="1:17" ht="22.5" x14ac:dyDescent="0.2">
      <c r="A28" s="47">
        <f>IF(COUNTBLANK(B28)=1," ",COUNTA($B$13:B28))</f>
        <v>8</v>
      </c>
      <c r="B28" s="48" t="s">
        <v>25</v>
      </c>
      <c r="C28" s="65" t="s">
        <v>133</v>
      </c>
      <c r="D28" s="50" t="s">
        <v>32</v>
      </c>
      <c r="E28" s="51">
        <v>32</v>
      </c>
      <c r="F28" s="66">
        <v>1.1000000000000001</v>
      </c>
      <c r="G28" s="53"/>
      <c r="H28" s="57"/>
      <c r="I28" s="53"/>
      <c r="J28" s="53"/>
      <c r="K28" s="67"/>
      <c r="L28" s="54"/>
      <c r="M28" s="54"/>
      <c r="N28" s="54"/>
      <c r="O28" s="54"/>
      <c r="P28" s="54"/>
      <c r="Q28" s="54"/>
    </row>
    <row r="29" spans="1:17" x14ac:dyDescent="0.2">
      <c r="A29" s="47"/>
      <c r="B29" s="48"/>
      <c r="C29" s="65" t="s">
        <v>134</v>
      </c>
      <c r="D29" s="50" t="s">
        <v>32</v>
      </c>
      <c r="E29" s="51">
        <f>E28</f>
        <v>32</v>
      </c>
      <c r="F29" s="66"/>
      <c r="G29" s="68"/>
      <c r="H29" s="53"/>
      <c r="I29" s="53"/>
      <c r="J29" s="53"/>
      <c r="K29" s="53"/>
      <c r="L29" s="54"/>
      <c r="M29" s="54"/>
      <c r="N29" s="54"/>
      <c r="O29" s="54"/>
      <c r="P29" s="54"/>
      <c r="Q29" s="54"/>
    </row>
    <row r="30" spans="1:17" x14ac:dyDescent="0.2">
      <c r="A30" s="47"/>
      <c r="B30" s="48"/>
      <c r="C30" s="65" t="s">
        <v>135</v>
      </c>
      <c r="D30" s="50" t="s">
        <v>59</v>
      </c>
      <c r="E30" s="51">
        <f>E28*0.05*F30</f>
        <v>1.7600000000000002</v>
      </c>
      <c r="F30" s="66">
        <v>1.1000000000000001</v>
      </c>
      <c r="G30" s="68"/>
      <c r="H30" s="53"/>
      <c r="I30" s="53"/>
      <c r="J30" s="53"/>
      <c r="K30" s="53"/>
      <c r="L30" s="54"/>
      <c r="M30" s="54"/>
      <c r="N30" s="54"/>
      <c r="O30" s="54"/>
      <c r="P30" s="54"/>
      <c r="Q30" s="54"/>
    </row>
    <row r="31" spans="1:17" x14ac:dyDescent="0.2">
      <c r="A31" s="47"/>
      <c r="B31" s="48"/>
      <c r="C31" s="65" t="s">
        <v>136</v>
      </c>
      <c r="D31" s="50" t="s">
        <v>59</v>
      </c>
      <c r="E31" s="51">
        <f>E28*0.05*F31</f>
        <v>1.7600000000000002</v>
      </c>
      <c r="F31" s="66">
        <v>1.1000000000000001</v>
      </c>
      <c r="G31" s="68"/>
      <c r="H31" s="53"/>
      <c r="I31" s="53"/>
      <c r="J31" s="53"/>
      <c r="K31" s="53"/>
      <c r="L31" s="54"/>
      <c r="M31" s="54"/>
      <c r="N31" s="54"/>
      <c r="O31" s="54"/>
      <c r="P31" s="54"/>
      <c r="Q31" s="54"/>
    </row>
    <row r="32" spans="1:17" x14ac:dyDescent="0.2">
      <c r="A32" s="47"/>
      <c r="B32" s="48"/>
      <c r="C32" s="65" t="s">
        <v>137</v>
      </c>
      <c r="D32" s="50" t="s">
        <v>59</v>
      </c>
      <c r="E32" s="51">
        <f>E28*0.1*F32</f>
        <v>3.5200000000000005</v>
      </c>
      <c r="F32" s="66">
        <v>1.1000000000000001</v>
      </c>
      <c r="G32" s="68"/>
      <c r="H32" s="53"/>
      <c r="I32" s="53"/>
      <c r="J32" s="53"/>
      <c r="K32" s="53"/>
      <c r="L32" s="54"/>
      <c r="M32" s="54"/>
      <c r="N32" s="54"/>
      <c r="O32" s="54"/>
      <c r="P32" s="54"/>
      <c r="Q32" s="54"/>
    </row>
    <row r="33" spans="1:245" x14ac:dyDescent="0.2">
      <c r="A33" s="47"/>
      <c r="B33" s="48"/>
      <c r="C33" s="65" t="s">
        <v>138</v>
      </c>
      <c r="D33" s="50" t="s">
        <v>32</v>
      </c>
      <c r="E33" s="51">
        <f>E28</f>
        <v>32</v>
      </c>
      <c r="F33" s="66"/>
      <c r="G33" s="53"/>
      <c r="H33" s="53"/>
      <c r="I33" s="53"/>
      <c r="J33" s="53"/>
      <c r="K33" s="53"/>
      <c r="L33" s="54"/>
      <c r="M33" s="54"/>
      <c r="N33" s="54"/>
      <c r="O33" s="54"/>
      <c r="P33" s="54"/>
      <c r="Q33" s="54"/>
    </row>
    <row r="34" spans="1:245" x14ac:dyDescent="0.2">
      <c r="A34" s="47"/>
      <c r="B34" s="48"/>
      <c r="C34" s="65" t="s">
        <v>139</v>
      </c>
      <c r="D34" s="50" t="s">
        <v>27</v>
      </c>
      <c r="E34" s="51">
        <v>46</v>
      </c>
      <c r="F34" s="66">
        <v>1.05</v>
      </c>
      <c r="G34" s="53"/>
      <c r="H34" s="53"/>
      <c r="I34" s="53"/>
      <c r="J34" s="53"/>
      <c r="K34" s="53"/>
      <c r="L34" s="54"/>
      <c r="M34" s="54"/>
      <c r="N34" s="54"/>
      <c r="O34" s="54"/>
      <c r="P34" s="54"/>
      <c r="Q34" s="54"/>
    </row>
    <row r="35" spans="1:245" x14ac:dyDescent="0.2">
      <c r="A35" s="47"/>
      <c r="B35" s="48"/>
      <c r="C35" s="69" t="s">
        <v>60</v>
      </c>
      <c r="D35" s="47" t="s">
        <v>59</v>
      </c>
      <c r="E35" s="70">
        <f>ROUNDUP(E34*F35,2)</f>
        <v>1.84</v>
      </c>
      <c r="F35" s="66">
        <v>0.04</v>
      </c>
      <c r="G35" s="53"/>
      <c r="H35" s="53"/>
      <c r="I35" s="53"/>
      <c r="J35" s="53"/>
      <c r="K35" s="53"/>
      <c r="L35" s="54"/>
      <c r="M35" s="54"/>
      <c r="N35" s="54"/>
      <c r="O35" s="54"/>
      <c r="P35" s="54"/>
      <c r="Q35" s="54"/>
    </row>
    <row r="36" spans="1:245" x14ac:dyDescent="0.2">
      <c r="A36" s="47">
        <f>IF(COUNTBLANK(B36)=1," ",COUNTA($B$13:B36))</f>
        <v>9</v>
      </c>
      <c r="B36" s="48" t="s">
        <v>25</v>
      </c>
      <c r="C36" s="65" t="s">
        <v>195</v>
      </c>
      <c r="D36" s="50" t="s">
        <v>32</v>
      </c>
      <c r="E36" s="51">
        <v>28</v>
      </c>
      <c r="F36" s="66"/>
      <c r="G36" s="53"/>
      <c r="H36" s="57"/>
      <c r="I36" s="53"/>
      <c r="J36" s="53"/>
      <c r="K36" s="53"/>
      <c r="L36" s="54"/>
      <c r="M36" s="54"/>
      <c r="N36" s="54"/>
      <c r="O36" s="54"/>
      <c r="P36" s="54"/>
      <c r="Q36" s="54"/>
    </row>
    <row r="37" spans="1:245" x14ac:dyDescent="0.2">
      <c r="A37" s="47">
        <f>IF(COUNTBLANK(B37)=1," ",COUNTA($B$13:B37))</f>
        <v>10</v>
      </c>
      <c r="B37" s="48" t="s">
        <v>25</v>
      </c>
      <c r="C37" s="69" t="s">
        <v>295</v>
      </c>
      <c r="D37" s="47" t="s">
        <v>27</v>
      </c>
      <c r="E37" s="70">
        <f>apjomi!V12</f>
        <v>98</v>
      </c>
      <c r="F37" s="66"/>
      <c r="G37" s="53"/>
      <c r="H37" s="57"/>
      <c r="I37" s="53"/>
      <c r="J37" s="53"/>
      <c r="K37" s="53"/>
      <c r="L37" s="54"/>
      <c r="M37" s="54"/>
      <c r="N37" s="54"/>
      <c r="O37" s="54"/>
      <c r="P37" s="54"/>
      <c r="Q37" s="54"/>
    </row>
    <row r="38" spans="1:245" x14ac:dyDescent="0.2">
      <c r="A38" s="47">
        <f>IF(COUNTBLANK(B38)=1," ",COUNTA($B$13:B38))</f>
        <v>11</v>
      </c>
      <c r="B38" s="48" t="s">
        <v>25</v>
      </c>
      <c r="C38" s="69" t="s">
        <v>61</v>
      </c>
      <c r="D38" s="47" t="s">
        <v>32</v>
      </c>
      <c r="E38" s="70">
        <f>E28</f>
        <v>32</v>
      </c>
      <c r="F38" s="66"/>
      <c r="G38" s="71"/>
      <c r="H38" s="57"/>
      <c r="I38" s="71"/>
      <c r="J38" s="71"/>
      <c r="K38" s="71"/>
      <c r="L38" s="54"/>
      <c r="M38" s="54"/>
      <c r="N38" s="54"/>
      <c r="O38" s="54"/>
      <c r="P38" s="54"/>
      <c r="Q38" s="54"/>
    </row>
    <row r="39" spans="1:245" x14ac:dyDescent="0.2">
      <c r="A39" s="47" t="str">
        <f>IF(COUNTBLANK(B39)=1," ",COUNTA($B$13:B39))</f>
        <v xml:space="preserve"> </v>
      </c>
      <c r="B39" s="47"/>
      <c r="C39" s="69" t="s">
        <v>62</v>
      </c>
      <c r="D39" s="70" t="s">
        <v>59</v>
      </c>
      <c r="E39" s="70">
        <f>E38*F39</f>
        <v>10.24</v>
      </c>
      <c r="F39" s="66">
        <v>0.32</v>
      </c>
      <c r="G39" s="53"/>
      <c r="H39" s="53"/>
      <c r="I39" s="53"/>
      <c r="J39" s="53"/>
      <c r="K39" s="53"/>
      <c r="L39" s="54"/>
      <c r="M39" s="54"/>
      <c r="N39" s="54"/>
      <c r="O39" s="54"/>
      <c r="P39" s="54"/>
      <c r="Q39" s="54"/>
    </row>
    <row r="40" spans="1:245" x14ac:dyDescent="0.2">
      <c r="A40" s="47">
        <f>IF(COUNTBLANK(B40)=1," ",COUNTA($B$13:B40))</f>
        <v>12</v>
      </c>
      <c r="B40" s="48" t="s">
        <v>25</v>
      </c>
      <c r="C40" s="69" t="s">
        <v>63</v>
      </c>
      <c r="D40" s="47" t="s">
        <v>32</v>
      </c>
      <c r="E40" s="70">
        <f>E38</f>
        <v>32</v>
      </c>
      <c r="F40" s="66"/>
      <c r="G40" s="53"/>
      <c r="H40" s="57"/>
      <c r="I40" s="53"/>
      <c r="J40" s="53"/>
      <c r="K40" s="53"/>
      <c r="L40" s="54"/>
      <c r="M40" s="54"/>
      <c r="N40" s="54"/>
      <c r="O40" s="54"/>
      <c r="P40" s="54"/>
      <c r="Q40" s="54"/>
    </row>
    <row r="41" spans="1:245" x14ac:dyDescent="0.2">
      <c r="A41" s="47" t="str">
        <f>IF(COUNTBLANK(B41)=1," ",COUNTA($B$13:B41))</f>
        <v xml:space="preserve"> </v>
      </c>
      <c r="B41" s="47"/>
      <c r="C41" s="69" t="s">
        <v>64</v>
      </c>
      <c r="D41" s="47" t="s">
        <v>41</v>
      </c>
      <c r="E41" s="70">
        <f>E40*F41</f>
        <v>0.70399999999999996</v>
      </c>
      <c r="F41" s="66">
        <v>2.1999999999999999E-2</v>
      </c>
      <c r="G41" s="58"/>
      <c r="H41" s="58"/>
      <c r="I41" s="58"/>
      <c r="J41" s="58"/>
      <c r="K41" s="58"/>
      <c r="L41" s="54"/>
      <c r="M41" s="54"/>
      <c r="N41" s="54"/>
      <c r="O41" s="54"/>
      <c r="P41" s="54"/>
      <c r="Q41" s="54"/>
    </row>
    <row r="42" spans="1:245" ht="22.5" x14ac:dyDescent="0.2">
      <c r="A42" s="31"/>
      <c r="C42" s="340" t="s">
        <v>156</v>
      </c>
      <c r="D42" s="341"/>
      <c r="E42" s="342"/>
      <c r="F42" s="342"/>
      <c r="G42" s="343"/>
      <c r="H42" s="343"/>
      <c r="I42" s="343"/>
      <c r="J42" s="343"/>
      <c r="K42" s="343"/>
      <c r="M42" s="344"/>
      <c r="N42" s="344"/>
      <c r="O42" s="344"/>
      <c r="P42" s="344"/>
      <c r="Q42" s="344"/>
    </row>
    <row r="43" spans="1:245" s="26" customFormat="1" x14ac:dyDescent="0.2">
      <c r="A43" s="31" t="str">
        <f>IF(COUNTBLANK(I43)=1," ",COUNTA($I43:I$161))</f>
        <v xml:space="preserve"> </v>
      </c>
      <c r="B43" s="27"/>
      <c r="C43" s="345"/>
      <c r="D43" s="345"/>
      <c r="E43" s="345"/>
      <c r="F43" s="345"/>
      <c r="G43" s="345"/>
      <c r="H43" s="345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</row>
    <row r="44" spans="1:245" s="26" customFormat="1" x14ac:dyDescent="0.2">
      <c r="A44" s="27"/>
      <c r="B44" s="27"/>
      <c r="C44" s="346" t="str">
        <f>[3]KPDV!$B$31</f>
        <v>Sastādīja:</v>
      </c>
      <c r="D44" s="347"/>
      <c r="E44" s="348"/>
      <c r="F44" s="348"/>
      <c r="G44" s="345"/>
      <c r="H44" s="345"/>
      <c r="I44" s="27"/>
      <c r="J44" s="27"/>
      <c r="K44" s="27"/>
      <c r="L44" s="27"/>
      <c r="M44" s="27"/>
      <c r="N44" s="27"/>
      <c r="O44" s="27"/>
      <c r="P44" s="27"/>
      <c r="Q44" s="27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27"/>
    </row>
    <row r="45" spans="1:245" s="26" customFormat="1" x14ac:dyDescent="0.2">
      <c r="A45" s="27"/>
      <c r="B45" s="27"/>
      <c r="C45" s="346" t="str">
        <f>[3]KPDV!$B$32</f>
        <v>Tāme sastādīta</v>
      </c>
      <c r="D45" s="123"/>
      <c r="E45" s="278"/>
      <c r="F45" s="278"/>
      <c r="G45" s="345"/>
      <c r="H45" s="345"/>
      <c r="I45" s="27"/>
      <c r="J45" s="27"/>
      <c r="K45" s="27"/>
      <c r="L45" s="27"/>
      <c r="M45" s="27"/>
      <c r="N45" s="27"/>
      <c r="O45" s="27"/>
      <c r="P45" s="27"/>
      <c r="Q45" s="27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</row>
    <row r="46" spans="1:245" s="26" customFormat="1" x14ac:dyDescent="0.2">
      <c r="A46" s="27"/>
      <c r="B46" s="27"/>
      <c r="C46" s="346"/>
      <c r="D46" s="123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27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75"/>
      <c r="HS46" s="75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75"/>
      <c r="II46" s="75"/>
      <c r="IJ46" s="75"/>
      <c r="IK46" s="75"/>
    </row>
    <row r="47" spans="1:245" x14ac:dyDescent="0.2">
      <c r="C47" s="346" t="str">
        <f>[3]KPDV!$B$34</f>
        <v>Pārbaudīja:</v>
      </c>
      <c r="D47" s="347"/>
      <c r="E47" s="348"/>
      <c r="F47" s="348"/>
      <c r="G47" s="123"/>
      <c r="H47" s="123"/>
      <c r="I47" s="123"/>
      <c r="J47" s="123"/>
      <c r="K47" s="123"/>
      <c r="L47" s="123"/>
      <c r="M47" s="123"/>
      <c r="N47" s="123"/>
      <c r="O47" s="123"/>
      <c r="P47" s="123"/>
    </row>
    <row r="48" spans="1:245" x14ac:dyDescent="0.2">
      <c r="C48" s="346" t="str">
        <f>[3]KPDV!$B$35</f>
        <v>Sertifikāta Nr.:</v>
      </c>
      <c r="D48" s="347"/>
      <c r="E48" s="349"/>
      <c r="F48" s="349"/>
      <c r="G48" s="123"/>
      <c r="H48" s="123"/>
      <c r="I48" s="123"/>
      <c r="J48" s="123"/>
      <c r="K48" s="123"/>
      <c r="L48" s="123"/>
      <c r="M48" s="350"/>
      <c r="N48" s="123"/>
      <c r="O48" s="350"/>
      <c r="P48" s="123"/>
    </row>
    <row r="49" spans="2:17" x14ac:dyDescent="0.2">
      <c r="I49" s="351"/>
      <c r="J49" s="267"/>
      <c r="K49" s="267"/>
      <c r="O49" s="267"/>
      <c r="P49" s="267"/>
    </row>
    <row r="50" spans="2:17" ht="12.75" x14ac:dyDescent="0.2">
      <c r="B50" s="352" t="s">
        <v>348</v>
      </c>
      <c r="C50" s="353"/>
      <c r="D50" s="354"/>
      <c r="E50" s="354"/>
      <c r="F50" s="354"/>
      <c r="G50" s="355"/>
      <c r="H50" s="354"/>
      <c r="I50" s="354"/>
      <c r="J50" s="354"/>
      <c r="K50" s="354"/>
      <c r="L50" s="354"/>
      <c r="M50" s="354"/>
      <c r="N50" s="354"/>
      <c r="O50" s="354"/>
      <c r="P50" s="354"/>
      <c r="Q50" s="354"/>
    </row>
    <row r="51" spans="2:17" x14ac:dyDescent="0.2">
      <c r="B51" s="374" t="s">
        <v>349</v>
      </c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</row>
    <row r="52" spans="2:17" x14ac:dyDescent="0.2"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</row>
    <row r="53" spans="2:17" x14ac:dyDescent="0.2">
      <c r="B53" s="374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</row>
  </sheetData>
  <sheetProtection selectLockedCells="1" selectUnlockedCells="1"/>
  <autoFilter ref="A12:Q41" xr:uid="{00000000-0009-0000-0000-000004000000}"/>
  <mergeCells count="13">
    <mergeCell ref="B51:Q53"/>
    <mergeCell ref="A1:G1"/>
    <mergeCell ref="A3:H3"/>
    <mergeCell ref="A4:H4"/>
    <mergeCell ref="A8:D8"/>
    <mergeCell ref="G8:J8"/>
    <mergeCell ref="G10:L10"/>
    <mergeCell ref="M10:Q10"/>
    <mergeCell ref="A10:A11"/>
    <mergeCell ref="B10:B11"/>
    <mergeCell ref="C10:C11"/>
    <mergeCell ref="D10:D11"/>
    <mergeCell ref="E10:E11"/>
  </mergeCells>
  <pageMargins left="0.39374999999999999" right="0" top="0.59027777777777779" bottom="0.39374999999999999" header="0.51180555555555551" footer="0.51180555555555551"/>
  <pageSetup paperSize="9" scale="97" firstPageNumber="0" orientation="landscape" horizontalDpi="300" verticalDpi="300" r:id="rId1"/>
  <headerFooter alignWithMargins="0"/>
  <rowBreaks count="1" manualBreakCount="1">
    <brk id="41" max="16383" man="1"/>
  </rowBreaks>
  <ignoredErrors>
    <ignoredError sqref="E4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N37"/>
  <sheetViews>
    <sheetView view="pageBreakPreview" zoomScaleNormal="130" zoomScaleSheetLayoutView="100" workbookViewId="0">
      <selection activeCell="H19" sqref="H19"/>
    </sheetView>
  </sheetViews>
  <sheetFormatPr defaultColWidth="11.5703125" defaultRowHeight="11.25" x14ac:dyDescent="0.2"/>
  <cols>
    <col min="1" max="1" width="4.5703125" style="27" customWidth="1"/>
    <col min="2" max="2" width="5.140625" style="27" customWidth="1"/>
    <col min="3" max="3" width="37.140625" style="27" customWidth="1"/>
    <col min="4" max="4" width="5.140625" style="27" customWidth="1"/>
    <col min="5" max="5" width="7.85546875" style="27" customWidth="1"/>
    <col min="6" max="6" width="6" style="27" hidden="1" customWidth="1"/>
    <col min="7" max="17" width="6.85546875" style="27" customWidth="1"/>
    <col min="18" max="16384" width="11.5703125" style="27"/>
  </cols>
  <sheetData>
    <row r="1" spans="1:17" x14ac:dyDescent="0.2">
      <c r="A1" s="379" t="s">
        <v>11</v>
      </c>
      <c r="B1" s="379"/>
      <c r="C1" s="379"/>
      <c r="D1" s="379"/>
      <c r="E1" s="379"/>
      <c r="F1" s="379"/>
      <c r="G1" s="379"/>
      <c r="H1" s="26">
        <f>KPDV!A18</f>
        <v>4</v>
      </c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8"/>
      <c r="B2" s="28"/>
      <c r="C2" s="29" t="s">
        <v>272</v>
      </c>
      <c r="D2" s="28"/>
      <c r="E2" s="28"/>
      <c r="F2" s="28"/>
      <c r="G2" s="28"/>
      <c r="H2" s="28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364" t="str">
        <f>KPDV!A5</f>
        <v>Būves nosaukums: Daudzdzīvokļu dzīvojamā ēka</v>
      </c>
      <c r="B3" s="364"/>
      <c r="C3" s="364"/>
      <c r="D3" s="364"/>
      <c r="E3" s="364"/>
      <c r="F3" s="364"/>
      <c r="G3" s="364"/>
      <c r="H3" s="364"/>
      <c r="I3" s="30"/>
      <c r="J3" s="30"/>
      <c r="K3" s="30"/>
      <c r="L3" s="30"/>
      <c r="M3" s="31"/>
      <c r="N3" s="31"/>
      <c r="O3" s="31"/>
      <c r="P3" s="31"/>
      <c r="Q3" s="26"/>
    </row>
    <row r="4" spans="1:17" x14ac:dyDescent="0.2">
      <c r="A4" s="364" t="str">
        <f>KPDV!A6</f>
        <v>Objekta nosaukums: Dzīvojamās ēkas fasādes vienkāršota atjaunošana</v>
      </c>
      <c r="B4" s="364"/>
      <c r="C4" s="364"/>
      <c r="D4" s="364"/>
      <c r="E4" s="364"/>
      <c r="F4" s="364"/>
      <c r="G4" s="364"/>
      <c r="H4" s="364"/>
      <c r="I4" s="32"/>
      <c r="J4" s="32"/>
      <c r="K4" s="31"/>
      <c r="L4" s="31"/>
      <c r="M4" s="31"/>
      <c r="N4" s="31"/>
      <c r="O4" s="31"/>
      <c r="P4" s="31"/>
      <c r="Q4" s="26"/>
    </row>
    <row r="5" spans="1:17" x14ac:dyDescent="0.2">
      <c r="A5" s="33" t="str">
        <f>KPDV!A7</f>
        <v>Objekta adrese: Raiņa iela 18/20, Liepāja</v>
      </c>
      <c r="B5" s="33"/>
      <c r="C5" s="33"/>
      <c r="D5" s="33"/>
      <c r="E5" s="34"/>
      <c r="F5" s="34"/>
      <c r="G5" s="33"/>
      <c r="H5" s="33"/>
      <c r="I5" s="32"/>
      <c r="J5" s="32"/>
      <c r="K5" s="31"/>
      <c r="L5" s="31"/>
      <c r="M5" s="31"/>
      <c r="N5" s="31"/>
      <c r="O5" s="31"/>
      <c r="P5" s="31"/>
      <c r="Q5" s="26"/>
    </row>
    <row r="6" spans="1:17" x14ac:dyDescent="0.2">
      <c r="A6" s="33" t="str">
        <f>KPDV!A8</f>
        <v>Pasūtījuma Nr.: EA-78-16</v>
      </c>
      <c r="B6" s="33"/>
      <c r="C6" s="33"/>
      <c r="D6" s="33"/>
      <c r="E6" s="33"/>
      <c r="F6" s="33"/>
      <c r="G6" s="33"/>
      <c r="H6" s="33"/>
      <c r="I6" s="32"/>
      <c r="J6" s="32"/>
      <c r="K6" s="31"/>
      <c r="L6" s="31"/>
      <c r="M6" s="31"/>
      <c r="N6" s="31"/>
      <c r="O6" s="31"/>
      <c r="P6" s="31"/>
      <c r="Q6" s="26"/>
    </row>
    <row r="7" spans="1:17" x14ac:dyDescent="0.2">
      <c r="A7" s="33"/>
      <c r="B7" s="33"/>
      <c r="C7" s="33"/>
      <c r="D7" s="33"/>
      <c r="E7" s="33"/>
      <c r="F7" s="33"/>
      <c r="G7" s="33"/>
      <c r="H7" s="33"/>
      <c r="I7" s="32"/>
      <c r="J7" s="32"/>
      <c r="K7" s="31"/>
      <c r="L7" s="31"/>
      <c r="M7" s="31"/>
      <c r="N7" s="31"/>
      <c r="O7" s="31"/>
      <c r="P7" s="31"/>
      <c r="Q7" s="26"/>
    </row>
    <row r="8" spans="1:17" x14ac:dyDescent="0.2">
      <c r="A8" s="380" t="s">
        <v>341</v>
      </c>
      <c r="B8" s="380"/>
      <c r="C8" s="380"/>
      <c r="D8" s="380"/>
      <c r="E8" s="35" t="s">
        <v>13</v>
      </c>
      <c r="F8" s="26"/>
      <c r="G8" s="381" t="s">
        <v>14</v>
      </c>
      <c r="H8" s="381"/>
      <c r="I8" s="381"/>
      <c r="J8" s="381"/>
      <c r="K8" s="36"/>
      <c r="L8" s="36"/>
      <c r="M8" s="36"/>
      <c r="N8" s="36" t="s">
        <v>15</v>
      </c>
      <c r="O8" s="36"/>
      <c r="P8" s="37">
        <f>Q27</f>
        <v>0</v>
      </c>
      <c r="Q8" s="21" t="s">
        <v>16</v>
      </c>
    </row>
    <row r="9" spans="1:17" x14ac:dyDescent="0.2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27" t="str">
        <f>dat</f>
        <v>Tāme sastādīta .gada</v>
      </c>
    </row>
    <row r="10" spans="1:17" x14ac:dyDescent="0.2">
      <c r="A10" s="376" t="s">
        <v>17</v>
      </c>
      <c r="B10" s="376" t="s">
        <v>18</v>
      </c>
      <c r="C10" s="393" t="s">
        <v>19</v>
      </c>
      <c r="D10" s="378" t="s">
        <v>20</v>
      </c>
      <c r="E10" s="376" t="s">
        <v>21</v>
      </c>
      <c r="F10" s="39"/>
      <c r="G10" s="375" t="s">
        <v>22</v>
      </c>
      <c r="H10" s="375"/>
      <c r="I10" s="375"/>
      <c r="J10" s="375"/>
      <c r="K10" s="375"/>
      <c r="L10" s="375"/>
      <c r="M10" s="375" t="s">
        <v>23</v>
      </c>
      <c r="N10" s="375"/>
      <c r="O10" s="375"/>
      <c r="P10" s="375"/>
      <c r="Q10" s="375"/>
    </row>
    <row r="11" spans="1:17" ht="66" x14ac:dyDescent="0.2">
      <c r="A11" s="376"/>
      <c r="B11" s="376"/>
      <c r="C11" s="393"/>
      <c r="D11" s="378"/>
      <c r="E11" s="376"/>
      <c r="F11" s="39"/>
      <c r="G11" s="328" t="s">
        <v>342</v>
      </c>
      <c r="H11" s="329" t="s">
        <v>343</v>
      </c>
      <c r="I11" s="329" t="s">
        <v>344</v>
      </c>
      <c r="J11" s="329" t="s">
        <v>345</v>
      </c>
      <c r="K11" s="329" t="s">
        <v>346</v>
      </c>
      <c r="L11" s="330" t="s">
        <v>333</v>
      </c>
      <c r="M11" s="328" t="s">
        <v>24</v>
      </c>
      <c r="N11" s="329" t="s">
        <v>344</v>
      </c>
      <c r="O11" s="329" t="s">
        <v>345</v>
      </c>
      <c r="P11" s="329" t="s">
        <v>346</v>
      </c>
      <c r="Q11" s="330" t="s">
        <v>347</v>
      </c>
    </row>
    <row r="12" spans="1:17" x14ac:dyDescent="0.2">
      <c r="A12" s="40">
        <v>1</v>
      </c>
      <c r="B12" s="40">
        <f>A12+1</f>
        <v>2</v>
      </c>
      <c r="C12" s="41">
        <f>B12+1</f>
        <v>3</v>
      </c>
      <c r="D12" s="40">
        <f>C12+1</f>
        <v>4</v>
      </c>
      <c r="E12" s="40">
        <f>D12+1</f>
        <v>5</v>
      </c>
      <c r="F12" s="42"/>
      <c r="G12" s="43">
        <f>E12+1</f>
        <v>6</v>
      </c>
      <c r="H12" s="44">
        <f t="shared" ref="H12:Q12" si="0">G12+1</f>
        <v>7</v>
      </c>
      <c r="I12" s="44">
        <f t="shared" si="0"/>
        <v>8</v>
      </c>
      <c r="J12" s="44">
        <f t="shared" si="0"/>
        <v>9</v>
      </c>
      <c r="K12" s="45">
        <f t="shared" si="0"/>
        <v>10</v>
      </c>
      <c r="L12" s="40">
        <f t="shared" si="0"/>
        <v>11</v>
      </c>
      <c r="M12" s="43">
        <f t="shared" si="0"/>
        <v>12</v>
      </c>
      <c r="N12" s="44">
        <f t="shared" si="0"/>
        <v>13</v>
      </c>
      <c r="O12" s="44">
        <f t="shared" si="0"/>
        <v>14</v>
      </c>
      <c r="P12" s="44">
        <f t="shared" si="0"/>
        <v>15</v>
      </c>
      <c r="Q12" s="46">
        <f t="shared" si="0"/>
        <v>16</v>
      </c>
    </row>
    <row r="13" spans="1:17" x14ac:dyDescent="0.2">
      <c r="A13" s="58">
        <f>IF(COUNTBLANK(B13)=1," ",COUNTA(B13:B$14))</f>
        <v>2</v>
      </c>
      <c r="B13" s="61" t="s">
        <v>25</v>
      </c>
      <c r="C13" s="59" t="s">
        <v>273</v>
      </c>
      <c r="D13" s="85" t="s">
        <v>59</v>
      </c>
      <c r="E13" s="179">
        <f>E23*0.02</f>
        <v>4.2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17" ht="22.5" x14ac:dyDescent="0.2">
      <c r="A14" s="58">
        <f>IF(COUNTBLANK(B14)=1," ",COUNTA(B$14:B14))</f>
        <v>1</v>
      </c>
      <c r="B14" s="61" t="s">
        <v>25</v>
      </c>
      <c r="C14" s="109" t="s">
        <v>274</v>
      </c>
      <c r="D14" s="60" t="s">
        <v>59</v>
      </c>
      <c r="E14" s="60">
        <f>7*9</f>
        <v>63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7" ht="22.5" x14ac:dyDescent="0.2">
      <c r="A15" s="58">
        <f>IF(COUNTBLANK(B15)=1," ",COUNTA(B$14:B15))</f>
        <v>2</v>
      </c>
      <c r="B15" s="61" t="s">
        <v>25</v>
      </c>
      <c r="C15" s="109" t="s">
        <v>275</v>
      </c>
      <c r="D15" s="47" t="s">
        <v>143</v>
      </c>
      <c r="E15" s="60">
        <f>(12*8+4*10)*0.2*0.032</f>
        <v>0.87040000000000006</v>
      </c>
      <c r="F15" s="58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1:17" ht="22.5" x14ac:dyDescent="0.2">
      <c r="A16" s="58">
        <f>IF(COUNTBLANK(B16)=1," ",COUNTA(B$14:B16))</f>
        <v>3</v>
      </c>
      <c r="B16" s="61" t="s">
        <v>25</v>
      </c>
      <c r="C16" s="188" t="s">
        <v>277</v>
      </c>
      <c r="D16" s="58" t="s">
        <v>32</v>
      </c>
      <c r="E16" s="60">
        <v>18</v>
      </c>
      <c r="F16" s="58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1:248" ht="45" x14ac:dyDescent="0.2">
      <c r="A17" s="58"/>
      <c r="B17" s="61"/>
      <c r="C17" s="59" t="s">
        <v>362</v>
      </c>
      <c r="D17" s="58" t="s">
        <v>41</v>
      </c>
      <c r="E17" s="60">
        <f>E16*F17</f>
        <v>54</v>
      </c>
      <c r="F17" s="58">
        <f>2*1.5</f>
        <v>3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1:248" ht="22.5" x14ac:dyDescent="0.2">
      <c r="A18" s="58"/>
      <c r="B18" s="61"/>
      <c r="C18" s="59" t="s">
        <v>363</v>
      </c>
      <c r="D18" s="58" t="s">
        <v>41</v>
      </c>
      <c r="E18" s="60">
        <f>E16*F18</f>
        <v>567</v>
      </c>
      <c r="F18" s="58">
        <f>2.1*15</f>
        <v>31.5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</row>
    <row r="19" spans="1:248" ht="22.5" x14ac:dyDescent="0.2">
      <c r="A19" s="58"/>
      <c r="B19" s="61"/>
      <c r="C19" s="59" t="s">
        <v>364</v>
      </c>
      <c r="D19" s="58" t="s">
        <v>41</v>
      </c>
      <c r="E19" s="60">
        <f>E16*F19</f>
        <v>180</v>
      </c>
      <c r="F19" s="58">
        <f>2*5</f>
        <v>10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</row>
    <row r="20" spans="1:248" ht="22.5" x14ac:dyDescent="0.2">
      <c r="A20" s="58"/>
      <c r="B20" s="61"/>
      <c r="C20" s="59" t="s">
        <v>365</v>
      </c>
      <c r="D20" s="58" t="s">
        <v>41</v>
      </c>
      <c r="E20" s="60">
        <f>E16*F20</f>
        <v>180</v>
      </c>
      <c r="F20" s="58">
        <f>F19</f>
        <v>10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</row>
    <row r="21" spans="1:248" ht="22.5" x14ac:dyDescent="0.2">
      <c r="A21" s="58">
        <f>IF(COUNTBLANK(B21)=1," ",COUNTA(B$14:B21))</f>
        <v>4</v>
      </c>
      <c r="B21" s="61" t="s">
        <v>25</v>
      </c>
      <c r="C21" s="59" t="s">
        <v>276</v>
      </c>
      <c r="D21" s="58" t="s">
        <v>32</v>
      </c>
      <c r="E21" s="60">
        <f>E23</f>
        <v>210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</row>
    <row r="22" spans="1:248" x14ac:dyDescent="0.2">
      <c r="A22" s="58" t="str">
        <f>IF(COUNTBLANK(B22)=1," ",COUNTA(B$14:B22))</f>
        <v xml:space="preserve"> </v>
      </c>
      <c r="B22" s="58"/>
      <c r="C22" s="146" t="s">
        <v>284</v>
      </c>
      <c r="D22" s="58" t="s">
        <v>41</v>
      </c>
      <c r="E22" s="53">
        <f>E21*F22</f>
        <v>8.4</v>
      </c>
      <c r="F22" s="53">
        <v>0.04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248" ht="33.75" x14ac:dyDescent="0.2">
      <c r="A23" s="58">
        <f>IF(COUNTBLANK(B23)=1," ",COUNTA(B$14:B23))</f>
        <v>5</v>
      </c>
      <c r="B23" s="189" t="str">
        <f>apjomi!A20</f>
        <v>P2</v>
      </c>
      <c r="C23" s="59" t="str">
        <f>apjomi!B20</f>
        <v>Esošs grīdas sastāvs, b=80mm; Esošais dz-betona pārsegums, b=220mm; Līmjava; Akmensvates lamelle  0,037 W/m²K, b=150mm</v>
      </c>
      <c r="D23" s="58" t="s">
        <v>32</v>
      </c>
      <c r="E23" s="60">
        <f>apjomi!E20</f>
        <v>210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</row>
    <row r="24" spans="1:248" x14ac:dyDescent="0.2">
      <c r="A24" s="58" t="str">
        <f>IF(COUNTBLANK(B24)=1," ",COUNTA(B$14:B24))</f>
        <v xml:space="preserve"> </v>
      </c>
      <c r="B24" s="58"/>
      <c r="C24" s="59" t="s">
        <v>70</v>
      </c>
      <c r="D24" s="58" t="s">
        <v>268</v>
      </c>
      <c r="E24" s="53">
        <f>E23*F24</f>
        <v>220.5</v>
      </c>
      <c r="F24" s="53">
        <v>1.05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</row>
    <row r="25" spans="1:248" x14ac:dyDescent="0.2">
      <c r="A25" s="58" t="str">
        <f>IF(COUNTBLANK(B25)=1," ",COUNTA(B$14:B25))</f>
        <v xml:space="preserve"> </v>
      </c>
      <c r="B25" s="58"/>
      <c r="C25" s="59" t="s">
        <v>288</v>
      </c>
      <c r="D25" s="58" t="s">
        <v>41</v>
      </c>
      <c r="E25" s="53">
        <f>E23*F25</f>
        <v>945</v>
      </c>
      <c r="F25" s="53">
        <v>4.5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</row>
    <row r="26" spans="1:248" ht="22.5" x14ac:dyDescent="0.2">
      <c r="A26" s="31"/>
      <c r="C26" s="340" t="s">
        <v>156</v>
      </c>
      <c r="D26" s="341"/>
      <c r="E26" s="342"/>
      <c r="F26" s="342"/>
      <c r="G26" s="343"/>
      <c r="H26" s="343"/>
      <c r="I26" s="343"/>
      <c r="J26" s="343"/>
      <c r="K26" s="343"/>
      <c r="M26" s="344"/>
      <c r="N26" s="344"/>
      <c r="O26" s="344"/>
      <c r="P26" s="344"/>
      <c r="Q26" s="344"/>
    </row>
    <row r="27" spans="1:248" s="26" customFormat="1" x14ac:dyDescent="0.2">
      <c r="A27" s="31" t="str">
        <f>IF(COUNTBLANK(I27)=1," ",COUNTA($I27:I$145))</f>
        <v xml:space="preserve"> </v>
      </c>
      <c r="B27" s="27"/>
      <c r="C27" s="345"/>
      <c r="D27" s="345"/>
      <c r="E27" s="345"/>
      <c r="F27" s="345"/>
      <c r="G27" s="345"/>
      <c r="H27" s="345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</row>
    <row r="28" spans="1:248" s="26" customFormat="1" x14ac:dyDescent="0.2">
      <c r="A28" s="27"/>
      <c r="B28" s="27"/>
      <c r="C28" s="346" t="str">
        <f>[3]KPDV!$B$31</f>
        <v>Sastādīja:</v>
      </c>
      <c r="D28" s="347"/>
      <c r="E28" s="348"/>
      <c r="F28" s="348"/>
      <c r="G28" s="345"/>
      <c r="H28" s="345"/>
      <c r="I28" s="27"/>
      <c r="J28" s="27"/>
      <c r="K28" s="27"/>
      <c r="L28" s="27"/>
      <c r="M28" s="27"/>
      <c r="N28" s="27"/>
      <c r="O28" s="27"/>
      <c r="P28" s="27"/>
      <c r="Q28" s="27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27"/>
    </row>
    <row r="29" spans="1:248" s="26" customFormat="1" x14ac:dyDescent="0.2">
      <c r="A29" s="27"/>
      <c r="B29" s="27"/>
      <c r="C29" s="346" t="str">
        <f>[3]KPDV!$B$32</f>
        <v>Tāme sastādīta</v>
      </c>
      <c r="D29" s="123"/>
      <c r="E29" s="278"/>
      <c r="F29" s="278"/>
      <c r="G29" s="345"/>
      <c r="H29" s="345"/>
      <c r="I29" s="27"/>
      <c r="J29" s="27"/>
      <c r="K29" s="27"/>
      <c r="L29" s="27"/>
      <c r="M29" s="27"/>
      <c r="N29" s="27"/>
      <c r="O29" s="27"/>
      <c r="P29" s="27"/>
      <c r="Q29" s="27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</row>
    <row r="30" spans="1:248" s="26" customFormat="1" x14ac:dyDescent="0.2">
      <c r="A30" s="27"/>
      <c r="B30" s="27"/>
      <c r="C30" s="346"/>
      <c r="D30" s="123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27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</row>
    <row r="31" spans="1:248" x14ac:dyDescent="0.2">
      <c r="C31" s="346" t="str">
        <f>[3]KPDV!$B$34</f>
        <v>Pārbaudīja:</v>
      </c>
      <c r="D31" s="347"/>
      <c r="E31" s="348"/>
      <c r="F31" s="348"/>
      <c r="G31" s="123"/>
      <c r="H31" s="123"/>
      <c r="I31" s="123"/>
      <c r="J31" s="123"/>
      <c r="K31" s="123"/>
      <c r="L31" s="123"/>
      <c r="M31" s="123"/>
      <c r="N31" s="123"/>
      <c r="O31" s="123"/>
      <c r="P31" s="123"/>
    </row>
    <row r="32" spans="1:248" x14ac:dyDescent="0.2">
      <c r="C32" s="346" t="str">
        <f>[3]KPDV!$B$35</f>
        <v>Sertifikāta Nr.:</v>
      </c>
      <c r="D32" s="347"/>
      <c r="E32" s="349"/>
      <c r="F32" s="349"/>
      <c r="G32" s="123"/>
      <c r="H32" s="123"/>
      <c r="I32" s="123"/>
      <c r="J32" s="123"/>
      <c r="K32" s="123"/>
      <c r="L32" s="123"/>
      <c r="M32" s="350"/>
      <c r="N32" s="123"/>
      <c r="O32" s="350"/>
      <c r="P32" s="123"/>
    </row>
    <row r="33" spans="2:17" x14ac:dyDescent="0.2">
      <c r="I33" s="351"/>
      <c r="J33" s="267"/>
      <c r="K33" s="267"/>
      <c r="O33" s="267"/>
      <c r="P33" s="267"/>
    </row>
    <row r="34" spans="2:17" ht="12.75" x14ac:dyDescent="0.2">
      <c r="B34" s="352" t="s">
        <v>348</v>
      </c>
      <c r="C34" s="353"/>
      <c r="D34" s="354"/>
      <c r="E34" s="354"/>
      <c r="F34" s="354"/>
      <c r="G34" s="355"/>
      <c r="H34" s="354"/>
      <c r="I34" s="354"/>
      <c r="J34" s="354"/>
      <c r="K34" s="354"/>
      <c r="L34" s="354"/>
      <c r="M34" s="354"/>
      <c r="N34" s="354"/>
      <c r="O34" s="354"/>
      <c r="P34" s="354"/>
      <c r="Q34" s="354"/>
    </row>
    <row r="35" spans="2:17" x14ac:dyDescent="0.2">
      <c r="B35" s="374" t="s">
        <v>349</v>
      </c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</row>
    <row r="36" spans="2:17" x14ac:dyDescent="0.2"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</row>
    <row r="37" spans="2:17" x14ac:dyDescent="0.2"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/>
    </row>
  </sheetData>
  <sheetProtection selectLockedCells="1" selectUnlockedCells="1"/>
  <autoFilter ref="A12:S25" xr:uid="{00000000-0009-0000-0000-000005000000}"/>
  <mergeCells count="13">
    <mergeCell ref="A10:A11"/>
    <mergeCell ref="B10:B11"/>
    <mergeCell ref="C10:C11"/>
    <mergeCell ref="A1:G1"/>
    <mergeCell ref="A3:H3"/>
    <mergeCell ref="A4:H4"/>
    <mergeCell ref="A8:D8"/>
    <mergeCell ref="G8:J8"/>
    <mergeCell ref="B35:Q37"/>
    <mergeCell ref="D10:D11"/>
    <mergeCell ref="E10:E11"/>
    <mergeCell ref="G10:L10"/>
    <mergeCell ref="M10:Q10"/>
  </mergeCells>
  <pageMargins left="0.39374999999999999" right="0" top="0.59027777777777779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2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M41"/>
  <sheetViews>
    <sheetView view="pageBreakPreview" topLeftCell="A4" zoomScale="85" zoomScaleNormal="85" zoomScaleSheetLayoutView="85" workbookViewId="0">
      <selection activeCell="C29" sqref="C29"/>
    </sheetView>
  </sheetViews>
  <sheetFormatPr defaultColWidth="9" defaultRowHeight="11.25" x14ac:dyDescent="0.2"/>
  <cols>
    <col min="1" max="1" width="4.5703125" style="27" customWidth="1"/>
    <col min="2" max="2" width="5.42578125" style="27" customWidth="1"/>
    <col min="3" max="3" width="42.5703125" style="91" customWidth="1"/>
    <col min="4" max="4" width="5.42578125" style="27" customWidth="1"/>
    <col min="5" max="5" width="6.85546875" style="27" customWidth="1"/>
    <col min="6" max="6" width="5.85546875" style="27" hidden="1" customWidth="1"/>
    <col min="7" max="12" width="7" style="27" customWidth="1"/>
    <col min="13" max="16" width="7.42578125" style="27" customWidth="1"/>
    <col min="17" max="17" width="7.140625" style="27" customWidth="1"/>
    <col min="18" max="16384" width="9" style="27"/>
  </cols>
  <sheetData>
    <row r="1" spans="1:17" x14ac:dyDescent="0.2">
      <c r="A1" s="379" t="s">
        <v>11</v>
      </c>
      <c r="B1" s="379"/>
      <c r="C1" s="379"/>
      <c r="D1" s="379"/>
      <c r="E1" s="379"/>
      <c r="F1" s="379"/>
      <c r="G1" s="379"/>
      <c r="H1" s="26">
        <f>KPDV!A19</f>
        <v>5</v>
      </c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8"/>
      <c r="B2" s="28"/>
      <c r="C2" s="29" t="s">
        <v>65</v>
      </c>
      <c r="D2" s="28"/>
      <c r="E2" s="28"/>
      <c r="F2" s="28"/>
      <c r="G2" s="28"/>
      <c r="H2" s="28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364" t="str">
        <f>KPDV!A5</f>
        <v>Būves nosaukums: Daudzdzīvokļu dzīvojamā ēka</v>
      </c>
      <c r="B3" s="364"/>
      <c r="C3" s="364"/>
      <c r="D3" s="364"/>
      <c r="E3" s="364"/>
      <c r="F3" s="364"/>
      <c r="G3" s="364"/>
      <c r="H3" s="364"/>
      <c r="I3" s="30"/>
      <c r="J3" s="30"/>
      <c r="K3" s="30"/>
      <c r="L3" s="30"/>
      <c r="M3" s="31"/>
      <c r="N3" s="31"/>
      <c r="O3" s="31"/>
      <c r="P3" s="31"/>
      <c r="Q3" s="26"/>
    </row>
    <row r="4" spans="1:17" x14ac:dyDescent="0.2">
      <c r="A4" s="364" t="str">
        <f>KPDV!A6</f>
        <v>Objekta nosaukums: Dzīvojamās ēkas fasādes vienkāršota atjaunošana</v>
      </c>
      <c r="B4" s="364"/>
      <c r="C4" s="364"/>
      <c r="D4" s="364"/>
      <c r="E4" s="364"/>
      <c r="F4" s="364"/>
      <c r="G4" s="364"/>
      <c r="H4" s="364"/>
      <c r="I4" s="32"/>
      <c r="J4" s="32"/>
      <c r="K4" s="31"/>
      <c r="L4" s="31"/>
      <c r="M4" s="31"/>
      <c r="N4" s="31"/>
      <c r="O4" s="31"/>
      <c r="P4" s="31"/>
      <c r="Q4" s="26"/>
    </row>
    <row r="5" spans="1:17" x14ac:dyDescent="0.2">
      <c r="A5" s="33" t="str">
        <f>KPDV!A7</f>
        <v>Objekta adrese: Raiņa iela 18/20, Liepāja</v>
      </c>
      <c r="B5" s="33"/>
      <c r="C5" s="33"/>
      <c r="D5" s="33"/>
      <c r="E5" s="34"/>
      <c r="F5" s="34"/>
      <c r="G5" s="33"/>
      <c r="H5" s="33"/>
      <c r="I5" s="32"/>
      <c r="J5" s="32"/>
      <c r="K5" s="31"/>
      <c r="L5" s="31"/>
      <c r="M5" s="31"/>
      <c r="N5" s="31"/>
      <c r="O5" s="31"/>
      <c r="P5" s="31"/>
      <c r="Q5" s="26"/>
    </row>
    <row r="6" spans="1:17" x14ac:dyDescent="0.2">
      <c r="A6" s="33" t="str">
        <f>KPDV!A8</f>
        <v>Pasūtījuma Nr.: EA-78-16</v>
      </c>
      <c r="B6" s="33"/>
      <c r="C6" s="33"/>
      <c r="D6" s="33"/>
      <c r="E6" s="33"/>
      <c r="F6" s="33"/>
      <c r="G6" s="33"/>
      <c r="H6" s="33"/>
      <c r="I6" s="32"/>
      <c r="J6" s="32"/>
      <c r="K6" s="31"/>
      <c r="L6" s="31"/>
      <c r="M6" s="31"/>
      <c r="N6" s="31"/>
      <c r="O6" s="31"/>
      <c r="P6" s="31"/>
      <c r="Q6" s="26"/>
    </row>
    <row r="7" spans="1:17" x14ac:dyDescent="0.2">
      <c r="A7" s="33"/>
      <c r="B7" s="33"/>
      <c r="C7" s="33"/>
      <c r="D7" s="33"/>
      <c r="E7" s="33"/>
      <c r="F7" s="33"/>
      <c r="G7" s="33"/>
      <c r="H7" s="33"/>
      <c r="I7" s="32"/>
      <c r="J7" s="32"/>
      <c r="K7" s="31"/>
      <c r="L7" s="31"/>
      <c r="M7" s="31"/>
      <c r="N7" s="31"/>
      <c r="O7" s="31"/>
      <c r="P7" s="31"/>
      <c r="Q7" s="26"/>
    </row>
    <row r="8" spans="1:17" x14ac:dyDescent="0.2">
      <c r="A8" s="380" t="s">
        <v>341</v>
      </c>
      <c r="B8" s="380"/>
      <c r="C8" s="380"/>
      <c r="D8" s="380"/>
      <c r="E8" s="35" t="s">
        <v>13</v>
      </c>
      <c r="F8" s="26"/>
      <c r="G8" s="381" t="s">
        <v>14</v>
      </c>
      <c r="H8" s="381"/>
      <c r="I8" s="381"/>
      <c r="J8" s="381"/>
      <c r="K8" s="36"/>
      <c r="L8" s="36"/>
      <c r="M8" s="36"/>
      <c r="N8" s="36" t="s">
        <v>15</v>
      </c>
      <c r="O8" s="36"/>
      <c r="P8" s="37">
        <f>Q31</f>
        <v>0</v>
      </c>
      <c r="Q8" s="21" t="s">
        <v>16</v>
      </c>
    </row>
    <row r="9" spans="1:17" x14ac:dyDescent="0.2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27" t="str">
        <f>dat</f>
        <v>Tāme sastādīta .gada</v>
      </c>
    </row>
    <row r="10" spans="1:17" ht="10.35" customHeight="1" x14ac:dyDescent="0.2">
      <c r="A10" s="376" t="s">
        <v>17</v>
      </c>
      <c r="B10" s="376" t="s">
        <v>18</v>
      </c>
      <c r="C10" s="377" t="s">
        <v>19</v>
      </c>
      <c r="D10" s="378" t="s">
        <v>20</v>
      </c>
      <c r="E10" s="376" t="s">
        <v>21</v>
      </c>
      <c r="F10" s="173"/>
      <c r="G10" s="375" t="s">
        <v>22</v>
      </c>
      <c r="H10" s="375"/>
      <c r="I10" s="375"/>
      <c r="J10" s="375"/>
      <c r="K10" s="375"/>
      <c r="L10" s="375"/>
      <c r="M10" s="375" t="s">
        <v>23</v>
      </c>
      <c r="N10" s="375"/>
      <c r="O10" s="375"/>
      <c r="P10" s="375"/>
      <c r="Q10" s="375"/>
    </row>
    <row r="11" spans="1:17" ht="66.75" x14ac:dyDescent="0.2">
      <c r="A11" s="376"/>
      <c r="B11" s="376"/>
      <c r="C11" s="377"/>
      <c r="D11" s="378"/>
      <c r="E11" s="376"/>
      <c r="F11" s="174"/>
      <c r="G11" s="328" t="s">
        <v>342</v>
      </c>
      <c r="H11" s="329" t="s">
        <v>343</v>
      </c>
      <c r="I11" s="329" t="s">
        <v>344</v>
      </c>
      <c r="J11" s="329" t="s">
        <v>345</v>
      </c>
      <c r="K11" s="329" t="s">
        <v>346</v>
      </c>
      <c r="L11" s="330" t="s">
        <v>333</v>
      </c>
      <c r="M11" s="328" t="s">
        <v>24</v>
      </c>
      <c r="N11" s="329" t="s">
        <v>344</v>
      </c>
      <c r="O11" s="329" t="s">
        <v>345</v>
      </c>
      <c r="P11" s="329" t="s">
        <v>346</v>
      </c>
      <c r="Q11" s="330" t="s">
        <v>347</v>
      </c>
    </row>
    <row r="12" spans="1:17" ht="14.25" customHeight="1" x14ac:dyDescent="0.2">
      <c r="A12" s="81">
        <v>1</v>
      </c>
      <c r="B12" s="81">
        <f>A12+1</f>
        <v>2</v>
      </c>
      <c r="C12" s="97">
        <f>B12+1</f>
        <v>3</v>
      </c>
      <c r="D12" s="81">
        <f>C12+1</f>
        <v>4</v>
      </c>
      <c r="E12" s="81">
        <f>D12+1</f>
        <v>5</v>
      </c>
      <c r="F12" s="137"/>
      <c r="G12" s="81">
        <f>E12+1</f>
        <v>6</v>
      </c>
      <c r="H12" s="81">
        <f t="shared" ref="H12:Q12" si="0">G12+1</f>
        <v>7</v>
      </c>
      <c r="I12" s="81">
        <f t="shared" si="0"/>
        <v>8</v>
      </c>
      <c r="J12" s="81">
        <f t="shared" si="0"/>
        <v>9</v>
      </c>
      <c r="K12" s="81">
        <f t="shared" si="0"/>
        <v>10</v>
      </c>
      <c r="L12" s="81">
        <f t="shared" si="0"/>
        <v>11</v>
      </c>
      <c r="M12" s="81">
        <f t="shared" si="0"/>
        <v>12</v>
      </c>
      <c r="N12" s="81">
        <f t="shared" si="0"/>
        <v>13</v>
      </c>
      <c r="O12" s="81">
        <f t="shared" si="0"/>
        <v>14</v>
      </c>
      <c r="P12" s="81">
        <f t="shared" si="0"/>
        <v>15</v>
      </c>
      <c r="Q12" s="81">
        <f t="shared" si="0"/>
        <v>16</v>
      </c>
    </row>
    <row r="13" spans="1:17" ht="14.25" customHeight="1" x14ac:dyDescent="0.2">
      <c r="A13" s="81"/>
      <c r="B13" s="81"/>
      <c r="C13" s="126" t="s">
        <v>129</v>
      </c>
      <c r="D13" s="81"/>
      <c r="E13" s="81"/>
      <c r="F13" s="137"/>
      <c r="G13" s="81"/>
      <c r="H13" s="175"/>
      <c r="I13" s="81"/>
      <c r="J13" s="81"/>
      <c r="K13" s="81"/>
      <c r="L13" s="175"/>
      <c r="M13" s="175"/>
      <c r="N13" s="175"/>
      <c r="O13" s="175"/>
      <c r="P13" s="175"/>
      <c r="Q13" s="175"/>
    </row>
    <row r="14" spans="1:17" ht="14.25" customHeight="1" x14ac:dyDescent="0.2">
      <c r="A14" s="47">
        <f>IF(COUNTBLANK(B14)=1," ",COUNTA($B$14:B14))</f>
        <v>1</v>
      </c>
      <c r="B14" s="176" t="s">
        <v>25</v>
      </c>
      <c r="C14" s="63" t="s">
        <v>199</v>
      </c>
      <c r="D14" s="125" t="s">
        <v>32</v>
      </c>
      <c r="E14" s="125">
        <f>1*2.6*2</f>
        <v>5.2</v>
      </c>
      <c r="F14" s="137"/>
      <c r="G14" s="140"/>
      <c r="H14" s="57"/>
      <c r="I14" s="140"/>
      <c r="J14" s="140"/>
      <c r="K14" s="140"/>
      <c r="L14" s="131"/>
      <c r="M14" s="132"/>
      <c r="N14" s="132"/>
      <c r="O14" s="132"/>
      <c r="P14" s="132"/>
      <c r="Q14" s="133"/>
    </row>
    <row r="15" spans="1:17" ht="14.25" customHeight="1" x14ac:dyDescent="0.2">
      <c r="A15" s="47">
        <f>IF(COUNTBLANK(B15)=1," ",COUNTA($B$14:B15))</f>
        <v>2</v>
      </c>
      <c r="B15" s="176" t="s">
        <v>25</v>
      </c>
      <c r="C15" s="63" t="s">
        <v>196</v>
      </c>
      <c r="D15" s="125" t="s">
        <v>32</v>
      </c>
      <c r="E15" s="125">
        <f>E14</f>
        <v>5.2</v>
      </c>
      <c r="F15" s="137"/>
      <c r="G15" s="71"/>
      <c r="H15" s="57"/>
      <c r="I15" s="71"/>
      <c r="J15" s="71"/>
      <c r="K15" s="71"/>
      <c r="L15" s="131"/>
      <c r="M15" s="132"/>
      <c r="N15" s="132"/>
      <c r="O15" s="132"/>
      <c r="P15" s="132"/>
      <c r="Q15" s="133"/>
    </row>
    <row r="16" spans="1:17" ht="18.75" customHeight="1" x14ac:dyDescent="0.2">
      <c r="A16" s="81"/>
      <c r="B16" s="81"/>
      <c r="C16" s="63" t="s">
        <v>197</v>
      </c>
      <c r="D16" s="125" t="s">
        <v>59</v>
      </c>
      <c r="E16" s="98">
        <f>(0.7*2.6*0.16*2+0.3*2.6*0.44*2)*F16</f>
        <v>1.4591199999999998</v>
      </c>
      <c r="F16" s="137">
        <v>1.1499999999999999</v>
      </c>
      <c r="G16" s="81"/>
      <c r="H16" s="81"/>
      <c r="I16" s="81"/>
      <c r="J16" s="81"/>
      <c r="K16" s="81"/>
      <c r="L16" s="131"/>
      <c r="M16" s="132"/>
      <c r="N16" s="132"/>
      <c r="O16" s="132"/>
      <c r="P16" s="132"/>
      <c r="Q16" s="133"/>
    </row>
    <row r="17" spans="1:247" ht="18.75" customHeight="1" x14ac:dyDescent="0.2">
      <c r="A17" s="81"/>
      <c r="B17" s="81"/>
      <c r="C17" s="63" t="s">
        <v>128</v>
      </c>
      <c r="D17" s="125" t="s">
        <v>59</v>
      </c>
      <c r="E17" s="98">
        <f>E15*0.07+1*2.6*F17</f>
        <v>3.3539999999999996</v>
      </c>
      <c r="F17" s="137">
        <f>F16</f>
        <v>1.1499999999999999</v>
      </c>
      <c r="G17" s="81"/>
      <c r="H17" s="81"/>
      <c r="I17" s="81"/>
      <c r="J17" s="81"/>
      <c r="K17" s="81"/>
      <c r="L17" s="131"/>
      <c r="M17" s="132"/>
      <c r="N17" s="132"/>
      <c r="O17" s="132"/>
      <c r="P17" s="132"/>
      <c r="Q17" s="133"/>
    </row>
    <row r="18" spans="1:247" ht="14.25" customHeight="1" x14ac:dyDescent="0.2">
      <c r="A18" s="81"/>
      <c r="B18" s="81"/>
      <c r="C18" s="63" t="s">
        <v>126</v>
      </c>
      <c r="D18" s="125" t="s">
        <v>32</v>
      </c>
      <c r="E18" s="98">
        <f>1.4*2.6*2*F18</f>
        <v>8.3719999999999981</v>
      </c>
      <c r="F18" s="137">
        <f>F17</f>
        <v>1.1499999999999999</v>
      </c>
      <c r="G18" s="81"/>
      <c r="H18" s="81"/>
      <c r="I18" s="81"/>
      <c r="J18" s="81"/>
      <c r="K18" s="81"/>
      <c r="L18" s="131"/>
      <c r="M18" s="132"/>
      <c r="N18" s="132"/>
      <c r="O18" s="132"/>
      <c r="P18" s="132"/>
      <c r="Q18" s="133"/>
    </row>
    <row r="19" spans="1:247" x14ac:dyDescent="0.2">
      <c r="A19" s="81"/>
      <c r="B19" s="81"/>
      <c r="C19" s="63" t="s">
        <v>127</v>
      </c>
      <c r="D19" s="125" t="s">
        <v>59</v>
      </c>
      <c r="E19" s="98">
        <f>E18*0.1*F19</f>
        <v>1.0046399999999998</v>
      </c>
      <c r="F19" s="137">
        <v>1.2</v>
      </c>
      <c r="G19" s="81"/>
      <c r="H19" s="81"/>
      <c r="I19" s="81"/>
      <c r="J19" s="81"/>
      <c r="K19" s="81"/>
      <c r="L19" s="131"/>
      <c r="M19" s="132"/>
      <c r="N19" s="132"/>
      <c r="O19" s="132"/>
      <c r="P19" s="132"/>
      <c r="Q19" s="133"/>
    </row>
    <row r="20" spans="1:247" x14ac:dyDescent="0.2">
      <c r="A20" s="81"/>
      <c r="B20" s="81"/>
      <c r="C20" s="63" t="s">
        <v>198</v>
      </c>
      <c r="D20" s="125" t="s">
        <v>59</v>
      </c>
      <c r="E20" s="98">
        <f>E18*0.1*F20</f>
        <v>1.0046399999999998</v>
      </c>
      <c r="F20" s="137">
        <f>F19</f>
        <v>1.2</v>
      </c>
      <c r="G20" s="81"/>
      <c r="H20" s="81"/>
      <c r="I20" s="81"/>
      <c r="J20" s="81"/>
      <c r="K20" s="81"/>
      <c r="L20" s="131"/>
      <c r="M20" s="132"/>
      <c r="N20" s="132"/>
      <c r="O20" s="132"/>
      <c r="P20" s="132"/>
      <c r="Q20" s="133"/>
    </row>
    <row r="21" spans="1:247" x14ac:dyDescent="0.2">
      <c r="A21" s="58" t="str">
        <f>IF(COUNTBLANK(I21)=1," ",COUNTA($I$13:I21))</f>
        <v xml:space="preserve"> </v>
      </c>
      <c r="B21" s="177"/>
      <c r="C21" s="178" t="s">
        <v>253</v>
      </c>
      <c r="D21" s="85"/>
      <c r="E21" s="179"/>
      <c r="F21" s="180"/>
      <c r="G21" s="181"/>
      <c r="H21" s="53"/>
      <c r="I21" s="181"/>
      <c r="J21" s="182"/>
      <c r="K21" s="181"/>
      <c r="L21" s="181"/>
      <c r="M21" s="181"/>
      <c r="N21" s="181"/>
      <c r="O21" s="181"/>
      <c r="P21" s="181"/>
      <c r="Q21" s="183"/>
    </row>
    <row r="22" spans="1:247" x14ac:dyDescent="0.2">
      <c r="A22" s="58" t="str">
        <f>IF(COUNTBLANK(I22)=1," ",COUNTA($I$13:I22))</f>
        <v xml:space="preserve"> </v>
      </c>
      <c r="B22" s="177" t="s">
        <v>25</v>
      </c>
      <c r="C22" s="109" t="s">
        <v>250</v>
      </c>
      <c r="D22" s="125" t="s">
        <v>131</v>
      </c>
      <c r="E22" s="184">
        <v>2</v>
      </c>
      <c r="F22" s="180"/>
      <c r="G22" s="181"/>
      <c r="H22" s="53"/>
      <c r="I22" s="53"/>
      <c r="J22" s="181"/>
      <c r="K22" s="181"/>
      <c r="L22" s="181"/>
      <c r="M22" s="181"/>
      <c r="N22" s="181"/>
      <c r="O22" s="181"/>
      <c r="P22" s="181"/>
      <c r="Q22" s="183"/>
    </row>
    <row r="23" spans="1:247" x14ac:dyDescent="0.2">
      <c r="A23" s="58" t="str">
        <f>IF(COUNTBLANK(I23)=1," ",COUNTA($I$13:I23))</f>
        <v xml:space="preserve"> </v>
      </c>
      <c r="B23" s="177" t="s">
        <v>25</v>
      </c>
      <c r="C23" s="109" t="s">
        <v>251</v>
      </c>
      <c r="D23" s="125" t="s">
        <v>131</v>
      </c>
      <c r="E23" s="179">
        <v>2</v>
      </c>
      <c r="F23" s="180"/>
      <c r="G23" s="181"/>
      <c r="H23" s="53"/>
      <c r="I23" s="53"/>
      <c r="J23" s="181"/>
      <c r="K23" s="181"/>
      <c r="L23" s="181"/>
      <c r="M23" s="181"/>
      <c r="N23" s="181"/>
      <c r="O23" s="181"/>
      <c r="P23" s="181"/>
      <c r="Q23" s="183"/>
    </row>
    <row r="24" spans="1:247" x14ac:dyDescent="0.2">
      <c r="A24" s="58" t="str">
        <f>IF(COUNTBLANK(I24)=1," ",COUNTA($I$13:I24))</f>
        <v xml:space="preserve"> </v>
      </c>
      <c r="B24" s="177" t="s">
        <v>25</v>
      </c>
      <c r="C24" s="109" t="s">
        <v>252</v>
      </c>
      <c r="D24" s="125" t="s">
        <v>131</v>
      </c>
      <c r="E24" s="179">
        <v>2</v>
      </c>
      <c r="F24" s="180"/>
      <c r="G24" s="181"/>
      <c r="H24" s="53"/>
      <c r="I24" s="53"/>
      <c r="J24" s="181"/>
      <c r="K24" s="181"/>
      <c r="L24" s="181"/>
      <c r="M24" s="181"/>
      <c r="N24" s="181"/>
      <c r="O24" s="181"/>
      <c r="P24" s="181"/>
      <c r="Q24" s="183"/>
    </row>
    <row r="25" spans="1:247" x14ac:dyDescent="0.2">
      <c r="A25" s="58" t="str">
        <f>IF(COUNTBLANK(I25)=1," ",COUNTA($I$13:I25))</f>
        <v xml:space="preserve"> </v>
      </c>
      <c r="B25" s="177" t="s">
        <v>25</v>
      </c>
      <c r="C25" s="185" t="s">
        <v>298</v>
      </c>
      <c r="D25" s="85" t="s">
        <v>143</v>
      </c>
      <c r="E25" s="179">
        <v>2</v>
      </c>
      <c r="F25" s="186"/>
      <c r="G25" s="181"/>
      <c r="H25" s="53"/>
      <c r="I25" s="53"/>
      <c r="J25" s="181"/>
      <c r="K25" s="181"/>
      <c r="L25" s="181"/>
      <c r="M25" s="181"/>
      <c r="N25" s="181"/>
      <c r="O25" s="181"/>
      <c r="P25" s="181"/>
      <c r="Q25" s="183"/>
    </row>
    <row r="26" spans="1:247" x14ac:dyDescent="0.2">
      <c r="A26" s="81"/>
      <c r="B26" s="81"/>
      <c r="C26" s="126" t="s">
        <v>238</v>
      </c>
      <c r="D26" s="125"/>
      <c r="E26" s="98"/>
      <c r="F26" s="137"/>
      <c r="G26" s="175"/>
      <c r="H26" s="175"/>
      <c r="I26" s="175"/>
      <c r="J26" s="175"/>
      <c r="K26" s="175"/>
      <c r="L26" s="131"/>
      <c r="M26" s="132"/>
      <c r="N26" s="132"/>
      <c r="O26" s="132"/>
      <c r="P26" s="132"/>
      <c r="Q26" s="133"/>
    </row>
    <row r="27" spans="1:247" x14ac:dyDescent="0.2">
      <c r="A27" s="47">
        <f>IF(COUNTBLANK(B27)=1," ",COUNTA($B$14:B27))</f>
        <v>7</v>
      </c>
      <c r="B27" s="176" t="s">
        <v>25</v>
      </c>
      <c r="C27" s="63" t="s">
        <v>239</v>
      </c>
      <c r="D27" s="125" t="s">
        <v>131</v>
      </c>
      <c r="E27" s="125">
        <v>2</v>
      </c>
      <c r="F27" s="137"/>
      <c r="G27" s="140"/>
      <c r="H27" s="57"/>
      <c r="I27" s="140"/>
      <c r="J27" s="140"/>
      <c r="K27" s="140"/>
      <c r="L27" s="131"/>
      <c r="M27" s="132"/>
      <c r="N27" s="132"/>
      <c r="O27" s="132"/>
      <c r="P27" s="132"/>
      <c r="Q27" s="133"/>
    </row>
    <row r="28" spans="1:247" ht="33.75" x14ac:dyDescent="0.2">
      <c r="A28" s="47">
        <f>IF(COUNTBLANK(B28)=1," ",COUNTA($B$14:B28))</f>
        <v>8</v>
      </c>
      <c r="B28" s="176" t="s">
        <v>25</v>
      </c>
      <c r="C28" s="63" t="s">
        <v>366</v>
      </c>
      <c r="D28" s="125" t="s">
        <v>131</v>
      </c>
      <c r="E28" s="125">
        <v>2</v>
      </c>
      <c r="F28" s="137"/>
      <c r="G28" s="140"/>
      <c r="H28" s="57"/>
      <c r="I28" s="140"/>
      <c r="J28" s="140"/>
      <c r="K28" s="140"/>
      <c r="L28" s="131"/>
      <c r="M28" s="132"/>
      <c r="N28" s="132"/>
      <c r="O28" s="132"/>
      <c r="P28" s="132"/>
      <c r="Q28" s="133"/>
    </row>
    <row r="29" spans="1:247" x14ac:dyDescent="0.2">
      <c r="A29" s="47">
        <f>IF(COUNTBLANK(B29)=1," ",COUNTA($B$14:B29))</f>
        <v>9</v>
      </c>
      <c r="B29" s="176" t="s">
        <v>25</v>
      </c>
      <c r="C29" s="63" t="s">
        <v>130</v>
      </c>
      <c r="D29" s="125" t="s">
        <v>131</v>
      </c>
      <c r="E29" s="187">
        <v>2</v>
      </c>
      <c r="F29" s="137"/>
      <c r="G29" s="53"/>
      <c r="H29" s="57"/>
      <c r="I29" s="53"/>
      <c r="J29" s="53"/>
      <c r="K29" s="67"/>
      <c r="L29" s="131"/>
      <c r="M29" s="132"/>
      <c r="N29" s="132"/>
      <c r="O29" s="132"/>
      <c r="P29" s="132"/>
      <c r="Q29" s="133"/>
    </row>
    <row r="30" spans="1:247" ht="22.5" x14ac:dyDescent="0.2">
      <c r="A30" s="122"/>
      <c r="C30" s="340" t="s">
        <v>156</v>
      </c>
      <c r="D30" s="341"/>
      <c r="E30" s="342"/>
      <c r="F30" s="342"/>
      <c r="G30" s="343"/>
      <c r="H30" s="343"/>
      <c r="I30" s="343"/>
      <c r="J30" s="343"/>
      <c r="K30" s="343"/>
      <c r="M30" s="344"/>
      <c r="N30" s="344"/>
      <c r="O30" s="344"/>
      <c r="P30" s="344"/>
      <c r="Q30" s="344"/>
    </row>
    <row r="31" spans="1:247" s="26" customFormat="1" x14ac:dyDescent="0.2">
      <c r="A31" s="31" t="str">
        <f>IF(COUNTBLANK(I31)=1," ",COUNTA($I31:I$129))</f>
        <v xml:space="preserve"> </v>
      </c>
      <c r="B31" s="27"/>
      <c r="C31" s="345"/>
      <c r="D31" s="345"/>
      <c r="E31" s="345"/>
      <c r="F31" s="345"/>
      <c r="G31" s="345"/>
      <c r="H31" s="345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</row>
    <row r="32" spans="1:247" s="26" customFormat="1" x14ac:dyDescent="0.2">
      <c r="A32" s="27"/>
      <c r="B32" s="27"/>
      <c r="C32" s="346" t="str">
        <f>[3]KPDV!$B$31</f>
        <v>Sastādīja:</v>
      </c>
      <c r="D32" s="347"/>
      <c r="E32" s="348"/>
      <c r="F32" s="348"/>
      <c r="G32" s="345"/>
      <c r="H32" s="345"/>
      <c r="I32" s="27"/>
      <c r="J32" s="27"/>
      <c r="K32" s="27"/>
      <c r="L32" s="27"/>
      <c r="M32" s="27"/>
      <c r="N32" s="27"/>
      <c r="O32" s="27"/>
      <c r="P32" s="27"/>
      <c r="Q32" s="27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27"/>
    </row>
    <row r="33" spans="1:247" s="26" customFormat="1" x14ac:dyDescent="0.2">
      <c r="A33" s="27"/>
      <c r="B33" s="27"/>
      <c r="C33" s="346" t="str">
        <f>[3]KPDV!$B$32</f>
        <v>Tāme sastādīta</v>
      </c>
      <c r="D33" s="123"/>
      <c r="E33" s="278"/>
      <c r="F33" s="278"/>
      <c r="G33" s="345"/>
      <c r="H33" s="345"/>
      <c r="I33" s="27"/>
      <c r="J33" s="27"/>
      <c r="K33" s="27"/>
      <c r="L33" s="27"/>
      <c r="M33" s="27"/>
      <c r="N33" s="27"/>
      <c r="O33" s="27"/>
      <c r="P33" s="27"/>
      <c r="Q33" s="27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</row>
    <row r="34" spans="1:247" s="26" customFormat="1" x14ac:dyDescent="0.2">
      <c r="A34" s="27"/>
      <c r="B34" s="27"/>
      <c r="C34" s="346"/>
      <c r="D34" s="123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27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</row>
    <row r="35" spans="1:247" x14ac:dyDescent="0.2">
      <c r="C35" s="346" t="str">
        <f>[3]KPDV!$B$34</f>
        <v>Pārbaudīja:</v>
      </c>
      <c r="D35" s="347"/>
      <c r="E35" s="348"/>
      <c r="F35" s="348"/>
      <c r="G35" s="123"/>
      <c r="H35" s="123"/>
      <c r="I35" s="123"/>
      <c r="J35" s="123"/>
      <c r="K35" s="123"/>
      <c r="L35" s="123"/>
      <c r="M35" s="123"/>
      <c r="N35" s="123"/>
      <c r="O35" s="123"/>
      <c r="P35" s="123"/>
    </row>
    <row r="36" spans="1:247" x14ac:dyDescent="0.2">
      <c r="C36" s="346" t="str">
        <f>[3]KPDV!$B$35</f>
        <v>Sertifikāta Nr.:</v>
      </c>
      <c r="D36" s="347"/>
      <c r="E36" s="349"/>
      <c r="F36" s="349"/>
      <c r="G36" s="123"/>
      <c r="H36" s="123"/>
      <c r="I36" s="123"/>
      <c r="J36" s="123"/>
      <c r="K36" s="123"/>
      <c r="L36" s="123"/>
      <c r="M36" s="350"/>
      <c r="N36" s="123"/>
      <c r="O36" s="350"/>
      <c r="P36" s="123"/>
    </row>
    <row r="37" spans="1:247" x14ac:dyDescent="0.2">
      <c r="C37" s="27"/>
      <c r="I37" s="351"/>
      <c r="J37" s="267"/>
      <c r="K37" s="267"/>
      <c r="O37" s="267"/>
      <c r="P37" s="267"/>
    </row>
    <row r="38" spans="1:247" ht="12.75" x14ac:dyDescent="0.2">
      <c r="B38" s="352" t="s">
        <v>348</v>
      </c>
      <c r="C38" s="353"/>
      <c r="D38" s="354"/>
      <c r="E38" s="354"/>
      <c r="F38" s="354"/>
      <c r="G38" s="355"/>
      <c r="H38" s="354"/>
      <c r="I38" s="354"/>
      <c r="J38" s="354"/>
      <c r="K38" s="354"/>
      <c r="L38" s="354"/>
      <c r="M38" s="354"/>
      <c r="N38" s="354"/>
      <c r="O38" s="354"/>
      <c r="P38" s="354"/>
      <c r="Q38" s="354"/>
    </row>
    <row r="39" spans="1:247" x14ac:dyDescent="0.2">
      <c r="B39" s="374" t="s">
        <v>349</v>
      </c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4"/>
      <c r="P39" s="374"/>
      <c r="Q39" s="374"/>
    </row>
    <row r="40" spans="1:247" x14ac:dyDescent="0.2">
      <c r="B40" s="374"/>
      <c r="C40" s="374"/>
      <c r="D40" s="374"/>
      <c r="E40" s="374"/>
      <c r="F40" s="374"/>
      <c r="G40" s="374"/>
      <c r="H40" s="374"/>
      <c r="I40" s="374"/>
      <c r="J40" s="374"/>
      <c r="K40" s="374"/>
      <c r="L40" s="374"/>
      <c r="M40" s="374"/>
      <c r="N40" s="374"/>
      <c r="O40" s="374"/>
      <c r="P40" s="374"/>
      <c r="Q40" s="374"/>
    </row>
    <row r="41" spans="1:247" x14ac:dyDescent="0.2">
      <c r="B41" s="374"/>
      <c r="C41" s="374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</row>
  </sheetData>
  <sheetProtection selectLockedCells="1" selectUnlockedCells="1"/>
  <autoFilter ref="A12:Q29" xr:uid="{00000000-0009-0000-0000-000006000000}"/>
  <mergeCells count="13">
    <mergeCell ref="A10:A11"/>
    <mergeCell ref="B10:B11"/>
    <mergeCell ref="C10:C11"/>
    <mergeCell ref="A1:G1"/>
    <mergeCell ref="A3:H3"/>
    <mergeCell ref="A4:H4"/>
    <mergeCell ref="A8:D8"/>
    <mergeCell ref="G8:J8"/>
    <mergeCell ref="B39:Q41"/>
    <mergeCell ref="D10:D11"/>
    <mergeCell ref="E10:E11"/>
    <mergeCell ref="G10:L10"/>
    <mergeCell ref="M10:Q10"/>
  </mergeCells>
  <pageMargins left="0.39374999999999999" right="0" top="0.59027777777777779" bottom="0.39374999999999999" header="0.51180555555555551" footer="0.51180555555555551"/>
  <pageSetup paperSize="9" scale="96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IO52"/>
  <sheetViews>
    <sheetView view="pageBreakPreview" topLeftCell="A13" zoomScale="85" zoomScaleNormal="85" zoomScaleSheetLayoutView="85" workbookViewId="0">
      <selection activeCell="E36" sqref="E36"/>
    </sheetView>
  </sheetViews>
  <sheetFormatPr defaultColWidth="9" defaultRowHeight="11.25" x14ac:dyDescent="0.2"/>
  <cols>
    <col min="1" max="1" width="4.5703125" style="27" customWidth="1"/>
    <col min="2" max="2" width="6" style="27" customWidth="1"/>
    <col min="3" max="3" width="33.85546875" style="27" customWidth="1"/>
    <col min="4" max="4" width="6.85546875" style="27" customWidth="1"/>
    <col min="5" max="5" width="7.140625" style="27" customWidth="1"/>
    <col min="6" max="6" width="5.5703125" style="27" hidden="1" customWidth="1"/>
    <col min="7" max="12" width="5.5703125" style="27" customWidth="1"/>
    <col min="13" max="17" width="6.5703125" style="27" customWidth="1"/>
    <col min="18" max="16384" width="9" style="27"/>
  </cols>
  <sheetData>
    <row r="1" spans="1:17" x14ac:dyDescent="0.2">
      <c r="A1" s="379" t="s">
        <v>11</v>
      </c>
      <c r="B1" s="379"/>
      <c r="C1" s="379"/>
      <c r="D1" s="379"/>
      <c r="E1" s="379"/>
      <c r="F1" s="379"/>
      <c r="G1" s="379"/>
      <c r="H1" s="26">
        <f>KPDV!A20</f>
        <v>6</v>
      </c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8"/>
      <c r="B2" s="28"/>
      <c r="C2" s="29" t="s">
        <v>67</v>
      </c>
      <c r="D2" s="28"/>
      <c r="E2" s="28"/>
      <c r="F2" s="28"/>
      <c r="G2" s="28"/>
      <c r="H2" s="28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364" t="str">
        <f>KPDV!A5</f>
        <v>Būves nosaukums: Daudzdzīvokļu dzīvojamā ēka</v>
      </c>
      <c r="B3" s="364"/>
      <c r="C3" s="364"/>
      <c r="D3" s="364"/>
      <c r="E3" s="364"/>
      <c r="F3" s="364"/>
      <c r="G3" s="364"/>
      <c r="H3" s="364"/>
      <c r="I3" s="30"/>
      <c r="J3" s="30"/>
      <c r="K3" s="30"/>
      <c r="L3" s="30"/>
      <c r="M3" s="31"/>
      <c r="N3" s="31"/>
      <c r="O3" s="31"/>
      <c r="P3" s="31"/>
      <c r="Q3" s="26"/>
    </row>
    <row r="4" spans="1:17" x14ac:dyDescent="0.2">
      <c r="A4" s="364" t="str">
        <f>KPDV!A6</f>
        <v>Objekta nosaukums: Dzīvojamās ēkas fasādes vienkāršota atjaunošana</v>
      </c>
      <c r="B4" s="364"/>
      <c r="C4" s="364"/>
      <c r="D4" s="364"/>
      <c r="E4" s="364"/>
      <c r="F4" s="364"/>
      <c r="G4" s="364"/>
      <c r="H4" s="364"/>
      <c r="I4" s="32"/>
      <c r="J4" s="32"/>
      <c r="K4" s="31"/>
      <c r="L4" s="31"/>
      <c r="M4" s="31"/>
      <c r="N4" s="31"/>
      <c r="O4" s="31"/>
      <c r="P4" s="31"/>
      <c r="Q4" s="26"/>
    </row>
    <row r="5" spans="1:17" x14ac:dyDescent="0.2">
      <c r="A5" s="33" t="str">
        <f>KPDV!A7</f>
        <v>Objekta adrese: Raiņa iela 18/20, Liepāja</v>
      </c>
      <c r="B5" s="33"/>
      <c r="C5" s="33"/>
      <c r="D5" s="33"/>
      <c r="E5" s="34"/>
      <c r="F5" s="34"/>
      <c r="G5" s="33"/>
      <c r="H5" s="33"/>
      <c r="I5" s="32"/>
      <c r="J5" s="32"/>
      <c r="K5" s="31"/>
      <c r="L5" s="31"/>
      <c r="M5" s="31"/>
      <c r="N5" s="31"/>
      <c r="O5" s="31"/>
      <c r="P5" s="31"/>
      <c r="Q5" s="26"/>
    </row>
    <row r="6" spans="1:17" x14ac:dyDescent="0.2">
      <c r="A6" s="33" t="str">
        <f>KPDV!A8</f>
        <v>Pasūtījuma Nr.: EA-78-16</v>
      </c>
      <c r="B6" s="33"/>
      <c r="C6" s="33"/>
      <c r="D6" s="33"/>
      <c r="E6" s="33"/>
      <c r="F6" s="33"/>
      <c r="G6" s="33"/>
      <c r="H6" s="33"/>
      <c r="I6" s="32"/>
      <c r="J6" s="32"/>
      <c r="K6" s="31"/>
      <c r="L6" s="31"/>
      <c r="M6" s="31"/>
      <c r="N6" s="31"/>
      <c r="O6" s="31"/>
      <c r="P6" s="31"/>
      <c r="Q6" s="26"/>
    </row>
    <row r="7" spans="1:17" x14ac:dyDescent="0.2">
      <c r="A7" s="33"/>
      <c r="B7" s="33"/>
      <c r="C7" s="33"/>
      <c r="D7" s="33"/>
      <c r="E7" s="33"/>
      <c r="F7" s="33"/>
      <c r="G7" s="33"/>
      <c r="H7" s="33"/>
      <c r="I7" s="32"/>
      <c r="J7" s="32"/>
      <c r="K7" s="31"/>
      <c r="L7" s="31"/>
      <c r="M7" s="31"/>
      <c r="N7" s="31"/>
      <c r="O7" s="31"/>
      <c r="P7" s="31"/>
      <c r="Q7" s="26"/>
    </row>
    <row r="8" spans="1:17" x14ac:dyDescent="0.2">
      <c r="A8" s="380" t="s">
        <v>341</v>
      </c>
      <c r="B8" s="380"/>
      <c r="C8" s="380"/>
      <c r="D8" s="380"/>
      <c r="E8" s="35" t="s">
        <v>13</v>
      </c>
      <c r="F8" s="26"/>
      <c r="G8" s="381" t="s">
        <v>14</v>
      </c>
      <c r="H8" s="381"/>
      <c r="I8" s="381"/>
      <c r="J8" s="381"/>
      <c r="K8" s="36"/>
      <c r="L8" s="36"/>
      <c r="M8" s="36"/>
      <c r="N8" s="36" t="s">
        <v>15</v>
      </c>
      <c r="O8" s="36"/>
      <c r="P8" s="37">
        <f>Q42</f>
        <v>0</v>
      </c>
      <c r="Q8" s="21" t="s">
        <v>16</v>
      </c>
    </row>
    <row r="9" spans="1:17" x14ac:dyDescent="0.2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27" t="str">
        <f>dat</f>
        <v>Tāme sastādīta .gada</v>
      </c>
    </row>
    <row r="10" spans="1:17" ht="11.25" customHeight="1" x14ac:dyDescent="0.2">
      <c r="A10" s="376" t="s">
        <v>17</v>
      </c>
      <c r="B10" s="376" t="s">
        <v>18</v>
      </c>
      <c r="C10" s="393" t="s">
        <v>19</v>
      </c>
      <c r="D10" s="378" t="s">
        <v>20</v>
      </c>
      <c r="E10" s="376" t="s">
        <v>21</v>
      </c>
      <c r="F10" s="39"/>
      <c r="G10" s="375" t="s">
        <v>22</v>
      </c>
      <c r="H10" s="375"/>
      <c r="I10" s="375"/>
      <c r="J10" s="375"/>
      <c r="K10" s="375"/>
      <c r="L10" s="375"/>
      <c r="M10" s="375" t="s">
        <v>23</v>
      </c>
      <c r="N10" s="375"/>
      <c r="O10" s="375"/>
      <c r="P10" s="375"/>
      <c r="Q10" s="375"/>
    </row>
    <row r="11" spans="1:17" ht="66.75" x14ac:dyDescent="0.2">
      <c r="A11" s="376"/>
      <c r="B11" s="376"/>
      <c r="C11" s="393"/>
      <c r="D11" s="378"/>
      <c r="E11" s="376"/>
      <c r="F11" s="39"/>
      <c r="G11" s="328" t="s">
        <v>342</v>
      </c>
      <c r="H11" s="329" t="s">
        <v>343</v>
      </c>
      <c r="I11" s="329" t="s">
        <v>344</v>
      </c>
      <c r="J11" s="329" t="s">
        <v>345</v>
      </c>
      <c r="K11" s="329" t="s">
        <v>346</v>
      </c>
      <c r="L11" s="330" t="s">
        <v>333</v>
      </c>
      <c r="M11" s="328" t="s">
        <v>24</v>
      </c>
      <c r="N11" s="329" t="s">
        <v>344</v>
      </c>
      <c r="O11" s="329" t="s">
        <v>345</v>
      </c>
      <c r="P11" s="329" t="s">
        <v>346</v>
      </c>
      <c r="Q11" s="330" t="s">
        <v>347</v>
      </c>
    </row>
    <row r="12" spans="1:17" x14ac:dyDescent="0.2">
      <c r="A12" s="40">
        <v>1</v>
      </c>
      <c r="B12" s="40">
        <f>A12+1</f>
        <v>2</v>
      </c>
      <c r="C12" s="41">
        <f>B12+1</f>
        <v>3</v>
      </c>
      <c r="D12" s="40">
        <f>C12+1</f>
        <v>4</v>
      </c>
      <c r="E12" s="40">
        <f>D12+1</f>
        <v>5</v>
      </c>
      <c r="F12" s="42"/>
      <c r="G12" s="43">
        <f>E12+1</f>
        <v>6</v>
      </c>
      <c r="H12" s="44">
        <f t="shared" ref="H12:Q12" si="0">G12+1</f>
        <v>7</v>
      </c>
      <c r="I12" s="44">
        <f t="shared" si="0"/>
        <v>8</v>
      </c>
      <c r="J12" s="44">
        <f t="shared" si="0"/>
        <v>9</v>
      </c>
      <c r="K12" s="45">
        <f t="shared" si="0"/>
        <v>10</v>
      </c>
      <c r="L12" s="40">
        <f t="shared" si="0"/>
        <v>11</v>
      </c>
      <c r="M12" s="43">
        <f t="shared" si="0"/>
        <v>12</v>
      </c>
      <c r="N12" s="44">
        <f t="shared" si="0"/>
        <v>13</v>
      </c>
      <c r="O12" s="44">
        <f t="shared" si="0"/>
        <v>14</v>
      </c>
      <c r="P12" s="44">
        <f t="shared" si="0"/>
        <v>15</v>
      </c>
      <c r="Q12" s="46">
        <f t="shared" si="0"/>
        <v>16</v>
      </c>
    </row>
    <row r="13" spans="1:17" ht="22.5" x14ac:dyDescent="0.2">
      <c r="A13" s="47">
        <f t="shared" ref="A13:A20" si="1">IF(COUNTBLANK(B13)=1," ",COUNTA($B$13:B13))</f>
        <v>1</v>
      </c>
      <c r="B13" s="48" t="s">
        <v>25</v>
      </c>
      <c r="C13" s="55" t="s">
        <v>68</v>
      </c>
      <c r="D13" s="47" t="s">
        <v>32</v>
      </c>
      <c r="E13" s="70">
        <f>apjomi!E19</f>
        <v>366</v>
      </c>
      <c r="F13" s="130"/>
      <c r="G13" s="152"/>
      <c r="H13" s="57"/>
      <c r="I13" s="152"/>
      <c r="J13" s="152"/>
      <c r="K13" s="152"/>
      <c r="L13" s="131"/>
      <c r="M13" s="132"/>
      <c r="N13" s="132"/>
      <c r="O13" s="132"/>
      <c r="P13" s="132"/>
      <c r="Q13" s="132"/>
    </row>
    <row r="14" spans="1:17" x14ac:dyDescent="0.2">
      <c r="A14" s="47" t="str">
        <f t="shared" si="1"/>
        <v xml:space="preserve"> </v>
      </c>
      <c r="B14" s="138"/>
      <c r="C14" s="63" t="s">
        <v>69</v>
      </c>
      <c r="D14" s="47" t="s">
        <v>32</v>
      </c>
      <c r="E14" s="53">
        <f>ROUNDUP(E13*F14,2)</f>
        <v>402.6</v>
      </c>
      <c r="F14" s="130">
        <v>1.1000000000000001</v>
      </c>
      <c r="G14" s="130"/>
      <c r="H14" s="130"/>
      <c r="I14" s="130"/>
      <c r="J14" s="130"/>
      <c r="K14" s="130"/>
      <c r="L14" s="131"/>
      <c r="M14" s="132"/>
      <c r="N14" s="132"/>
      <c r="O14" s="132"/>
      <c r="P14" s="132"/>
      <c r="Q14" s="132"/>
    </row>
    <row r="15" spans="1:17" x14ac:dyDescent="0.2">
      <c r="A15" s="47" t="str">
        <f t="shared" si="1"/>
        <v xml:space="preserve"> </v>
      </c>
      <c r="B15" s="138"/>
      <c r="C15" s="63" t="s">
        <v>42</v>
      </c>
      <c r="D15" s="138" t="s">
        <v>131</v>
      </c>
      <c r="E15" s="53">
        <f>ROUNDUP(E13*F15,0)</f>
        <v>4</v>
      </c>
      <c r="F15" s="130">
        <v>0.01</v>
      </c>
      <c r="G15" s="130"/>
      <c r="H15" s="130"/>
      <c r="I15" s="130"/>
      <c r="J15" s="130"/>
      <c r="K15" s="130"/>
      <c r="L15" s="131"/>
      <c r="M15" s="132"/>
      <c r="N15" s="132"/>
      <c r="O15" s="132"/>
      <c r="P15" s="132"/>
      <c r="Q15" s="132"/>
    </row>
    <row r="16" spans="1:17" s="36" customFormat="1" ht="56.25" x14ac:dyDescent="0.2">
      <c r="A16" s="47">
        <f t="shared" si="1"/>
        <v>2</v>
      </c>
      <c r="B16" s="48" t="s">
        <v>25</v>
      </c>
      <c r="C16" s="63" t="str">
        <f>apjomi!B19</f>
        <v xml:space="preserve">Pārsegumu siltumizolāc.beramā akmensvate   λ=0,041W/mK, b= 400mm (ieskaitot sablīvēšanas koef.1.1)b= 400mm; Tvaika izolācijas plēve,b=0,2mm; Esošais dz-betona pārsegums,b=220mm </v>
      </c>
      <c r="D16" s="125" t="s">
        <v>32</v>
      </c>
      <c r="E16" s="141">
        <f>apjomi!E19</f>
        <v>366</v>
      </c>
      <c r="F16" s="135"/>
      <c r="G16" s="53"/>
      <c r="H16" s="57"/>
      <c r="I16" s="53"/>
      <c r="J16" s="54"/>
      <c r="K16" s="53"/>
      <c r="L16" s="131"/>
      <c r="M16" s="132"/>
      <c r="N16" s="132"/>
      <c r="O16" s="132"/>
      <c r="P16" s="132"/>
      <c r="Q16" s="132"/>
    </row>
    <row r="17" spans="1:249" s="36" customFormat="1" x14ac:dyDescent="0.2">
      <c r="A17" s="47" t="str">
        <f t="shared" si="1"/>
        <v xml:space="preserve"> </v>
      </c>
      <c r="B17" s="138"/>
      <c r="C17" s="153" t="s">
        <v>70</v>
      </c>
      <c r="D17" s="138" t="s">
        <v>59</v>
      </c>
      <c r="E17" s="130">
        <f>E16*F17</f>
        <v>161.04000000000002</v>
      </c>
      <c r="F17" s="130">
        <f>0.4*1.1</f>
        <v>0.44000000000000006</v>
      </c>
      <c r="G17" s="53"/>
      <c r="H17" s="71"/>
      <c r="I17" s="53"/>
      <c r="J17" s="53"/>
      <c r="K17" s="53"/>
      <c r="L17" s="131"/>
      <c r="M17" s="132"/>
      <c r="N17" s="132"/>
      <c r="O17" s="132"/>
      <c r="P17" s="132"/>
      <c r="Q17" s="132"/>
    </row>
    <row r="18" spans="1:249" s="154" customFormat="1" ht="33.75" x14ac:dyDescent="0.2">
      <c r="A18" s="47">
        <f t="shared" si="1"/>
        <v>3</v>
      </c>
      <c r="B18" s="48" t="s">
        <v>25</v>
      </c>
      <c r="C18" s="69" t="s">
        <v>367</v>
      </c>
      <c r="D18" s="50" t="s">
        <v>32</v>
      </c>
      <c r="E18" s="51">
        <f>94*0.5</f>
        <v>47</v>
      </c>
      <c r="F18" s="47"/>
      <c r="G18" s="53"/>
      <c r="H18" s="57"/>
      <c r="I18" s="53"/>
      <c r="J18" s="54"/>
      <c r="K18" s="53"/>
      <c r="L18" s="131"/>
      <c r="M18" s="132"/>
      <c r="N18" s="132"/>
      <c r="O18" s="132"/>
      <c r="P18" s="132"/>
      <c r="Q18" s="132"/>
    </row>
    <row r="19" spans="1:249" s="122" customFormat="1" x14ac:dyDescent="0.2">
      <c r="A19" s="47" t="str">
        <f t="shared" si="1"/>
        <v xml:space="preserve"> </v>
      </c>
      <c r="B19" s="47"/>
      <c r="C19" s="55" t="s">
        <v>368</v>
      </c>
      <c r="D19" s="50" t="s">
        <v>32</v>
      </c>
      <c r="E19" s="70">
        <f>E18*F19</f>
        <v>54.05</v>
      </c>
      <c r="F19" s="47">
        <v>1.1499999999999999</v>
      </c>
      <c r="G19" s="47"/>
      <c r="H19" s="47"/>
      <c r="I19" s="47"/>
      <c r="J19" s="70"/>
      <c r="K19" s="70"/>
      <c r="L19" s="131"/>
      <c r="M19" s="132"/>
      <c r="N19" s="132"/>
      <c r="O19" s="132"/>
      <c r="P19" s="132"/>
      <c r="Q19" s="132"/>
    </row>
    <row r="20" spans="1:249" s="122" customFormat="1" x14ac:dyDescent="0.2">
      <c r="A20" s="47" t="str">
        <f t="shared" si="1"/>
        <v xml:space="preserve"> </v>
      </c>
      <c r="B20" s="47"/>
      <c r="C20" s="59" t="s">
        <v>288</v>
      </c>
      <c r="D20" s="47" t="s">
        <v>41</v>
      </c>
      <c r="E20" s="70">
        <f>E18*F20</f>
        <v>235</v>
      </c>
      <c r="F20" s="70">
        <v>5</v>
      </c>
      <c r="G20" s="70"/>
      <c r="H20" s="70"/>
      <c r="I20" s="70"/>
      <c r="J20" s="70"/>
      <c r="K20" s="70"/>
      <c r="L20" s="131"/>
      <c r="M20" s="132"/>
      <c r="N20" s="132"/>
      <c r="O20" s="132"/>
      <c r="P20" s="132"/>
      <c r="Q20" s="132"/>
    </row>
    <row r="21" spans="1:249" s="122" customFormat="1" ht="22.5" x14ac:dyDescent="0.2">
      <c r="A21" s="47">
        <f>IF(COUNTBLANK(B21)=1," ",COUNTA($B$13:B21))</f>
        <v>4</v>
      </c>
      <c r="B21" s="48" t="s">
        <v>25</v>
      </c>
      <c r="C21" s="155" t="s">
        <v>313</v>
      </c>
      <c r="D21" s="156" t="s">
        <v>131</v>
      </c>
      <c r="E21" s="157">
        <v>2</v>
      </c>
      <c r="F21" s="70"/>
      <c r="G21" s="53"/>
      <c r="H21" s="57"/>
      <c r="I21" s="53"/>
      <c r="J21" s="54"/>
      <c r="K21" s="53"/>
      <c r="L21" s="131"/>
      <c r="M21" s="132"/>
      <c r="N21" s="132"/>
      <c r="O21" s="132"/>
      <c r="P21" s="132"/>
      <c r="Q21" s="132"/>
    </row>
    <row r="22" spans="1:249" s="158" customFormat="1" ht="22.5" x14ac:dyDescent="0.2">
      <c r="A22" s="47">
        <f>IF(COUNTBLANK(B22)=1," ",COUNTA($B$13:B22))</f>
        <v>5</v>
      </c>
      <c r="B22" s="145" t="s">
        <v>25</v>
      </c>
      <c r="C22" s="155" t="s">
        <v>141</v>
      </c>
      <c r="D22" s="138" t="s">
        <v>59</v>
      </c>
      <c r="E22" s="157">
        <v>0.4</v>
      </c>
      <c r="F22" s="71"/>
      <c r="G22" s="71"/>
      <c r="H22" s="57"/>
      <c r="I22" s="71"/>
      <c r="J22" s="54"/>
      <c r="K22" s="71"/>
      <c r="L22" s="131"/>
      <c r="M22" s="132"/>
      <c r="N22" s="132"/>
      <c r="O22" s="132"/>
      <c r="P22" s="132"/>
      <c r="Q22" s="13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</row>
    <row r="23" spans="1:249" s="158" customFormat="1" x14ac:dyDescent="0.2">
      <c r="A23" s="47" t="str">
        <f>IF(COUNTBLANK(B23)=1," ",COUNTA($B$13:B23))</f>
        <v xml:space="preserve"> </v>
      </c>
      <c r="B23" s="147"/>
      <c r="C23" s="159" t="s">
        <v>80</v>
      </c>
      <c r="D23" s="58" t="s">
        <v>59</v>
      </c>
      <c r="E23" s="53">
        <f>ROUNDUP(E22*F23,2)</f>
        <v>0.06</v>
      </c>
      <c r="F23" s="71">
        <v>0.15</v>
      </c>
      <c r="G23" s="71"/>
      <c r="H23" s="71"/>
      <c r="I23" s="71"/>
      <c r="J23" s="71"/>
      <c r="K23" s="71"/>
      <c r="L23" s="131"/>
      <c r="M23" s="132"/>
      <c r="N23" s="132"/>
      <c r="O23" s="132"/>
      <c r="P23" s="132"/>
      <c r="Q23" s="13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</row>
    <row r="24" spans="1:249" s="158" customFormat="1" x14ac:dyDescent="0.2">
      <c r="A24" s="47" t="str">
        <f>IF(COUNTBLANK(B24)=1," ",COUNTA($B$13:B24))</f>
        <v xml:space="preserve"> </v>
      </c>
      <c r="B24" s="147"/>
      <c r="C24" s="159" t="s">
        <v>157</v>
      </c>
      <c r="D24" s="58" t="s">
        <v>59</v>
      </c>
      <c r="E24" s="53">
        <f>ROUNDUP(E22*F24,2)</f>
        <v>0.38</v>
      </c>
      <c r="F24" s="71">
        <v>0.93</v>
      </c>
      <c r="G24" s="71"/>
      <c r="H24" s="71"/>
      <c r="I24" s="71"/>
      <c r="J24" s="71"/>
      <c r="K24" s="71"/>
      <c r="L24" s="131"/>
      <c r="M24" s="132"/>
      <c r="N24" s="132"/>
      <c r="O24" s="132"/>
      <c r="P24" s="132"/>
      <c r="Q24" s="132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</row>
    <row r="25" spans="1:249" s="158" customFormat="1" x14ac:dyDescent="0.2">
      <c r="A25" s="47" t="str">
        <f>IF(COUNTBLANK(B25)=1," ",COUNTA($B$13:B25))</f>
        <v xml:space="preserve"> </v>
      </c>
      <c r="B25" s="147"/>
      <c r="C25" s="159" t="s">
        <v>42</v>
      </c>
      <c r="D25" s="147" t="s">
        <v>131</v>
      </c>
      <c r="E25" s="53">
        <f>ROUNDUP(E22*F25,0)</f>
        <v>1</v>
      </c>
      <c r="F25" s="71">
        <v>0.25</v>
      </c>
      <c r="G25" s="71"/>
      <c r="H25" s="71"/>
      <c r="I25" s="71"/>
      <c r="J25" s="71"/>
      <c r="K25" s="71"/>
      <c r="L25" s="131"/>
      <c r="M25" s="132"/>
      <c r="N25" s="132"/>
      <c r="O25" s="132"/>
      <c r="P25" s="132"/>
      <c r="Q25" s="132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</row>
    <row r="26" spans="1:249" s="158" customFormat="1" ht="22.5" x14ac:dyDescent="0.2">
      <c r="A26" s="47" t="str">
        <f>IF(COUNTBLANK(B26)=1," ",COUNTA($B$13:B26))</f>
        <v xml:space="preserve"> </v>
      </c>
      <c r="B26" s="31"/>
      <c r="C26" s="160" t="s">
        <v>259</v>
      </c>
      <c r="D26" s="31"/>
      <c r="E26" s="161"/>
      <c r="F26" s="73"/>
      <c r="G26" s="71"/>
      <c r="H26" s="71"/>
      <c r="I26" s="71"/>
      <c r="J26" s="71"/>
      <c r="K26" s="71"/>
      <c r="L26" s="131"/>
      <c r="M26" s="132"/>
      <c r="N26" s="132"/>
      <c r="O26" s="132"/>
      <c r="P26" s="132"/>
      <c r="Q26" s="132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</row>
    <row r="27" spans="1:249" s="158" customFormat="1" x14ac:dyDescent="0.2">
      <c r="A27" s="47">
        <f>IF(COUNTBLANK(B27)=1," ",COUNTA($B$13:B27))</f>
        <v>6</v>
      </c>
      <c r="B27" s="145" t="s">
        <v>25</v>
      </c>
      <c r="C27" s="162" t="s">
        <v>260</v>
      </c>
      <c r="D27" s="163"/>
      <c r="E27" s="163"/>
      <c r="F27" s="73"/>
      <c r="G27" s="71"/>
      <c r="H27" s="71"/>
      <c r="I27" s="71"/>
      <c r="J27" s="71"/>
      <c r="K27" s="71"/>
      <c r="L27" s="131"/>
      <c r="M27" s="132"/>
      <c r="N27" s="132"/>
      <c r="O27" s="132"/>
      <c r="P27" s="132"/>
      <c r="Q27" s="132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</row>
    <row r="28" spans="1:249" s="158" customFormat="1" x14ac:dyDescent="0.2">
      <c r="A28" s="47" t="str">
        <f>IF(COUNTBLANK(B28)=1," ",COUNTA($B$13:B28))</f>
        <v xml:space="preserve"> </v>
      </c>
      <c r="B28" s="164"/>
      <c r="C28" s="165" t="s">
        <v>264</v>
      </c>
      <c r="D28" s="164" t="s">
        <v>41</v>
      </c>
      <c r="E28" s="164">
        <v>19.440000000000001</v>
      </c>
      <c r="F28" s="73"/>
      <c r="G28" s="71"/>
      <c r="H28" s="71"/>
      <c r="I28" s="71"/>
      <c r="J28" s="71"/>
      <c r="K28" s="71"/>
      <c r="L28" s="131"/>
      <c r="M28" s="132"/>
      <c r="N28" s="132"/>
      <c r="O28" s="132"/>
      <c r="P28" s="132"/>
      <c r="Q28" s="132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</row>
    <row r="29" spans="1:249" s="158" customFormat="1" x14ac:dyDescent="0.2">
      <c r="A29" s="47" t="str">
        <f>IF(COUNTBLANK(B29)=1," ",COUNTA($B$13:B29))</f>
        <v xml:space="preserve"> </v>
      </c>
      <c r="B29" s="164"/>
      <c r="C29" s="165" t="s">
        <v>264</v>
      </c>
      <c r="D29" s="164" t="s">
        <v>41</v>
      </c>
      <c r="E29" s="164">
        <v>18.144000000000002</v>
      </c>
      <c r="F29" s="73"/>
      <c r="G29" s="71"/>
      <c r="H29" s="71"/>
      <c r="I29" s="71"/>
      <c r="J29" s="71"/>
      <c r="K29" s="71"/>
      <c r="L29" s="131"/>
      <c r="M29" s="132"/>
      <c r="N29" s="132"/>
      <c r="O29" s="132"/>
      <c r="P29" s="132"/>
      <c r="Q29" s="132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</row>
    <row r="30" spans="1:249" s="158" customFormat="1" x14ac:dyDescent="0.2">
      <c r="A30" s="47" t="str">
        <f>IF(COUNTBLANK(B30)=1," ",COUNTA($B$13:B30))</f>
        <v xml:space="preserve"> </v>
      </c>
      <c r="B30" s="164"/>
      <c r="C30" s="165" t="s">
        <v>261</v>
      </c>
      <c r="D30" s="164" t="s">
        <v>143</v>
      </c>
      <c r="E30" s="164">
        <v>12</v>
      </c>
      <c r="F30" s="73"/>
      <c r="G30" s="71"/>
      <c r="H30" s="71"/>
      <c r="I30" s="71"/>
      <c r="J30" s="71"/>
      <c r="K30" s="71"/>
      <c r="L30" s="131"/>
      <c r="M30" s="132"/>
      <c r="N30" s="132"/>
      <c r="O30" s="132"/>
      <c r="P30" s="132"/>
      <c r="Q30" s="132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</row>
    <row r="31" spans="1:249" s="158" customFormat="1" x14ac:dyDescent="0.2">
      <c r="A31" s="47">
        <f>IF(COUNTBLANK(B31)=1," ",COUNTA($B$13:B31))</f>
        <v>7</v>
      </c>
      <c r="B31" s="145" t="s">
        <v>25</v>
      </c>
      <c r="C31" s="166" t="s">
        <v>262</v>
      </c>
      <c r="D31" s="166"/>
      <c r="E31" s="166"/>
      <c r="F31" s="73"/>
      <c r="G31" s="71"/>
      <c r="H31" s="71"/>
      <c r="I31" s="71"/>
      <c r="J31" s="71"/>
      <c r="K31" s="71"/>
      <c r="L31" s="131"/>
      <c r="M31" s="132"/>
      <c r="N31" s="132"/>
      <c r="O31" s="132"/>
      <c r="P31" s="132"/>
      <c r="Q31" s="132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</row>
    <row r="32" spans="1:249" s="158" customFormat="1" x14ac:dyDescent="0.2">
      <c r="A32" s="47" t="str">
        <f>IF(COUNTBLANK(B32)=1," ",COUNTA($B$13:B32))</f>
        <v xml:space="preserve"> </v>
      </c>
      <c r="B32" s="164"/>
      <c r="C32" s="165" t="s">
        <v>265</v>
      </c>
      <c r="D32" s="164" t="s">
        <v>41</v>
      </c>
      <c r="E32" s="164">
        <v>0.94200000000000006</v>
      </c>
      <c r="F32" s="73"/>
      <c r="G32" s="71"/>
      <c r="H32" s="71"/>
      <c r="I32" s="71"/>
      <c r="J32" s="71"/>
      <c r="K32" s="71"/>
      <c r="L32" s="131"/>
      <c r="M32" s="132"/>
      <c r="N32" s="132"/>
      <c r="O32" s="132"/>
      <c r="P32" s="132"/>
      <c r="Q32" s="132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</row>
    <row r="33" spans="1:249" s="158" customFormat="1" x14ac:dyDescent="0.2">
      <c r="A33" s="47" t="str">
        <f>IF(COUNTBLANK(B33)=1," ",COUNTA($B$13:B33))</f>
        <v xml:space="preserve"> </v>
      </c>
      <c r="B33" s="164"/>
      <c r="C33" s="165" t="s">
        <v>266</v>
      </c>
      <c r="D33" s="164" t="s">
        <v>41</v>
      </c>
      <c r="E33" s="167">
        <v>0.78900000000000003</v>
      </c>
      <c r="F33" s="73"/>
      <c r="G33" s="71"/>
      <c r="H33" s="71"/>
      <c r="I33" s="71"/>
      <c r="J33" s="71"/>
      <c r="K33" s="71"/>
      <c r="L33" s="131"/>
      <c r="M33" s="132"/>
      <c r="N33" s="132"/>
      <c r="O33" s="132"/>
      <c r="P33" s="132"/>
      <c r="Q33" s="132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</row>
    <row r="34" spans="1:249" s="158" customFormat="1" x14ac:dyDescent="0.2">
      <c r="A34" s="47" t="str">
        <f>IF(COUNTBLANK(B34)=1," ",COUNTA($B$13:B34))</f>
        <v xml:space="preserve"> </v>
      </c>
      <c r="B34" s="145"/>
      <c r="C34" s="168" t="s">
        <v>263</v>
      </c>
      <c r="D34" s="164" t="s">
        <v>32</v>
      </c>
      <c r="E34" s="164">
        <v>0.8</v>
      </c>
      <c r="F34" s="73"/>
      <c r="G34" s="71"/>
      <c r="H34" s="71"/>
      <c r="I34" s="71"/>
      <c r="J34" s="71"/>
      <c r="K34" s="71"/>
      <c r="L34" s="131"/>
      <c r="M34" s="132"/>
      <c r="N34" s="132"/>
      <c r="O34" s="132"/>
      <c r="P34" s="132"/>
      <c r="Q34" s="132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</row>
    <row r="35" spans="1:249" s="122" customFormat="1" ht="22.5" x14ac:dyDescent="0.2">
      <c r="A35" s="47">
        <f>IF(COUNTBLANK(B35)=1," ",COUNTA($B$13:B35))</f>
        <v>8</v>
      </c>
      <c r="B35" s="48" t="s">
        <v>25</v>
      </c>
      <c r="C35" s="155" t="s">
        <v>77</v>
      </c>
      <c r="D35" s="156" t="s">
        <v>131</v>
      </c>
      <c r="E35" s="169">
        <v>1</v>
      </c>
      <c r="F35" s="70"/>
      <c r="G35" s="53"/>
      <c r="H35" s="57"/>
      <c r="I35" s="53"/>
      <c r="J35" s="54"/>
      <c r="K35" s="53"/>
      <c r="L35" s="131"/>
      <c r="M35" s="132"/>
      <c r="N35" s="132"/>
      <c r="O35" s="132"/>
      <c r="P35" s="132"/>
      <c r="Q35" s="132"/>
    </row>
    <row r="36" spans="1:249" s="122" customFormat="1" x14ac:dyDescent="0.2">
      <c r="A36" s="47" t="str">
        <f>IF(COUNTBLANK(B36)=1," ",COUNTA($B$13:B36))</f>
        <v xml:space="preserve"> </v>
      </c>
      <c r="B36" s="48"/>
      <c r="C36" s="170" t="s">
        <v>142</v>
      </c>
      <c r="D36" s="171" t="s">
        <v>143</v>
      </c>
      <c r="E36" s="172">
        <v>21</v>
      </c>
      <c r="F36" s="70"/>
      <c r="G36" s="71"/>
      <c r="H36" s="57"/>
      <c r="I36" s="71"/>
      <c r="J36" s="54"/>
      <c r="K36" s="71"/>
      <c r="L36" s="131"/>
      <c r="M36" s="132"/>
      <c r="N36" s="132"/>
      <c r="O36" s="132"/>
      <c r="P36" s="132"/>
      <c r="Q36" s="132"/>
    </row>
    <row r="37" spans="1:249" s="122" customFormat="1" ht="22.5" x14ac:dyDescent="0.2">
      <c r="A37" s="47">
        <f>IF(COUNTBLANK(B37)=1," ",COUNTA($B$13:B37))</f>
        <v>9</v>
      </c>
      <c r="B37" s="48" t="s">
        <v>25</v>
      </c>
      <c r="C37" s="155" t="s">
        <v>144</v>
      </c>
      <c r="D37" s="138" t="s">
        <v>59</v>
      </c>
      <c r="E37" s="157">
        <v>0.7</v>
      </c>
      <c r="F37" s="70">
        <v>1.1000000000000001</v>
      </c>
      <c r="G37" s="70"/>
      <c r="H37" s="130"/>
      <c r="I37" s="70"/>
      <c r="J37" s="70"/>
      <c r="K37" s="70"/>
      <c r="L37" s="131"/>
      <c r="M37" s="132"/>
      <c r="N37" s="132"/>
      <c r="O37" s="132"/>
      <c r="P37" s="132"/>
      <c r="Q37" s="132"/>
    </row>
    <row r="38" spans="1:249" s="122" customFormat="1" ht="22.5" x14ac:dyDescent="0.2">
      <c r="A38" s="47">
        <f>IF(COUNTBLANK(B38)=1," ",COUNTA($B$13:B38))</f>
        <v>10</v>
      </c>
      <c r="B38" s="48" t="s">
        <v>25</v>
      </c>
      <c r="C38" s="155" t="s">
        <v>145</v>
      </c>
      <c r="D38" s="138" t="s">
        <v>59</v>
      </c>
      <c r="E38" s="157">
        <v>0.6</v>
      </c>
      <c r="F38" s="70">
        <v>1.1000000000000001</v>
      </c>
      <c r="G38" s="70"/>
      <c r="H38" s="130"/>
      <c r="I38" s="70"/>
      <c r="J38" s="70"/>
      <c r="K38" s="70"/>
      <c r="L38" s="131"/>
      <c r="M38" s="132"/>
      <c r="N38" s="132"/>
      <c r="O38" s="132"/>
      <c r="P38" s="132"/>
      <c r="Q38" s="132"/>
    </row>
    <row r="39" spans="1:249" s="122" customFormat="1" ht="22.5" x14ac:dyDescent="0.2">
      <c r="A39" s="47">
        <f>IF(COUNTBLANK(B39)=1," ",COUNTA($B$13:B39))</f>
        <v>11</v>
      </c>
      <c r="B39" s="48" t="s">
        <v>25</v>
      </c>
      <c r="C39" s="155" t="s">
        <v>299</v>
      </c>
      <c r="D39" s="138" t="s">
        <v>59</v>
      </c>
      <c r="E39" s="157">
        <v>1.5</v>
      </c>
      <c r="F39" s="70">
        <v>1.1000000000000001</v>
      </c>
      <c r="G39" s="53"/>
      <c r="H39" s="57"/>
      <c r="I39" s="53"/>
      <c r="J39" s="54"/>
      <c r="K39" s="53"/>
      <c r="L39" s="131"/>
      <c r="M39" s="132"/>
      <c r="N39" s="132"/>
      <c r="O39" s="132"/>
      <c r="P39" s="132"/>
      <c r="Q39" s="132"/>
    </row>
    <row r="40" spans="1:249" s="122" customFormat="1" ht="12" customHeight="1" x14ac:dyDescent="0.2">
      <c r="A40" s="47">
        <f>IF(COUNTBLANK(B40)=1," ",COUNTA($B$13:B40))</f>
        <v>12</v>
      </c>
      <c r="B40" s="48" t="s">
        <v>25</v>
      </c>
      <c r="C40" s="155" t="s">
        <v>146</v>
      </c>
      <c r="D40" s="125" t="s">
        <v>32</v>
      </c>
      <c r="E40" s="157">
        <v>9</v>
      </c>
      <c r="F40" s="70">
        <v>1.1000000000000001</v>
      </c>
      <c r="G40" s="53"/>
      <c r="H40" s="57"/>
      <c r="I40" s="53"/>
      <c r="J40" s="54"/>
      <c r="K40" s="53"/>
      <c r="L40" s="131"/>
      <c r="M40" s="132"/>
      <c r="N40" s="132"/>
      <c r="O40" s="132"/>
      <c r="P40" s="132"/>
      <c r="Q40" s="132"/>
    </row>
    <row r="41" spans="1:249" ht="22.5" x14ac:dyDescent="0.2">
      <c r="A41" s="122"/>
      <c r="C41" s="340" t="s">
        <v>156</v>
      </c>
      <c r="D41" s="341"/>
      <c r="E41" s="342"/>
      <c r="F41" s="342"/>
      <c r="G41" s="343"/>
      <c r="H41" s="343"/>
      <c r="I41" s="343"/>
      <c r="J41" s="343"/>
      <c r="K41" s="343"/>
      <c r="M41" s="344"/>
      <c r="N41" s="344"/>
      <c r="O41" s="344"/>
      <c r="P41" s="344"/>
      <c r="Q41" s="344"/>
    </row>
    <row r="42" spans="1:249" s="26" customFormat="1" x14ac:dyDescent="0.2">
      <c r="A42" s="31" t="str">
        <f>IF(COUNTBLANK(I42)=1," ",COUNTA($I42:I$160))</f>
        <v xml:space="preserve"> </v>
      </c>
      <c r="B42" s="27"/>
      <c r="C42" s="345"/>
      <c r="D42" s="345"/>
      <c r="E42" s="345"/>
      <c r="F42" s="345"/>
      <c r="G42" s="345"/>
      <c r="H42" s="34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</row>
    <row r="43" spans="1:249" s="26" customFormat="1" x14ac:dyDescent="0.2">
      <c r="A43" s="27"/>
      <c r="B43" s="27"/>
      <c r="C43" s="346" t="str">
        <f>[3]KPDV!$B$31</f>
        <v>Sastādīja:</v>
      </c>
      <c r="D43" s="347"/>
      <c r="E43" s="348"/>
      <c r="F43" s="348"/>
      <c r="G43" s="345"/>
      <c r="H43" s="345"/>
      <c r="I43" s="27"/>
      <c r="J43" s="27"/>
      <c r="K43" s="27"/>
      <c r="L43" s="27"/>
      <c r="M43" s="27"/>
      <c r="N43" s="27"/>
      <c r="O43" s="27"/>
      <c r="P43" s="27"/>
      <c r="Q43" s="27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27"/>
    </row>
    <row r="44" spans="1:249" s="26" customFormat="1" x14ac:dyDescent="0.2">
      <c r="A44" s="27"/>
      <c r="B44" s="27"/>
      <c r="C44" s="346" t="str">
        <f>[3]KPDV!$B$32</f>
        <v>Tāme sastādīta</v>
      </c>
      <c r="D44" s="123"/>
      <c r="E44" s="278"/>
      <c r="F44" s="278"/>
      <c r="G44" s="345"/>
      <c r="H44" s="345"/>
      <c r="I44" s="27"/>
      <c r="J44" s="27"/>
      <c r="K44" s="27"/>
      <c r="L44" s="27"/>
      <c r="M44" s="27"/>
      <c r="N44" s="27"/>
      <c r="O44" s="27"/>
      <c r="P44" s="27"/>
      <c r="Q44" s="27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75"/>
      <c r="II44" s="75"/>
      <c r="IJ44" s="75"/>
      <c r="IK44" s="75"/>
    </row>
    <row r="45" spans="1:249" s="26" customFormat="1" x14ac:dyDescent="0.2">
      <c r="A45" s="27"/>
      <c r="B45" s="27"/>
      <c r="C45" s="346"/>
      <c r="D45" s="123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27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</row>
    <row r="46" spans="1:249" x14ac:dyDescent="0.2">
      <c r="C46" s="346" t="str">
        <f>[3]KPDV!$B$34</f>
        <v>Pārbaudīja:</v>
      </c>
      <c r="D46" s="347"/>
      <c r="E46" s="348"/>
      <c r="F46" s="348"/>
      <c r="G46" s="123"/>
      <c r="H46" s="123"/>
      <c r="I46" s="123"/>
      <c r="J46" s="123"/>
      <c r="K46" s="123"/>
      <c r="L46" s="123"/>
      <c r="M46" s="123"/>
      <c r="N46" s="123"/>
      <c r="O46" s="123"/>
      <c r="P46" s="123"/>
    </row>
    <row r="47" spans="1:249" x14ac:dyDescent="0.2">
      <c r="C47" s="346" t="str">
        <f>[3]KPDV!$B$35</f>
        <v>Sertifikāta Nr.:</v>
      </c>
      <c r="D47" s="347"/>
      <c r="E47" s="349"/>
      <c r="F47" s="349"/>
      <c r="G47" s="123"/>
      <c r="H47" s="123"/>
      <c r="I47" s="123"/>
      <c r="J47" s="123"/>
      <c r="K47" s="123"/>
      <c r="L47" s="123"/>
      <c r="M47" s="350"/>
      <c r="N47" s="123"/>
      <c r="O47" s="350"/>
      <c r="P47" s="123"/>
    </row>
    <row r="48" spans="1:249" x14ac:dyDescent="0.2">
      <c r="I48" s="351"/>
      <c r="J48" s="267"/>
      <c r="K48" s="267"/>
      <c r="O48" s="267"/>
      <c r="P48" s="267"/>
    </row>
    <row r="49" spans="2:17" ht="12.75" x14ac:dyDescent="0.2">
      <c r="B49" s="352" t="s">
        <v>348</v>
      </c>
      <c r="C49" s="353"/>
      <c r="D49" s="354"/>
      <c r="E49" s="354"/>
      <c r="F49" s="354"/>
      <c r="G49" s="355"/>
      <c r="H49" s="354"/>
      <c r="I49" s="354"/>
      <c r="J49" s="354"/>
      <c r="K49" s="354"/>
      <c r="L49" s="354"/>
      <c r="M49" s="354"/>
      <c r="N49" s="354"/>
      <c r="O49" s="354"/>
      <c r="P49" s="354"/>
      <c r="Q49" s="354"/>
    </row>
    <row r="50" spans="2:17" x14ac:dyDescent="0.2">
      <c r="B50" s="374" t="s">
        <v>349</v>
      </c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/>
    </row>
    <row r="51" spans="2:17" x14ac:dyDescent="0.2"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</row>
    <row r="52" spans="2:17" x14ac:dyDescent="0.2"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</row>
  </sheetData>
  <sheetProtection selectLockedCells="1" selectUnlockedCells="1"/>
  <autoFilter ref="A12:Q40" xr:uid="{00000000-0009-0000-0000-000007000000}"/>
  <mergeCells count="13">
    <mergeCell ref="B50:Q52"/>
    <mergeCell ref="G10:L10"/>
    <mergeCell ref="M10:Q10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E10:E11"/>
  </mergeCells>
  <pageMargins left="0.39374999999999999" right="0" top="0.59027777777777779" bottom="0.39374999999999999" header="0.51180555555555551" footer="0.51180555555555551"/>
  <pageSetup paperSize="9" firstPageNumber="0" orientation="landscape" horizontalDpi="300" verticalDpi="300" r:id="rId1"/>
  <headerFooter alignWithMargins="0"/>
  <rowBreaks count="2" manualBreakCount="2">
    <brk id="25" max="16383" man="1"/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L81"/>
  <sheetViews>
    <sheetView tabSelected="1" view="pageBreakPreview" topLeftCell="A8" zoomScale="85" zoomScaleNormal="85" zoomScaleSheetLayoutView="85" workbookViewId="0">
      <selection activeCell="D24" sqref="D24"/>
    </sheetView>
  </sheetViews>
  <sheetFormatPr defaultColWidth="11.5703125" defaultRowHeight="11.25" x14ac:dyDescent="0.2"/>
  <cols>
    <col min="1" max="1" width="4.5703125" style="27" customWidth="1"/>
    <col min="2" max="2" width="5.140625" style="27" customWidth="1"/>
    <col min="3" max="3" width="33.140625" style="151" customWidth="1"/>
    <col min="4" max="4" width="6.42578125" style="92" customWidth="1"/>
    <col min="5" max="5" width="7.85546875" style="92" customWidth="1"/>
    <col min="6" max="6" width="5.5703125" style="27" hidden="1" customWidth="1"/>
    <col min="7" max="7" width="9.140625" style="27" customWidth="1"/>
    <col min="8" max="13" width="7" style="27" customWidth="1"/>
    <col min="14" max="17" width="8" style="27" customWidth="1"/>
    <col min="18" max="16384" width="11.5703125" style="27"/>
  </cols>
  <sheetData>
    <row r="1" spans="1:17" x14ac:dyDescent="0.2">
      <c r="A1" s="379" t="s">
        <v>11</v>
      </c>
      <c r="B1" s="379"/>
      <c r="C1" s="379"/>
      <c r="D1" s="379"/>
      <c r="E1" s="379"/>
      <c r="F1" s="379"/>
      <c r="G1" s="379"/>
      <c r="H1" s="26">
        <f>KPDV!A21</f>
        <v>7</v>
      </c>
      <c r="I1" s="26"/>
      <c r="J1" s="26"/>
      <c r="K1" s="26"/>
      <c r="L1" s="26"/>
      <c r="M1" s="26"/>
      <c r="N1" s="26"/>
      <c r="O1" s="26"/>
      <c r="P1" s="26"/>
      <c r="Q1" s="26"/>
    </row>
    <row r="2" spans="1:17" x14ac:dyDescent="0.2">
      <c r="A2" s="28"/>
      <c r="B2" s="28"/>
      <c r="C2" s="29" t="s">
        <v>71</v>
      </c>
      <c r="D2" s="28"/>
      <c r="E2" s="28"/>
      <c r="F2" s="28"/>
      <c r="G2" s="28"/>
      <c r="H2" s="28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">
      <c r="A3" s="364" t="str">
        <f>KPDV!A5</f>
        <v>Būves nosaukums: Daudzdzīvokļu dzīvojamā ēka</v>
      </c>
      <c r="B3" s="364"/>
      <c r="C3" s="364"/>
      <c r="D3" s="364"/>
      <c r="E3" s="364"/>
      <c r="F3" s="364"/>
      <c r="G3" s="364"/>
      <c r="H3" s="364"/>
      <c r="I3" s="30"/>
      <c r="J3" s="30"/>
      <c r="K3" s="30"/>
      <c r="L3" s="30"/>
      <c r="M3" s="31"/>
      <c r="N3" s="31"/>
      <c r="O3" s="31"/>
      <c r="P3" s="31"/>
      <c r="Q3" s="26"/>
    </row>
    <row r="4" spans="1:17" x14ac:dyDescent="0.2">
      <c r="A4" s="364" t="str">
        <f>KPDV!A6</f>
        <v>Objekta nosaukums: Dzīvojamās ēkas fasādes vienkāršota atjaunošana</v>
      </c>
      <c r="B4" s="364"/>
      <c r="C4" s="364"/>
      <c r="D4" s="364"/>
      <c r="E4" s="364"/>
      <c r="F4" s="364"/>
      <c r="G4" s="364"/>
      <c r="H4" s="364"/>
      <c r="I4" s="32"/>
      <c r="J4" s="32"/>
      <c r="K4" s="31"/>
      <c r="L4" s="31"/>
      <c r="M4" s="31"/>
      <c r="N4" s="31"/>
      <c r="O4" s="31"/>
      <c r="P4" s="31"/>
      <c r="Q4" s="26"/>
    </row>
    <row r="5" spans="1:17" x14ac:dyDescent="0.2">
      <c r="A5" s="33" t="str">
        <f>KPDV!A7</f>
        <v>Objekta adrese: Raiņa iela 18/20, Liepāja</v>
      </c>
      <c r="B5" s="33"/>
      <c r="C5" s="33"/>
      <c r="D5" s="33"/>
      <c r="E5" s="34"/>
      <c r="F5" s="34"/>
      <c r="G5" s="33"/>
      <c r="H5" s="33"/>
      <c r="I5" s="32"/>
      <c r="J5" s="32"/>
      <c r="K5" s="31"/>
      <c r="L5" s="31"/>
      <c r="M5" s="31"/>
      <c r="N5" s="31"/>
      <c r="O5" s="31"/>
      <c r="P5" s="31"/>
      <c r="Q5" s="26"/>
    </row>
    <row r="6" spans="1:17" x14ac:dyDescent="0.2">
      <c r="A6" s="33" t="str">
        <f>KPDV!A8</f>
        <v>Pasūtījuma Nr.: EA-78-16</v>
      </c>
      <c r="B6" s="33"/>
      <c r="C6" s="33"/>
      <c r="D6" s="33"/>
      <c r="E6" s="33"/>
      <c r="F6" s="33"/>
      <c r="G6" s="33"/>
      <c r="H6" s="33"/>
      <c r="I6" s="32"/>
      <c r="J6" s="32"/>
      <c r="K6" s="31"/>
      <c r="L6" s="31"/>
      <c r="M6" s="31"/>
      <c r="N6" s="31"/>
      <c r="O6" s="31"/>
      <c r="P6" s="31"/>
      <c r="Q6" s="26"/>
    </row>
    <row r="7" spans="1:17" x14ac:dyDescent="0.2">
      <c r="A7" s="33"/>
      <c r="B7" s="33"/>
      <c r="C7" s="33"/>
      <c r="D7" s="33"/>
      <c r="E7" s="33"/>
      <c r="F7" s="33"/>
      <c r="G7" s="33"/>
      <c r="H7" s="33"/>
      <c r="I7" s="32"/>
      <c r="J7" s="32"/>
      <c r="K7" s="31"/>
      <c r="L7" s="31"/>
      <c r="M7" s="31"/>
      <c r="N7" s="31"/>
      <c r="O7" s="31"/>
      <c r="P7" s="31"/>
      <c r="Q7" s="26"/>
    </row>
    <row r="8" spans="1:17" x14ac:dyDescent="0.2">
      <c r="A8" s="380" t="s">
        <v>341</v>
      </c>
      <c r="B8" s="380"/>
      <c r="C8" s="380"/>
      <c r="D8" s="380"/>
      <c r="E8" s="35" t="s">
        <v>13</v>
      </c>
      <c r="F8" s="26"/>
      <c r="G8" s="381" t="s">
        <v>14</v>
      </c>
      <c r="H8" s="381"/>
      <c r="I8" s="381"/>
      <c r="J8" s="381"/>
      <c r="K8" s="36"/>
      <c r="L8" s="36"/>
      <c r="M8" s="36"/>
      <c r="N8" s="36" t="s">
        <v>15</v>
      </c>
      <c r="O8" s="36"/>
      <c r="P8" s="37">
        <f>Q71</f>
        <v>0</v>
      </c>
      <c r="Q8" s="21" t="s">
        <v>16</v>
      </c>
    </row>
    <row r="9" spans="1:17" x14ac:dyDescent="0.2">
      <c r="B9" s="38"/>
      <c r="C9" s="29"/>
      <c r="D9" s="35"/>
      <c r="E9" s="35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27" t="str">
        <f>dat</f>
        <v>Tāme sastādīta .gada</v>
      </c>
    </row>
    <row r="10" spans="1:17" ht="11.25" customHeight="1" x14ac:dyDescent="0.2">
      <c r="A10" s="376" t="s">
        <v>17</v>
      </c>
      <c r="B10" s="376" t="s">
        <v>18</v>
      </c>
      <c r="C10" s="393" t="s">
        <v>19</v>
      </c>
      <c r="D10" s="378" t="s">
        <v>20</v>
      </c>
      <c r="E10" s="376" t="s">
        <v>21</v>
      </c>
      <c r="F10" s="39"/>
      <c r="G10" s="375" t="s">
        <v>22</v>
      </c>
      <c r="H10" s="375"/>
      <c r="I10" s="375"/>
      <c r="J10" s="375"/>
      <c r="K10" s="375"/>
      <c r="L10" s="375"/>
      <c r="M10" s="375" t="s">
        <v>23</v>
      </c>
      <c r="N10" s="375"/>
      <c r="O10" s="375"/>
      <c r="P10" s="375"/>
      <c r="Q10" s="375"/>
    </row>
    <row r="11" spans="1:17" ht="66.75" x14ac:dyDescent="0.2">
      <c r="A11" s="376"/>
      <c r="B11" s="376"/>
      <c r="C11" s="393"/>
      <c r="D11" s="378"/>
      <c r="E11" s="376"/>
      <c r="F11" s="39"/>
      <c r="G11" s="328" t="s">
        <v>342</v>
      </c>
      <c r="H11" s="329" t="s">
        <v>343</v>
      </c>
      <c r="I11" s="329" t="s">
        <v>344</v>
      </c>
      <c r="J11" s="329" t="s">
        <v>345</v>
      </c>
      <c r="K11" s="329" t="s">
        <v>346</v>
      </c>
      <c r="L11" s="330" t="s">
        <v>333</v>
      </c>
      <c r="M11" s="328" t="s">
        <v>24</v>
      </c>
      <c r="N11" s="329" t="s">
        <v>344</v>
      </c>
      <c r="O11" s="329" t="s">
        <v>345</v>
      </c>
      <c r="P11" s="329" t="s">
        <v>346</v>
      </c>
      <c r="Q11" s="330" t="s">
        <v>347</v>
      </c>
    </row>
    <row r="12" spans="1:17" x14ac:dyDescent="0.2">
      <c r="A12" s="81">
        <v>1</v>
      </c>
      <c r="B12" s="81">
        <f>A12+1</f>
        <v>2</v>
      </c>
      <c r="C12" s="136">
        <f>B12+1</f>
        <v>3</v>
      </c>
      <c r="D12" s="81">
        <f>C12+1</f>
        <v>4</v>
      </c>
      <c r="E12" s="81">
        <f>D12+1</f>
        <v>5</v>
      </c>
      <c r="F12" s="137"/>
      <c r="G12" s="81">
        <f>E12+1</f>
        <v>6</v>
      </c>
      <c r="H12" s="81">
        <f t="shared" ref="H12:Q12" si="0">G12+1</f>
        <v>7</v>
      </c>
      <c r="I12" s="81">
        <f t="shared" si="0"/>
        <v>8</v>
      </c>
      <c r="J12" s="81">
        <f t="shared" si="0"/>
        <v>9</v>
      </c>
      <c r="K12" s="81">
        <f t="shared" si="0"/>
        <v>10</v>
      </c>
      <c r="L12" s="81">
        <f t="shared" si="0"/>
        <v>11</v>
      </c>
      <c r="M12" s="81">
        <f t="shared" si="0"/>
        <v>12</v>
      </c>
      <c r="N12" s="81">
        <f t="shared" si="0"/>
        <v>13</v>
      </c>
      <c r="O12" s="81">
        <f t="shared" si="0"/>
        <v>14</v>
      </c>
      <c r="P12" s="81">
        <f t="shared" si="0"/>
        <v>15</v>
      </c>
      <c r="Q12" s="81">
        <f t="shared" si="0"/>
        <v>16</v>
      </c>
    </row>
    <row r="13" spans="1:17" x14ac:dyDescent="0.2">
      <c r="A13" s="47">
        <f>IF(COUNTBLANK(B13)=1," ",COUNTA($B$13:B13))</f>
        <v>1</v>
      </c>
      <c r="B13" s="48" t="s">
        <v>25</v>
      </c>
      <c r="C13" s="134" t="s">
        <v>240</v>
      </c>
      <c r="D13" s="138" t="s">
        <v>27</v>
      </c>
      <c r="E13" s="135">
        <f>6*11</f>
        <v>66</v>
      </c>
      <c r="F13" s="137"/>
      <c r="G13" s="71"/>
      <c r="H13" s="57"/>
      <c r="I13" s="71"/>
      <c r="J13" s="71"/>
      <c r="K13" s="71"/>
      <c r="L13" s="131"/>
      <c r="M13" s="132"/>
      <c r="N13" s="132"/>
      <c r="O13" s="132"/>
      <c r="P13" s="132"/>
      <c r="Q13" s="132"/>
    </row>
    <row r="14" spans="1:17" x14ac:dyDescent="0.2">
      <c r="A14" s="47">
        <f>IF(COUNTBLANK(B14)=1," ",COUNTA($B$13:B14))</f>
        <v>2</v>
      </c>
      <c r="B14" s="48" t="s">
        <v>25</v>
      </c>
      <c r="C14" s="134" t="s">
        <v>241</v>
      </c>
      <c r="D14" s="135" t="s">
        <v>27</v>
      </c>
      <c r="E14" s="135">
        <f>2*38</f>
        <v>76</v>
      </c>
      <c r="F14" s="135"/>
      <c r="G14" s="71"/>
      <c r="H14" s="57"/>
      <c r="I14" s="71"/>
      <c r="J14" s="71"/>
      <c r="K14" s="71"/>
      <c r="L14" s="131"/>
      <c r="M14" s="132"/>
      <c r="N14" s="132"/>
      <c r="O14" s="132"/>
      <c r="P14" s="132"/>
      <c r="Q14" s="132"/>
    </row>
    <row r="15" spans="1:17" ht="22.5" x14ac:dyDescent="0.2">
      <c r="A15" s="47">
        <f>IF(COUNTBLANK(B15)=1," ",COUNTA($B$13:B15))</f>
        <v>3</v>
      </c>
      <c r="B15" s="48" t="s">
        <v>25</v>
      </c>
      <c r="C15" s="134" t="s">
        <v>242</v>
      </c>
      <c r="D15" s="135" t="s">
        <v>27</v>
      </c>
      <c r="E15" s="135">
        <f>E13</f>
        <v>66</v>
      </c>
      <c r="F15" s="130">
        <v>2</v>
      </c>
      <c r="G15" s="121"/>
      <c r="H15" s="57"/>
      <c r="I15" s="71"/>
      <c r="J15" s="121"/>
      <c r="K15" s="139"/>
      <c r="L15" s="131"/>
      <c r="M15" s="132"/>
      <c r="N15" s="132"/>
      <c r="O15" s="132"/>
      <c r="P15" s="132"/>
      <c r="Q15" s="132"/>
    </row>
    <row r="16" spans="1:17" ht="22.5" x14ac:dyDescent="0.2">
      <c r="A16" s="47">
        <f>IF(COUNTBLANK(B16)=1," ",COUNTA($B$13:B16))</f>
        <v>4</v>
      </c>
      <c r="B16" s="48" t="s">
        <v>25</v>
      </c>
      <c r="C16" s="134" t="s">
        <v>243</v>
      </c>
      <c r="D16" s="135" t="s">
        <v>27</v>
      </c>
      <c r="E16" s="135">
        <f>E14</f>
        <v>76</v>
      </c>
      <c r="F16" s="130">
        <v>4</v>
      </c>
      <c r="G16" s="121"/>
      <c r="H16" s="57"/>
      <c r="I16" s="71"/>
      <c r="J16" s="121"/>
      <c r="K16" s="139"/>
      <c r="L16" s="131"/>
      <c r="M16" s="132"/>
      <c r="N16" s="132"/>
      <c r="O16" s="132"/>
      <c r="P16" s="132"/>
      <c r="Q16" s="132"/>
    </row>
    <row r="17" spans="1:19" ht="33.75" x14ac:dyDescent="0.2">
      <c r="A17" s="47">
        <f>IF(COUNTBLANK(B17)=1," ",COUNTA($B$13:B17))</f>
        <v>5</v>
      </c>
      <c r="B17" s="48" t="s">
        <v>25</v>
      </c>
      <c r="C17" s="134" t="s">
        <v>369</v>
      </c>
      <c r="D17" s="135" t="s">
        <v>27</v>
      </c>
      <c r="E17" s="135">
        <v>532</v>
      </c>
      <c r="F17" s="130">
        <v>1.1000000000000001</v>
      </c>
      <c r="G17" s="121"/>
      <c r="H17" s="57"/>
      <c r="I17" s="71"/>
      <c r="J17" s="121"/>
      <c r="K17" s="139"/>
      <c r="L17" s="131"/>
      <c r="M17" s="132"/>
      <c r="N17" s="132"/>
      <c r="O17" s="132"/>
      <c r="P17" s="132"/>
      <c r="Q17" s="132"/>
    </row>
    <row r="18" spans="1:19" x14ac:dyDescent="0.2">
      <c r="A18" s="47"/>
      <c r="B18" s="48"/>
      <c r="C18" s="129" t="s">
        <v>72</v>
      </c>
      <c r="D18" s="130" t="s">
        <v>59</v>
      </c>
      <c r="E18" s="130">
        <f>E17*0.02*0.05</f>
        <v>0.53200000000000003</v>
      </c>
      <c r="F18" s="130"/>
      <c r="G18" s="81"/>
      <c r="H18" s="81"/>
      <c r="I18" s="81"/>
      <c r="J18" s="81"/>
      <c r="K18" s="81"/>
      <c r="L18" s="131"/>
      <c r="M18" s="132"/>
      <c r="N18" s="132"/>
      <c r="O18" s="132"/>
      <c r="P18" s="132"/>
      <c r="Q18" s="132"/>
    </row>
    <row r="19" spans="1:19" x14ac:dyDescent="0.2">
      <c r="A19" s="47"/>
      <c r="B19" s="48"/>
      <c r="C19" s="129" t="s">
        <v>73</v>
      </c>
      <c r="D19" s="130" t="s">
        <v>41</v>
      </c>
      <c r="E19" s="130">
        <f>E18*F19</f>
        <v>18.62</v>
      </c>
      <c r="F19" s="130">
        <v>35</v>
      </c>
      <c r="G19" s="81"/>
      <c r="H19" s="81"/>
      <c r="I19" s="81"/>
      <c r="J19" s="81"/>
      <c r="K19" s="81"/>
      <c r="L19" s="131"/>
      <c r="M19" s="132"/>
      <c r="N19" s="132"/>
      <c r="O19" s="132"/>
      <c r="P19" s="132"/>
      <c r="Q19" s="132"/>
    </row>
    <row r="20" spans="1:19" x14ac:dyDescent="0.2">
      <c r="A20" s="47">
        <f>IF(COUNTBLANK(B20)=1," ",COUNTA($B$13:B20))</f>
        <v>6</v>
      </c>
      <c r="B20" s="48" t="s">
        <v>25</v>
      </c>
      <c r="C20" s="134" t="s">
        <v>147</v>
      </c>
      <c r="D20" s="135" t="s">
        <v>32</v>
      </c>
      <c r="E20" s="135">
        <v>532</v>
      </c>
      <c r="F20" s="130">
        <v>1.1000000000000001</v>
      </c>
      <c r="G20" s="121"/>
      <c r="H20" s="57"/>
      <c r="I20" s="71"/>
      <c r="J20" s="121"/>
      <c r="K20" s="139"/>
      <c r="L20" s="131"/>
      <c r="M20" s="132"/>
      <c r="N20" s="132"/>
      <c r="O20" s="132"/>
      <c r="P20" s="132"/>
      <c r="Q20" s="132"/>
    </row>
    <row r="21" spans="1:19" ht="45" x14ac:dyDescent="0.2">
      <c r="A21" s="47">
        <f>IF(COUNTBLANK(B21)=1," ",COUNTA($B$13:B21))</f>
        <v>7</v>
      </c>
      <c r="B21" s="48" t="s">
        <v>25</v>
      </c>
      <c r="C21" s="134" t="s">
        <v>245</v>
      </c>
      <c r="D21" s="135" t="s">
        <v>27</v>
      </c>
      <c r="E21" s="135">
        <v>532</v>
      </c>
      <c r="F21" s="130"/>
      <c r="G21" s="121"/>
      <c r="H21" s="57"/>
      <c r="I21" s="71"/>
      <c r="J21" s="121"/>
      <c r="K21" s="139"/>
      <c r="L21" s="131"/>
      <c r="M21" s="132"/>
      <c r="N21" s="132"/>
      <c r="O21" s="132"/>
      <c r="P21" s="132"/>
      <c r="Q21" s="132"/>
    </row>
    <row r="22" spans="1:19" x14ac:dyDescent="0.2">
      <c r="A22" s="47"/>
      <c r="B22" s="48"/>
      <c r="C22" s="129" t="s">
        <v>72</v>
      </c>
      <c r="D22" s="130" t="s">
        <v>59</v>
      </c>
      <c r="E22" s="130">
        <f>E21*0.02*0.05</f>
        <v>0.53200000000000003</v>
      </c>
      <c r="F22" s="130"/>
      <c r="G22" s="81"/>
      <c r="H22" s="81"/>
      <c r="I22" s="81"/>
      <c r="J22" s="81"/>
      <c r="K22" s="81"/>
      <c r="L22" s="131"/>
      <c r="M22" s="132"/>
      <c r="N22" s="132"/>
      <c r="O22" s="132"/>
      <c r="P22" s="132"/>
      <c r="Q22" s="132"/>
    </row>
    <row r="23" spans="1:19" x14ac:dyDescent="0.2">
      <c r="A23" s="47"/>
      <c r="B23" s="48"/>
      <c r="C23" s="129" t="s">
        <v>73</v>
      </c>
      <c r="D23" s="130" t="s">
        <v>41</v>
      </c>
      <c r="E23" s="130">
        <f>E22*F23</f>
        <v>18.62</v>
      </c>
      <c r="F23" s="130">
        <v>35</v>
      </c>
      <c r="G23" s="81"/>
      <c r="H23" s="81"/>
      <c r="I23" s="81"/>
      <c r="J23" s="81"/>
      <c r="K23" s="81"/>
      <c r="L23" s="131"/>
      <c r="M23" s="132"/>
      <c r="N23" s="132"/>
      <c r="O23" s="132"/>
      <c r="P23" s="132"/>
      <c r="Q23" s="132"/>
    </row>
    <row r="24" spans="1:19" ht="45" x14ac:dyDescent="0.2">
      <c r="A24" s="47">
        <f>IF(COUNTBLANK(B24)=1," ",COUNTA($B$13:B24))</f>
        <v>8</v>
      </c>
      <c r="B24" s="48" t="s">
        <v>25</v>
      </c>
      <c r="C24" s="408" t="s">
        <v>401</v>
      </c>
      <c r="D24" s="135" t="s">
        <v>27</v>
      </c>
      <c r="E24" s="410">
        <v>2672</v>
      </c>
      <c r="F24" s="130">
        <v>1.1000000000000001</v>
      </c>
      <c r="G24" s="121"/>
      <c r="H24" s="57"/>
      <c r="I24" s="71"/>
      <c r="J24" s="121"/>
      <c r="K24" s="139"/>
      <c r="L24" s="131"/>
      <c r="M24" s="132"/>
      <c r="N24" s="132"/>
      <c r="O24" s="132"/>
      <c r="P24" s="132"/>
      <c r="Q24" s="132"/>
    </row>
    <row r="25" spans="1:19" x14ac:dyDescent="0.2">
      <c r="A25" s="47"/>
      <c r="B25" s="48"/>
      <c r="C25" s="129" t="s">
        <v>72</v>
      </c>
      <c r="D25" s="130" t="s">
        <v>59</v>
      </c>
      <c r="E25" s="409">
        <f>E24*0.032*0.1*1.1</f>
        <v>9.4054400000000022</v>
      </c>
      <c r="F25" s="130"/>
      <c r="G25" s="81"/>
      <c r="H25" s="81"/>
      <c r="I25" s="81"/>
      <c r="J25" s="81"/>
      <c r="K25" s="81"/>
      <c r="L25" s="131"/>
      <c r="M25" s="132"/>
      <c r="N25" s="132"/>
      <c r="O25" s="132"/>
      <c r="P25" s="132"/>
      <c r="Q25" s="132"/>
    </row>
    <row r="26" spans="1:19" x14ac:dyDescent="0.2">
      <c r="A26" s="47"/>
      <c r="B26" s="48"/>
      <c r="C26" s="129" t="s">
        <v>73</v>
      </c>
      <c r="D26" s="130" t="s">
        <v>41</v>
      </c>
      <c r="E26" s="409">
        <f>E25*F26</f>
        <v>141.08160000000004</v>
      </c>
      <c r="F26" s="130">
        <v>15</v>
      </c>
      <c r="G26" s="81"/>
      <c r="H26" s="81"/>
      <c r="I26" s="81"/>
      <c r="J26" s="81"/>
      <c r="K26" s="81"/>
      <c r="L26" s="131"/>
      <c r="M26" s="132"/>
      <c r="N26" s="132"/>
      <c r="O26" s="132"/>
      <c r="P26" s="132"/>
      <c r="Q26" s="132"/>
      <c r="R26" s="394"/>
      <c r="S26" s="394"/>
    </row>
    <row r="27" spans="1:19" ht="22.5" x14ac:dyDescent="0.2">
      <c r="A27" s="47">
        <f>IF(COUNTBLANK(B27)=1," ",COUNTA($B$13:B27))</f>
        <v>9</v>
      </c>
      <c r="B27" s="48" t="s">
        <v>25</v>
      </c>
      <c r="C27" s="134" t="s">
        <v>370</v>
      </c>
      <c r="D27" s="135" t="s">
        <v>32</v>
      </c>
      <c r="E27" s="135">
        <f>E20</f>
        <v>532</v>
      </c>
      <c r="F27" s="130">
        <v>1.05</v>
      </c>
      <c r="G27" s="140"/>
      <c r="H27" s="57"/>
      <c r="I27" s="140"/>
      <c r="J27" s="140"/>
      <c r="K27" s="140"/>
      <c r="L27" s="131"/>
      <c r="M27" s="132"/>
      <c r="N27" s="132"/>
      <c r="O27" s="132"/>
      <c r="P27" s="132"/>
      <c r="Q27" s="132"/>
      <c r="R27" s="92"/>
      <c r="S27" s="92"/>
    </row>
    <row r="28" spans="1:19" x14ac:dyDescent="0.2">
      <c r="A28" s="47" t="str">
        <f>IF(COUNTBLANK(B28)=1," ",COUNTA($B$13:B28))</f>
        <v xml:space="preserve"> </v>
      </c>
      <c r="B28" s="48"/>
      <c r="C28" s="129" t="s">
        <v>75</v>
      </c>
      <c r="D28" s="138" t="s">
        <v>32</v>
      </c>
      <c r="E28" s="130">
        <f>E27*F28</f>
        <v>611.79999999999995</v>
      </c>
      <c r="F28" s="130">
        <v>1.1499999999999999</v>
      </c>
      <c r="G28" s="81"/>
      <c r="H28" s="81"/>
      <c r="I28" s="81"/>
      <c r="J28" s="81"/>
      <c r="K28" s="81"/>
      <c r="L28" s="131"/>
      <c r="M28" s="132"/>
      <c r="N28" s="132"/>
      <c r="O28" s="132"/>
      <c r="P28" s="132"/>
      <c r="Q28" s="132"/>
      <c r="R28" s="92"/>
      <c r="S28" s="92"/>
    </row>
    <row r="29" spans="1:19" x14ac:dyDescent="0.2">
      <c r="A29" s="47" t="str">
        <f>IF(COUNTBLANK(B29)=1," ",COUNTA($B$13:B29))</f>
        <v xml:space="preserve"> </v>
      </c>
      <c r="B29" s="48"/>
      <c r="C29" s="63" t="s">
        <v>66</v>
      </c>
      <c r="D29" s="47" t="s">
        <v>143</v>
      </c>
      <c r="E29" s="130">
        <f>E27*F29</f>
        <v>3192</v>
      </c>
      <c r="F29" s="130">
        <v>6</v>
      </c>
      <c r="G29" s="81"/>
      <c r="H29" s="81"/>
      <c r="I29" s="81"/>
      <c r="J29" s="81"/>
      <c r="K29" s="81"/>
      <c r="L29" s="131"/>
      <c r="M29" s="132"/>
      <c r="N29" s="132"/>
      <c r="O29" s="132"/>
      <c r="P29" s="132"/>
      <c r="Q29" s="132"/>
      <c r="R29" s="92"/>
      <c r="S29" s="92"/>
    </row>
    <row r="30" spans="1:19" x14ac:dyDescent="0.2">
      <c r="A30" s="47" t="str">
        <f>IF(COUNTBLANK(B30)=1," ",COUNTA($B$13:B30))</f>
        <v xml:space="preserve"> </v>
      </c>
      <c r="B30" s="48"/>
      <c r="C30" s="63" t="s">
        <v>76</v>
      </c>
      <c r="D30" s="138" t="s">
        <v>27</v>
      </c>
      <c r="E30" s="130">
        <f>E27*F30</f>
        <v>611.79999999999995</v>
      </c>
      <c r="F30" s="130">
        <v>1.1499999999999999</v>
      </c>
      <c r="G30" s="81"/>
      <c r="H30" s="81"/>
      <c r="I30" s="81"/>
      <c r="J30" s="81"/>
      <c r="K30" s="81"/>
      <c r="L30" s="131"/>
      <c r="M30" s="132"/>
      <c r="N30" s="132"/>
      <c r="O30" s="132"/>
      <c r="P30" s="132"/>
      <c r="Q30" s="132"/>
      <c r="R30" s="92"/>
      <c r="S30" s="92"/>
    </row>
    <row r="31" spans="1:19" ht="33.75" x14ac:dyDescent="0.2">
      <c r="A31" s="47">
        <f>IF(COUNTBLANK(B31)=1," ",COUNTA($B$13:B31))</f>
        <v>10</v>
      </c>
      <c r="B31" s="48" t="s">
        <v>25</v>
      </c>
      <c r="C31" s="134" t="s">
        <v>148</v>
      </c>
      <c r="D31" s="135" t="s">
        <v>32</v>
      </c>
      <c r="E31" s="135">
        <f>E27</f>
        <v>532</v>
      </c>
      <c r="F31" s="130"/>
      <c r="G31" s="140"/>
      <c r="H31" s="57"/>
      <c r="I31" s="140"/>
      <c r="J31" s="140"/>
      <c r="K31" s="140"/>
      <c r="L31" s="131"/>
      <c r="M31" s="132"/>
      <c r="N31" s="132"/>
      <c r="O31" s="132"/>
      <c r="P31" s="132"/>
      <c r="Q31" s="132"/>
      <c r="R31" s="92"/>
      <c r="S31" s="92"/>
    </row>
    <row r="32" spans="1:19" ht="33.75" x14ac:dyDescent="0.2">
      <c r="A32" s="47">
        <f>IF(COUNTBLANK(B32)=1," ",COUNTA($B$13:B32))</f>
        <v>11</v>
      </c>
      <c r="B32" s="48" t="s">
        <v>25</v>
      </c>
      <c r="C32" s="134" t="s">
        <v>312</v>
      </c>
      <c r="D32" s="135" t="s">
        <v>27</v>
      </c>
      <c r="E32" s="135">
        <v>76</v>
      </c>
      <c r="F32" s="130">
        <v>1.05</v>
      </c>
      <c r="G32" s="121"/>
      <c r="H32" s="57"/>
      <c r="I32" s="71"/>
      <c r="J32" s="121"/>
      <c r="K32" s="139"/>
      <c r="L32" s="131"/>
      <c r="M32" s="132"/>
      <c r="N32" s="132"/>
      <c r="O32" s="132"/>
      <c r="P32" s="132"/>
      <c r="Q32" s="132"/>
      <c r="R32" s="92"/>
      <c r="S32" s="92"/>
    </row>
    <row r="33" spans="1:17" x14ac:dyDescent="0.2">
      <c r="A33" s="47" t="str">
        <f>IF(COUNTBLANK(B33)=1," ",COUNTA($B$13:B33))</f>
        <v xml:space="preserve"> </v>
      </c>
      <c r="B33" s="48"/>
      <c r="C33" s="129" t="s">
        <v>42</v>
      </c>
      <c r="D33" s="85" t="s">
        <v>131</v>
      </c>
      <c r="E33" s="53">
        <f>ROUNDUP(E32*F33,0)</f>
        <v>7</v>
      </c>
      <c r="F33" s="130">
        <v>8.2100000000000006E-2</v>
      </c>
      <c r="G33" s="81"/>
      <c r="H33" s="81"/>
      <c r="I33" s="81"/>
      <c r="J33" s="81"/>
      <c r="K33" s="81"/>
      <c r="L33" s="131"/>
      <c r="M33" s="132"/>
      <c r="N33" s="132"/>
      <c r="O33" s="132"/>
      <c r="P33" s="132"/>
      <c r="Q33" s="132"/>
    </row>
    <row r="34" spans="1:17" x14ac:dyDescent="0.2">
      <c r="A34" s="47" t="str">
        <f>IF(COUNTBLANK(B34)=1," ",COUNTA($B$13:B34))</f>
        <v xml:space="preserve"> </v>
      </c>
      <c r="B34" s="48"/>
      <c r="C34" s="129" t="s">
        <v>74</v>
      </c>
      <c r="D34" s="138" t="s">
        <v>32</v>
      </c>
      <c r="E34" s="130">
        <f>E32*0.4*F34</f>
        <v>31.920000000000005</v>
      </c>
      <c r="F34" s="130">
        <v>1.05</v>
      </c>
      <c r="G34" s="81"/>
      <c r="H34" s="81"/>
      <c r="I34" s="81"/>
      <c r="J34" s="81"/>
      <c r="K34" s="81"/>
      <c r="L34" s="131"/>
      <c r="M34" s="132"/>
      <c r="N34" s="132"/>
      <c r="O34" s="132"/>
      <c r="P34" s="132"/>
      <c r="Q34" s="132"/>
    </row>
    <row r="35" spans="1:17" ht="22.5" x14ac:dyDescent="0.2">
      <c r="A35" s="47">
        <f>IF(COUNTBLANK(B35)=1," ",COUNTA($B$13:B35))</f>
        <v>12</v>
      </c>
      <c r="B35" s="48" t="s">
        <v>25</v>
      </c>
      <c r="C35" s="134" t="s">
        <v>246</v>
      </c>
      <c r="D35" s="135" t="s">
        <v>27</v>
      </c>
      <c r="E35" s="135">
        <v>38</v>
      </c>
      <c r="F35" s="130">
        <v>1.05</v>
      </c>
      <c r="G35" s="121"/>
      <c r="H35" s="57"/>
      <c r="I35" s="71"/>
      <c r="J35" s="121"/>
      <c r="K35" s="139"/>
      <c r="L35" s="131"/>
      <c r="M35" s="132"/>
      <c r="N35" s="132"/>
      <c r="O35" s="132"/>
      <c r="P35" s="132"/>
      <c r="Q35" s="132"/>
    </row>
    <row r="36" spans="1:17" x14ac:dyDescent="0.2">
      <c r="A36" s="47">
        <f>IF(COUNTBLANK(B36)=1," ",COUNTA($B$13:B36))</f>
        <v>13</v>
      </c>
      <c r="B36" s="48" t="s">
        <v>25</v>
      </c>
      <c r="C36" s="63" t="s">
        <v>78</v>
      </c>
      <c r="D36" s="125" t="s">
        <v>32</v>
      </c>
      <c r="E36" s="141">
        <f>50*0.7</f>
        <v>35</v>
      </c>
      <c r="F36" s="130"/>
      <c r="G36" s="140"/>
      <c r="H36" s="57"/>
      <c r="I36" s="140"/>
      <c r="J36" s="140"/>
      <c r="K36" s="140"/>
      <c r="L36" s="131"/>
      <c r="M36" s="132"/>
      <c r="N36" s="132"/>
      <c r="O36" s="132"/>
      <c r="P36" s="132"/>
      <c r="Q36" s="132"/>
    </row>
    <row r="37" spans="1:17" x14ac:dyDescent="0.2">
      <c r="A37" s="47" t="str">
        <f>IF(COUNTBLANK(B37)=1," ",COUNTA($B$13:B37))</f>
        <v xml:space="preserve"> </v>
      </c>
      <c r="B37" s="138"/>
      <c r="C37" s="129" t="s">
        <v>42</v>
      </c>
      <c r="D37" s="130" t="s">
        <v>131</v>
      </c>
      <c r="E37" s="53">
        <f>ROUNDUP(E36*F37,0)</f>
        <v>3</v>
      </c>
      <c r="F37" s="130">
        <v>8.2100000000000006E-2</v>
      </c>
      <c r="G37" s="81"/>
      <c r="H37" s="81"/>
      <c r="I37" s="81"/>
      <c r="J37" s="81"/>
      <c r="K37" s="81"/>
      <c r="L37" s="131"/>
      <c r="M37" s="132"/>
      <c r="N37" s="132"/>
      <c r="O37" s="132"/>
      <c r="P37" s="132"/>
      <c r="Q37" s="132"/>
    </row>
    <row r="38" spans="1:17" x14ac:dyDescent="0.2">
      <c r="A38" s="47" t="str">
        <f>IF(COUNTBLANK(B38)=1," ",COUNTA($B$13:B38))</f>
        <v xml:space="preserve"> </v>
      </c>
      <c r="B38" s="138"/>
      <c r="C38" s="129" t="s">
        <v>74</v>
      </c>
      <c r="D38" s="138" t="s">
        <v>32</v>
      </c>
      <c r="E38" s="130">
        <f>E36*F38</f>
        <v>36.75</v>
      </c>
      <c r="F38" s="130">
        <v>1.05</v>
      </c>
      <c r="G38" s="81"/>
      <c r="H38" s="81"/>
      <c r="I38" s="81"/>
      <c r="J38" s="81"/>
      <c r="K38" s="81"/>
      <c r="L38" s="131"/>
      <c r="M38" s="132"/>
      <c r="N38" s="132"/>
      <c r="O38" s="132"/>
      <c r="P38" s="132"/>
      <c r="Q38" s="132"/>
    </row>
    <row r="39" spans="1:17" ht="45" x14ac:dyDescent="0.2">
      <c r="A39" s="47">
        <f>IF(COUNTBLANK(B39)=1," ",COUNTA($B$13:B39))</f>
        <v>14</v>
      </c>
      <c r="B39" s="48" t="s">
        <v>25</v>
      </c>
      <c r="C39" s="134" t="s">
        <v>371</v>
      </c>
      <c r="D39" s="135" t="s">
        <v>27</v>
      </c>
      <c r="E39" s="135">
        <v>304</v>
      </c>
      <c r="F39" s="130">
        <v>1.1000000000000001</v>
      </c>
      <c r="G39" s="121"/>
      <c r="H39" s="57"/>
      <c r="I39" s="71"/>
      <c r="J39" s="121"/>
      <c r="K39" s="139"/>
      <c r="L39" s="131"/>
      <c r="M39" s="132"/>
      <c r="N39" s="132"/>
      <c r="O39" s="132"/>
      <c r="P39" s="132"/>
      <c r="Q39" s="132"/>
    </row>
    <row r="40" spans="1:17" x14ac:dyDescent="0.2">
      <c r="A40" s="47" t="str">
        <f>IF(COUNTBLANK(B40)=1," ",COUNTA($B$13:B40))</f>
        <v xml:space="preserve"> </v>
      </c>
      <c r="B40" s="48"/>
      <c r="C40" s="129" t="s">
        <v>72</v>
      </c>
      <c r="D40" s="130" t="s">
        <v>59</v>
      </c>
      <c r="E40" s="130">
        <f>E39*0.02*0.08</f>
        <v>0.4864</v>
      </c>
      <c r="F40" s="130"/>
      <c r="G40" s="81"/>
      <c r="H40" s="81"/>
      <c r="I40" s="81"/>
      <c r="J40" s="81"/>
      <c r="K40" s="81"/>
      <c r="L40" s="131"/>
      <c r="M40" s="132"/>
      <c r="N40" s="132"/>
      <c r="O40" s="132"/>
      <c r="P40" s="132"/>
      <c r="Q40" s="132"/>
    </row>
    <row r="41" spans="1:17" x14ac:dyDescent="0.2">
      <c r="A41" s="47" t="str">
        <f>IF(COUNTBLANK(B41)=1," ",COUNTA($B$13:B41))</f>
        <v xml:space="preserve"> </v>
      </c>
      <c r="B41" s="48"/>
      <c r="C41" s="129" t="s">
        <v>73</v>
      </c>
      <c r="D41" s="130" t="s">
        <v>41</v>
      </c>
      <c r="E41" s="130">
        <f>E40*F41</f>
        <v>7.2960000000000003</v>
      </c>
      <c r="F41" s="130">
        <v>15</v>
      </c>
      <c r="G41" s="81"/>
      <c r="H41" s="81"/>
      <c r="I41" s="81"/>
      <c r="J41" s="81"/>
      <c r="K41" s="81"/>
      <c r="L41" s="131"/>
      <c r="M41" s="132"/>
      <c r="N41" s="132"/>
      <c r="O41" s="132"/>
      <c r="P41" s="132"/>
      <c r="Q41" s="132"/>
    </row>
    <row r="42" spans="1:17" ht="33.75" x14ac:dyDescent="0.2">
      <c r="A42" s="47">
        <f>IF(COUNTBLANK(B42)=1," ",COUNTA($B$13:B42))</f>
        <v>15</v>
      </c>
      <c r="B42" s="48" t="s">
        <v>25</v>
      </c>
      <c r="C42" s="134" t="s">
        <v>149</v>
      </c>
      <c r="D42" s="135" t="s">
        <v>27</v>
      </c>
      <c r="E42" s="135">
        <v>76</v>
      </c>
      <c r="F42" s="130">
        <v>1.1000000000000001</v>
      </c>
      <c r="G42" s="121"/>
      <c r="H42" s="57"/>
      <c r="I42" s="71"/>
      <c r="J42" s="121"/>
      <c r="K42" s="139"/>
      <c r="L42" s="131"/>
      <c r="M42" s="132"/>
      <c r="N42" s="132"/>
      <c r="O42" s="132"/>
      <c r="P42" s="132"/>
      <c r="Q42" s="132"/>
    </row>
    <row r="43" spans="1:17" x14ac:dyDescent="0.2">
      <c r="A43" s="47" t="str">
        <f>IF(COUNTBLANK(B43)=1," ",COUNTA($B$13:B43))</f>
        <v xml:space="preserve"> </v>
      </c>
      <c r="B43" s="48"/>
      <c r="C43" s="129" t="s">
        <v>72</v>
      </c>
      <c r="D43" s="130" t="s">
        <v>59</v>
      </c>
      <c r="E43" s="130">
        <f>E42*0.02*0.1</f>
        <v>0.15200000000000002</v>
      </c>
      <c r="F43" s="130"/>
      <c r="G43" s="81"/>
      <c r="H43" s="81"/>
      <c r="I43" s="81"/>
      <c r="J43" s="81"/>
      <c r="K43" s="81"/>
      <c r="L43" s="131"/>
      <c r="M43" s="132"/>
      <c r="N43" s="132"/>
      <c r="O43" s="132"/>
      <c r="P43" s="132"/>
      <c r="Q43" s="132"/>
    </row>
    <row r="44" spans="1:17" x14ac:dyDescent="0.2">
      <c r="A44" s="47" t="str">
        <f>IF(COUNTBLANK(B44)=1," ",COUNTA($B$13:B44))</f>
        <v xml:space="preserve"> </v>
      </c>
      <c r="B44" s="48"/>
      <c r="C44" s="129" t="s">
        <v>73</v>
      </c>
      <c r="D44" s="130" t="s">
        <v>41</v>
      </c>
      <c r="E44" s="130">
        <f>E43*F44</f>
        <v>5.3200000000000012</v>
      </c>
      <c r="F44" s="130">
        <v>35</v>
      </c>
      <c r="G44" s="81"/>
      <c r="H44" s="81"/>
      <c r="I44" s="81"/>
      <c r="J44" s="81"/>
      <c r="K44" s="81"/>
      <c r="L44" s="131"/>
      <c r="M44" s="132"/>
      <c r="N44" s="132"/>
      <c r="O44" s="132"/>
      <c r="P44" s="132"/>
      <c r="Q44" s="132"/>
    </row>
    <row r="45" spans="1:17" x14ac:dyDescent="0.2">
      <c r="A45" s="47">
        <f>IF(COUNTBLANK(B45)=1," ",COUNTA($B$13:B45))</f>
        <v>16</v>
      </c>
      <c r="B45" s="48" t="s">
        <v>25</v>
      </c>
      <c r="C45" s="134" t="s">
        <v>247</v>
      </c>
      <c r="D45" s="135" t="s">
        <v>27</v>
      </c>
      <c r="E45" s="135">
        <v>76</v>
      </c>
      <c r="F45" s="130"/>
      <c r="G45" s="121"/>
      <c r="H45" s="57"/>
      <c r="I45" s="71"/>
      <c r="J45" s="121"/>
      <c r="K45" s="139"/>
      <c r="L45" s="131"/>
      <c r="M45" s="132"/>
      <c r="N45" s="132"/>
      <c r="O45" s="132"/>
      <c r="P45" s="132"/>
      <c r="Q45" s="132"/>
    </row>
    <row r="46" spans="1:17" ht="22.5" x14ac:dyDescent="0.2">
      <c r="A46" s="47">
        <f>IF(COUNTBLANK(B46)=1," ",COUNTA($B$13:B46))</f>
        <v>17</v>
      </c>
      <c r="B46" s="48" t="s">
        <v>25</v>
      </c>
      <c r="C46" s="134" t="s">
        <v>372</v>
      </c>
      <c r="D46" s="135" t="s">
        <v>27</v>
      </c>
      <c r="E46" s="135">
        <f>6*5.5</f>
        <v>33</v>
      </c>
      <c r="F46" s="130"/>
      <c r="G46" s="121"/>
      <c r="H46" s="57"/>
      <c r="I46" s="71"/>
      <c r="J46" s="121"/>
      <c r="K46" s="139"/>
      <c r="L46" s="131"/>
      <c r="M46" s="132"/>
      <c r="N46" s="132"/>
      <c r="O46" s="132"/>
      <c r="P46" s="132"/>
      <c r="Q46" s="132"/>
    </row>
    <row r="47" spans="1:17" x14ac:dyDescent="0.2">
      <c r="A47" s="47" t="str">
        <f>IF(COUNTBLANK(B47)=1," ",COUNTA($B$13:B47))</f>
        <v xml:space="preserve"> </v>
      </c>
      <c r="B47" s="48"/>
      <c r="C47" s="129" t="s">
        <v>42</v>
      </c>
      <c r="D47" s="130" t="s">
        <v>131</v>
      </c>
      <c r="E47" s="53">
        <f>ROUNDUP(E46*F47,0)</f>
        <v>3</v>
      </c>
      <c r="F47" s="130">
        <v>8.2100000000000006E-2</v>
      </c>
      <c r="G47" s="81"/>
      <c r="H47" s="81"/>
      <c r="I47" s="81"/>
      <c r="J47" s="81"/>
      <c r="K47" s="81"/>
      <c r="L47" s="131"/>
      <c r="M47" s="132"/>
      <c r="N47" s="132"/>
      <c r="O47" s="132"/>
      <c r="P47" s="132"/>
      <c r="Q47" s="132"/>
    </row>
    <row r="48" spans="1:17" x14ac:dyDescent="0.2">
      <c r="A48" s="47" t="str">
        <f>IF(COUNTBLANK(B48)=1," ",COUNTA($B$13:B48))</f>
        <v xml:space="preserve"> </v>
      </c>
      <c r="B48" s="48"/>
      <c r="C48" s="129" t="s">
        <v>74</v>
      </c>
      <c r="D48" s="138" t="s">
        <v>32</v>
      </c>
      <c r="E48" s="130">
        <f>E46*F48</f>
        <v>9.9</v>
      </c>
      <c r="F48" s="130">
        <v>0.3</v>
      </c>
      <c r="G48" s="81"/>
      <c r="H48" s="81"/>
      <c r="I48" s="81"/>
      <c r="J48" s="81"/>
      <c r="K48" s="81"/>
      <c r="L48" s="131"/>
      <c r="M48" s="132"/>
      <c r="N48" s="132"/>
      <c r="O48" s="132"/>
      <c r="P48" s="132"/>
      <c r="Q48" s="132"/>
    </row>
    <row r="49" spans="1:246" x14ac:dyDescent="0.2">
      <c r="A49" s="47" t="str">
        <f>IF(COUNTBLANK(B49)=1," ",COUNTA($B$13:B49))</f>
        <v xml:space="preserve"> </v>
      </c>
      <c r="B49" s="48"/>
      <c r="C49" s="134" t="s">
        <v>79</v>
      </c>
      <c r="D49" s="142" t="s">
        <v>27</v>
      </c>
      <c r="E49" s="141">
        <v>30</v>
      </c>
      <c r="F49" s="138"/>
      <c r="G49" s="71"/>
      <c r="H49" s="143"/>
      <c r="I49" s="144"/>
      <c r="J49" s="54"/>
      <c r="K49" s="71"/>
      <c r="L49" s="131"/>
      <c r="M49" s="132"/>
      <c r="N49" s="132"/>
      <c r="O49" s="132"/>
      <c r="P49" s="132"/>
      <c r="Q49" s="132"/>
    </row>
    <row r="50" spans="1:246" x14ac:dyDescent="0.2">
      <c r="A50" s="47">
        <f>IF(COUNTBLANK(B50)=1," ",COUNTA($B$13:B50))</f>
        <v>18</v>
      </c>
      <c r="B50" s="48" t="s">
        <v>25</v>
      </c>
      <c r="C50" s="134" t="s">
        <v>150</v>
      </c>
      <c r="D50" s="135" t="s">
        <v>131</v>
      </c>
      <c r="E50" s="135">
        <v>1</v>
      </c>
      <c r="F50" s="135"/>
      <c r="G50" s="71"/>
      <c r="H50" s="57"/>
      <c r="I50" s="71"/>
      <c r="J50" s="71"/>
      <c r="K50" s="71"/>
      <c r="L50" s="131"/>
      <c r="M50" s="132"/>
      <c r="N50" s="132"/>
      <c r="O50" s="132"/>
      <c r="P50" s="132"/>
      <c r="Q50" s="132"/>
    </row>
    <row r="51" spans="1:246" ht="22.5" x14ac:dyDescent="0.2">
      <c r="A51" s="47">
        <f>IF(COUNTBLANK(B51)=1," ",COUNTA($B$13:B51))</f>
        <v>19</v>
      </c>
      <c r="B51" s="48" t="s">
        <v>25</v>
      </c>
      <c r="C51" s="63" t="s">
        <v>151</v>
      </c>
      <c r="D51" s="125" t="s">
        <v>59</v>
      </c>
      <c r="E51" s="141">
        <f>(1.25*0.5-1*0.3)*0.5</f>
        <v>0.16250000000000001</v>
      </c>
      <c r="F51" s="130"/>
      <c r="G51" s="121"/>
      <c r="H51" s="57"/>
      <c r="I51" s="71"/>
      <c r="J51" s="121"/>
      <c r="K51" s="139"/>
      <c r="L51" s="131"/>
      <c r="M51" s="132"/>
      <c r="N51" s="132"/>
      <c r="O51" s="132"/>
      <c r="P51" s="132"/>
      <c r="Q51" s="132"/>
    </row>
    <row r="52" spans="1:246" x14ac:dyDescent="0.2">
      <c r="A52" s="47" t="str">
        <f>IF(COUNTBLANK(B52)=1," ",COUNTA($B$13:B52))</f>
        <v xml:space="preserve"> </v>
      </c>
      <c r="B52" s="48"/>
      <c r="C52" s="63" t="s">
        <v>80</v>
      </c>
      <c r="D52" s="138" t="s">
        <v>59</v>
      </c>
      <c r="E52" s="130">
        <f>E51*F52</f>
        <v>4.0625000000000001E-2</v>
      </c>
      <c r="F52" s="138">
        <v>0.25</v>
      </c>
      <c r="G52" s="81"/>
      <c r="H52" s="81"/>
      <c r="I52" s="81"/>
      <c r="J52" s="81"/>
      <c r="K52" s="81"/>
      <c r="L52" s="131"/>
      <c r="M52" s="132"/>
      <c r="N52" s="132"/>
      <c r="O52" s="132"/>
      <c r="P52" s="132"/>
      <c r="Q52" s="132"/>
    </row>
    <row r="53" spans="1:246" x14ac:dyDescent="0.2">
      <c r="A53" s="47" t="str">
        <f>IF(COUNTBLANK(B53)=1," ",COUNTA($B$13:B53))</f>
        <v xml:space="preserve"> </v>
      </c>
      <c r="B53" s="48"/>
      <c r="C53" s="63" t="s">
        <v>42</v>
      </c>
      <c r="D53" s="85" t="s">
        <v>131</v>
      </c>
      <c r="E53" s="130">
        <v>1</v>
      </c>
      <c r="F53" s="138">
        <v>0.06</v>
      </c>
      <c r="G53" s="81"/>
      <c r="H53" s="81"/>
      <c r="I53" s="81"/>
      <c r="J53" s="81"/>
      <c r="K53" s="81"/>
      <c r="L53" s="131"/>
      <c r="M53" s="132"/>
      <c r="N53" s="132"/>
      <c r="O53" s="132"/>
      <c r="P53" s="132"/>
      <c r="Q53" s="132"/>
    </row>
    <row r="54" spans="1:246" x14ac:dyDescent="0.2">
      <c r="A54" s="47" t="str">
        <f>IF(COUNTBLANK(B54)=1," ",COUNTA($B$13:B54))</f>
        <v xml:space="preserve"> </v>
      </c>
      <c r="B54" s="48"/>
      <c r="C54" s="63" t="s">
        <v>81</v>
      </c>
      <c r="D54" s="47" t="s">
        <v>143</v>
      </c>
      <c r="E54" s="130">
        <f>E51*F54</f>
        <v>48.75</v>
      </c>
      <c r="F54" s="138">
        <v>300</v>
      </c>
      <c r="G54" s="81"/>
      <c r="H54" s="81"/>
      <c r="I54" s="81"/>
      <c r="J54" s="81"/>
      <c r="K54" s="81"/>
      <c r="L54" s="131"/>
      <c r="M54" s="132"/>
      <c r="N54" s="132"/>
      <c r="O54" s="132"/>
      <c r="P54" s="132"/>
      <c r="Q54" s="132"/>
    </row>
    <row r="55" spans="1:246" ht="22.5" x14ac:dyDescent="0.2">
      <c r="A55" s="47">
        <f>IF(COUNTBLANK(B55)=1," ",COUNTA($B$13:B55))</f>
        <v>20</v>
      </c>
      <c r="B55" s="145" t="s">
        <v>25</v>
      </c>
      <c r="C55" s="63" t="s">
        <v>373</v>
      </c>
      <c r="D55" s="125" t="s">
        <v>32</v>
      </c>
      <c r="E55" s="141">
        <f>(1.25*2+0.5*2)*2*6</f>
        <v>42</v>
      </c>
      <c r="F55" s="71"/>
      <c r="G55" s="71"/>
      <c r="H55" s="57"/>
      <c r="I55" s="71"/>
      <c r="J55" s="71"/>
      <c r="K55" s="71"/>
      <c r="L55" s="131"/>
      <c r="M55" s="132"/>
      <c r="N55" s="132"/>
      <c r="O55" s="132"/>
      <c r="P55" s="132"/>
      <c r="Q55" s="132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</row>
    <row r="56" spans="1:246" x14ac:dyDescent="0.2">
      <c r="A56" s="47" t="str">
        <f>IF(COUNTBLANK(B56)=1," ",COUNTA($B$13:B56))</f>
        <v xml:space="preserve"> </v>
      </c>
      <c r="B56" s="145"/>
      <c r="C56" s="146" t="s">
        <v>284</v>
      </c>
      <c r="D56" s="147" t="s">
        <v>41</v>
      </c>
      <c r="E56" s="53">
        <f>ROUNDUP(E55*F56,2)</f>
        <v>1.68</v>
      </c>
      <c r="F56" s="71">
        <v>0.04</v>
      </c>
      <c r="G56" s="71"/>
      <c r="H56" s="71"/>
      <c r="I56" s="71"/>
      <c r="J56" s="71"/>
      <c r="K56" s="71"/>
      <c r="L56" s="131"/>
      <c r="M56" s="132"/>
      <c r="N56" s="132"/>
      <c r="O56" s="132"/>
      <c r="P56" s="132"/>
      <c r="Q56" s="132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</row>
    <row r="57" spans="1:246" x14ac:dyDescent="0.2">
      <c r="A57" s="47" t="str">
        <f>IF(COUNTBLANK(B57)=1," ",COUNTA($B$13:B57))</f>
        <v xml:space="preserve"> </v>
      </c>
      <c r="B57" s="145"/>
      <c r="C57" s="59" t="s">
        <v>285</v>
      </c>
      <c r="D57" s="147" t="s">
        <v>41</v>
      </c>
      <c r="E57" s="53">
        <f>ROUNDUP(E55*F57,2)</f>
        <v>210</v>
      </c>
      <c r="F57" s="71">
        <v>5</v>
      </c>
      <c r="G57" s="71"/>
      <c r="H57" s="71"/>
      <c r="I57" s="71"/>
      <c r="J57" s="71"/>
      <c r="K57" s="71"/>
      <c r="L57" s="131"/>
      <c r="M57" s="132"/>
      <c r="N57" s="132"/>
      <c r="O57" s="132"/>
      <c r="P57" s="132"/>
      <c r="Q57" s="132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</row>
    <row r="58" spans="1:246" x14ac:dyDescent="0.2">
      <c r="A58" s="47" t="str">
        <f>IF(COUNTBLANK(B58)=1," ",COUNTA($B$13:B58))</f>
        <v xml:space="preserve"> </v>
      </c>
      <c r="B58" s="145"/>
      <c r="C58" s="63" t="s">
        <v>281</v>
      </c>
      <c r="D58" s="148" t="s">
        <v>32</v>
      </c>
      <c r="E58" s="53">
        <f>ROUNDUP(E55*F58,2)</f>
        <v>92.4</v>
      </c>
      <c r="F58" s="71">
        <v>2.2000000000000002</v>
      </c>
      <c r="G58" s="71"/>
      <c r="H58" s="71"/>
      <c r="I58" s="71"/>
      <c r="J58" s="71"/>
      <c r="K58" s="71"/>
      <c r="L58" s="131"/>
      <c r="M58" s="132"/>
      <c r="N58" s="132"/>
      <c r="O58" s="132"/>
      <c r="P58" s="132"/>
      <c r="Q58" s="132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</row>
    <row r="59" spans="1:246" x14ac:dyDescent="0.2">
      <c r="A59" s="47" t="str">
        <f>IF(COUNTBLANK(B59)=1," ",COUNTA($B$13:B59))</f>
        <v xml:space="preserve"> </v>
      </c>
      <c r="B59" s="145"/>
      <c r="C59" s="59" t="s">
        <v>285</v>
      </c>
      <c r="D59" s="147" t="s">
        <v>41</v>
      </c>
      <c r="E59" s="53">
        <f>ROUNDUP(E55*F59,2)</f>
        <v>210</v>
      </c>
      <c r="F59" s="71">
        <v>5</v>
      </c>
      <c r="G59" s="71"/>
      <c r="H59" s="71"/>
      <c r="I59" s="71"/>
      <c r="J59" s="71"/>
      <c r="K59" s="71"/>
      <c r="L59" s="131"/>
      <c r="M59" s="132"/>
      <c r="N59" s="132"/>
      <c r="O59" s="132"/>
      <c r="P59" s="132"/>
      <c r="Q59" s="132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</row>
    <row r="60" spans="1:246" x14ac:dyDescent="0.2">
      <c r="A60" s="47" t="str">
        <f>IF(COUNTBLANK(B60)=1," ",COUNTA($B$13:B60))</f>
        <v xml:space="preserve"> </v>
      </c>
      <c r="B60" s="145"/>
      <c r="C60" s="149" t="s">
        <v>284</v>
      </c>
      <c r="D60" s="147" t="s">
        <v>41</v>
      </c>
      <c r="E60" s="53">
        <f>ROUNDUP(E55*F60,2)</f>
        <v>6.3</v>
      </c>
      <c r="F60" s="71">
        <v>0.15</v>
      </c>
      <c r="G60" s="71"/>
      <c r="H60" s="71"/>
      <c r="I60" s="71"/>
      <c r="J60" s="71"/>
      <c r="K60" s="71"/>
      <c r="L60" s="131"/>
      <c r="M60" s="132"/>
      <c r="N60" s="132"/>
      <c r="O60" s="132"/>
      <c r="P60" s="132"/>
      <c r="Q60" s="132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</row>
    <row r="61" spans="1:246" x14ac:dyDescent="0.2">
      <c r="A61" s="47" t="str">
        <f>IF(COUNTBLANK(B61)=1," ",COUNTA($B$13:B61))</f>
        <v xml:space="preserve"> </v>
      </c>
      <c r="B61" s="145"/>
      <c r="C61" s="149" t="s">
        <v>300</v>
      </c>
      <c r="D61" s="147" t="s">
        <v>41</v>
      </c>
      <c r="E61" s="53">
        <f>ROUNDUP(E55*F61,2)</f>
        <v>12.6</v>
      </c>
      <c r="F61" s="71">
        <v>0.3</v>
      </c>
      <c r="G61" s="71"/>
      <c r="H61" s="71"/>
      <c r="I61" s="71"/>
      <c r="J61" s="71"/>
      <c r="K61" s="71"/>
      <c r="L61" s="131"/>
      <c r="M61" s="132"/>
      <c r="N61" s="132"/>
      <c r="O61" s="132"/>
      <c r="P61" s="132"/>
      <c r="Q61" s="13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</row>
    <row r="62" spans="1:246" x14ac:dyDescent="0.2">
      <c r="A62" s="47" t="str">
        <f>IF(COUNTBLANK(B62)=1," ",COUNTA($B$13:B62))</f>
        <v xml:space="preserve"> </v>
      </c>
      <c r="B62" s="145"/>
      <c r="C62" s="149" t="s">
        <v>42</v>
      </c>
      <c r="D62" s="147" t="s">
        <v>131</v>
      </c>
      <c r="E62" s="53">
        <f>ROUNDUP(E55*F62,0)</f>
        <v>4</v>
      </c>
      <c r="F62" s="71">
        <v>0.09</v>
      </c>
      <c r="G62" s="71"/>
      <c r="H62" s="71"/>
      <c r="I62" s="71"/>
      <c r="J62" s="71"/>
      <c r="K62" s="71"/>
      <c r="L62" s="131"/>
      <c r="M62" s="132"/>
      <c r="N62" s="132"/>
      <c r="O62" s="132"/>
      <c r="P62" s="132"/>
      <c r="Q62" s="13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</row>
    <row r="63" spans="1:246" ht="22.5" x14ac:dyDescent="0.2">
      <c r="A63" s="47">
        <f>IF(COUNTBLANK(B63)=1," ",COUNTA($B$13:B63))</f>
        <v>21</v>
      </c>
      <c r="B63" s="48" t="s">
        <v>25</v>
      </c>
      <c r="C63" s="63" t="s">
        <v>82</v>
      </c>
      <c r="D63" s="125" t="s">
        <v>32</v>
      </c>
      <c r="E63" s="141">
        <f>1.25*0.5*1.2*6</f>
        <v>4.5</v>
      </c>
      <c r="F63" s="150"/>
      <c r="G63" s="71"/>
      <c r="H63" s="57"/>
      <c r="I63" s="144"/>
      <c r="J63" s="54"/>
      <c r="K63" s="71"/>
      <c r="L63" s="131"/>
      <c r="M63" s="132"/>
      <c r="N63" s="132"/>
      <c r="O63" s="132"/>
      <c r="P63" s="132"/>
      <c r="Q63" s="132"/>
    </row>
    <row r="64" spans="1:246" ht="22.5" x14ac:dyDescent="0.2">
      <c r="A64" s="47" t="str">
        <f>IF(COUNTBLANK(B64)=1," ",COUNTA($B$13:B64))</f>
        <v xml:space="preserve"> </v>
      </c>
      <c r="B64" s="48"/>
      <c r="C64" s="63" t="s">
        <v>173</v>
      </c>
      <c r="D64" s="138" t="s">
        <v>41</v>
      </c>
      <c r="E64" s="130">
        <v>30</v>
      </c>
      <c r="F64" s="130"/>
      <c r="G64" s="81"/>
      <c r="H64" s="81"/>
      <c r="I64" s="81"/>
      <c r="J64" s="81"/>
      <c r="K64" s="81"/>
      <c r="L64" s="131"/>
      <c r="M64" s="132"/>
      <c r="N64" s="132"/>
      <c r="O64" s="132"/>
      <c r="P64" s="132"/>
      <c r="Q64" s="132"/>
    </row>
    <row r="65" spans="1:246" x14ac:dyDescent="0.2">
      <c r="A65" s="47" t="str">
        <f>IF(COUNTBLANK(B65)=1," ",COUNTA($B$13:B65))</f>
        <v xml:space="preserve"> </v>
      </c>
      <c r="B65" s="48"/>
      <c r="C65" s="63" t="s">
        <v>174</v>
      </c>
      <c r="D65" s="47" t="s">
        <v>143</v>
      </c>
      <c r="E65" s="130">
        <f>16*6</f>
        <v>96</v>
      </c>
      <c r="F65" s="130"/>
      <c r="G65" s="81"/>
      <c r="H65" s="81"/>
      <c r="I65" s="81"/>
      <c r="J65" s="81"/>
      <c r="K65" s="81"/>
      <c r="L65" s="131"/>
      <c r="M65" s="132"/>
      <c r="N65" s="132"/>
      <c r="O65" s="132"/>
      <c r="P65" s="132"/>
      <c r="Q65" s="132"/>
    </row>
    <row r="66" spans="1:246" ht="22.5" x14ac:dyDescent="0.2">
      <c r="A66" s="47" t="str">
        <f>IF(COUNTBLANK(B66)=1," ",COUNTA($B$13:B66))</f>
        <v xml:space="preserve"> </v>
      </c>
      <c r="B66" s="48"/>
      <c r="C66" s="63" t="s">
        <v>248</v>
      </c>
      <c r="D66" s="138" t="s">
        <v>27</v>
      </c>
      <c r="E66" s="130">
        <f>(1.25*2+0.5*2)*6</f>
        <v>21</v>
      </c>
      <c r="F66" s="130"/>
      <c r="G66" s="81"/>
      <c r="H66" s="81"/>
      <c r="I66" s="81"/>
      <c r="J66" s="81"/>
      <c r="K66" s="81"/>
      <c r="L66" s="131"/>
      <c r="M66" s="132"/>
      <c r="N66" s="132"/>
      <c r="O66" s="132"/>
      <c r="P66" s="132"/>
      <c r="Q66" s="132"/>
    </row>
    <row r="67" spans="1:246" ht="22.5" x14ac:dyDescent="0.2">
      <c r="A67" s="47" t="str">
        <f>IF(COUNTBLANK(B67)=1," ",COUNTA($B$13:B67))</f>
        <v xml:space="preserve"> </v>
      </c>
      <c r="B67" s="48"/>
      <c r="C67" s="63" t="s">
        <v>82</v>
      </c>
      <c r="D67" s="138" t="s">
        <v>32</v>
      </c>
      <c r="E67" s="130">
        <f>E63*F67</f>
        <v>5.3999999999999995</v>
      </c>
      <c r="F67" s="130">
        <v>1.2</v>
      </c>
      <c r="G67" s="81"/>
      <c r="H67" s="81"/>
      <c r="I67" s="81"/>
      <c r="J67" s="81"/>
      <c r="K67" s="81"/>
      <c r="L67" s="131"/>
      <c r="M67" s="132"/>
      <c r="N67" s="132"/>
      <c r="O67" s="132"/>
      <c r="P67" s="132"/>
      <c r="Q67" s="132"/>
    </row>
    <row r="68" spans="1:246" ht="22.5" x14ac:dyDescent="0.2">
      <c r="A68" s="47">
        <f>IF(COUNTBLANK(B68)=1," ",COUNTA($B$13:B68))</f>
        <v>22</v>
      </c>
      <c r="B68" s="48" t="s">
        <v>25</v>
      </c>
      <c r="C68" s="63" t="s">
        <v>83</v>
      </c>
      <c r="D68" s="125" t="s">
        <v>32</v>
      </c>
      <c r="E68" s="141">
        <v>14</v>
      </c>
      <c r="F68" s="130"/>
      <c r="G68" s="71"/>
      <c r="H68" s="57"/>
      <c r="I68" s="144"/>
      <c r="J68" s="54"/>
      <c r="K68" s="71"/>
      <c r="L68" s="131"/>
      <c r="M68" s="132"/>
      <c r="N68" s="132"/>
      <c r="O68" s="132"/>
      <c r="P68" s="132"/>
      <c r="Q68" s="132"/>
    </row>
    <row r="69" spans="1:246" x14ac:dyDescent="0.2">
      <c r="A69" s="47"/>
      <c r="B69" s="48"/>
      <c r="C69" s="63" t="s">
        <v>374</v>
      </c>
      <c r="D69" s="138" t="s">
        <v>41</v>
      </c>
      <c r="E69" s="130">
        <f>E68*F69</f>
        <v>5.6000000000000005</v>
      </c>
      <c r="F69" s="130">
        <v>0.4</v>
      </c>
      <c r="G69" s="71"/>
      <c r="H69" s="71"/>
      <c r="I69" s="144"/>
      <c r="J69" s="71"/>
      <c r="K69" s="71"/>
      <c r="L69" s="131"/>
      <c r="M69" s="132"/>
      <c r="N69" s="132"/>
      <c r="O69" s="132"/>
      <c r="P69" s="132"/>
      <c r="Q69" s="132"/>
    </row>
    <row r="70" spans="1:246" ht="22.5" x14ac:dyDescent="0.2">
      <c r="C70" s="340" t="s">
        <v>156</v>
      </c>
      <c r="D70" s="341"/>
      <c r="E70" s="342"/>
      <c r="F70" s="342"/>
      <c r="G70" s="343"/>
      <c r="H70" s="343"/>
      <c r="I70" s="343"/>
      <c r="J70" s="343"/>
      <c r="K70" s="343"/>
      <c r="M70" s="344"/>
      <c r="N70" s="344"/>
      <c r="O70" s="344"/>
      <c r="P70" s="344"/>
      <c r="Q70" s="344"/>
    </row>
    <row r="71" spans="1:246" s="26" customFormat="1" x14ac:dyDescent="0.2">
      <c r="A71" s="31" t="str">
        <f>IF(COUNTBLANK(I71)=1," ",COUNTA($I71:I$132))</f>
        <v xml:space="preserve"> </v>
      </c>
      <c r="B71" s="27"/>
      <c r="C71" s="345"/>
      <c r="D71" s="345"/>
      <c r="E71" s="345"/>
      <c r="F71" s="345"/>
      <c r="G71" s="345"/>
      <c r="H71" s="345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</row>
    <row r="72" spans="1:246" s="26" customFormat="1" x14ac:dyDescent="0.2">
      <c r="A72" s="27"/>
      <c r="B72" s="27"/>
      <c r="C72" s="346" t="str">
        <f>[3]KPDV!$B$31</f>
        <v>Sastādīja:</v>
      </c>
      <c r="D72" s="347"/>
      <c r="E72" s="348"/>
      <c r="F72" s="348"/>
      <c r="G72" s="345"/>
      <c r="H72" s="345"/>
      <c r="I72" s="27"/>
      <c r="J72" s="27"/>
      <c r="K72" s="27"/>
      <c r="L72" s="27"/>
      <c r="M72" s="27"/>
      <c r="N72" s="27"/>
      <c r="O72" s="27"/>
      <c r="P72" s="27"/>
      <c r="Q72" s="27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27"/>
    </row>
    <row r="73" spans="1:246" s="26" customFormat="1" x14ac:dyDescent="0.2">
      <c r="A73" s="27"/>
      <c r="B73" s="27"/>
      <c r="C73" s="346" t="str">
        <f>[3]KPDV!$B$32</f>
        <v>Tāme sastādīta</v>
      </c>
      <c r="D73" s="123"/>
      <c r="E73" s="278"/>
      <c r="F73" s="278"/>
      <c r="G73" s="345"/>
      <c r="H73" s="345"/>
      <c r="I73" s="27"/>
      <c r="J73" s="27"/>
      <c r="K73" s="27"/>
      <c r="L73" s="27"/>
      <c r="M73" s="27"/>
      <c r="N73" s="27"/>
      <c r="O73" s="27"/>
      <c r="P73" s="27"/>
      <c r="Q73" s="27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  <c r="GS73" s="75"/>
      <c r="GT73" s="75"/>
      <c r="GU73" s="75"/>
      <c r="GV73" s="75"/>
      <c r="GW73" s="75"/>
      <c r="GX73" s="75"/>
      <c r="GY73" s="75"/>
      <c r="GZ73" s="75"/>
      <c r="HA73" s="75"/>
      <c r="HB73" s="75"/>
      <c r="HC73" s="75"/>
      <c r="HD73" s="75"/>
      <c r="HE73" s="75"/>
      <c r="HF73" s="75"/>
      <c r="HG73" s="75"/>
      <c r="HH73" s="75"/>
      <c r="HI73" s="75"/>
      <c r="HJ73" s="75"/>
      <c r="HK73" s="75"/>
      <c r="HL73" s="75"/>
      <c r="HM73" s="75"/>
      <c r="HN73" s="75"/>
      <c r="HO73" s="75"/>
      <c r="HP73" s="75"/>
      <c r="HQ73" s="75"/>
      <c r="HR73" s="75"/>
      <c r="HS73" s="75"/>
      <c r="HT73" s="75"/>
      <c r="HU73" s="75"/>
      <c r="HV73" s="75"/>
      <c r="HW73" s="75"/>
      <c r="HX73" s="75"/>
      <c r="HY73" s="75"/>
      <c r="HZ73" s="75"/>
      <c r="IA73" s="75"/>
      <c r="IB73" s="75"/>
      <c r="IC73" s="75"/>
      <c r="ID73" s="75"/>
      <c r="IE73" s="75"/>
      <c r="IF73" s="75"/>
      <c r="IG73" s="75"/>
      <c r="IH73" s="75"/>
      <c r="II73" s="75"/>
      <c r="IJ73" s="75"/>
      <c r="IK73" s="75"/>
      <c r="IL73" s="75"/>
    </row>
    <row r="74" spans="1:246" s="26" customFormat="1" x14ac:dyDescent="0.2">
      <c r="A74" s="27"/>
      <c r="B74" s="27"/>
      <c r="C74" s="346"/>
      <c r="D74" s="123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  <c r="P74" s="345"/>
      <c r="Q74" s="27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  <c r="GV74" s="75"/>
      <c r="GW74" s="75"/>
      <c r="GX74" s="75"/>
      <c r="GY74" s="75"/>
      <c r="GZ74" s="75"/>
      <c r="HA74" s="75"/>
      <c r="HB74" s="75"/>
      <c r="HC74" s="75"/>
      <c r="HD74" s="75"/>
      <c r="HE74" s="75"/>
      <c r="HF74" s="75"/>
      <c r="HG74" s="75"/>
      <c r="HH74" s="75"/>
      <c r="HI74" s="75"/>
      <c r="HJ74" s="75"/>
      <c r="HK74" s="75"/>
      <c r="HL74" s="75"/>
      <c r="HM74" s="75"/>
      <c r="HN74" s="75"/>
      <c r="HO74" s="75"/>
      <c r="HP74" s="75"/>
      <c r="HQ74" s="75"/>
      <c r="HR74" s="75"/>
      <c r="HS74" s="75"/>
      <c r="HT74" s="75"/>
      <c r="HU74" s="75"/>
      <c r="HV74" s="75"/>
      <c r="HW74" s="75"/>
      <c r="HX74" s="75"/>
      <c r="HY74" s="75"/>
      <c r="HZ74" s="75"/>
      <c r="IA74" s="75"/>
      <c r="IB74" s="75"/>
      <c r="IC74" s="75"/>
      <c r="ID74" s="75"/>
      <c r="IE74" s="75"/>
      <c r="IF74" s="75"/>
      <c r="IG74" s="75"/>
      <c r="IH74" s="75"/>
      <c r="II74" s="75"/>
      <c r="IJ74" s="75"/>
      <c r="IK74" s="75"/>
      <c r="IL74" s="75"/>
    </row>
    <row r="75" spans="1:246" x14ac:dyDescent="0.2">
      <c r="C75" s="346" t="str">
        <f>[3]KPDV!$B$34</f>
        <v>Pārbaudīja:</v>
      </c>
      <c r="D75" s="347"/>
      <c r="E75" s="348"/>
      <c r="F75" s="348"/>
      <c r="G75" s="123"/>
      <c r="H75" s="123"/>
      <c r="I75" s="123"/>
      <c r="J75" s="123"/>
      <c r="K75" s="123"/>
      <c r="L75" s="123"/>
      <c r="M75" s="123"/>
      <c r="N75" s="123"/>
      <c r="O75" s="123"/>
      <c r="P75" s="123"/>
    </row>
    <row r="76" spans="1:246" x14ac:dyDescent="0.2">
      <c r="C76" s="346" t="str">
        <f>[3]KPDV!$B$35</f>
        <v>Sertifikāta Nr.:</v>
      </c>
      <c r="D76" s="347"/>
      <c r="E76" s="349"/>
      <c r="F76" s="349"/>
      <c r="G76" s="123"/>
      <c r="H76" s="123"/>
      <c r="I76" s="123"/>
      <c r="J76" s="123"/>
      <c r="K76" s="123"/>
      <c r="L76" s="123"/>
      <c r="M76" s="350"/>
      <c r="N76" s="123"/>
      <c r="O76" s="350"/>
      <c r="P76" s="123"/>
    </row>
    <row r="77" spans="1:246" x14ac:dyDescent="0.2">
      <c r="C77" s="27"/>
      <c r="D77" s="27"/>
      <c r="E77" s="27"/>
      <c r="I77" s="351"/>
      <c r="J77" s="267"/>
      <c r="K77" s="267"/>
      <c r="O77" s="267"/>
      <c r="P77" s="267"/>
    </row>
    <row r="78" spans="1:246" ht="12.75" x14ac:dyDescent="0.2">
      <c r="B78" s="352" t="s">
        <v>348</v>
      </c>
      <c r="C78" s="353"/>
      <c r="D78" s="354"/>
      <c r="E78" s="354"/>
      <c r="F78" s="354"/>
      <c r="G78" s="355"/>
      <c r="H78" s="354"/>
      <c r="I78" s="354"/>
      <c r="J78" s="354"/>
      <c r="K78" s="354"/>
      <c r="L78" s="354"/>
      <c r="M78" s="354"/>
      <c r="N78" s="354"/>
      <c r="O78" s="354"/>
      <c r="P78" s="354"/>
      <c r="Q78" s="354"/>
    </row>
    <row r="79" spans="1:246" x14ac:dyDescent="0.2">
      <c r="B79" s="374" t="s">
        <v>349</v>
      </c>
      <c r="C79" s="374"/>
      <c r="D79" s="374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</row>
    <row r="80" spans="1:246" x14ac:dyDescent="0.2">
      <c r="B80" s="374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/>
    </row>
    <row r="81" spans="2:17" x14ac:dyDescent="0.2">
      <c r="B81" s="374"/>
      <c r="C81" s="374"/>
      <c r="D81" s="374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</row>
  </sheetData>
  <sheetProtection selectLockedCells="1" selectUnlockedCells="1"/>
  <autoFilter ref="A12:Q91" xr:uid="{00000000-0009-0000-0000-000008000000}"/>
  <mergeCells count="14">
    <mergeCell ref="B79:Q81"/>
    <mergeCell ref="R26:S26"/>
    <mergeCell ref="A1:G1"/>
    <mergeCell ref="A3:H3"/>
    <mergeCell ref="A4:H4"/>
    <mergeCell ref="A8:D8"/>
    <mergeCell ref="G8:J8"/>
    <mergeCell ref="A10:A11"/>
    <mergeCell ref="B10:B11"/>
    <mergeCell ref="C10:C11"/>
    <mergeCell ref="D10:D11"/>
    <mergeCell ref="E10:E11"/>
    <mergeCell ref="G10:L10"/>
    <mergeCell ref="M10:Q10"/>
  </mergeCells>
  <pageMargins left="0.39374999999999999" right="0" top="0.59027777777777779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69" max="16383" man="1"/>
  </rowBreaks>
  <ignoredErrors>
    <ignoredError sqref="E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13</vt:i4>
      </vt:variant>
      <vt:variant>
        <vt:lpstr>Diapazoni ar nosaukumiem</vt:lpstr>
      </vt:variant>
      <vt:variant>
        <vt:i4>35</vt:i4>
      </vt:variant>
    </vt:vector>
  </HeadingPairs>
  <TitlesOfParts>
    <vt:vector size="48" baseType="lpstr">
      <vt:lpstr>k</vt:lpstr>
      <vt:lpstr>KPDV</vt:lpstr>
      <vt:lpstr>AR </vt:lpstr>
      <vt:lpstr>logi</vt:lpstr>
      <vt:lpstr>C</vt:lpstr>
      <vt:lpstr>P</vt:lpstr>
      <vt:lpstr>IM</vt:lpstr>
      <vt:lpstr>BS</vt:lpstr>
      <vt:lpstr>Jumts</vt:lpstr>
      <vt:lpstr>apjomi</vt:lpstr>
      <vt:lpstr>BK</vt:lpstr>
      <vt:lpstr>AVK</vt:lpstr>
      <vt:lpstr>zibens</vt:lpstr>
      <vt:lpstr>'AR '!__xlnm__FilterDatabase</vt:lpstr>
      <vt:lpstr>BK!__xlnm__FilterDatabase</vt:lpstr>
      <vt:lpstr>BS!__xlnm__FilterDatabase</vt:lpstr>
      <vt:lpstr>'C'!__xlnm__FilterDatabase</vt:lpstr>
      <vt:lpstr>IM!__xlnm__FilterDatabase</vt:lpstr>
      <vt:lpstr>Jumts!__xlnm__FilterDatabase</vt:lpstr>
      <vt:lpstr>P!__xlnm__FilterDatabase</vt:lpstr>
      <vt:lpstr>__xlnm__FilterDatabase_1</vt:lpstr>
      <vt:lpstr>P!__xlnm__FilterDatabase_2</vt:lpstr>
      <vt:lpstr>__xlnm__FilterDatabase_2</vt:lpstr>
      <vt:lpstr>__xlnm__FilterDatabase_3</vt:lpstr>
      <vt:lpstr>__xlnm__FilterDatabase_5</vt:lpstr>
      <vt:lpstr>BK!__xlnm__FilterDatabase_6</vt:lpstr>
      <vt:lpstr>__xlnm__FilterDatabase_6</vt:lpstr>
      <vt:lpstr>apjomi!__xlnm_Print_Area</vt:lpstr>
      <vt:lpstr>'AR '!__xlnm_Print_Area</vt:lpstr>
      <vt:lpstr>'C'!__xlnm_Print_Area</vt:lpstr>
      <vt:lpstr>KPDV!__xlnm_Print_Area</vt:lpstr>
      <vt:lpstr>logi!__xlnm_Print_Area</vt:lpstr>
      <vt:lpstr>P!__xlnm_Print_Area</vt:lpstr>
      <vt:lpstr>'AR '!__xlnm_Print_Titles</vt:lpstr>
      <vt:lpstr>BK!__xlnm_Print_Titles</vt:lpstr>
      <vt:lpstr>BS!__xlnm_Print_Titles</vt:lpstr>
      <vt:lpstr>'C'!__xlnm_Print_Titles</vt:lpstr>
      <vt:lpstr>IM!__xlnm_Print_Titles</vt:lpstr>
      <vt:lpstr>Jumts!__xlnm_Print_Titles</vt:lpstr>
      <vt:lpstr>P!__xlnm_Print_Titles</vt:lpstr>
      <vt:lpstr>apjomi!Drukas_apgabals</vt:lpstr>
      <vt:lpstr>'AR '!Drukāt_virsrakstus</vt:lpstr>
      <vt:lpstr>BK!Drukāt_virsrakstus</vt:lpstr>
      <vt:lpstr>BS!Drukāt_virsrakstus</vt:lpstr>
      <vt:lpstr>'C'!Drukāt_virsrakstus</vt:lpstr>
      <vt:lpstr>IM!Drukāt_virsrakstus</vt:lpstr>
      <vt:lpstr>Jumts!Drukāt_virsrakstus</vt:lpstr>
      <vt:lpstr>P!Drukāt_virsrakstus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Sandijs-I7</dc:creator>
  <cp:lastModifiedBy>Prezenta</cp:lastModifiedBy>
  <dcterms:created xsi:type="dcterms:W3CDTF">2017-07-03T14:35:32Z</dcterms:created>
  <dcterms:modified xsi:type="dcterms:W3CDTF">2019-07-12T11:01:44Z</dcterms:modified>
</cp:coreProperties>
</file>