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47_E_Tise_50\"/>
    </mc:Choice>
  </mc:AlternateContent>
  <xr:revisionPtr revIDLastSave="0" documentId="13_ncr:1_{DB1CC059-4864-4F49-92C9-18EF138D2248}" xr6:coauthVersionLast="43" xr6:coauthVersionMax="43" xr10:uidLastSave="{00000000-0000-0000-0000-000000000000}"/>
  <bookViews>
    <workbookView xWindow="-120" yWindow="-120" windowWidth="29040" windowHeight="15840" activeTab="10" xr2:uid="{00000000-000D-0000-FFFF-FFFF00000000}"/>
  </bookViews>
  <sheets>
    <sheet name="k" sheetId="14" r:id="rId1"/>
    <sheet name="KPDV" sheetId="1" r:id="rId2"/>
    <sheet name="AR" sheetId="2" r:id="rId3"/>
    <sheet name="apjomi" sheetId="13" state="hidden" r:id="rId4"/>
    <sheet name="Logi" sheetId="3" r:id="rId5"/>
    <sheet name="pagrabs" sheetId="4" r:id="rId6"/>
    <sheet name="cokols" sheetId="5" r:id="rId7"/>
    <sheet name="BK" sheetId="6" r:id="rId8"/>
    <sheet name="jumts" sheetId="7" r:id="rId9"/>
    <sheet name="ieejas" sheetId="8" r:id="rId10"/>
    <sheet name="AVK" sheetId="10" r:id="rId11"/>
    <sheet name="GA" sheetId="12" r:id="rId12"/>
  </sheets>
  <externalReferences>
    <externalReference r:id="rId13"/>
    <externalReference r:id="rId14"/>
  </externalReferences>
  <definedNames>
    <definedName name="_FilterDatabase_0" localSheetId="2">AR!$A$13:$Q$87</definedName>
    <definedName name="_xlnm._FilterDatabase" localSheetId="2" hidden="1">AR!$A$13:$Q$87</definedName>
    <definedName name="_xlnm._FilterDatabase" localSheetId="7" hidden="1">BK!$A$12:$WVM$38</definedName>
    <definedName name="_xlnm._FilterDatabase" localSheetId="6" hidden="1">cokols!$A$13:$AMF$43</definedName>
    <definedName name="_xlnm._FilterDatabase" localSheetId="9" hidden="1">ieejas!$A$12:$ALW$34</definedName>
    <definedName name="_xlnm._FilterDatabase" localSheetId="4" hidden="1">Logi!$A$12:$ALY$59</definedName>
    <definedName name="dat">KPDV!$B$10</definedName>
    <definedName name="_xlnm.Print_Area" localSheetId="3">apjomi!$A$1:$U$35</definedName>
    <definedName name="_xlnm.Print_Area" localSheetId="2">AR!$A$1:$Q$94</definedName>
    <definedName name="_xlnm.Print_Area" localSheetId="7">BK!$A$1:$Q$50</definedName>
    <definedName name="_xlnm.Print_Area" localSheetId="6">cokols!$A$1:$Q$56</definedName>
    <definedName name="_xlnm.Print_Area" localSheetId="11">GA!$A$1:$P$55</definedName>
    <definedName name="_xlnm.Print_Area" localSheetId="9">ieejas!$A$1:$Q$47</definedName>
    <definedName name="_xlnm.Print_Area" localSheetId="8">jumts!$A$1:$Q$114</definedName>
    <definedName name="_xlnm.Print_Area" localSheetId="1">KPDV!$A$1:$G$34</definedName>
    <definedName name="_xlnm.Print_Titles" localSheetId="2">AR!$13:$13</definedName>
    <definedName name="_xlnm.Print_Titles" localSheetId="10">AVK!$13:$13</definedName>
    <definedName name="_xlnm.Print_Titles" localSheetId="7">BK!$12:$12</definedName>
    <definedName name="_xlnm.Print_Titles" localSheetId="6">cokols!$13:$13</definedName>
    <definedName name="_xlnm.Print_Titles" localSheetId="11">GA!$13:$13</definedName>
    <definedName name="_xlnm.Print_Titles" localSheetId="9">ieejas!$12:$12</definedName>
    <definedName name="_xlnm.Print_Titles" localSheetId="8">jumts!$12:$12</definedName>
    <definedName name="_xlnm.Print_Titles" localSheetId="4">Logi!$12:$12</definedName>
    <definedName name="_xlnm.Print_Titles" localSheetId="5">pagrabs!$13:$13</definedName>
    <definedName name="Excel_BuiltIn__FilterDatabase" localSheetId="6">cokols!$A$13:$Q$40</definedName>
    <definedName name="Excel_BuiltIn__FilterDatabase" localSheetId="5">pagrabs!$A$13:$Q$25</definedName>
    <definedName name="okei">[1]kpdv!$C$27</definedName>
    <definedName name="Print_Area_0" localSheetId="2">AR!$A$1:$Q$95</definedName>
    <definedName name="Print_Area_0" localSheetId="10">AVK!$A$1:$Q$157</definedName>
    <definedName name="Print_Area_0" localSheetId="7">BK!$A$1:$Q$12</definedName>
    <definedName name="Print_Area_0" localSheetId="6">cokols!$A$1:$Q$53</definedName>
    <definedName name="Print_Area_0" localSheetId="9">ieejas!$A$1:$Q$12</definedName>
    <definedName name="Print_Area_0" localSheetId="8">jumts!$A$1:$Q$12</definedName>
    <definedName name="Print_Area_0" localSheetId="1">KPDV!$A$1:$G$34</definedName>
    <definedName name="Print_Area_0" localSheetId="5">pagrabs!$A$1:$Q$34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2" l="1"/>
  <c r="C48" i="12"/>
  <c r="C46" i="12"/>
  <c r="C45" i="12"/>
  <c r="C155" i="10"/>
  <c r="C154" i="10"/>
  <c r="C152" i="10"/>
  <c r="C151" i="10"/>
  <c r="C41" i="8"/>
  <c r="C40" i="8"/>
  <c r="C38" i="8"/>
  <c r="C37" i="8"/>
  <c r="C109" i="7"/>
  <c r="C108" i="7"/>
  <c r="C106" i="7"/>
  <c r="C105" i="7"/>
  <c r="C44" i="6"/>
  <c r="C43" i="6"/>
  <c r="C41" i="6"/>
  <c r="C40" i="6"/>
  <c r="C51" i="5"/>
  <c r="C50" i="5"/>
  <c r="C48" i="5"/>
  <c r="C47" i="5"/>
  <c r="C32" i="4"/>
  <c r="C31" i="4"/>
  <c r="C29" i="4"/>
  <c r="C28" i="4"/>
  <c r="C64" i="3"/>
  <c r="C63" i="3"/>
  <c r="C61" i="3"/>
  <c r="C60" i="3"/>
  <c r="C94" i="2"/>
  <c r="C93" i="2"/>
  <c r="C91" i="2"/>
  <c r="C90" i="2"/>
  <c r="D9" i="1"/>
  <c r="D8" i="1"/>
  <c r="A5" i="1"/>
  <c r="A4" i="1"/>
  <c r="A40" i="7" l="1"/>
  <c r="E22" i="5"/>
  <c r="E41" i="2"/>
  <c r="D32" i="13"/>
  <c r="D30" i="13"/>
  <c r="E27" i="13" l="1"/>
  <c r="E33" i="2"/>
  <c r="E34" i="2" s="1"/>
  <c r="V8" i="13"/>
  <c r="V10" i="13"/>
  <c r="V6" i="13"/>
  <c r="V5" i="13"/>
  <c r="V17" i="13" s="1"/>
  <c r="E73" i="2" s="1"/>
  <c r="V4" i="13"/>
  <c r="E60" i="2"/>
  <c r="E54" i="2"/>
  <c r="E56" i="2" s="1"/>
  <c r="E44" i="5"/>
  <c r="E32" i="5"/>
  <c r="E26" i="5"/>
  <c r="E29" i="5" s="1"/>
  <c r="E16" i="5"/>
  <c r="A18" i="4"/>
  <c r="E59" i="2" l="1"/>
  <c r="E58" i="2"/>
  <c r="E57" i="2"/>
  <c r="E55" i="2"/>
  <c r="H16" i="3"/>
  <c r="H17" i="3"/>
  <c r="A17" i="3"/>
  <c r="A16" i="3"/>
  <c r="H15" i="3"/>
  <c r="A15" i="3"/>
  <c r="A14" i="3"/>
  <c r="C8" i="12" l="1"/>
  <c r="C8" i="10"/>
  <c r="A8" i="8"/>
  <c r="A8" i="7"/>
  <c r="A8" i="6"/>
  <c r="A8" i="3"/>
  <c r="H47" i="3"/>
  <c r="H46" i="3"/>
  <c r="H29" i="3"/>
  <c r="E27" i="3"/>
  <c r="E26" i="3"/>
  <c r="F27" i="3"/>
  <c r="F26" i="3"/>
  <c r="H28" i="3"/>
  <c r="H24" i="3"/>
  <c r="H23" i="3"/>
  <c r="A25" i="3"/>
  <c r="A26" i="3"/>
  <c r="A27" i="3"/>
  <c r="C27" i="3"/>
  <c r="C26" i="3"/>
  <c r="H22" i="3"/>
  <c r="H21" i="3"/>
  <c r="A42" i="3" l="1"/>
  <c r="A41" i="3"/>
  <c r="A40" i="3"/>
  <c r="A39" i="3"/>
  <c r="A38" i="3"/>
  <c r="A37" i="3"/>
  <c r="E28" i="6"/>
  <c r="E27" i="6"/>
  <c r="E23" i="6"/>
  <c r="N9" i="8" l="1"/>
  <c r="Q9" i="3"/>
  <c r="Q10" i="2"/>
  <c r="N9" i="7"/>
  <c r="N9" i="6"/>
  <c r="B37" i="2" l="1"/>
  <c r="A17" i="4" l="1"/>
  <c r="A28" i="2"/>
  <c r="A29" i="2"/>
  <c r="A30" i="2"/>
  <c r="A27" i="2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14" i="8"/>
  <c r="A96" i="7"/>
  <c r="E95" i="7"/>
  <c r="A95" i="7"/>
  <c r="A94" i="7"/>
  <c r="A87" i="7"/>
  <c r="E86" i="7"/>
  <c r="A86" i="7"/>
  <c r="A85" i="7"/>
  <c r="E77" i="7"/>
  <c r="A77" i="7"/>
  <c r="A76" i="7"/>
  <c r="E68" i="7"/>
  <c r="A69" i="7"/>
  <c r="A68" i="7"/>
  <c r="E63" i="7"/>
  <c r="E64" i="7" s="1"/>
  <c r="E61" i="7"/>
  <c r="A66" i="7"/>
  <c r="A65" i="7"/>
  <c r="A64" i="7"/>
  <c r="A63" i="7"/>
  <c r="A62" i="7"/>
  <c r="A61" i="7"/>
  <c r="E55" i="7"/>
  <c r="A55" i="7"/>
  <c r="A54" i="7"/>
  <c r="E25" i="7"/>
  <c r="A25" i="7"/>
  <c r="A24" i="7"/>
  <c r="E69" i="7" l="1"/>
  <c r="E65" i="7"/>
  <c r="E66" i="7"/>
  <c r="E62" i="7"/>
  <c r="A37" i="6" l="1"/>
  <c r="A36" i="6"/>
  <c r="A22" i="6"/>
  <c r="A21" i="6"/>
  <c r="E43" i="5" l="1"/>
  <c r="E42" i="5"/>
  <c r="E41" i="5"/>
  <c r="A42" i="5"/>
  <c r="A41" i="5"/>
  <c r="E87" i="2" l="1"/>
  <c r="E45" i="2"/>
  <c r="E47" i="2" s="1"/>
  <c r="E46" i="2" l="1"/>
  <c r="E48" i="2"/>
  <c r="A37" i="5"/>
  <c r="A36" i="5"/>
  <c r="A35" i="5"/>
  <c r="A34" i="5"/>
  <c r="A33" i="5"/>
  <c r="E36" i="5"/>
  <c r="E31" i="5"/>
  <c r="A31" i="5"/>
  <c r="E30" i="5"/>
  <c r="A30" i="5"/>
  <c r="A29" i="5"/>
  <c r="E28" i="5"/>
  <c r="A28" i="5"/>
  <c r="E27" i="5"/>
  <c r="A27" i="5"/>
  <c r="E35" i="5" l="1"/>
  <c r="E33" i="5"/>
  <c r="E37" i="5"/>
  <c r="E34" i="5"/>
  <c r="E38" i="5"/>
  <c r="C22" i="5"/>
  <c r="B22" i="5"/>
  <c r="A44" i="5" s="1"/>
  <c r="E25" i="5" l="1"/>
  <c r="A26" i="5"/>
  <c r="A32" i="5"/>
  <c r="C41" i="2"/>
  <c r="E82" i="2"/>
  <c r="A65" i="2"/>
  <c r="A64" i="2"/>
  <c r="A63" i="2"/>
  <c r="A62" i="2"/>
  <c r="A61" i="2"/>
  <c r="A59" i="2"/>
  <c r="A58" i="2"/>
  <c r="A57" i="2"/>
  <c r="A56" i="2"/>
  <c r="A55" i="2"/>
  <c r="E44" i="2" l="1"/>
  <c r="B45" i="2" l="1"/>
  <c r="C45" i="2"/>
  <c r="E40" i="2"/>
  <c r="C40" i="2"/>
  <c r="B40" i="2"/>
  <c r="E39" i="2"/>
  <c r="E43" i="2" s="1"/>
  <c r="C39" i="2"/>
  <c r="B39" i="2"/>
  <c r="E38" i="2"/>
  <c r="C38" i="2"/>
  <c r="B38" i="2"/>
  <c r="E37" i="2"/>
  <c r="C37" i="2"/>
  <c r="E18" i="2"/>
  <c r="A41" i="2" l="1"/>
  <c r="A44" i="2"/>
  <c r="A60" i="2"/>
  <c r="A53" i="2"/>
  <c r="A54" i="2"/>
  <c r="A43" i="2"/>
  <c r="A42" i="2"/>
  <c r="E42" i="2"/>
  <c r="A51" i="2"/>
  <c r="A52" i="2"/>
  <c r="A45" i="2"/>
  <c r="A40" i="2"/>
  <c r="F46" i="3"/>
  <c r="E46" i="3"/>
  <c r="D46" i="3" s="1"/>
  <c r="A45" i="3"/>
  <c r="F22" i="3"/>
  <c r="F23" i="3"/>
  <c r="F24" i="3"/>
  <c r="F21" i="3"/>
  <c r="E22" i="3"/>
  <c r="E23" i="3"/>
  <c r="D23" i="3" s="1"/>
  <c r="E24" i="3"/>
  <c r="D24" i="3" s="1"/>
  <c r="E21" i="3"/>
  <c r="D21" i="3" s="1"/>
  <c r="C22" i="3"/>
  <c r="C23" i="3"/>
  <c r="C24" i="3"/>
  <c r="C21" i="3"/>
  <c r="E19" i="4"/>
  <c r="E21" i="4"/>
  <c r="C21" i="4"/>
  <c r="B21" i="4"/>
  <c r="A34" i="6"/>
  <c r="A35" i="6"/>
  <c r="A15" i="2"/>
  <c r="E34" i="8"/>
  <c r="E31" i="8"/>
  <c r="E29" i="8"/>
  <c r="E20" i="8"/>
  <c r="E19" i="8"/>
  <c r="E14" i="8"/>
  <c r="A15" i="6"/>
  <c r="A16" i="6"/>
  <c r="A17" i="6"/>
  <c r="A18" i="6"/>
  <c r="A19" i="6"/>
  <c r="A20" i="6"/>
  <c r="A23" i="6"/>
  <c r="A24" i="6"/>
  <c r="A25" i="6"/>
  <c r="A26" i="6"/>
  <c r="A27" i="6"/>
  <c r="A28" i="6"/>
  <c r="A29" i="6"/>
  <c r="A30" i="6"/>
  <c r="A31" i="6"/>
  <c r="A32" i="6"/>
  <c r="A33" i="6"/>
  <c r="A14" i="6"/>
  <c r="D22" i="3" l="1"/>
  <c r="E26" i="12"/>
  <c r="B17" i="12"/>
  <c r="B18" i="12" s="1"/>
  <c r="B19" i="12" s="1"/>
  <c r="B20" i="12" s="1"/>
  <c r="B21" i="12" s="1"/>
  <c r="E16" i="12"/>
  <c r="E29" i="12" s="1"/>
  <c r="B13" i="12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P10" i="12"/>
  <c r="P9" i="12"/>
  <c r="A9" i="12"/>
  <c r="A7" i="12"/>
  <c r="A6" i="12"/>
  <c r="A5" i="12"/>
  <c r="A4" i="12"/>
  <c r="A3" i="12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B13" i="10"/>
  <c r="C13" i="10" s="1"/>
  <c r="D13" i="10" s="1"/>
  <c r="E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P10" i="10"/>
  <c r="P9" i="10"/>
  <c r="O9" i="10"/>
  <c r="A7" i="10"/>
  <c r="A6" i="10"/>
  <c r="A5" i="10"/>
  <c r="A4" i="10"/>
  <c r="A3" i="10"/>
  <c r="B12" i="8"/>
  <c r="C12" i="8" s="1"/>
  <c r="D12" i="8" s="1"/>
  <c r="E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A7" i="8"/>
  <c r="A6" i="8"/>
  <c r="A5" i="8"/>
  <c r="A4" i="8"/>
  <c r="A3" i="8"/>
  <c r="A102" i="7"/>
  <c r="A101" i="7"/>
  <c r="A100" i="7"/>
  <c r="A99" i="7"/>
  <c r="A98" i="7"/>
  <c r="A97" i="7"/>
  <c r="E93" i="7"/>
  <c r="A93" i="7"/>
  <c r="E92" i="7"/>
  <c r="A92" i="7"/>
  <c r="E91" i="7"/>
  <c r="A91" i="7"/>
  <c r="E90" i="7"/>
  <c r="A90" i="7"/>
  <c r="E89" i="7"/>
  <c r="A89" i="7"/>
  <c r="A88" i="7"/>
  <c r="E84" i="7"/>
  <c r="A84" i="7"/>
  <c r="E83" i="7"/>
  <c r="A83" i="7"/>
  <c r="E82" i="7"/>
  <c r="A82" i="7"/>
  <c r="E81" i="7"/>
  <c r="A81" i="7"/>
  <c r="E80" i="7"/>
  <c r="A80" i="7"/>
  <c r="A79" i="7"/>
  <c r="E78" i="7"/>
  <c r="A78" i="7"/>
  <c r="E75" i="7"/>
  <c r="A75" i="7"/>
  <c r="E74" i="7"/>
  <c r="A74" i="7"/>
  <c r="E73" i="7"/>
  <c r="A73" i="7"/>
  <c r="E72" i="7"/>
  <c r="A72" i="7"/>
  <c r="E71" i="7"/>
  <c r="A71" i="7"/>
  <c r="A70" i="7"/>
  <c r="E67" i="7"/>
  <c r="A67" i="7"/>
  <c r="A60" i="7"/>
  <c r="A59" i="7"/>
  <c r="A58" i="7"/>
  <c r="A57" i="7"/>
  <c r="A56" i="7"/>
  <c r="E53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39" i="7"/>
  <c r="A38" i="7"/>
  <c r="A37" i="7"/>
  <c r="A36" i="7"/>
  <c r="A35" i="7"/>
  <c r="A34" i="7"/>
  <c r="E33" i="7"/>
  <c r="A33" i="7"/>
  <c r="A32" i="7"/>
  <c r="E31" i="7"/>
  <c r="A31" i="7"/>
  <c r="E30" i="7"/>
  <c r="A30" i="7"/>
  <c r="A29" i="7"/>
  <c r="E28" i="7"/>
  <c r="A28" i="7"/>
  <c r="A27" i="7"/>
  <c r="A26" i="7"/>
  <c r="A22" i="7"/>
  <c r="A21" i="7"/>
  <c r="A20" i="7"/>
  <c r="A19" i="7"/>
  <c r="A18" i="7"/>
  <c r="A17" i="7"/>
  <c r="A16" i="7"/>
  <c r="A15" i="7"/>
  <c r="A14" i="7"/>
  <c r="B12" i="7"/>
  <c r="C12" i="7" s="1"/>
  <c r="D12" i="7" s="1"/>
  <c r="E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A7" i="7"/>
  <c r="A6" i="7"/>
  <c r="A5" i="7"/>
  <c r="A4" i="7"/>
  <c r="A3" i="7"/>
  <c r="B12" i="6"/>
  <c r="C12" i="6" s="1"/>
  <c r="D12" i="6" s="1"/>
  <c r="E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A7" i="6"/>
  <c r="A6" i="6"/>
  <c r="A5" i="6"/>
  <c r="A4" i="6"/>
  <c r="A3" i="6"/>
  <c r="A39" i="5"/>
  <c r="E39" i="5"/>
  <c r="A25" i="5"/>
  <c r="A24" i="5"/>
  <c r="A23" i="5"/>
  <c r="A22" i="5"/>
  <c r="A21" i="5"/>
  <c r="A20" i="5"/>
  <c r="A19" i="5"/>
  <c r="A18" i="5"/>
  <c r="E17" i="5"/>
  <c r="A17" i="5"/>
  <c r="A16" i="5"/>
  <c r="A15" i="5"/>
  <c r="A14" i="5"/>
  <c r="B13" i="5"/>
  <c r="C13" i="5" s="1"/>
  <c r="D13" i="5" s="1"/>
  <c r="E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Q10" i="5"/>
  <c r="G8" i="5"/>
  <c r="C8" i="5"/>
  <c r="A7" i="5"/>
  <c r="A6" i="5"/>
  <c r="A5" i="5"/>
  <c r="A4" i="5"/>
  <c r="A3" i="5"/>
  <c r="A27" i="4"/>
  <c r="A25" i="4"/>
  <c r="A24" i="4"/>
  <c r="E23" i="4"/>
  <c r="A23" i="4"/>
  <c r="E22" i="4"/>
  <c r="A22" i="4"/>
  <c r="A21" i="4"/>
  <c r="E20" i="4"/>
  <c r="A20" i="4"/>
  <c r="A19" i="4"/>
  <c r="A16" i="4"/>
  <c r="A15" i="4"/>
  <c r="E14" i="4"/>
  <c r="E24" i="4" s="1"/>
  <c r="E25" i="4" s="1"/>
  <c r="A14" i="4"/>
  <c r="B13" i="4"/>
  <c r="C13" i="4" s="1"/>
  <c r="D13" i="4" s="1"/>
  <c r="E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Q10" i="4"/>
  <c r="A9" i="4"/>
  <c r="A9" i="5" s="1"/>
  <c r="G8" i="4"/>
  <c r="D8" i="4"/>
  <c r="C8" i="4"/>
  <c r="A7" i="4"/>
  <c r="A6" i="4"/>
  <c r="A5" i="4"/>
  <c r="A4" i="4"/>
  <c r="A3" i="4"/>
  <c r="H19" i="13"/>
  <c r="E47" i="3" s="1"/>
  <c r="E19" i="13"/>
  <c r="C19" i="13" s="1"/>
  <c r="H18" i="13"/>
  <c r="J18" i="13" s="1"/>
  <c r="E18" i="13"/>
  <c r="C16" i="13"/>
  <c r="C15" i="13"/>
  <c r="S14" i="13"/>
  <c r="T14" i="13" s="1"/>
  <c r="Q14" i="13"/>
  <c r="R14" i="13" s="1"/>
  <c r="L14" i="13"/>
  <c r="K14" i="13"/>
  <c r="M14" i="13" s="1"/>
  <c r="H14" i="13"/>
  <c r="J14" i="13" s="1"/>
  <c r="C14" i="13"/>
  <c r="S13" i="13"/>
  <c r="T13" i="13" s="1"/>
  <c r="Q13" i="13"/>
  <c r="R13" i="13" s="1"/>
  <c r="L13" i="13"/>
  <c r="K13" i="13"/>
  <c r="M13" i="13" s="1"/>
  <c r="H13" i="13"/>
  <c r="J13" i="13" s="1"/>
  <c r="C13" i="13"/>
  <c r="S12" i="13"/>
  <c r="T12" i="13" s="1"/>
  <c r="Q12" i="13"/>
  <c r="R12" i="13" s="1"/>
  <c r="P12" i="13"/>
  <c r="O12" i="13"/>
  <c r="L12" i="13"/>
  <c r="N12" i="13" s="1"/>
  <c r="K12" i="13"/>
  <c r="M12" i="13" s="1"/>
  <c r="H12" i="13"/>
  <c r="J12" i="13" s="1"/>
  <c r="C12" i="13"/>
  <c r="S11" i="13"/>
  <c r="T11" i="13" s="1"/>
  <c r="Q11" i="13"/>
  <c r="R11" i="13" s="1"/>
  <c r="P11" i="13"/>
  <c r="O11" i="13"/>
  <c r="L11" i="13"/>
  <c r="N11" i="13" s="1"/>
  <c r="K11" i="13"/>
  <c r="M11" i="13" s="1"/>
  <c r="H11" i="13"/>
  <c r="J11" i="13" s="1"/>
  <c r="C11" i="13"/>
  <c r="S10" i="13"/>
  <c r="T10" i="13" s="1"/>
  <c r="Q10" i="13"/>
  <c r="R10" i="13" s="1"/>
  <c r="P10" i="13"/>
  <c r="O10" i="13"/>
  <c r="L10" i="13"/>
  <c r="N10" i="13" s="1"/>
  <c r="K10" i="13"/>
  <c r="M10" i="13" s="1"/>
  <c r="H10" i="13"/>
  <c r="J10" i="13" s="1"/>
  <c r="C10" i="13"/>
  <c r="H9" i="13"/>
  <c r="E9" i="13"/>
  <c r="S9" i="13" s="1"/>
  <c r="D9" i="13"/>
  <c r="H27" i="3" s="1"/>
  <c r="D27" i="3" s="1"/>
  <c r="S8" i="13"/>
  <c r="T8" i="13" s="1"/>
  <c r="Q8" i="13"/>
  <c r="R8" i="13" s="1"/>
  <c r="P8" i="13"/>
  <c r="O8" i="13"/>
  <c r="L8" i="13"/>
  <c r="N8" i="13" s="1"/>
  <c r="K8" i="13"/>
  <c r="M8" i="13" s="1"/>
  <c r="H8" i="13"/>
  <c r="J8" i="13" s="1"/>
  <c r="C8" i="13"/>
  <c r="H7" i="13"/>
  <c r="E7" i="13"/>
  <c r="K7" i="13" s="1"/>
  <c r="M7" i="13" s="1"/>
  <c r="D7" i="13"/>
  <c r="H26" i="3" s="1"/>
  <c r="D26" i="3" s="1"/>
  <c r="S6" i="13"/>
  <c r="T6" i="13" s="1"/>
  <c r="Q6" i="13"/>
  <c r="R6" i="13" s="1"/>
  <c r="P6" i="13"/>
  <c r="O6" i="13"/>
  <c r="L6" i="13"/>
  <c r="N6" i="13" s="1"/>
  <c r="K6" i="13"/>
  <c r="M6" i="13" s="1"/>
  <c r="H6" i="13"/>
  <c r="J6" i="13" s="1"/>
  <c r="C6" i="13"/>
  <c r="S5" i="13"/>
  <c r="T5" i="13" s="1"/>
  <c r="Q5" i="13"/>
  <c r="R5" i="13" s="1"/>
  <c r="P5" i="13"/>
  <c r="O5" i="13"/>
  <c r="L5" i="13"/>
  <c r="N5" i="13" s="1"/>
  <c r="K5" i="13"/>
  <c r="M5" i="13" s="1"/>
  <c r="H5" i="13"/>
  <c r="J5" i="13" s="1"/>
  <c r="C5" i="13"/>
  <c r="S4" i="13"/>
  <c r="T4" i="13" s="1"/>
  <c r="Q4" i="13"/>
  <c r="R4" i="13" s="1"/>
  <c r="P4" i="13"/>
  <c r="O4" i="13"/>
  <c r="L4" i="13"/>
  <c r="N4" i="13" s="1"/>
  <c r="K4" i="13"/>
  <c r="M4" i="13" s="1"/>
  <c r="H4" i="13"/>
  <c r="J4" i="13" s="1"/>
  <c r="C4" i="13"/>
  <c r="W1" i="13"/>
  <c r="A57" i="3"/>
  <c r="A56" i="3"/>
  <c r="A55" i="3"/>
  <c r="A54" i="3"/>
  <c r="A53" i="3"/>
  <c r="A52" i="3"/>
  <c r="A51" i="3"/>
  <c r="A50" i="3"/>
  <c r="A49" i="3"/>
  <c r="A48" i="3"/>
  <c r="F47" i="3"/>
  <c r="C47" i="3"/>
  <c r="A47" i="3"/>
  <c r="C46" i="3"/>
  <c r="A46" i="3"/>
  <c r="A44" i="3"/>
  <c r="A43" i="3"/>
  <c r="A36" i="3"/>
  <c r="A35" i="3"/>
  <c r="A34" i="3"/>
  <c r="A33" i="3"/>
  <c r="A32" i="3"/>
  <c r="A31" i="3"/>
  <c r="A30" i="3"/>
  <c r="F29" i="3"/>
  <c r="E29" i="3"/>
  <c r="C29" i="3"/>
  <c r="A29" i="3"/>
  <c r="F28" i="3"/>
  <c r="E28" i="3"/>
  <c r="C28" i="3"/>
  <c r="A28" i="3"/>
  <c r="G29" i="3"/>
  <c r="A24" i="3"/>
  <c r="A23" i="3"/>
  <c r="A22" i="3"/>
  <c r="A21" i="3"/>
  <c r="A20" i="3"/>
  <c r="A19" i="3"/>
  <c r="A18" i="3"/>
  <c r="A13" i="3"/>
  <c r="B12" i="3"/>
  <c r="C12" i="3" s="1"/>
  <c r="G12" i="3" s="1"/>
  <c r="H12" i="3" s="1"/>
  <c r="J12" i="3" s="1"/>
  <c r="K12" i="3" s="1"/>
  <c r="S8" i="3"/>
  <c r="A7" i="3"/>
  <c r="A6" i="3"/>
  <c r="A5" i="3"/>
  <c r="A4" i="3"/>
  <c r="A3" i="3"/>
  <c r="A87" i="2"/>
  <c r="C82" i="2"/>
  <c r="C81" i="2"/>
  <c r="A81" i="2"/>
  <c r="C80" i="2"/>
  <c r="C79" i="2"/>
  <c r="A79" i="2"/>
  <c r="C78" i="2"/>
  <c r="A75" i="2"/>
  <c r="A74" i="2"/>
  <c r="A68" i="2"/>
  <c r="A67" i="2"/>
  <c r="A39" i="2"/>
  <c r="A38" i="2"/>
  <c r="A85" i="2"/>
  <c r="A37" i="2"/>
  <c r="A35" i="2"/>
  <c r="A34" i="2"/>
  <c r="A33" i="2"/>
  <c r="A32" i="2"/>
  <c r="A31" i="2"/>
  <c r="A24" i="2"/>
  <c r="A23" i="2"/>
  <c r="A22" i="2"/>
  <c r="E19" i="2"/>
  <c r="A19" i="2"/>
  <c r="A18" i="2"/>
  <c r="A17" i="2"/>
  <c r="E16" i="2"/>
  <c r="E17" i="2" s="1"/>
  <c r="A16" i="2"/>
  <c r="B13" i="2"/>
  <c r="A7" i="2"/>
  <c r="A6" i="2"/>
  <c r="A5" i="2"/>
  <c r="A4" i="2"/>
  <c r="A3" i="2"/>
  <c r="H1" i="2"/>
  <c r="B21" i="1"/>
  <c r="B20" i="1"/>
  <c r="B19" i="1"/>
  <c r="B18" i="1"/>
  <c r="B17" i="1"/>
  <c r="B16" i="1"/>
  <c r="B15" i="1"/>
  <c r="B14" i="1"/>
  <c r="A14" i="1"/>
  <c r="A15" i="1" s="1"/>
  <c r="B13" i="1"/>
  <c r="H30" i="3" l="1"/>
  <c r="H36" i="3" s="1"/>
  <c r="H13" i="3"/>
  <c r="C13" i="2"/>
  <c r="D13" i="2" s="1"/>
  <c r="E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A25" i="2"/>
  <c r="E20" i="13"/>
  <c r="E22" i="12"/>
  <c r="E31" i="12" s="1"/>
  <c r="D29" i="3"/>
  <c r="D47" i="3"/>
  <c r="D28" i="3"/>
  <c r="E23" i="12"/>
  <c r="E27" i="12"/>
  <c r="E24" i="12"/>
  <c r="E20" i="12"/>
  <c r="E35" i="12"/>
  <c r="E38" i="12"/>
  <c r="E25" i="12"/>
  <c r="E28" i="12"/>
  <c r="E39" i="12"/>
  <c r="E34" i="12"/>
  <c r="E17" i="12"/>
  <c r="E19" i="12"/>
  <c r="E21" i="12"/>
  <c r="H1" i="4"/>
  <c r="A16" i="1"/>
  <c r="L12" i="3"/>
  <c r="M12" i="3" s="1"/>
  <c r="N12" i="3" s="1"/>
  <c r="O12" i="3" s="1"/>
  <c r="P12" i="3" s="1"/>
  <c r="Q12" i="3" s="1"/>
  <c r="R12" i="3" s="1"/>
  <c r="S12" i="3" s="1"/>
  <c r="T12" i="3" s="1"/>
  <c r="J7" i="13"/>
  <c r="J9" i="13"/>
  <c r="O17" i="13"/>
  <c r="H50" i="3" s="1"/>
  <c r="I4" i="13"/>
  <c r="I6" i="13"/>
  <c r="S7" i="13"/>
  <c r="S17" i="13" s="1"/>
  <c r="I14" i="13"/>
  <c r="I8" i="13"/>
  <c r="P17" i="13"/>
  <c r="H18" i="3" s="1"/>
  <c r="C7" i="13"/>
  <c r="I7" i="13" s="1"/>
  <c r="I11" i="13"/>
  <c r="T17" i="13"/>
  <c r="E81" i="2" s="1"/>
  <c r="E17" i="13"/>
  <c r="Q7" i="13"/>
  <c r="R7" i="13" s="1"/>
  <c r="L9" i="13"/>
  <c r="N9" i="13" s="1"/>
  <c r="I10" i="13"/>
  <c r="I13" i="13"/>
  <c r="K9" i="13"/>
  <c r="M9" i="13" s="1"/>
  <c r="M17" i="13" s="1"/>
  <c r="E66" i="2" s="1"/>
  <c r="C9" i="13"/>
  <c r="I9" i="13" s="1"/>
  <c r="N13" i="13"/>
  <c r="Q9" i="13"/>
  <c r="R9" i="13" s="1"/>
  <c r="I5" i="13"/>
  <c r="I12" i="13"/>
  <c r="L7" i="13"/>
  <c r="N7" i="13" s="1"/>
  <c r="N14" i="13"/>
  <c r="C18" i="13"/>
  <c r="I18" i="13" s="1"/>
  <c r="I19" i="13"/>
  <c r="J19" i="13"/>
  <c r="A38" i="5"/>
  <c r="E23" i="5"/>
  <c r="E24" i="5"/>
  <c r="A40" i="5"/>
  <c r="A76" i="2"/>
  <c r="A84" i="2"/>
  <c r="A86" i="2"/>
  <c r="A49" i="2"/>
  <c r="A66" i="2"/>
  <c r="A73" i="2"/>
  <c r="A78" i="2"/>
  <c r="A80" i="2"/>
  <c r="A82" i="2"/>
  <c r="A83" i="2"/>
  <c r="E20" i="2"/>
  <c r="J17" i="13"/>
  <c r="H37" i="3" l="1"/>
  <c r="H14" i="3"/>
  <c r="E30" i="12"/>
  <c r="E72" i="2"/>
  <c r="E67" i="2"/>
  <c r="E71" i="2"/>
  <c r="E68" i="2"/>
  <c r="E69" i="2"/>
  <c r="E70" i="2"/>
  <c r="H42" i="3"/>
  <c r="H39" i="3"/>
  <c r="H41" i="3"/>
  <c r="H38" i="3"/>
  <c r="H40" i="3"/>
  <c r="E18" i="12"/>
  <c r="E36" i="12"/>
  <c r="E40" i="12"/>
  <c r="E41" i="12" s="1"/>
  <c r="E42" i="12" s="1"/>
  <c r="E32" i="12"/>
  <c r="E33" i="12"/>
  <c r="H1" i="5"/>
  <c r="A17" i="1"/>
  <c r="R17" i="13"/>
  <c r="E79" i="2" s="1"/>
  <c r="H19" i="3"/>
  <c r="Q17" i="13"/>
  <c r="E78" i="2" s="1"/>
  <c r="N17" i="13"/>
  <c r="H51" i="3" s="1"/>
  <c r="E49" i="2"/>
  <c r="E80" i="2"/>
  <c r="L17" i="13"/>
  <c r="K17" i="13"/>
  <c r="E20" i="5"/>
  <c r="E19" i="5"/>
  <c r="E35" i="2"/>
  <c r="E50" i="2" l="1"/>
  <c r="E31" i="2"/>
  <c r="E37" i="12"/>
  <c r="H1" i="6"/>
  <c r="A18" i="1"/>
  <c r="H35" i="3"/>
  <c r="H34" i="3"/>
  <c r="H31" i="3"/>
  <c r="H32" i="3"/>
  <c r="H33" i="3"/>
  <c r="H57" i="3"/>
  <c r="H53" i="3"/>
  <c r="H55" i="3"/>
  <c r="H54" i="3"/>
  <c r="H56" i="3"/>
  <c r="E74" i="2"/>
  <c r="H48" i="3"/>
  <c r="E76" i="2"/>
  <c r="H49" i="3"/>
  <c r="H52" i="3"/>
  <c r="E75" i="2"/>
  <c r="E52" i="2"/>
  <c r="E51" i="2"/>
  <c r="E53" i="2"/>
  <c r="E21" i="5"/>
  <c r="E32" i="2"/>
  <c r="P8" i="7" l="1"/>
  <c r="H1" i="7"/>
  <c r="A19" i="1"/>
  <c r="E64" i="2"/>
  <c r="E62" i="2"/>
  <c r="E61" i="2"/>
  <c r="E65" i="2"/>
  <c r="E63" i="2"/>
  <c r="Q9" i="4" l="1"/>
  <c r="H1" i="8"/>
  <c r="A20" i="1"/>
  <c r="Q9" i="5" l="1"/>
  <c r="A21" i="1"/>
  <c r="G1" i="12" s="1"/>
  <c r="F1" i="10"/>
  <c r="Q9" i="2" l="1"/>
  <c r="P8" i="6" l="1"/>
  <c r="P8" i="8" l="1"/>
</calcChain>
</file>

<file path=xl/sharedStrings.xml><?xml version="1.0" encoding="utf-8"?>
<sst xmlns="http://schemas.openxmlformats.org/spreadsheetml/2006/main" count="1344" uniqueCount="486">
  <si>
    <t>Celtniecības remontdarbi</t>
  </si>
  <si>
    <t>Būves nosaukums: Daudzdzīvokļu dzīvojamās mājas fasādes vienkāršotā atjaunošana</t>
  </si>
  <si>
    <t>Pasūtītājs: SIA "Liepājas namu apsaimniekotājs"</t>
  </si>
  <si>
    <t>Par kopējo summu, euro:</t>
  </si>
  <si>
    <t>Kopājā darbietilpība, c/h:</t>
  </si>
  <si>
    <t>Lokālās tāmes Nr.</t>
  </si>
  <si>
    <t>Darba veids vai konstruktīvā elementa nosaukums</t>
  </si>
  <si>
    <t>Darba ietilpība, (c/h)</t>
  </si>
  <si>
    <t>Tai skaitā</t>
  </si>
  <si>
    <t>kopā</t>
  </si>
  <si>
    <t>Pārbaudīja:</t>
  </si>
  <si>
    <t>Lokālā tāme Nr.:</t>
  </si>
  <si>
    <t>Ārsienu siltināšanas darbi</t>
  </si>
  <si>
    <t>daļas rasējumiem</t>
  </si>
  <si>
    <t>Tāmes izmaksas euro: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</si>
  <si>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</si>
  <si>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</si>
  <si>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</si>
  <si>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</si>
  <si>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</si>
  <si>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</si>
  <si>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</si>
  <si>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Darbietilpība
(c/h)</t>
  </si>
  <si>
    <t>līg.c.</t>
  </si>
  <si>
    <t>Metāla nožogojuma montāža, h=2,0 m</t>
  </si>
  <si>
    <t>m</t>
  </si>
  <si>
    <t>Žogs 3,5×2m</t>
  </si>
  <si>
    <t>gb</t>
  </si>
  <si>
    <t>Pēda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</si>
  <si>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</si>
  <si>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</si>
  <si>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</si>
  <si>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</si>
  <si>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</si>
  <si>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</si>
  <si>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Ārsienas sagatavošana siltināšanai - virsmu notīrīšana un gruntēšana</t>
  </si>
  <si>
    <t>kg</t>
  </si>
  <si>
    <t>l</t>
  </si>
  <si>
    <t>Ārsienu  siltināšana ar akmensvati līmējot un piestiprinot to pie ārsienas ar mehāniskajiem stiprinājumiem</t>
  </si>
  <si>
    <t>Paligmateriāli</t>
  </si>
  <si>
    <t>Siltumizolācija sienām</t>
  </si>
  <si>
    <t>m2</t>
  </si>
  <si>
    <t>Blīvējošās lentas montēšana ap logu ailām u.c. vietām.</t>
  </si>
  <si>
    <t>Līmlente</t>
  </si>
  <si>
    <t>Iekšējo stūru armējums visā ēkas augstumā</t>
  </si>
  <si>
    <t>Metāla karoga kāta turētāja montāža</t>
  </si>
  <si>
    <t>Būvgružu savākšana un aizvešana</t>
  </si>
  <si>
    <t>Gružu konteiners</t>
  </si>
  <si>
    <t>Tāmes izmaksas</t>
  </si>
  <si>
    <t>euro</t>
  </si>
  <si>
    <t>Esošo skārda āra palodžu demontāža, b=0,25.</t>
  </si>
  <si>
    <t>A, m</t>
  </si>
  <si>
    <t>B, m</t>
  </si>
  <si>
    <t>montāžas skavas</t>
  </si>
  <si>
    <t>dibeļi</t>
  </si>
  <si>
    <t>skrūves</t>
  </si>
  <si>
    <t>palodzes profils</t>
  </si>
  <si>
    <t>Jaunu iekštelpu PVC palodžu montēšana, b=350mm.</t>
  </si>
  <si>
    <t>Apmetuma atjaunošana pēc logu nomaiņas telpu iekšpusē, remonts ap logu ailu.</t>
  </si>
  <si>
    <t>Pagraba siltināšana</t>
  </si>
  <si>
    <t>Gružu izvākšanam, grīdas attīrīšana</t>
  </si>
  <si>
    <t>m³</t>
  </si>
  <si>
    <t>Nozāģēto sieniņu enkurošana pie griestiem (precizēt uz vietas)</t>
  </si>
  <si>
    <t>Dzelzsbetona pārsegumu notīrīšana, izlīdzināšana, sagatavošana siltināšanai</t>
  </si>
  <si>
    <t>Siltumizolācija</t>
  </si>
  <si>
    <t>Cokola siltināšanas darbi</t>
  </si>
  <si>
    <t>Cokola apmetuma nokalšana</t>
  </si>
  <si>
    <t>Cementa bāzes hidroizolācijas l=375*mm ieklāšana cokola daļā</t>
  </si>
  <si>
    <t>Jumta atjaunošana</t>
  </si>
  <si>
    <t>Ieejas mezglu atjaunošana</t>
  </si>
  <si>
    <t>kpl.</t>
  </si>
  <si>
    <t>AVK</t>
  </si>
  <si>
    <t>Apkure. Koplietošanas cauruļvadi</t>
  </si>
  <si>
    <t>Metāla konstrukcijas cauruļvadu un iekārtu stiprināšanai</t>
  </si>
  <si>
    <t>Cauruļvadu un pievienojumu fasondetaļas un veidgabali</t>
  </si>
  <si>
    <t>Apkures sistēmas ieregulēšana, pārbaude un nodošana ekspluatācijā</t>
  </si>
  <si>
    <t>Ventilācijas sistēma</t>
  </si>
  <si>
    <t>Ventilis lodveida; t=110°C; P=8 bar; Dn15; uzstādīšana</t>
  </si>
  <si>
    <t>Palīgmateriāli</t>
  </si>
  <si>
    <t>Gāzes apgādes sistēmas atjaunošana</t>
  </si>
  <si>
    <t>GA</t>
  </si>
  <si>
    <t>Gāzesvada pievads</t>
  </si>
  <si>
    <t>Dn50</t>
  </si>
  <si>
    <t>Ø60,3×3.6</t>
  </si>
  <si>
    <t>Dn50&gt;Dn40</t>
  </si>
  <si>
    <t>Dn40</t>
  </si>
  <si>
    <t>PE aizsargčaula Dn100 ar polipropilēnu un silikonu uz izvada no zemes pie ievada ēkā.</t>
  </si>
  <si>
    <t>Tērauda caurules antikorozijas apstrāde un krāsošana ar eļļas krāsu</t>
  </si>
  <si>
    <t>Signālvads S=2×2,5 mm², ar vara dzīslām un izolāciju 
(Ar izvadu)</t>
  </si>
  <si>
    <t>Mitruma izturīga līmlenta signālkabeļa stiprināšanai</t>
  </si>
  <si>
    <t>Marķējuma lenta ar uzrakstu "Gāze"</t>
  </si>
  <si>
    <t>Smilšu seguma pabērums zem un virs gāzes vada B=100 mm</t>
  </si>
  <si>
    <t>vietas</t>
  </si>
  <si>
    <t>Gāzes vadu un iekārtu sazemēšana pēc RD34.12.122-87</t>
  </si>
  <si>
    <t>Metināto šuvju pārbaude 100%</t>
  </si>
  <si>
    <t>Zālāja atjaunošanas</t>
  </si>
  <si>
    <t>Gāzes vada digitālā uzmērīšana un nodošana ekspluatācijā</t>
  </si>
  <si>
    <t>Tērauda aizsargcaurule Dn80, l=0,5m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</si>
  <si>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</si>
  <si>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</si>
  <si>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</si>
  <si>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</si>
  <si>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</si>
  <si>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</si>
  <si>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</si>
  <si>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</si>
  <si>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>ārējās</t>
  </si>
  <si>
    <t>iekšējās</t>
  </si>
  <si>
    <t>ārējās</t>
  </si>
  <si>
    <t>esošie PVC</t>
  </si>
  <si>
    <t>maināmie koka</t>
  </si>
  <si>
    <t>L</t>
  </si>
  <si>
    <t>h</t>
  </si>
  <si>
    <t>1.gb.</t>
  </si>
  <si>
    <t>hidroizolācijas</t>
  </si>
  <si>
    <t>difūzijas</t>
  </si>
  <si>
    <t>SILTINĀJUMU PLATĪBAS</t>
  </si>
  <si>
    <t>Apz.</t>
  </si>
  <si>
    <t>Apraksts</t>
  </si>
  <si>
    <t>Platība, m²</t>
  </si>
  <si>
    <t>Sienas siltinājums</t>
  </si>
  <si>
    <t>S1 Vieglbetona paneļu ārējās sienas siltinājums</t>
  </si>
  <si>
    <t>Esosošo gāzes ievadu demontāža</t>
  </si>
  <si>
    <t>Noteku galvu nomaiņas komplekti  kopā ar stiprinājuma detaļām, nostiprināšana</t>
  </si>
  <si>
    <t>Savietotā jumta enkuri siltinājuma un jumta seguma stiprināšanai:</t>
  </si>
  <si>
    <t xml:space="preserve">     * betona virsmas remonts pēc esošā apšuvuma noņemšanas (precizēt pēc vietas)</t>
  </si>
  <si>
    <t xml:space="preserve">  *enkuri Ø12; l=150, iestrādāti esošā sienā un ielaisti mūra kārtā 75 mm, s=600</t>
  </si>
  <si>
    <t xml:space="preserve">  *parapeta augšējās virsmas slīpināšana ar cementa javu, 0÷30 mm, uz jumta pusi </t>
  </si>
  <si>
    <t>(papildus jumta segums izvadu sieniņu ārvirsmas pieslēgšanai - pie jumta apjomiem)</t>
  </si>
  <si>
    <t xml:space="preserve">   * uzlocītās jumta seguma joslas pielīmēšana, šuves hermetizēšana gar dzegu </t>
  </si>
  <si>
    <t>Ārējo ieeju atjaunoto jumtiņu pieslēgums pie siltinātas ārsienas:</t>
  </si>
  <si>
    <t>Esošās apkures sistēmas demontāža</t>
  </si>
  <si>
    <t>Polipropilēna caurules DN40 montāža, stiprināšana pie sienas</t>
  </si>
  <si>
    <t>Polipropilēna caurules DN32 montāža, stiprināšana pie sienas</t>
  </si>
  <si>
    <t>Polipropilēna caurules DN25 montāža, stiprināšana pie sienas</t>
  </si>
  <si>
    <t>Polipropilēna caurules DN20 montāža, stiprināšana pie sienas</t>
  </si>
  <si>
    <t>Polipropilēna caurules DN15 montāža, stiprināšana pie sienas</t>
  </si>
  <si>
    <t>Ventilis lodveida; t=110°C; P=8bar; Dn40; uzstādīšana</t>
  </si>
  <si>
    <t>Ventilis lodveida; t=110°C; P=8bar; Dn32; uzstādīšana</t>
  </si>
  <si>
    <t>Ventilis lodveida; t=110°C; P=8bar; Dn15; uzstādīšana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</si>
  <si>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</si>
  <si>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</si>
  <si>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</si>
  <si>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DN32→DN15,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</si>
  <si>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</si>
  <si>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</si>
  <si>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</si>
  <si>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</si>
  <si>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DN32 pagrieziens 90°</t>
  </si>
  <si>
    <t>Cauruļvadu slīdošie balsti ar pagarinājumiem un stiprinājumiem Dn32</t>
  </si>
  <si>
    <t>Atgaisotājs automātisks, t=110°C, P=9bar, uzstādīšana</t>
  </si>
  <si>
    <t>Apkures sistēmas ieregulēšana pārbaude un nodošana ekspluatācijā</t>
  </si>
  <si>
    <t>Ventilis lodveida; t=110°C; P=8 bar; Dn15, montāža</t>
  </si>
  <si>
    <t>Netīrumu savācējs; t=110°C; P=8bar; Dn15, montāža</t>
  </si>
  <si>
    <t>Slēdzams skapis 300*×350*×500* (siltuma skaitītāja uzstādīšanai)</t>
  </si>
  <si>
    <t>Grunts hidroizolācijai</t>
  </si>
  <si>
    <t>Tiešās izmaksas kopā, t. sk. darba devēja sociālais nodoklis (%)</t>
  </si>
  <si>
    <t>Dn40 līkumi 90°</t>
  </si>
  <si>
    <t>Siltumizolācija pielietotajām sistēmām</t>
  </si>
  <si>
    <t>Sastatņu montēšana, t.sk. siets un nosegjumtiņi</t>
  </si>
  <si>
    <t>nosegsiets</t>
  </si>
  <si>
    <t>nosegjumtiņi</t>
  </si>
  <si>
    <t>Esošo lodžiju margu demontāža</t>
  </si>
  <si>
    <t>Grunts atrrakšanas darbi 1,2m dziļumā,1000 mm platumā</t>
  </si>
  <si>
    <t>Tranšejas aizbēršana ar minerālgrunti pēc siltināšanas darbu veikšanas</t>
  </si>
  <si>
    <t>Pasūtījuma Nr.EA-15-17</t>
  </si>
  <si>
    <t>Dzīvokļa siltuma uzskaites mezgls (pavisam 30 dzīvokļi)</t>
  </si>
  <si>
    <t>Divistabu dzīvoklim Nr.3; 6; 9; 12; 15</t>
  </si>
  <si>
    <t>Karbona caurule DN15, montāža, stiprināšana pie sienas</t>
  </si>
  <si>
    <t>Karbona caurules pagrieziens 90°, DN15, montāža</t>
  </si>
  <si>
    <t>Karbona caurules  trejgabals DN15, montāža</t>
  </si>
  <si>
    <t>Vienistabas dzīvoklim Nr.17; 20; 23; 26; 29</t>
  </si>
  <si>
    <t>Karbona caurules trejgabals DN15, montāža</t>
  </si>
  <si>
    <t>Trīsistabu dzīvoklim Nr.1; 4; 7; 10; 13</t>
  </si>
  <si>
    <t>Trīsistabu dzīvoklim Nr.2; 5; 8; 11; 14</t>
  </si>
  <si>
    <t>Trīsistabu dzīvoklim Nr.16; 19; 22; 25; 28</t>
  </si>
  <si>
    <t>Četristabu dzīvoklim Nr.18; 21; 24; 27; 30</t>
  </si>
  <si>
    <t>D1 - Esošas metāla konstrukcijas durvis uz pagrabu</t>
  </si>
  <si>
    <t>D2-Esošas metāla konstrukcijas durvis ar koda atslēgu galvenai ieejai ēkā</t>
  </si>
  <si>
    <t>S3 Vieglbetona paneļu ārējās sienas siltinājums (lodžijām)</t>
  </si>
  <si>
    <t>S4 Vieglbetona paneļu ārējās sienas siltinājums</t>
  </si>
  <si>
    <t>S5 Vieglbetona paneļu ārējās sienas siltinājums</t>
  </si>
  <si>
    <t>A1 Lodžiju starpsienu apdare</t>
  </si>
  <si>
    <t>P1 Pagraba pārseguma siltinājums</t>
  </si>
  <si>
    <t>P2 Jumta siltinājums (skatīt BK)</t>
  </si>
  <si>
    <t>Pavisam 5 šādi dzīvokļi</t>
  </si>
  <si>
    <t xml:space="preserve">Struktūrapmetums; Špaktele; Gruntējums; Esoša vieglbetona starpsiena, remontējama pēc nepieciešamības b=140mm; Gruntējums; Špaktele; Struktūrapmetums </t>
  </si>
  <si>
    <t>Demontāžas darbi, paredzot būvgružu utilizāciju</t>
  </si>
  <si>
    <t>Ruberoīda novākšana no jumta, ieskaitota uzliekumu  uz parapetiem (pieņemts 3 kārtu segums), pēc uzmērījuma dabā L=38,55mxB=11,66m-7,5m²(izvadi)-1,32m²(lūkas)</t>
  </si>
  <si>
    <t>Uzliektā ruberoīda seguma, b=0,3m, novākšana vēdināšanas izvadiem (pieņemts 3 kārtas), izvadu perimetrs.5,8mx6gb=34,8mx0,3m</t>
  </si>
  <si>
    <t>Uzliektā ruberoīda seguma, b=0,3m, novākšana jumta lūkām (pieņemts 3 kārtas), lūku perimetrs 4,6mx2 gb=9,2mx0,3m</t>
  </si>
  <si>
    <t>Skārda apšuvuma noņemšana no parapetiem, b=0,6m; L=101,5m</t>
  </si>
  <si>
    <t>Skārda apšuvuma, b=0,3m, noņemšana vēdināšanas izvadu sieniāni un jumtam; perimetrs 34,8mx0,3m(sienas)+3,2m²x6gb(jumts)  (6 gab)</t>
  </si>
  <si>
    <t>Skārda apšuvuma noņemšana no jumta lūkām (2,3m²x2 gab)</t>
  </si>
  <si>
    <t>Skārda apšuvuma, b=0,3m, noņemšana no lodžiju jumtiņiem  (5.stāvs, kopL=25,6 m)</t>
  </si>
  <si>
    <t>Ar jumtu saistīto gaisa sakaru kabeļu, enkuru demontāža (precizēt uz vietas; skat.BK-6)</t>
  </si>
  <si>
    <t>Attīrītas jumta paneļu virsmas izlīdzināšana ar cementa javu, b=20</t>
  </si>
  <si>
    <t>Slīpinātas virsmas 0÷90 mm ierīkošana pa posmiem sateces kanāla zonā (0,5mx38,25 m=19,1m²) no cementa javas vai smalka keramzīta ar cementa pienu (skat.jumta plānā)</t>
  </si>
  <si>
    <t>20</t>
  </si>
  <si>
    <t>23</t>
  </si>
  <si>
    <t>24</t>
  </si>
  <si>
    <t>25</t>
  </si>
  <si>
    <t>Atvērumu, Ø52*, l=150 - ass A; l=200 mm-ass D, ierīkošana ārsienu siltinājumā</t>
  </si>
  <si>
    <t>Cinkota skārda caurulīšu, Ø48*; l=210/*260*, nostiprināšana esošos jumta paneļu atvērumos, Ø50, s=600; fasādes pusē iestrādāta restīte 100x100; 6 gab uz katru paneli</t>
  </si>
  <si>
    <t>Esošo jumta lūku, apakša 1,1x1,1m, augša 0,64x0,64m; h=0,6m, atjaunošana :</t>
  </si>
  <si>
    <t xml:space="preserve">     *hermetizēta šuve gar jumta seguma un lūkas pieslēgumu</t>
  </si>
  <si>
    <t>Vēdināšanas izvadu  atjaunošana; 0,5x2,4m apakša; 0, 6x2,4m-augšdaļa (BK-3):</t>
  </si>
  <si>
    <t xml:space="preserve">     *Izvadu augšējās virsmas slīpināšana ar cementa javu 10÷60 mm, 6 virsmas</t>
  </si>
  <si>
    <t xml:space="preserve">     *jumta skārda aplocīšana ap detaļām izvadu jumtiņiem: slīpā virsma 0,4mx2,4mx2x6; malas h=0,1mx6mx6; aplocījums 0,05x2x2,4m x6+0,036m²x6 (ģala slīpin.)</t>
  </si>
  <si>
    <t xml:space="preserve"> </t>
  </si>
  <si>
    <t xml:space="preserve">     *jumta skārda fasondetaļas, b=0,2m stiprināšana pie betona virsmas izvadu un   jumta seguma pieslēgumam: 0,2mx34,8m; pašurbjošo skrūvju solis s=200</t>
  </si>
  <si>
    <t xml:space="preserve">     *šuves hermetizēšana gar jumta skārda apšuvuma pieslēgumu</t>
  </si>
  <si>
    <t>Parapetu izbūves detaļas, parapeta garums 101,5; esošais b=300, skatīt lapu BK-4:</t>
  </si>
  <si>
    <t xml:space="preserve">  *parapetu, b=0,3 m, betona virsmas attīrīšana, izlīdzināšana pēc apšuvuma noņemš.</t>
  </si>
  <si>
    <t>Parapetu siltināšana, apšūšana pa asīm "A-A", "1", "13", B=0,52m,  L=49,8 m:</t>
  </si>
  <si>
    <t xml:space="preserve">  * uz parapeta enkurota, antiseptizēta lata 50x50 mm, l=520, s=600; 83 gb, L=43,2m  </t>
  </si>
  <si>
    <t xml:space="preserve">  * ķīļenkuri Ø12x150  latu nostiprināšanai, 2 gab uz katru</t>
  </si>
  <si>
    <t xml:space="preserve">  * pie latām skrūvēta mitruma izturīgā finiera plātne, d=20 mm; b=520 mm  </t>
  </si>
  <si>
    <t xml:space="preserve">  * liektas enkurdetaļas -4x40, l=820, s=600, skārda aplocīšanai, 83 gb, kop.L=68,1m</t>
  </si>
  <si>
    <t xml:space="preserve">  * parapeta apšuvums ar jumta skārdu,  b=520+100, toni skat. AR rasējumos</t>
  </si>
  <si>
    <t>Parapetu, b=550, siltināšana, apšūšana pa asīm "D-D" (lodžiju puse); L=39,2 m:</t>
  </si>
  <si>
    <t xml:space="preserve">  * uz parapeta enkurota, antiseptizēta lata 50x50 mm, l=550, s=600; 65 gb, L=35,8m  </t>
  </si>
  <si>
    <t xml:space="preserve">  * pie latām skrūvēta mitruma izturīgā finiera plātne, d=20 mm, b=550 mm  </t>
  </si>
  <si>
    <t xml:space="preserve">  * liektas enkurdetaļas -4x40, l=850, s=600, skārda aplocīšanai, 65 gb, kop.L=55,3m</t>
  </si>
  <si>
    <t>Parapetu, b=350, izbūve bloķējuma zonā pa asīm "1", "13"; L=6,3mx2=12,6 m:</t>
  </si>
  <si>
    <t xml:space="preserve">  * uz parapeta enkurota, antiseptizēta lata 50x50 mm, l=350, s=600; 22 gb, kop.L=7,7m  </t>
  </si>
  <si>
    <t xml:space="preserve">  * liektas enkurdetaļas -4x40, l=500, s=600, skārda aplocīšanai, 22 gb, kop.L=11m</t>
  </si>
  <si>
    <t xml:space="preserve">  * bloķētās sienas ķieģeļu mūrī iefrēzēta šuve, 2cm dziļi, apšuvuma skārda ielocīšanai</t>
  </si>
  <si>
    <t xml:space="preserve">  * šuves hermetizēšana gar apšuvuma skārdu  </t>
  </si>
  <si>
    <t>Kanalizācijas stāvvadu izvadu atjaunošana virsjumta zonā:</t>
  </si>
  <si>
    <t xml:space="preserve">  * papildus jumta segums ap kanalizācijas izvadu pieslēgumiem, Ø400</t>
  </si>
  <si>
    <t xml:space="preserve">  * šuves hermetizēšana gar seguma un izvada pieslēgumu, Ø100*</t>
  </si>
  <si>
    <t>1</t>
  </si>
  <si>
    <t>Jumta virsmas notīrīšana līdz keramzītbetona panelim (nepiesaistītas betona daļiņas u.c.), jumta virsmas laukums BxL=11,3mx38,25m-7,2m²(izvadi)-1,32(lūkas)</t>
  </si>
  <si>
    <t xml:space="preserve">   * leņķveida plaukts L75x6; l=75; stiprināts pie lodžijas plātnes, b=100; 2 gb uz lodžiju - </t>
  </si>
  <si>
    <t xml:space="preserve">   * ķīļenkurs M10, l=50*, 1 gab uz atbalstplauktu</t>
  </si>
  <si>
    <t xml:space="preserve">   * montāžas plātne -10x100x240, lodžiju bloku vidū, enkurota pie dzelzsbetona šķērssienas margu statiskā horizntālā profila enkurošanai (1 m no grīdas līmeņa)</t>
  </si>
  <si>
    <t xml:space="preserve">   * montāžas plātne -10x100x190, lodž.sekciju bloku malās, enkurota pie dzelzsbetona šķērssienas margu statiskā horizntālā profila enkurošanai (1 m no grīdas līmeņa)</t>
  </si>
  <si>
    <t xml:space="preserve">   * metāla detaļu pretkorozijas krāsošana</t>
  </si>
  <si>
    <t xml:space="preserve">   * blīvējoša starplika, 10*(h)x80, šuvēs starp PVC margas apakšu un lodžijas plātni </t>
  </si>
  <si>
    <t xml:space="preserve">   * PVC stūra līstes ar rūpn.pielīmētu sietu lodžijas stūros no telpas puses (lodžiju iekšējais kopgarums L=117,6 m): 3x117,6m (pie ārsienas-grīda, griesti, gar margas apakšu) +2x2,6(h-pie ārsienas)+4x1m(h-margai abas puses)x40=352,8m+108m+160m</t>
  </si>
  <si>
    <t xml:space="preserve">   * lodžijas plātnes slīpinājums ar cementa javu , 0÷20, ārmalas apšuvuma zonā, b=62</t>
  </si>
  <si>
    <t xml:space="preserve">   * plātnes malas apšuvuma enkurdetaļa -4x40x200; s=500; 256 gb, kop.L=51,2 m, piedībelēta pie plātnes  </t>
  </si>
  <si>
    <t xml:space="preserve">   * krāsota jumta skārda lodžijas malas apšuvums, b=0,3*m, krāsu tonis AR rasējumos </t>
  </si>
  <si>
    <t xml:space="preserve">   * blīvēta šuve gar skārda apšuvumu pie PVC margas</t>
  </si>
  <si>
    <t xml:space="preserve">PVC margas un stiklojuma sadalījumu skatīt AR rasējumos. </t>
  </si>
  <si>
    <t xml:space="preserve">   * blīvējoša starplika, 10*(h)x80, šuvēs  starp PVC stiklojuma augšu un lodžijas plātni  </t>
  </si>
  <si>
    <t xml:space="preserve">   * PVC stūra līstes lodžijas stūros no ārpuses un telpas puses gar stiklojumu (lodžiju iekšējais kopgarums L=117,6 m): 2x117,6m (stiklojums-griesti) +4x1,6x40 (stikojums-siena)=235,2m+256m</t>
  </si>
  <si>
    <t>Ieeju metāla statu un margu krāsošana; profili 50x50mm; kop.L=25,7m uz 1 ieeju</t>
  </si>
  <si>
    <t>Ārējo ieeju atjaunoto jumtiņu dzegas malas remonts (2 jumtiņi,  L=3,2* m):</t>
  </si>
  <si>
    <t xml:space="preserve">   * skārda apšuvuma noņemšana no jumtiņa malām, kop.L=9,7mx2gb; b=0,3m</t>
  </si>
  <si>
    <t xml:space="preserve">   * līmētā jumta seguma uzlocīšana uz augšu (150* mm platumā) pa ārējo perimetru</t>
  </si>
  <si>
    <t xml:space="preserve">   * teknes turētājus, s=700, dībeļot pie plātnes virsmas, t.sk., jumtiņa kreisā malā - 5 gb</t>
  </si>
  <si>
    <t xml:space="preserve">   * skārda apšuvuma atpakaļatlikšana (vai jauns skārds) uz jumtiņa malām</t>
  </si>
  <si>
    <t xml:space="preserve">   * lietusūdens teknes, Ø70, uzstādīšana priekšmalā 2x3,2m un kreisā malā ~3mx2</t>
  </si>
  <si>
    <t xml:space="preserve">   * notekas, Ø70, l= montāža,  l=~3 m, precizēt pēc vietas</t>
  </si>
  <si>
    <t xml:space="preserve">  * papildus seguma kārta, b=700 mm, ekv.esošam, gar pieslēguma vietu, 3,2m uz ieeju</t>
  </si>
  <si>
    <t xml:space="preserve">  * enkurota cinkota skārda noseglīste, b=100, gar pieslēguma vietu, 3,2m uz ieeju</t>
  </si>
  <si>
    <t xml:space="preserve">  * pieslēguma šuves hermetizēšana, 3,2m uz ieeju </t>
  </si>
  <si>
    <t>Betona plātņu celiņu sakārtošana pie ieejām (perspektīvā paredzēta labiekārtojuma atjaunošana ielas pusē); pieņemti remonta zonas izmēri  2,3x3mx2gb</t>
  </si>
  <si>
    <t>Ārējo palodžu - skārda, montēšana  b=0,5m</t>
  </si>
  <si>
    <t>Ārsiena</t>
  </si>
  <si>
    <t>Stūra profils ar armējumu visā augstumā visos ēkas ārējos stūros</t>
  </si>
  <si>
    <t>Dībeli virsmas klasifikācija ETA A,B,C,D,E, galvas Ø60, nagla tērauda Ø8-10, Punkta siltumatdeves koeficients 0,002 W/K, min iestrādes dziļums &gt;25mm, vai ekvivalents 155mm</t>
  </si>
  <si>
    <t>Monolīta betona lietusūdens novadīšanas apmaļu ierīkošana:</t>
  </si>
  <si>
    <t>Vidēji rupjas smilts sagatavošanas kārta,b=100mm</t>
  </si>
  <si>
    <t>Būvkonstrukcijas</t>
  </si>
  <si>
    <r>
      <t xml:space="preserve">Jumta lūku atjaunošana  </t>
    </r>
    <r>
      <rPr>
        <sz val="8"/>
        <rFont val="Arial"/>
        <family val="2"/>
        <charset val="186"/>
      </rPr>
      <t>(BK-2, BK-4)</t>
    </r>
  </si>
  <si>
    <r>
      <rPr>
        <b/>
        <sz val="8"/>
        <rFont val="Arial"/>
        <family val="2"/>
        <charset val="186"/>
      </rPr>
      <t>ARun BK</t>
    </r>
  </si>
  <si>
    <t>Cauruļvada DN40 siltumizolācijas čaula, b=&gt;50mm, l=0.040 W/K×m², caurules siltumizolēšana</t>
  </si>
  <si>
    <t>Cauruļvada DN32 siltumizolācijas čaula, b=&gt;50mm, l=0.040 W/K×m², caurules siltumizolēšana</t>
  </si>
  <si>
    <t>Cauruļvada DN32 siltumizolācijas čaula, b=&gt;30mm, l=0.040 W/K×m², caurules siltumizolēšana</t>
  </si>
  <si>
    <t>Cauruļvada DN25 siltumizolācijas čaula, b=&gt;30mm, l=0.040 W/K×m², caurules siltumizolēšana</t>
  </si>
  <si>
    <t>Cauruļvada DN20 siltumizolācijas čaula, b=&gt;30mm, l=0.040 W/K×m², caurules siltumizolēšana</t>
  </si>
  <si>
    <t>Cauruļvada DN15 siltumizolācijas čaula, b=&gt;30mm, l=0.040 W/K×m², caurules siltumizolēšana</t>
  </si>
  <si>
    <r>
      <t xml:space="preserve">Savietotā jumta sastāva atjaunošana </t>
    </r>
    <r>
      <rPr>
        <sz val="8"/>
        <rFont val="Arial"/>
        <family val="2"/>
        <charset val="186"/>
      </rPr>
      <t>(lapas BK-2, BK-3, BK-4)</t>
    </r>
  </si>
  <si>
    <t>špaktele</t>
  </si>
  <si>
    <t>Struktūrapmetums</t>
  </si>
  <si>
    <t>kpl</t>
  </si>
  <si>
    <t>Monolītā betona B15, F50 ieklāšana b=100mm</t>
  </si>
  <si>
    <t>Siets klases ∅6100x100 stiegrojumu</t>
  </si>
  <si>
    <t xml:space="preserve">  grunts</t>
  </si>
  <si>
    <t>java</t>
  </si>
  <si>
    <t xml:space="preserve">Java </t>
  </si>
  <si>
    <t xml:space="preserve">Bloki </t>
  </si>
  <si>
    <t>Sagatavošanas darbi</t>
  </si>
  <si>
    <t>Demontāžas darbi</t>
  </si>
  <si>
    <t>Sētas pusē nepieciešams demontēt veco elektrības skapi, kas atrodas cokola daļā zem lodžijas </t>
  </si>
  <si>
    <t>Sētas un ielas pusē var demontēt vecos ūdens laistīšanas skapīšus </t>
  </si>
  <si>
    <t>Elektrības skapjus atbīdīt</t>
  </si>
  <si>
    <t>Esošās fasādes apgaimojuma ķermēna demontāža</t>
  </si>
  <si>
    <t xml:space="preserve">     * siltinātas, ugunsdrošas lūkas, EI60; 0,6x0,6x0,2m; iebūve, (papildus jumta segums lūku sieniņu ārvisrmas nosegšanai - pie jumta apjomiem)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</si>
  <si>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</si>
  <si>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S2 Pamatu sienas siltinājums, siltinājums starp asīm "D-B" un "B-D"</t>
  </si>
  <si>
    <t xml:space="preserve"> * seguma teleskopiskie enkuri R45x210 ar pašenk. skrūvi BN-5,6x60 (pēc shēmas) </t>
  </si>
  <si>
    <t>Īscaurule Dn15 ar noslēgtapu kontrolmonometra pieslēgšanai (uz gāzes vada Dn50)</t>
  </si>
  <si>
    <r>
      <t>Darbu apjomi ēkas ieejas mezglu lokālam remontam</t>
    </r>
    <r>
      <rPr>
        <sz val="8"/>
        <rFont val="Arial"/>
        <family val="2"/>
        <charset val="186"/>
      </rPr>
      <t xml:space="preserve"> (ēkai ir 2 ieejas; jumtiņiem atjaunots segums, malu apšuvums)</t>
    </r>
  </si>
  <si>
    <r>
      <rPr>
        <b/>
        <sz val="8"/>
        <rFont val="Arial"/>
        <family val="2"/>
      </rPr>
      <t>ARun BK</t>
    </r>
  </si>
  <si>
    <r>
      <rPr>
        <b/>
        <sz val="8"/>
        <rFont val="Arial"/>
        <family val="2"/>
      </rPr>
      <t>Materiālu un veicamo darbu apjomi lodžiju PVC margu nostiprināšanai  un detaļas perspektīvā paredzētajai lodžiju  iestiklošanai</t>
    </r>
    <r>
      <rPr>
        <sz val="8"/>
        <rFont val="Arial"/>
        <family val="2"/>
      </rPr>
      <t xml:space="preserve"> (ēkā 40 lodžiju ar laidumu 3.2 m; lodž.bloki katrā stāvā: 4x3,2m - 1gb; 2x3,2m - 2 gb)</t>
    </r>
  </si>
  <si>
    <r>
      <rPr>
        <b/>
        <sz val="8"/>
        <rFont val="Arial"/>
        <family val="2"/>
      </rPr>
      <t>Lodžiju PVC margu</t>
    </r>
    <r>
      <rPr>
        <sz val="8"/>
        <rFont val="Arial"/>
        <family val="2"/>
      </rPr>
      <t xml:space="preserve"> detaļas, nesošo sienu solis s=3,2 m (BK-5) :</t>
    </r>
  </si>
  <si>
    <r>
      <rPr>
        <b/>
        <sz val="8"/>
        <rFont val="Arial"/>
        <family val="2"/>
      </rPr>
      <t>Citi materiāli</t>
    </r>
    <r>
      <rPr>
        <sz val="8"/>
        <rFont val="Arial"/>
        <family val="2"/>
      </rPr>
      <t xml:space="preserve"> lodžiju atjaunošanai, kop.L=128m (PVC margas AR rasējumos):</t>
    </r>
  </si>
  <si>
    <r>
      <rPr>
        <b/>
        <sz val="8"/>
        <rFont val="Arial"/>
        <family val="2"/>
      </rPr>
      <t>Perspektīvā paredzētā lodžiju stiklojuma</t>
    </r>
    <r>
      <rPr>
        <sz val="8"/>
        <rFont val="Arial"/>
        <family val="2"/>
      </rPr>
      <t xml:space="preserve"> detaļas, nesošo sienu s=3,2 m (BK-5) :</t>
    </r>
  </si>
  <si>
    <t>Logs L1; 2,33m×1,43m (L×h)</t>
  </si>
  <si>
    <t>PVC loga  bloks ar  stikla paketi krāsa - balta Stikla paketes 1. Stikla paketes ar siltuma caurlaidības koef.: Ug 1,0 w/m²×K. Rāmja siltuma caurlaidības koef.: Uf 1,0 W / m² K. Uw 1.0 W/m² K.2. PVC profilu ekspluatēšanas klimatiskā zona -zona S. 3. PVC profila montāžas dziļums ( profila biezums ) ≤ 78 mm</t>
  </si>
  <si>
    <t>Logs L2; 1,5m×1,43m (L×h)</t>
  </si>
  <si>
    <t>Logs L3; 1,53m×1,43m (L×h)</t>
  </si>
  <si>
    <t>Logs L4; 1,53m×1,43m (L×h)</t>
  </si>
  <si>
    <t>Logs L5; 2,4m×0,73m (L×h)</t>
  </si>
  <si>
    <t>Logs L6; 1,1m×0,32m (L×h)</t>
  </si>
  <si>
    <t>Logs L7; 1,22m×0,92m (L×h)</t>
  </si>
  <si>
    <t>Lodžiju durvis: L4 durvis 0,75m×2,2m (L×h)</t>
  </si>
  <si>
    <t>PVC lodžiju durvis ar  stikla paketi krāsa - balta.  Stikla paketes ar siltuma caurlaidības koef.: Ug 1,0 w/m²×K. Rāmja siltuma caurlaidības koef.: Uf 1,0 W / m² K. Uw 1.0 W/m² K.2. PVC profilu ekspluatēšanas klimatiskā zona -zona S. 3. PVC profila montāžas dziļums ( profila biezums ) ≤ 78 mm</t>
  </si>
  <si>
    <t>Lodžiju PVC durvju montāžas palīgmateriāli uz  apjomu</t>
  </si>
  <si>
    <t>R1 cinkotas žalūzijas karstā cinkošana 60mikroni (0,16×0,16m)</t>
  </si>
  <si>
    <t>R2 Esoši PVC rāmji pagrabstāvā. Vidusdaļā esošā pildiņa vietā iestrādāt ventilācijas cinkotu resti,  60mikroni. Izmērus precizēt dabā (1,1×0,32m)</t>
  </si>
  <si>
    <t>LP1. Lodžijas margas pildiņš 2,81×1m (a×h)</t>
  </si>
  <si>
    <t>LP2. Lodžijas margas pildiņš 3,06×1m (a×h)</t>
  </si>
  <si>
    <t>Radiatori ir izkļauti atbilstoši pasūtītāja prasībām, jo to uzstādīšanu iedzīvotāji veiks par saviem līdzekļiem. Savukārt projekta dokumentācijā ir iekļauti, lai iedzīvotāji zinātu, kādas jaudas un parametru sildķermeņus izvēlēties</t>
  </si>
  <si>
    <t>AR</t>
  </si>
  <si>
    <t>Lodžiju durvis: L3 durvis; 0,75m×2,2m (L×h)</t>
  </si>
  <si>
    <t>Esošo koka logu demontāža</t>
  </si>
  <si>
    <t>Esošo koka lodžiju durvju demontāža</t>
  </si>
  <si>
    <t>Lodžiju esošo stiklojuma koka rāmī demontāža, tai skaitā vienas restes demontāža, 3gb (3,06×1,6m) un 2gb (2,81×1,6m), kopā 5gb</t>
  </si>
  <si>
    <t>Lodžiju esošo PVC stiklojuma  demontāža, 7gb (3,06×1,6m) un 8gb (2,81×1,6m), kopā 15gb</t>
  </si>
  <si>
    <t>Lodžiju esošo PVC stiklojuma  montāža atpakaļ, 7gb (3,06×1,6m) un 8gb (2,81×1,6m), kopā 15gb</t>
  </si>
  <si>
    <t>Metāla konstrukcijas  durvju augšējās daļas nogriešana, rāmja pārmetināšana ar pakārtotu gruntskrāsu</t>
  </si>
  <si>
    <t>Metāla konstrukciju sienu nozāģēšana un enkurošana pie griestiem</t>
  </si>
  <si>
    <t>Esošo koku k-ciju augšdaļas nozāģēšana par 0,20m (precizēt uz vietas)</t>
  </si>
  <si>
    <t>Būvgružu aizvešana</t>
  </si>
  <si>
    <t>Betona plātņu demontāža</t>
  </si>
  <si>
    <t>Cokola sienas sagatavošana siltināšanai - virsmu notīrīšana un gruntēšana</t>
  </si>
  <si>
    <t>Lodžiju starpsienu apdare cokola līmenī ar "A1". Siena remontējama (pēc vajadzības), gruntējama, špaktelējama un apmetama ar struktūrapmetumu</t>
  </si>
  <si>
    <t>Siets stikla šķiedra</t>
  </si>
  <si>
    <t>ĀRĒJO STŪRU ARMĒŠANA</t>
  </si>
  <si>
    <t>litri</t>
  </si>
  <si>
    <t>Būvtāfeles uzstādīšana</t>
  </si>
  <si>
    <t>Termosarūkošā materiāla uzmava l=700mm;  caurulei, ekvivalents Raychem</t>
  </si>
  <si>
    <t>Metināto šuvju izolācija, ekvivalents Rachem</t>
  </si>
  <si>
    <r>
      <t>m</t>
    </r>
    <r>
      <rPr>
        <vertAlign val="superscript"/>
        <sz val="8"/>
        <rFont val="Arial"/>
        <family val="2"/>
        <charset val="186"/>
      </rPr>
      <t>2</t>
    </r>
  </si>
  <si>
    <t>Būvniecības koptāme</t>
  </si>
  <si>
    <t>Objekta nosaukums: Dzīvojamas ēkas fasādes vienkāršota atjaunošana</t>
  </si>
  <si>
    <t>Būves nosaukums: Daudzdzīvokļu dzīvojamā ēka</t>
  </si>
  <si>
    <t>Tāme sastādīta</t>
  </si>
  <si>
    <t>Objekta nosaukums</t>
  </si>
  <si>
    <t>Objekta izmaksas, (euro)</t>
  </si>
  <si>
    <t>Kopā:</t>
  </si>
  <si>
    <t>PVN (21%):</t>
  </si>
  <si>
    <t>Sastādīja:</t>
  </si>
  <si>
    <t>Sertifikāta Nr.:</t>
  </si>
  <si>
    <t>Kopsavilkuma aprēķini par darbu vai konstruktīvo elementu veidiem N.1.</t>
  </si>
  <si>
    <t>Objekta adrese: Eduarda Tisē ielā 50, Liepājā</t>
  </si>
  <si>
    <t>Dzīvojamas ēkas vienkāršota atjaunošana Eduarda Tisē ielā 50, Liepājā</t>
  </si>
  <si>
    <t>.gada</t>
  </si>
  <si>
    <t>Pasūtījuma Nr.: EA-45-17</t>
  </si>
  <si>
    <r>
      <t>Tāmes izmaksas</t>
    </r>
    <r>
      <rPr>
        <b/>
        <i/>
        <sz val="8"/>
        <rFont val="Arial"/>
        <family val="2"/>
        <charset val="186"/>
      </rPr>
      <t xml:space="preserve"> (euro)</t>
    </r>
  </si>
  <si>
    <t>Darba alga (euro)</t>
  </si>
  <si>
    <t>Būvizstrādājumi (euro)</t>
  </si>
  <si>
    <t>Mehānismi (euro)</t>
  </si>
  <si>
    <t>Kopā būvdarbi:</t>
  </si>
  <si>
    <t>Virsizdevumi</t>
  </si>
  <si>
    <t>%</t>
  </si>
  <si>
    <t>t.sk. darba aizsardzībai</t>
  </si>
  <si>
    <t>Peļņa</t>
  </si>
  <si>
    <t>Pavisam kopā</t>
  </si>
  <si>
    <t>Finanšu rezerve</t>
  </si>
  <si>
    <t>Kopā</t>
  </si>
  <si>
    <t>Logu un durvju nomaiņa</t>
  </si>
  <si>
    <t>Tāme sastādīta .gada</t>
  </si>
  <si>
    <t>Tāme sastādīta .gada tirgus cenās, pamatojoties uz:</t>
  </si>
  <si>
    <t>AR un BK</t>
  </si>
  <si>
    <t>Grunts</t>
  </si>
  <si>
    <t>Līmjava</t>
  </si>
  <si>
    <t>Stūra profils</t>
  </si>
  <si>
    <t>Loga pielaiduma profils</t>
  </si>
  <si>
    <t>Stūra lāsenis</t>
  </si>
  <si>
    <t>Palodzes montāžas profils</t>
  </si>
  <si>
    <t>Cokola profils</t>
  </si>
  <si>
    <t>Cokola profils 0,8 mm un 1.0 mm</t>
  </si>
  <si>
    <t>Palodzes montāžas profils ar sietu</t>
  </si>
  <si>
    <t>Palodzes sāna pieslēguma profils</t>
  </si>
  <si>
    <t>Logu pielaiduma profils / 6 mm (ar sietu)</t>
  </si>
  <si>
    <t>Stūra profils ar lāseni, ar atsegtu kanti</t>
  </si>
  <si>
    <t>Apmetuma sistēma virs siltinājuma (AS-1 vai AS-2), b=7mm; Grunts; Siltinājums - akmensvate  λ=0,036W/m²K, b=150mm; Līmjava; Grunts; Esošā siena - vieglbetona panelis, b=300mm</t>
  </si>
  <si>
    <t>Apmetuma sistēma virs siltinājuma (AS-1), b=7mm; Grunts; putupolistirols λ=0,031W/m²K,b=120mm ; Līmjava; Vertikālā hidroizolācija; Grunts; Esošais panelis, b=320*mm</t>
  </si>
  <si>
    <t>Apmetuma sistēma virs siltinājuma (AS-2), b=7mm; Grunts; Siltinājums - akmensvate  λ=0,036W/m²K, b=150mm; Līmjava; Grunts; Esošā siena - vieglbetona panelis divās kārtās, b=300mm</t>
  </si>
  <si>
    <t xml:space="preserve">Apmetuma sistēma virs siltinājuma (AS-2), b=7mm; Siltinājums - poliuretāna paneļu materiāls; λ=0,021 W/mK), b=90mm; Līmjava; Gruntējums; Esoša betona paneļu siena, b=300mm   </t>
  </si>
  <si>
    <t>Apmetuma sistēma virs siltinājuma (AS-2), b=7mm; Grunts; Siltinājums - akmensvate λ=0,036W/m²K, b=200mm; Līmjava; Grunts; Esošā siena - vieglbetona panelis divās kārtās, b=300mm</t>
  </si>
  <si>
    <t>Esošs grīdas sastāvs, ~b=80mm; Esošais dz-betona pārsegums, ~b=220mm; Līmjava; Akmensvates lamele 0,037 W/m²K, b=150mm; Ūdensizsturīgs krāsojums, b=2mm</t>
  </si>
  <si>
    <t>Jumta segums; Akmensvate, (0,038 W/mk, b=30mm; Akmensvate (0,036 W/mK), b=100mm; Akmensvate (0,036 W/mK), b=100mm; Tvaika izolācija; Cementa javas kārta, stiegrota, b=20mm; Esošais keramzītbetona pārseguma panelis, b=350mm</t>
  </si>
  <si>
    <t>Lodžiju starsienu galu siltinājums - akmensvate λ=0,036W/m²K, b=100mm, apmest, krāsot</t>
  </si>
  <si>
    <t>Dībeli virsmas klasifikācija ETA A,B,C,D,E, galvas Ø60, nagla tērauda Ø8-10, Punkta siltumatdeves koeficients 0,002 W/K, min iestrādes dziļums &gt;25mm, 255mm</t>
  </si>
  <si>
    <t>Dībeli virsmas klasifikācija ETA A,B,C,D,E, galvas Ø60, nagla tērauda Ø8-10, Punkta siltumatdeves koeficients 0,002 W/K, min iestrādes dziļums &gt;25mm, 175mm</t>
  </si>
  <si>
    <t>Durvju un logu aiļu apdare ar akmensvates plātnēm  b=30mm, platums~ 0,10m*</t>
  </si>
  <si>
    <t>Dekoratīvais apmetums (1,5 mm grauds, ar krāsas tonējumu masā)</t>
  </si>
  <si>
    <t>1. meh. klases apmetuma izveidošana: 2 kārtas armējošās javas un armējošā stikla šķiedras sieta uzklāšana, zemapmetuma grunts uzklāšana, dekoratīvā gatavā silikona apmetuma ar tonējumu uznešana. Apmetuma sistēma pie ieejas mezgliem, skat AR-7</t>
  </si>
  <si>
    <t>Silikona homogēnais apmetums, 1mm graudu lielums</t>
  </si>
  <si>
    <t>2. meh. klases apmetuma izveidošana: 1 kārta armējošās javas un armējošā stikla šķiedras sieta uzklāšana, zemapmetuma grunts uzklāšana, dekoratīvā gatavā silikona apmetuma ar tonējumu uznešana.</t>
  </si>
  <si>
    <t>Durvju un logu aiļu apdare ar akmensvates plātnēm b=30mm, platums~ 0,25m*</t>
  </si>
  <si>
    <t>Dībeli virsmas klasifikācija ETA A,B,C,D,E, galvas Ø60, nagla tērauda Ø8-10, Punkta siltumatdeves koeficients 0,002 W/K, min iestrādes dziļums &gt;25mm 75mm</t>
  </si>
  <si>
    <t>Logu un durvju aiļu ārējo stūru armēšana ar sietu papildus sietu 0,3m platumā no ailes un ailē stiepes izturība &gt;200N/5cm, Struktūras stabilitāte &gt;22%, sieta acojuma lielums 4×4mm.</t>
  </si>
  <si>
    <t>Piezīme:</t>
  </si>
  <si>
    <t xml:space="preserve"> • Siltināšanas un apmešanas darbi veicami saskaņā ar ETAG 004 „Eiropas tehniskā apstiprinājuma pamatnostādne ārējās siltumizolācijas sistēmām un
 apmetumam”.
• Visiem būvmateriāliem jābūt marķētiem ar CE zīmi. </t>
  </si>
  <si>
    <t>Zemapmetuma PVC ārējā stūra profila montāža</t>
  </si>
  <si>
    <t>Laika norma
(c/h)</t>
  </si>
  <si>
    <r>
      <t>Darba samaksas likme (</t>
    </r>
    <r>
      <rPr>
        <i/>
        <sz val="8"/>
        <rFont val="Arial"/>
        <family val="2"/>
        <charset val="204"/>
      </rPr>
      <t>euro</t>
    </r>
    <r>
      <rPr>
        <sz val="8"/>
        <rFont val="Arial"/>
        <family val="2"/>
        <charset val="204"/>
      </rPr>
      <t>/h)</t>
    </r>
  </si>
  <si>
    <t>Darba alga</t>
  </si>
  <si>
    <t>Būvizstrādājumi</t>
  </si>
  <si>
    <t>Mehānismi</t>
  </si>
  <si>
    <t>Summa</t>
  </si>
  <si>
    <t>silikona hermētiķis</t>
  </si>
  <si>
    <t>montāžas putas</t>
  </si>
  <si>
    <t>Logu montāžas palīgmateriāli uz apjomu</t>
  </si>
  <si>
    <t>Ventilācijas vārstu iestrādāšana gan jaunos gan esošos PVC logu rāmjos - viens komplekts vārstu loga augšpusē katrā dzīvojamās telpas loga rāmī (1 logs = 1 komplekts). Vārsti montējami aizstikloto lodžiju rāmja augšējā daļā. kā arī logos L1, L3 un L4</t>
  </si>
  <si>
    <t>PVC lodžiju margas pildiņš ar rāmi.
Dziļums: 70 mm (pēc izvēles 80 mm rāmja konstrukcija) / centra zīmogs 
Vēja noturības klase- ne zemāka par C2 
Gaisa caurlaidības klase - ne zemāka par 3 Ūdensnecaurlaidības kalse -  8A.
Pildiņš un tā rāmis apvilkts ar līmplēvi, krāsu skatīt krāsu pasē</t>
  </si>
  <si>
    <t>Difūzijas pašlīmējoša tvaika izolācijas logu lenta</t>
  </si>
  <si>
    <t>Hidroizolācijas pašlīmējoša logu lenta</t>
  </si>
  <si>
    <t>mitrumizturīgā ģipškartona plātne</t>
  </si>
  <si>
    <t>stūra profils</t>
  </si>
  <si>
    <t>Krāsa</t>
  </si>
  <si>
    <t>Jaunas šķidrās hidroizolācijas uzklāšana visā siltinājuma augstumā</t>
  </si>
  <si>
    <t>bitumena bāzes hidroizolācijas uzklāšana</t>
  </si>
  <si>
    <t>Siltumizolācija putupolistirols</t>
  </si>
  <si>
    <t>Dībeli 195mm</t>
  </si>
  <si>
    <t>1. meh. klases apmetuma izveidošana: 2 kārtas armējošās javas un armējošā stikla šķiedras sieta uzklāšana, zemapmetuma grunts uzklāšana, dekoratīvā gatavā silikona apmetuma ar tonējumu uznešana.</t>
  </si>
  <si>
    <t>Siets stikla šķiedra (liekams 2 kārtās)</t>
  </si>
  <si>
    <t>2. meh. klases apmetuma izveidošana: 1 kārta armējošās javas un armējošā stikla šķiedras sieta uzklāšana, zemapmetuma grunts uzklāšana, dekoratīvā gatavā silikona apmetuma ar tonējumu uznešana</t>
  </si>
  <si>
    <t>Silikona apmetums, 1,5mm graudu lielums</t>
  </si>
  <si>
    <t>Hidroizolācija, 2mm</t>
  </si>
  <si>
    <t xml:space="preserve">   * ķīmiskie enkuri M12, l=120, 1 gab uz montāžas plātni</t>
  </si>
  <si>
    <t xml:space="preserve">   * lodžijas plātnes betona virsmas remonts: 0,1mx128m=12,8m² (priekšmala); apakšējā un augšējā virsma - 1,35mx3,06mx10gb(vidējās lodžijas)=41,31m²  un 1,35mx2,9mx30gb (malējās lodžijas)=117,45m²; hidrofobas cementa javas izlīdzinošā kārta nedrīkst pārsniegt 10÷15 mm biezumu. </t>
  </si>
  <si>
    <t xml:space="preserve">   * PVC lodžiju margas profils-nostiprināta uzlika </t>
  </si>
  <si>
    <t>Tvaika izolācijas ieklāšana ar uzliekumu uz sienām u.c., h=0,3 m; jumta iekšējais perim. 11,3x2+38,25x2=99,1mx0,3m+10,44(izv)+2,8m²(lūkas)+424m²</t>
  </si>
  <si>
    <t>Jumta akmens vate (bez sateces kanāla), b=100+100=200 mm, apakšējā kārta,jumta platībe 424m²-0,5mx38,25m(kanāls)=405m²;  λ=0,036 W/m²K</t>
  </si>
  <si>
    <t>Cietā akmens vate jumtam, b=30 mm - augšējā kārta uz 405 m²; λ=0,038 W/m²K</t>
  </si>
  <si>
    <t>Akmens vate, b=100, sateces kanālā 19,1m², apakškārta;  λ=0,036 W/m²K</t>
  </si>
  <si>
    <t>Akmens vate, b=40, sateces kanālā 0,5x38,25 m, augškārta;  λ=0,038 W/m²K</t>
  </si>
  <si>
    <t>PVC jumta seguma pamatkārta ar ieliekumiem sateces kanālā, PVC (poliesters) jumta segums 2mm biezumā, Stiprība ar maksimālo spriegumu, Mpa&gt;20, Trūkšanas izstiepums, %, ne mazāks par&gt;90, Ūdens uzsūcamība pēc masas, %, ne lielāka par 0,3,2 (enkurus skat.25.punktā); 424m²+0,09mx38m,25x2</t>
  </si>
  <si>
    <t>Papildus PVC (poliesters) jumta segums 2mm biezumā, Stiprība ar maksimālo spriegumu, Mpa&gt;20, Trūkšanas izstiepums, %, ne mazāks par&gt;90, Ūdens uzsūcamība pēc masas, %, ne lielāka par 0,3,, parapetiem (pārlaidums, vertikālais un horizontālais uzliekums: b=0,3+0,25+0,5=1,05m; parapeta garums 101,5m)</t>
  </si>
  <si>
    <t>Papildus PVC (poliesters) jumta segums 2mm biezumā, Stiprība ar maksimālo spriegumu, Mpa&gt;20, Trūkšanas izstiepums, %, ne mazāks par&gt;90, Ūdens uzsūcamība pēc masas, %, ne lielāka par 0,3, lūku, izvadu pieslēgumiem: 34,8mx0,6m(izvadi)=21m²; 9,2mx0,6m(lūku sieniņa)+1,6m²(lūku virsma)=7,1m²</t>
  </si>
  <si>
    <t>Noteku fragmentu Ø100 nomaiņa pārseguma biezumā, h=300÷400* (sk lapā BK-4)</t>
  </si>
  <si>
    <t>Papildus PVC jumta segums, PVC (poliesters) jumta segums 2mm biezumā, Stiprība ar maksimālo spriegumu, Mpa&gt;20, Trūkšanas izstiepums, %, ne mazāks par&gt;90, Ūdens uzsūcamība pēc masas, %, ne lielāka par 0,3, sateces kanālā un ap piltuvi: 0,9mx38,25m+0,5mx38,25m+0,5m²(ap piltuvēm)</t>
  </si>
  <si>
    <t>Jumta vakuumvārstu, Ø150, h=300, iestrāde jumtā (mezgls lapā BK-4)</t>
  </si>
  <si>
    <t>Papildus jumta segums 0,2m² ap deflektoriem un šuvju hermetizēšana (šuves L=17 m)</t>
  </si>
  <si>
    <t>Jumta metāla margu atbalstīšana; h=600</t>
  </si>
  <si>
    <t xml:space="preserve">     * betona izvadu sānu, h=52cm, un galvas, h=37cm, virsmas remonts: 34,8mx0,52m=18,1m²(sāni) +36mx0,37m=13,32m²+8,64m²(augšvirsma)</t>
  </si>
  <si>
    <t xml:space="preserve">     *enkurdetaļu -4x40; l=380, nostiprināšana uz slīpās virsmas ar dībeļiem, s=300; katrā izvada pusē 7 gab; uz izvadu 14 gb; kop.L=0,38mx14x6=31,92m   </t>
  </si>
  <si>
    <t xml:space="preserve">  *1 kārta bloku mūra, b=300, h=200, pa 30 cm biezu paneļu ārsienu, L=101,5 m</t>
  </si>
  <si>
    <t xml:space="preserve">  * akmens vate, b=50, parapeta sānvirsmai, h=300,  augšai, b=520</t>
  </si>
  <si>
    <t xml:space="preserve">  * akmens vate, b=50, parapeta sānvirsmai, h=300, augšai, b=550</t>
  </si>
  <si>
    <t xml:space="preserve">  * parapeta apšuvums ar jumta skārdu, b=520+100, toni skat. AR rasējumos</t>
  </si>
  <si>
    <t xml:space="preserve">  * ķīļenkuri Ø12x150 latu nostiprināšanai, 2 gab uz katru</t>
  </si>
  <si>
    <t xml:space="preserve">  * akmens vate, b=50, parapeta sānvirsmai, h=300,  augšai, b=350</t>
  </si>
  <si>
    <t xml:space="preserve">  * pie latām skrūvēta mitruma izturīgā finiera plātne, d=20 mm; b=350 mm  </t>
  </si>
  <si>
    <t xml:space="preserve">  * kanalizācijas stāvvadu galu, h=0,5m, nomaiņa uz siltinātiem</t>
  </si>
  <si>
    <t xml:space="preserve">Ieejas laukumu dzelzsbetona plātņu virsmas attīrīšana no nepiesaistītām betona daļiņām, nokaļot virskārtu ~30 mm un atjaunojot virsmu; laukums 2,25x3,2 m; b=100 mm - 2 gb; pielietot betonu B20F50 </t>
  </si>
  <si>
    <t>Betona virsmas atjaunošana puķu kastēm,  900x900x360(h), 2 gb=2,6m², ieejas laukuma sānu malām, 0,1x7,7mx2gb=1,54m²</t>
  </si>
  <si>
    <t>Betona augšvirsmas, 0,33x2,3mx8gb=6,1m², priekš- un sānmalas, 0,08x10,5mx2gb =1,7m², atjaunošana dzelzsbetona plātņu pakāpieniem, (abām ieejām apakšējiem pakāpieniem veicama betona pieaudzēšana)</t>
  </si>
  <si>
    <t xml:space="preserve">  * jumtiņa apakšējās betona virsmas, 3,2x3,25m, atjaunošana,  krāsošana (bojājumi radušies dzegas defektu rezultātā)</t>
  </si>
  <si>
    <t xml:space="preserve">  * cokola profils, zem ārsienas siltinājuma, 3,2m uz ieeju</t>
  </si>
  <si>
    <t xml:space="preserve">  * ārsienas siltinājums, b=150, h=150, l=3,2m uz ieeju</t>
  </si>
  <si>
    <t xml:space="preserve">  * stūra detaļa</t>
  </si>
  <si>
    <t>Automātiskais balansējošais vārsts ASV - BD, Dn25; t=110°C; P=8bar firmas "Danfoss" vai ekvivalents, uzstādīšana, ieregulēšana</t>
  </si>
  <si>
    <t>Automātiskais balansējošais vārsts ASV - PV, Dn25; t=110°C; P=8bar firmas "Danfoss" vai ekvivalents, uzstādīšana, ieregulēšana</t>
  </si>
  <si>
    <t>Cauruļvada DN20, izbūve caur sienu/ griestiem, hermetizācija, apmetuma un krāsojuma atjaunošana, ugunsdrošais šķērsojums</t>
  </si>
  <si>
    <t>Cauruļvada DN25 ugunsdrošais šķērsojums, izbūve caur sienu/ griestiem, hermetizācija, apmetuma un krāsojuma atjaunošana</t>
  </si>
  <si>
    <t>Cauruļvada DN32 ugunsdrošais šķērsojums, izbūve caur sienu/ griestiem, hermetizācija, apmetuma un krāsojuma atjaunošana</t>
  </si>
  <si>
    <t>Cauruļvadu un metāla konstrukciju gruntēšana ar grunts krāsu un krāsošana ar eļļas krāsu</t>
  </si>
  <si>
    <t xml:space="preserve">Balansējošais vārsts ASV-BD; firmas "Danfoss" vai ekvivalents Dn15; uzstādīšana, ieregulēšana </t>
  </si>
  <si>
    <t>Vēdināšanas komplekts FRESH 100 Thermo vai ekvivalents, Ø 102mm, montāža ārsienā</t>
  </si>
  <si>
    <t>Esošo ventilācijas kanālu (skursteņu, cuku) apskate, tīrīšana (t.sk. aizgruvumu)</t>
  </si>
  <si>
    <t>Termoregulators (vārsts) Dn15 ar termostatisko sensoru, t-120°C, P-10bar, DP-0.6bar, uzstādīšana</t>
  </si>
  <si>
    <t>Sildķermeņa pievienojuma krāns komplektā ar tukšošanas krānu  t=110°C; P=8bar; Dn15;</t>
  </si>
  <si>
    <t>Cauruļvada Dn15 ugunsdrošais šķērsojums, izbūve caur sienu, hermetizācija, apmetuma un krāsojuma atjaunošana</t>
  </si>
  <si>
    <t>Uzmavu krāns gāzei PN1 bar (gali piemetināmi)</t>
  </si>
  <si>
    <t>Izolējošais izjaucams, savienojums Pn10</t>
  </si>
  <si>
    <t>Atloku savienojumssavienojums Pn10</t>
  </si>
  <si>
    <t>Tērauda ievadlīkums PN16, EN10208-1</t>
  </si>
  <si>
    <t>ar trīskāršo PE pretkarozijas pārklājumu EN10285</t>
  </si>
  <si>
    <t>Tērauda caurule ar polimēra izolāciju EN10285</t>
  </si>
  <si>
    <t>Tērauda caurules ar polimēra izolāciju līkums 3D-90° EN10253-1</t>
  </si>
  <si>
    <t>Tērauda caurules pāreja Pn=4 bar LVS EN 10208-2</t>
  </si>
  <si>
    <t>Tērauda caurule gar ēkas fasādi; Pn=4 bar; LVS EN 10208-2</t>
  </si>
  <si>
    <t>Indikācijas kabeļu savienojuma nozaruzmava</t>
  </si>
  <si>
    <t>Caurumu Ø15÷20mm izurbšana citu komunikāciju aku vākos</t>
  </si>
  <si>
    <t>Gāzes pievienojuma veidgabals, dn50</t>
  </si>
  <si>
    <t>Apkures sistēmas atjaunošana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</si>
</sst>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0\ _L_s_-;\-* #,##0.00\ _L_s_-;_-* \-??\ _L_s_-;_-@_-"/>
    <numFmt numFmtId="166" formatCode="0.0"/>
    <numFmt numFmtId="167" formatCode="_-* #,##0.00_-;\-* #,##0.00_-;_-* \-_-;_-@_-"/>
    <numFmt numFmtId="168" formatCode="0.000"/>
    <numFmt numFmtId="169" formatCode="_-* #,##0.00_р_._-;\-* #,##0.00_р_._-;_-* &quot;-&quot;??_р_._-;_-@_-"/>
    <numFmt numFmtId="170" formatCode="_(* #,##0.00_);_(* \(#,##0.00\);_(* &quot;-&quot;??_);_(@_)"/>
  </numFmts>
  <fonts count="37" x14ac:knownFonts="1">
    <font>
      <sz val="11"/>
      <color rgb="FF000000"/>
      <name val="Calibri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i/>
      <sz val="8"/>
      <color rgb="FF80808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9900"/>
      <name val="Arial"/>
      <family val="2"/>
      <charset val="186"/>
    </font>
    <font>
      <b/>
      <sz val="8"/>
      <color rgb="FF009900"/>
      <name val="Arial"/>
      <family val="2"/>
      <charset val="186"/>
    </font>
    <font>
      <b/>
      <sz val="8"/>
      <color rgb="FFFF0000"/>
      <name val="Arial"/>
      <family val="2"/>
      <charset val="186"/>
    </font>
    <font>
      <i/>
      <sz val="8"/>
      <color indexed="23"/>
      <name val="Arial"/>
      <family val="2"/>
      <charset val="186"/>
    </font>
    <font>
      <sz val="10"/>
      <name val="Helv"/>
    </font>
    <font>
      <sz val="10"/>
      <name val="Arial"/>
      <family val="2"/>
    </font>
    <font>
      <sz val="10"/>
      <name val="Arial"/>
      <family val="2"/>
      <charset val="204"/>
    </font>
    <font>
      <sz val="8"/>
      <color rgb="FF00B05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  <charset val="186"/>
    </font>
    <font>
      <vertAlign val="superscript"/>
      <sz val="8"/>
      <name val="Arial"/>
      <family val="2"/>
      <charset val="186"/>
    </font>
    <font>
      <b/>
      <sz val="8"/>
      <color theme="9" tint="-0.249977111117893"/>
      <name val="Arial"/>
      <family val="2"/>
      <charset val="186"/>
    </font>
    <font>
      <sz val="8"/>
      <name val="Helv"/>
      <charset val="186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9"/>
      <name val="Arial"/>
      <family val="2"/>
      <charset val="186"/>
    </font>
    <font>
      <sz val="8"/>
      <name val="Calibri"/>
      <family val="2"/>
      <charset val="186"/>
    </font>
    <font>
      <b/>
      <sz val="8"/>
      <name val="Arial"/>
      <family val="2"/>
      <charset val="204"/>
    </font>
    <font>
      <b/>
      <sz val="10"/>
      <name val="Arial"/>
      <family val="2"/>
      <charset val="186"/>
    </font>
    <font>
      <sz val="8"/>
      <name val="Arial"/>
      <family val="2"/>
      <charset val="204"/>
    </font>
    <font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3">
    <xf numFmtId="0" fontId="0" fillId="0" borderId="0"/>
    <xf numFmtId="164" fontId="5" fillId="0" borderId="0" applyBorder="0" applyProtection="0"/>
    <xf numFmtId="0" fontId="7" fillId="0" borderId="0" applyBorder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169" fontId="17" fillId="0" borderId="0" applyFont="0" applyFill="0" applyBorder="0" applyAlignment="0" applyProtection="0"/>
    <xf numFmtId="0" fontId="17" fillId="0" borderId="0"/>
    <xf numFmtId="0" fontId="15" fillId="0" borderId="0"/>
    <xf numFmtId="0" fontId="5" fillId="0" borderId="0"/>
    <xf numFmtId="0" fontId="15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5" fillId="0" borderId="0"/>
    <xf numFmtId="0" fontId="25" fillId="0" borderId="0" applyNumberFormat="0" applyFill="0" applyBorder="0" applyAlignment="0" applyProtection="0"/>
    <xf numFmtId="0" fontId="29" fillId="0" borderId="0"/>
    <xf numFmtId="0" fontId="7" fillId="0" borderId="0" applyBorder="0" applyProtection="0"/>
    <xf numFmtId="0" fontId="5" fillId="0" borderId="0"/>
    <xf numFmtId="0" fontId="5" fillId="0" borderId="0"/>
    <xf numFmtId="0" fontId="5" fillId="0" borderId="0"/>
  </cellStyleXfs>
  <cellXfs count="3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6" fillId="0" borderId="0" xfId="0" applyNumberFormat="1" applyFont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2" fontId="2" fillId="0" borderId="14" xfId="0" applyNumberFormat="1" applyFont="1" applyFill="1" applyBorder="1" applyAlignment="1">
      <alignment horizontal="center" vertical="center" wrapText="1"/>
    </xf>
    <xf numFmtId="170" fontId="2" fillId="0" borderId="14" xfId="7" applyNumberFormat="1" applyFont="1" applyFill="1" applyBorder="1" applyAlignment="1">
      <alignment horizontal="center" vertical="center" wrapText="1"/>
    </xf>
    <xf numFmtId="164" fontId="2" fillId="0" borderId="14" xfId="1" applyFont="1" applyFill="1" applyBorder="1" applyAlignment="1">
      <alignment horizontal="center" vertical="center"/>
    </xf>
    <xf numFmtId="164" fontId="2" fillId="0" borderId="14" xfId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49" fontId="2" fillId="0" borderId="14" xfId="4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wrapText="1"/>
    </xf>
    <xf numFmtId="2" fontId="2" fillId="0" borderId="14" xfId="10" applyNumberFormat="1" applyFont="1" applyFill="1" applyBorder="1" applyAlignment="1">
      <alignment horizontal="center" vertical="center" wrapText="1"/>
    </xf>
    <xf numFmtId="2" fontId="2" fillId="0" borderId="14" xfId="4" applyNumberFormat="1" applyFont="1" applyFill="1" applyBorder="1" applyAlignment="1">
      <alignment horizontal="center" vertical="center" wrapText="1"/>
    </xf>
    <xf numFmtId="49" fontId="2" fillId="0" borderId="14" xfId="11" applyNumberFormat="1" applyFont="1" applyFill="1" applyBorder="1" applyAlignment="1">
      <alignment horizontal="center" wrapText="1"/>
    </xf>
    <xf numFmtId="1" fontId="2" fillId="0" borderId="14" xfId="0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wrapText="1"/>
    </xf>
    <xf numFmtId="2" fontId="2" fillId="0" borderId="14" xfId="0" applyNumberFormat="1" applyFont="1" applyFill="1" applyBorder="1" applyAlignment="1">
      <alignment horizontal="center" wrapText="1"/>
    </xf>
    <xf numFmtId="0" fontId="2" fillId="0" borderId="14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vertical="center"/>
    </xf>
    <xf numFmtId="0" fontId="2" fillId="0" borderId="14" xfId="4" applyFont="1" applyFill="1" applyBorder="1" applyAlignment="1">
      <alignment vertical="center" wrapText="1"/>
    </xf>
    <xf numFmtId="0" fontId="2" fillId="0" borderId="0" xfId="4" applyFont="1" applyFill="1" applyAlignment="1">
      <alignment vertical="center" wrapText="1"/>
    </xf>
    <xf numFmtId="0" fontId="1" fillId="0" borderId="0" xfId="4" applyFont="1" applyFill="1" applyAlignment="1">
      <alignment vertical="center"/>
    </xf>
    <xf numFmtId="0" fontId="2" fillId="0" borderId="0" xfId="0" applyFont="1" applyFill="1" applyAlignment="1">
      <alignment wrapText="1"/>
    </xf>
    <xf numFmtId="164" fontId="2" fillId="0" borderId="0" xfId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2" fontId="1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14" xfId="0" applyFont="1" applyFill="1" applyBorder="1" applyAlignment="1">
      <alignment vertical="center"/>
    </xf>
    <xf numFmtId="2" fontId="4" fillId="0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0" fontId="1" fillId="0" borderId="14" xfId="8" applyFont="1" applyFill="1" applyBorder="1" applyAlignment="1">
      <alignment vertical="center"/>
    </xf>
    <xf numFmtId="0" fontId="1" fillId="0" borderId="14" xfId="8" applyFont="1" applyFill="1" applyBorder="1" applyAlignment="1">
      <alignment horizontal="center" vertical="center"/>
    </xf>
    <xf numFmtId="0" fontId="2" fillId="0" borderId="14" xfId="9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/>
    <xf numFmtId="1" fontId="2" fillId="0" borderId="1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168" fontId="2" fillId="0" borderId="14" xfId="5" applyNumberFormat="1" applyFont="1" applyFill="1" applyBorder="1" applyAlignment="1">
      <alignment horizontal="center" vertical="center" wrapText="1"/>
    </xf>
    <xf numFmtId="166" fontId="2" fillId="0" borderId="14" xfId="5" applyNumberFormat="1" applyFont="1" applyFill="1" applyBorder="1" applyAlignment="1">
      <alignment horizontal="center" vertical="center" wrapText="1"/>
    </xf>
    <xf numFmtId="2" fontId="2" fillId="0" borderId="14" xfId="5" applyNumberFormat="1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1" fontId="2" fillId="0" borderId="14" xfId="5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6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/>
    </xf>
    <xf numFmtId="0" fontId="2" fillId="0" borderId="15" xfId="4" applyFont="1" applyFill="1" applyBorder="1" applyAlignment="1">
      <alignment horizontal="center" vertical="center" wrapText="1"/>
    </xf>
    <xf numFmtId="1" fontId="1" fillId="0" borderId="14" xfId="5" applyNumberFormat="1" applyFont="1" applyFill="1" applyBorder="1" applyAlignment="1">
      <alignment horizontal="center" vertical="center" wrapText="1"/>
    </xf>
    <xf numFmtId="166" fontId="1" fillId="0" borderId="14" xfId="5" applyNumberFormat="1" applyFont="1" applyFill="1" applyBorder="1" applyAlignment="1">
      <alignment horizontal="center" vertical="center" wrapText="1"/>
    </xf>
    <xf numFmtId="2" fontId="1" fillId="0" borderId="14" xfId="5" applyNumberFormat="1" applyFont="1" applyFill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left" vertical="center"/>
    </xf>
    <xf numFmtId="2" fontId="2" fillId="0" borderId="14" xfId="14" applyNumberFormat="1" applyFont="1" applyFill="1" applyBorder="1" applyAlignment="1">
      <alignment horizontal="center" vertical="center" wrapText="1"/>
    </xf>
    <xf numFmtId="2" fontId="2" fillId="0" borderId="14" xfId="16" applyNumberFormat="1" applyFont="1" applyFill="1" applyBorder="1" applyAlignment="1">
      <alignment horizontal="center" vertical="center" wrapText="1"/>
    </xf>
    <xf numFmtId="0" fontId="5" fillId="0" borderId="14" xfId="0" applyFont="1" applyFill="1" applyBorder="1"/>
    <xf numFmtId="0" fontId="1" fillId="0" borderId="0" xfId="0" applyFont="1" applyFill="1" applyAlignment="1">
      <alignment horizontal="center" vertical="center" wrapText="1"/>
    </xf>
    <xf numFmtId="2" fontId="2" fillId="0" borderId="14" xfId="2" applyNumberFormat="1" applyFont="1" applyFill="1" applyBorder="1" applyAlignment="1">
      <alignment horizontal="center" vertical="center" wrapText="1"/>
    </xf>
    <xf numFmtId="0" fontId="2" fillId="0" borderId="21" xfId="17" applyFont="1" applyFill="1" applyBorder="1" applyAlignment="1">
      <alignment horizontal="left" vertical="center" wrapText="1"/>
    </xf>
    <xf numFmtId="0" fontId="2" fillId="0" borderId="14" xfId="2" applyFont="1" applyFill="1" applyBorder="1" applyAlignment="1">
      <alignment horizontal="left" vertical="center" wrapText="1"/>
    </xf>
    <xf numFmtId="0" fontId="2" fillId="0" borderId="21" xfId="14" applyFont="1" applyFill="1" applyBorder="1" applyAlignment="1">
      <alignment horizontal="left" vertical="center" wrapText="1"/>
    </xf>
    <xf numFmtId="49" fontId="2" fillId="0" borderId="14" xfId="16" applyNumberFormat="1" applyFont="1" applyFill="1" applyBorder="1" applyAlignment="1">
      <alignment horizontal="center" vertical="center" wrapText="1"/>
    </xf>
    <xf numFmtId="49" fontId="2" fillId="0" borderId="14" xfId="14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170" fontId="2" fillId="0" borderId="22" xfId="7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/>
    </xf>
    <xf numFmtId="2" fontId="2" fillId="0" borderId="22" xfId="14" applyNumberFormat="1" applyFont="1" applyFill="1" applyBorder="1" applyAlignment="1">
      <alignment horizontal="center" vertical="center" wrapText="1"/>
    </xf>
    <xf numFmtId="164" fontId="2" fillId="0" borderId="22" xfId="1" applyFont="1" applyFill="1" applyBorder="1" applyAlignment="1">
      <alignment horizontal="center" vertical="center"/>
    </xf>
    <xf numFmtId="164" fontId="2" fillId="0" borderId="22" xfId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2" fontId="2" fillId="0" borderId="14" xfId="13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vertical="center" wrapText="1"/>
    </xf>
    <xf numFmtId="2" fontId="2" fillId="0" borderId="14" xfId="0" applyNumberFormat="1" applyFont="1" applyFill="1" applyBorder="1" applyAlignment="1">
      <alignment horizontal="left" vertical="center" wrapText="1"/>
    </xf>
    <xf numFmtId="2" fontId="2" fillId="0" borderId="14" xfId="12" applyNumberFormat="1" applyFont="1" applyFill="1" applyBorder="1" applyAlignment="1">
      <alignment horizontal="center" vertical="center" wrapText="1"/>
    </xf>
    <xf numFmtId="0" fontId="2" fillId="0" borderId="14" xfId="15" applyFont="1" applyFill="1" applyBorder="1" applyAlignment="1">
      <alignment horizontal="left"/>
    </xf>
    <xf numFmtId="0" fontId="2" fillId="0" borderId="14" xfId="14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1" fontId="1" fillId="0" borderId="14" xfId="0" applyNumberFormat="1" applyFont="1" applyFill="1" applyBorder="1" applyAlignment="1">
      <alignment horizontal="center" vertical="center" wrapText="1"/>
    </xf>
    <xf numFmtId="167" fontId="2" fillId="0" borderId="1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49" fontId="2" fillId="0" borderId="21" xfId="16" applyNumberFormat="1" applyFont="1" applyFill="1" applyBorder="1" applyAlignment="1">
      <alignment horizontal="center" vertical="center" wrapText="1"/>
    </xf>
    <xf numFmtId="0" fontId="2" fillId="0" borderId="0" xfId="15" applyFont="1" applyFill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166" fontId="2" fillId="0" borderId="21" xfId="15" applyNumberFormat="1" applyFont="1" applyFill="1" applyBorder="1" applyAlignment="1">
      <alignment horizontal="center" vertical="center" wrapText="1"/>
    </xf>
    <xf numFmtId="167" fontId="2" fillId="0" borderId="22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6" fontId="1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" fillId="0" borderId="14" xfId="12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vertical="center"/>
    </xf>
    <xf numFmtId="0" fontId="2" fillId="0" borderId="0" xfId="12" applyFont="1" applyFill="1"/>
    <xf numFmtId="0" fontId="2" fillId="0" borderId="23" xfId="15" applyFont="1" applyFill="1" applyBorder="1" applyAlignment="1">
      <alignment horizontal="center" vertical="center"/>
    </xf>
    <xf numFmtId="166" fontId="2" fillId="0" borderId="21" xfId="14" applyNumberFormat="1" applyFont="1" applyFill="1" applyBorder="1" applyAlignment="1">
      <alignment horizontal="center" vertical="center"/>
    </xf>
    <xf numFmtId="2" fontId="2" fillId="0" borderId="21" xfId="14" applyNumberFormat="1" applyFont="1" applyFill="1" applyBorder="1" applyAlignment="1">
      <alignment horizontal="center" vertical="center" wrapText="1"/>
    </xf>
    <xf numFmtId="0" fontId="2" fillId="0" borderId="21" xfId="14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textRotation="90"/>
    </xf>
    <xf numFmtId="0" fontId="2" fillId="0" borderId="0" xfId="0" applyFont="1" applyFill="1" applyAlignment="1">
      <alignment vertical="center" textRotation="90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 wrapText="1"/>
    </xf>
    <xf numFmtId="9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9" fontId="2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2" fontId="2" fillId="0" borderId="0" xfId="0" applyNumberFormat="1" applyFont="1" applyFill="1" applyAlignment="1">
      <alignment horizontal="center" wrapText="1"/>
    </xf>
    <xf numFmtId="0" fontId="2" fillId="0" borderId="14" xfId="0" applyFont="1" applyFill="1" applyBorder="1" applyAlignment="1">
      <alignment horizontal="left" vertical="center" textRotation="90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30" fillId="0" borderId="0" xfId="18" applyFont="1"/>
    <xf numFmtId="0" fontId="2" fillId="0" borderId="0" xfId="19" applyFont="1"/>
    <xf numFmtId="0" fontId="31" fillId="0" borderId="0" xfId="18" applyFont="1" applyAlignment="1">
      <alignment horizontal="center"/>
    </xf>
    <xf numFmtId="0" fontId="2" fillId="0" borderId="26" xfId="19" applyFont="1" applyBorder="1"/>
    <xf numFmtId="0" fontId="2" fillId="0" borderId="0" xfId="18" applyFont="1" applyBorder="1" applyAlignment="1">
      <alignment horizontal="right"/>
    </xf>
    <xf numFmtId="0" fontId="2" fillId="0" borderId="0" xfId="18" applyFont="1" applyAlignment="1">
      <alignment horizontal="right"/>
    </xf>
    <xf numFmtId="0" fontId="2" fillId="0" borderId="0" xfId="18" applyFont="1"/>
    <xf numFmtId="0" fontId="32" fillId="0" borderId="0" xfId="18" applyFont="1" applyAlignment="1">
      <alignment horizontal="center"/>
    </xf>
    <xf numFmtId="0" fontId="1" fillId="0" borderId="0" xfId="19" applyFont="1" applyAlignment="1">
      <alignment horizontal="center" vertical="center"/>
    </xf>
    <xf numFmtId="0" fontId="2" fillId="0" borderId="0" xfId="18" applyFont="1" applyAlignment="1">
      <alignment horizontal="left" vertical="center"/>
    </xf>
    <xf numFmtId="0" fontId="1" fillId="0" borderId="0" xfId="19" applyFont="1" applyAlignment="1">
      <alignment horizontal="center" vertical="center"/>
    </xf>
    <xf numFmtId="0" fontId="1" fillId="0" borderId="0" xfId="19" applyFont="1" applyAlignment="1">
      <alignment horizontal="left" vertical="center"/>
    </xf>
    <xf numFmtId="0" fontId="2" fillId="0" borderId="0" xfId="19" applyFont="1" applyAlignment="1">
      <alignment vertical="center"/>
    </xf>
    <xf numFmtId="0" fontId="2" fillId="0" borderId="0" xfId="19" applyFont="1" applyAlignment="1">
      <alignment horizontal="left" vertical="center"/>
    </xf>
    <xf numFmtId="0" fontId="2" fillId="0" borderId="0" xfId="19" applyFont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0" xfId="19" applyFont="1" applyAlignment="1">
      <alignment horizontal="left" vertical="center" wrapText="1"/>
    </xf>
    <xf numFmtId="0" fontId="5" fillId="0" borderId="0" xfId="19" applyFont="1"/>
    <xf numFmtId="2" fontId="2" fillId="3" borderId="0" xfId="19" applyNumberFormat="1" applyFont="1" applyFill="1" applyAlignment="1">
      <alignment horizontal="center" vertical="center"/>
    </xf>
    <xf numFmtId="0" fontId="2" fillId="3" borderId="14" xfId="19" applyFont="1" applyFill="1" applyBorder="1" applyAlignment="1">
      <alignment horizontal="center" vertical="center" wrapText="1"/>
    </xf>
    <xf numFmtId="0" fontId="2" fillId="0" borderId="14" xfId="19" applyFont="1" applyBorder="1" applyAlignment="1">
      <alignment horizontal="center" vertical="center"/>
    </xf>
    <xf numFmtId="0" fontId="2" fillId="0" borderId="14" xfId="19" applyFont="1" applyBorder="1" applyAlignment="1">
      <alignment horizontal="center" vertical="center"/>
    </xf>
    <xf numFmtId="0" fontId="2" fillId="0" borderId="14" xfId="19" applyFont="1" applyBorder="1" applyAlignment="1">
      <alignment horizontal="center" vertical="center" wrapText="1"/>
    </xf>
    <xf numFmtId="0" fontId="2" fillId="0" borderId="14" xfId="19" applyFont="1" applyBorder="1" applyAlignment="1">
      <alignment horizontal="left" vertical="center" wrapText="1"/>
    </xf>
    <xf numFmtId="2" fontId="2" fillId="0" borderId="14" xfId="19" applyNumberFormat="1" applyFont="1" applyBorder="1" applyAlignment="1">
      <alignment horizontal="center" vertical="center"/>
    </xf>
    <xf numFmtId="0" fontId="1" fillId="0" borderId="0" xfId="19" applyFont="1" applyAlignment="1">
      <alignment horizontal="right" vertical="center"/>
    </xf>
    <xf numFmtId="165" fontId="2" fillId="0" borderId="14" xfId="19" applyNumberFormat="1" applyFont="1" applyBorder="1" applyAlignment="1">
      <alignment horizontal="center" vertical="center"/>
    </xf>
    <xf numFmtId="0" fontId="1" fillId="0" borderId="0" xfId="19" applyFont="1" applyAlignment="1">
      <alignment horizontal="right" vertical="center" wrapText="1"/>
    </xf>
    <xf numFmtId="165" fontId="2" fillId="0" borderId="14" xfId="19" applyNumberFormat="1" applyFont="1" applyBorder="1" applyAlignment="1">
      <alignment horizontal="center" vertical="center" wrapText="1"/>
    </xf>
    <xf numFmtId="0" fontId="1" fillId="0" borderId="0" xfId="19" applyFont="1" applyAlignment="1">
      <alignment horizontal="center" vertical="center" wrapText="1"/>
    </xf>
    <xf numFmtId="0" fontId="2" fillId="0" borderId="0" xfId="19" applyFont="1" applyAlignment="1">
      <alignment horizontal="right" vertical="center" wrapText="1"/>
    </xf>
    <xf numFmtId="0" fontId="2" fillId="0" borderId="0" xfId="19" applyFont="1" applyAlignment="1">
      <alignment horizontal="right" vertical="center"/>
    </xf>
    <xf numFmtId="0" fontId="29" fillId="0" borderId="0" xfId="18"/>
    <xf numFmtId="0" fontId="1" fillId="0" borderId="0" xfId="16" applyFont="1" applyFill="1" applyBorder="1" applyAlignment="1">
      <alignment horizontal="left" vertical="center"/>
    </xf>
    <xf numFmtId="0" fontId="1" fillId="0" borderId="27" xfId="2" applyFont="1" applyBorder="1" applyAlignment="1">
      <alignment horizontal="center" vertical="center" wrapText="1"/>
    </xf>
    <xf numFmtId="0" fontId="33" fillId="0" borderId="28" xfId="0" applyFont="1" applyBorder="1" applyAlignment="1" applyProtection="1">
      <alignment horizontal="center" vertical="center"/>
    </xf>
    <xf numFmtId="0" fontId="33" fillId="0" borderId="29" xfId="0" applyFont="1" applyBorder="1" applyAlignment="1" applyProtection="1">
      <alignment horizontal="center" vertical="center"/>
    </xf>
    <xf numFmtId="0" fontId="33" fillId="0" borderId="30" xfId="0" applyFont="1" applyBorder="1" applyAlignment="1" applyProtection="1">
      <alignment horizontal="center" vertical="center"/>
    </xf>
    <xf numFmtId="0" fontId="33" fillId="0" borderId="27" xfId="0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2" fillId="0" borderId="0" xfId="7" applyNumberFormat="1" applyFont="1" applyFill="1" applyBorder="1" applyAlignment="1" applyProtection="1">
      <alignment horizontal="center" vertical="center" wrapText="1"/>
    </xf>
    <xf numFmtId="164" fontId="1" fillId="0" borderId="0" xfId="7" applyNumberFormat="1" applyFont="1" applyFill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right" vertical="center"/>
    </xf>
    <xf numFmtId="9" fontId="2" fillId="0" borderId="14" xfId="0" applyNumberFormat="1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7" applyFont="1" applyFill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30" fillId="0" borderId="0" xfId="0" applyFont="1"/>
    <xf numFmtId="0" fontId="2" fillId="0" borderId="0" xfId="20" applyFont="1" applyFill="1" applyBorder="1" applyAlignment="1">
      <alignment horizontal="right" vertical="center" wrapText="1"/>
    </xf>
    <xf numFmtId="0" fontId="1" fillId="0" borderId="0" xfId="20" applyFont="1" applyFill="1" applyAlignment="1">
      <alignment horizontal="right" vertical="center"/>
    </xf>
    <xf numFmtId="9" fontId="1" fillId="0" borderId="0" xfId="20" applyNumberFormat="1" applyFont="1" applyFill="1" applyAlignment="1">
      <alignment horizontal="center" vertical="center"/>
    </xf>
    <xf numFmtId="0" fontId="1" fillId="0" borderId="0" xfId="20" applyFont="1" applyFill="1" applyAlignment="1">
      <alignment vertical="center"/>
    </xf>
    <xf numFmtId="2" fontId="2" fillId="0" borderId="0" xfId="10" applyNumberFormat="1" applyFont="1" applyFill="1" applyBorder="1" applyAlignment="1">
      <alignment horizontal="center" vertical="center" wrapText="1"/>
    </xf>
    <xf numFmtId="0" fontId="2" fillId="0" borderId="0" xfId="20" applyFont="1" applyFill="1" applyAlignment="1">
      <alignment vertical="center"/>
    </xf>
    <xf numFmtId="0" fontId="2" fillId="0" borderId="0" xfId="21" applyNumberFormat="1" applyFont="1" applyFill="1" applyBorder="1" applyAlignment="1" applyProtection="1">
      <alignment horizontal="right" vertical="center" wrapText="1"/>
    </xf>
    <xf numFmtId="0" fontId="1" fillId="0" borderId="0" xfId="21" applyNumberFormat="1" applyFont="1" applyFill="1" applyBorder="1" applyAlignment="1" applyProtection="1">
      <alignment horizontal="right" vertical="center"/>
    </xf>
    <xf numFmtId="0" fontId="1" fillId="0" borderId="0" xfId="21" applyNumberFormat="1" applyFont="1" applyFill="1" applyBorder="1" applyAlignment="1" applyProtection="1">
      <alignment vertical="center"/>
    </xf>
    <xf numFmtId="0" fontId="2" fillId="0" borderId="0" xfId="8" applyFont="1" applyFill="1" applyAlignment="1">
      <alignment vertical="center"/>
    </xf>
    <xf numFmtId="0" fontId="2" fillId="0" borderId="0" xfId="22" applyFont="1" applyFill="1" applyAlignment="1">
      <alignment vertical="center"/>
    </xf>
    <xf numFmtId="2" fontId="2" fillId="0" borderId="0" xfId="8" applyNumberFormat="1" applyFont="1" applyFill="1" applyAlignment="1">
      <alignment vertical="center"/>
    </xf>
    <xf numFmtId="0" fontId="34" fillId="0" borderId="0" xfId="0" applyFont="1" applyFill="1"/>
    <xf numFmtId="0" fontId="35" fillId="0" borderId="0" xfId="0" applyFont="1" applyFill="1" applyAlignment="1">
      <alignment wrapText="1"/>
    </xf>
    <xf numFmtId="0" fontId="35" fillId="0" borderId="0" xfId="0" applyFont="1" applyFill="1"/>
    <xf numFmtId="0" fontId="35" fillId="0" borderId="0" xfId="0" applyFont="1" applyFill="1" applyBorder="1"/>
    <xf numFmtId="0" fontId="34" fillId="0" borderId="0" xfId="0" applyFont="1" applyAlignment="1">
      <alignment horizontal="left" wrapText="1"/>
    </xf>
    <xf numFmtId="0" fontId="2" fillId="0" borderId="32" xfId="8" applyFont="1" applyFill="1" applyBorder="1" applyAlignment="1">
      <alignment horizontal="center" vertical="center" textRotation="90" wrapText="1"/>
    </xf>
    <xf numFmtId="0" fontId="2" fillId="0" borderId="33" xfId="8" applyFont="1" applyFill="1" applyBorder="1" applyAlignment="1">
      <alignment horizontal="center" vertical="center" textRotation="90" wrapText="1"/>
    </xf>
    <xf numFmtId="0" fontId="2" fillId="0" borderId="34" xfId="8" applyFont="1" applyFill="1" applyBorder="1" applyAlignment="1">
      <alignment horizontal="center" vertical="center" textRotation="90" wrapText="1"/>
    </xf>
  </cellXfs>
  <cellStyles count="23">
    <cellStyle name="Comma 2" xfId="6" xr:uid="{00000000-0005-0000-0000-000001000000}"/>
    <cellStyle name="Excel Built-in Explanatory Text" xfId="3" xr:uid="{00000000-0005-0000-0000-000002000000}"/>
    <cellStyle name="Excel_BuiltIn_Explanatory Text" xfId="17" xr:uid="{D042B1A9-4EB5-4FCE-8A53-315C2EC266CD}"/>
    <cellStyle name="Komats" xfId="1" builtinId="3"/>
    <cellStyle name="Normal 2 2" xfId="22" xr:uid="{E30FA19D-16B5-4F0E-A1A0-9C4655579DDF}"/>
    <cellStyle name="Normal 2 4" xfId="5" xr:uid="{00000000-0005-0000-0000-000005000000}"/>
    <cellStyle name="Normal 2_Tame AVK Uliha 56 07.05.2010." xfId="9" xr:uid="{00000000-0005-0000-0000-000006000000}"/>
    <cellStyle name="Normal 3" xfId="7" xr:uid="{00000000-0005-0000-0000-000007000000}"/>
    <cellStyle name="Normal_DA" xfId="15" xr:uid="{00000000-0005-0000-0000-000008000000}"/>
    <cellStyle name="Normal_Liepaja Peldu 5 UK tames" xfId="20" xr:uid="{B6E56002-3DFE-4AC9-8100-8F93E2B68DA8}"/>
    <cellStyle name="Normal_Sheet1 2" xfId="21" xr:uid="{27C3A250-0C8E-4243-8A4A-D3132A334A75}"/>
    <cellStyle name="Normal_Siguldas 27 - tabulas" xfId="8" xr:uid="{00000000-0005-0000-0000-000009000000}"/>
    <cellStyle name="Parasts" xfId="0" builtinId="0"/>
    <cellStyle name="Parasts 3" xfId="12" xr:uid="{00000000-0005-0000-0000-00000A000000}"/>
    <cellStyle name="Parasts 3 2" xfId="13" xr:uid="{00000000-0005-0000-0000-00000B000000}"/>
    <cellStyle name="Parasts 4" xfId="18" xr:uid="{E48B9996-0C3B-4545-8D00-4CAA558A08F2}"/>
    <cellStyle name="Paskaidrojošs teksts" xfId="2" builtinId="53" customBuiltin="1"/>
    <cellStyle name="Paskaidrojošs teksts 2" xfId="19" xr:uid="{D0B8EA28-F290-42DD-95E5-9C2F2CB5A4BA}"/>
    <cellStyle name="Procenti" xfId="11" builtinId="5"/>
    <cellStyle name="Style 1" xfId="4" xr:uid="{00000000-0005-0000-0000-00000D000000}"/>
    <cellStyle name="Style 1 2" xfId="14" xr:uid="{00000000-0005-0000-0000-00000E000000}"/>
    <cellStyle name="Style 1 4" xfId="16" xr:uid="{00000000-0005-0000-0000-00000F000000}"/>
    <cellStyle name="Стиль 1" xfId="10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114480</xdr:colOff>
      <xdr:row>1</xdr:row>
      <xdr:rowOff>20160</xdr:rowOff>
    </xdr:from>
    <xdr:to>
      <xdr:col>24</xdr:col>
      <xdr:colOff>526680</xdr:colOff>
      <xdr:row>7</xdr:row>
      <xdr:rowOff>22199</xdr:rowOff>
    </xdr:to>
    <xdr:pic>
      <xdr:nvPicPr>
        <xdr:cNvPr id="451" name="Picture 7">
          <a:extLst>
            <a:ext uri="{FF2B5EF4-FFF2-40B4-BE49-F238E27FC236}">
              <a16:creationId xmlns:a16="http://schemas.microsoft.com/office/drawing/2014/main" id="{00000000-0008-0000-0C00-0000C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839760" y="149040"/>
          <a:ext cx="1783800" cy="138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154080</xdr:colOff>
      <xdr:row>1</xdr:row>
      <xdr:rowOff>47520</xdr:rowOff>
    </xdr:from>
    <xdr:to>
      <xdr:col>27</xdr:col>
      <xdr:colOff>543960</xdr:colOff>
      <xdr:row>7</xdr:row>
      <xdr:rowOff>45215</xdr:rowOff>
    </xdr:to>
    <xdr:pic>
      <xdr:nvPicPr>
        <xdr:cNvPr id="452" name="Picture 8">
          <a:extLst>
            <a:ext uri="{FF2B5EF4-FFF2-40B4-BE49-F238E27FC236}">
              <a16:creationId xmlns:a16="http://schemas.microsoft.com/office/drawing/2014/main" id="{00000000-0008-0000-0C00-0000C4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4936760" y="176400"/>
          <a:ext cx="1761480" cy="136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101520</xdr:colOff>
      <xdr:row>13</xdr:row>
      <xdr:rowOff>0</xdr:rowOff>
    </xdr:from>
    <xdr:to>
      <xdr:col>25</xdr:col>
      <xdr:colOff>2511</xdr:colOff>
      <xdr:row>25</xdr:row>
      <xdr:rowOff>64022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0C00-0000C501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2826800" y="1918800"/>
          <a:ext cx="1928160" cy="148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77760</xdr:colOff>
      <xdr:row>13</xdr:row>
      <xdr:rowOff>0</xdr:rowOff>
    </xdr:from>
    <xdr:to>
      <xdr:col>27</xdr:col>
      <xdr:colOff>572400</xdr:colOff>
      <xdr:row>25</xdr:row>
      <xdr:rowOff>17582</xdr:rowOff>
    </xdr:to>
    <xdr:pic>
      <xdr:nvPicPr>
        <xdr:cNvPr id="454" name="Picture 10">
          <a:extLst>
            <a:ext uri="{FF2B5EF4-FFF2-40B4-BE49-F238E27FC236}">
              <a16:creationId xmlns:a16="http://schemas.microsoft.com/office/drawing/2014/main" id="{00000000-0008-0000-0C00-0000C601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4860440" y="1915200"/>
          <a:ext cx="1866240" cy="1441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127080</xdr:colOff>
      <xdr:row>14</xdr:row>
      <xdr:rowOff>5760</xdr:rowOff>
    </xdr:from>
    <xdr:to>
      <xdr:col>25</xdr:col>
      <xdr:colOff>5760</xdr:colOff>
      <xdr:row>25</xdr:row>
      <xdr:rowOff>25505</xdr:rowOff>
    </xdr:to>
    <xdr:pic>
      <xdr:nvPicPr>
        <xdr:cNvPr id="455" name="Picture 11">
          <a:extLst>
            <a:ext uri="{FF2B5EF4-FFF2-40B4-BE49-F238E27FC236}">
              <a16:creationId xmlns:a16="http://schemas.microsoft.com/office/drawing/2014/main" id="{00000000-0008-0000-0C00-0000C7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2852360" y="3589560"/>
          <a:ext cx="1936080" cy="149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166320</xdr:colOff>
      <xdr:row>16</xdr:row>
      <xdr:rowOff>25560</xdr:rowOff>
    </xdr:from>
    <xdr:to>
      <xdr:col>27</xdr:col>
      <xdr:colOff>574920</xdr:colOff>
      <xdr:row>26</xdr:row>
      <xdr:rowOff>294328</xdr:rowOff>
    </xdr:to>
    <xdr:pic>
      <xdr:nvPicPr>
        <xdr:cNvPr id="456" name="Picture 12">
          <a:extLst>
            <a:ext uri="{FF2B5EF4-FFF2-40B4-BE49-F238E27FC236}">
              <a16:creationId xmlns:a16="http://schemas.microsoft.com/office/drawing/2014/main" id="{00000000-0008-0000-0C00-0000C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4949000" y="3738240"/>
          <a:ext cx="1780200" cy="137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76320</xdr:colOff>
      <xdr:row>1</xdr:row>
      <xdr:rowOff>11880</xdr:rowOff>
    </xdr:from>
    <xdr:to>
      <xdr:col>30</xdr:col>
      <xdr:colOff>560518</xdr:colOff>
      <xdr:row>7</xdr:row>
      <xdr:rowOff>17519</xdr:rowOff>
    </xdr:to>
    <xdr:pic>
      <xdr:nvPicPr>
        <xdr:cNvPr id="457" name="Picture 13">
          <a:extLst>
            <a:ext uri="{FF2B5EF4-FFF2-40B4-BE49-F238E27FC236}">
              <a16:creationId xmlns:a16="http://schemas.microsoft.com/office/drawing/2014/main" id="{00000000-0008-0000-0C00-0000C901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6916400" y="140760"/>
          <a:ext cx="1770120" cy="138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110160</xdr:colOff>
      <xdr:row>13</xdr:row>
      <xdr:rowOff>0</xdr:rowOff>
    </xdr:from>
    <xdr:to>
      <xdr:col>31</xdr:col>
      <xdr:colOff>32038</xdr:colOff>
      <xdr:row>24</xdr:row>
      <xdr:rowOff>84354</xdr:rowOff>
    </xdr:to>
    <xdr:pic>
      <xdr:nvPicPr>
        <xdr:cNvPr id="458" name="Picture 14">
          <a:extLst>
            <a:ext uri="{FF2B5EF4-FFF2-40B4-BE49-F238E27FC236}">
              <a16:creationId xmlns:a16="http://schemas.microsoft.com/office/drawing/2014/main" id="{00000000-0008-0000-0C00-0000CA01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6950240" y="1887120"/>
          <a:ext cx="1807920" cy="1431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59760</xdr:colOff>
      <xdr:row>14</xdr:row>
      <xdr:rowOff>123840</xdr:rowOff>
    </xdr:from>
    <xdr:to>
      <xdr:col>31</xdr:col>
      <xdr:colOff>50398</xdr:colOff>
      <xdr:row>26</xdr:row>
      <xdr:rowOff>2416</xdr:rowOff>
    </xdr:to>
    <xdr:pic>
      <xdr:nvPicPr>
        <xdr:cNvPr id="459" name="Picture 15">
          <a:extLst>
            <a:ext uri="{FF2B5EF4-FFF2-40B4-BE49-F238E27FC236}">
              <a16:creationId xmlns:a16="http://schemas.microsoft.com/office/drawing/2014/main" id="{00000000-0008-0000-0C00-0000CB01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6899840" y="3707640"/>
          <a:ext cx="1876680" cy="148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31</xdr:col>
      <xdr:colOff>76320</xdr:colOff>
      <xdr:row>1</xdr:row>
      <xdr:rowOff>15480</xdr:rowOff>
    </xdr:from>
    <xdr:to>
      <xdr:col>34</xdr:col>
      <xdr:colOff>131760</xdr:colOff>
      <xdr:row>8</xdr:row>
      <xdr:rowOff>70244</xdr:rowOff>
    </xdr:to>
    <xdr:pic>
      <xdr:nvPicPr>
        <xdr:cNvPr id="460" name="Picture 16">
          <a:extLst>
            <a:ext uri="{FF2B5EF4-FFF2-40B4-BE49-F238E27FC236}">
              <a16:creationId xmlns:a16="http://schemas.microsoft.com/office/drawing/2014/main" id="{00000000-0008-0000-0C00-0000CC01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8802440" y="144360"/>
          <a:ext cx="1855440" cy="1501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63360</xdr:colOff>
      <xdr:row>37</xdr:row>
      <xdr:rowOff>110880</xdr:rowOff>
    </xdr:from>
    <xdr:to>
      <xdr:col>4</xdr:col>
      <xdr:colOff>143640</xdr:colOff>
      <xdr:row>40</xdr:row>
      <xdr:rowOff>67082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/>
      </xdr:nvSpPr>
      <xdr:spPr>
        <a:xfrm>
          <a:off x="4578120" y="6220080"/>
          <a:ext cx="8028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320760</xdr:colOff>
      <xdr:row>37</xdr:row>
      <xdr:rowOff>110880</xdr:rowOff>
    </xdr:from>
    <xdr:to>
      <xdr:col>3</xdr:col>
      <xdr:colOff>358050</xdr:colOff>
      <xdr:row>40</xdr:row>
      <xdr:rowOff>67082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/>
      </xdr:nvSpPr>
      <xdr:spPr>
        <a:xfrm>
          <a:off x="4492440" y="6220080"/>
          <a:ext cx="5652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63360</xdr:colOff>
      <xdr:row>37</xdr:row>
      <xdr:rowOff>110880</xdr:rowOff>
    </xdr:from>
    <xdr:to>
      <xdr:col>4</xdr:col>
      <xdr:colOff>143640</xdr:colOff>
      <xdr:row>40</xdr:row>
      <xdr:rowOff>67082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/>
      </xdr:nvSpPr>
      <xdr:spPr>
        <a:xfrm>
          <a:off x="4578120" y="6220080"/>
          <a:ext cx="8028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320760</xdr:colOff>
      <xdr:row>37</xdr:row>
      <xdr:rowOff>110880</xdr:rowOff>
    </xdr:from>
    <xdr:to>
      <xdr:col>3</xdr:col>
      <xdr:colOff>358050</xdr:colOff>
      <xdr:row>40</xdr:row>
      <xdr:rowOff>67082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/>
      </xdr:nvSpPr>
      <xdr:spPr>
        <a:xfrm>
          <a:off x="4492440" y="6220080"/>
          <a:ext cx="5652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37</xdr:row>
      <xdr:rowOff>110880</xdr:rowOff>
    </xdr:from>
    <xdr:to>
      <xdr:col>4</xdr:col>
      <xdr:colOff>96120</xdr:colOff>
      <xdr:row>40</xdr:row>
      <xdr:rowOff>67082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SpPr/>
      </xdr:nvSpPr>
      <xdr:spPr>
        <a:xfrm>
          <a:off x="4549680" y="622008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B00-0000B2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0000000-0008-0000-0B00-0000B3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00000000-0008-0000-0B00-0000B4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0000000-0008-0000-0B00-0000B5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00000000-0008-0000-0B00-0000B6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B00-0000B7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B00-0000B8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B00-0000B9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B00-0000BA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B00-0000BB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B00-0000BC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0000000-0008-0000-0B00-0000BD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B00-0000BE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B00-0000BF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154080</xdr:colOff>
      <xdr:row>31</xdr:row>
      <xdr:rowOff>111240</xdr:rowOff>
    </xdr:from>
    <xdr:to>
      <xdr:col>3</xdr:col>
      <xdr:colOff>224640</xdr:colOff>
      <xdr:row>34</xdr:row>
      <xdr:rowOff>31743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B00-0000C0000000}"/>
            </a:ext>
          </a:extLst>
        </xdr:cNvPr>
        <xdr:cNvSpPr/>
      </xdr:nvSpPr>
      <xdr:spPr>
        <a:xfrm>
          <a:off x="4325760" y="5446800"/>
          <a:ext cx="7056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B00-0000C1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B00-0000C2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B00-0000C3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B00-0000C4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31</xdr:row>
      <xdr:rowOff>111240</xdr:rowOff>
    </xdr:from>
    <xdr:to>
      <xdr:col>4</xdr:col>
      <xdr:colOff>96120</xdr:colOff>
      <xdr:row>34</xdr:row>
      <xdr:rowOff>31743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B00-0000C5000000}"/>
            </a:ext>
          </a:extLst>
        </xdr:cNvPr>
        <xdr:cNvSpPr/>
      </xdr:nvSpPr>
      <xdr:spPr>
        <a:xfrm>
          <a:off x="4549680" y="5446800"/>
          <a:ext cx="61200" cy="209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49320</xdr:colOff>
      <xdr:row>8</xdr:row>
      <xdr:rowOff>115560</xdr:rowOff>
    </xdr:from>
    <xdr:to>
      <xdr:col>4</xdr:col>
      <xdr:colOff>105840</xdr:colOff>
      <xdr:row>10</xdr:row>
      <xdr:rowOff>73706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B00-0000C6000000}"/>
            </a:ext>
          </a:extLst>
        </xdr:cNvPr>
        <xdr:cNvSpPr/>
      </xdr:nvSpPr>
      <xdr:spPr>
        <a:xfrm>
          <a:off x="4564080" y="1150920"/>
          <a:ext cx="56520" cy="17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23</xdr:row>
      <xdr:rowOff>239040</xdr:rowOff>
    </xdr:from>
    <xdr:to>
      <xdr:col>4</xdr:col>
      <xdr:colOff>105480</xdr:colOff>
      <xdr:row>26</xdr:row>
      <xdr:rowOff>105120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SpPr/>
      </xdr:nvSpPr>
      <xdr:spPr>
        <a:xfrm>
          <a:off x="4554360" y="401148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31</xdr:row>
      <xdr:rowOff>111240</xdr:rowOff>
    </xdr:from>
    <xdr:to>
      <xdr:col>4</xdr:col>
      <xdr:colOff>105480</xdr:colOff>
      <xdr:row>34</xdr:row>
      <xdr:rowOff>41103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0000000-0008-0000-0B00-0000CA000000}"/>
            </a:ext>
          </a:extLst>
        </xdr:cNvPr>
        <xdr:cNvSpPr/>
      </xdr:nvSpPr>
      <xdr:spPr>
        <a:xfrm>
          <a:off x="4554360" y="5446800"/>
          <a:ext cx="65880" cy="21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31</xdr:row>
      <xdr:rowOff>111240</xdr:rowOff>
    </xdr:from>
    <xdr:to>
      <xdr:col>4</xdr:col>
      <xdr:colOff>105480</xdr:colOff>
      <xdr:row>34</xdr:row>
      <xdr:rowOff>41103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00000000-0008-0000-0B00-0000CB000000}"/>
            </a:ext>
          </a:extLst>
        </xdr:cNvPr>
        <xdr:cNvSpPr/>
      </xdr:nvSpPr>
      <xdr:spPr>
        <a:xfrm>
          <a:off x="4554360" y="5446800"/>
          <a:ext cx="65880" cy="21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00000000-0008-0000-0B00-0000CE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0000000-0008-0000-0B00-0000CF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0000000-0008-0000-0B00-0000D0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23</xdr:row>
      <xdr:rowOff>239040</xdr:rowOff>
    </xdr:from>
    <xdr:to>
      <xdr:col>4</xdr:col>
      <xdr:colOff>105480</xdr:colOff>
      <xdr:row>26</xdr:row>
      <xdr:rowOff>105120</xdr:rowOff>
    </xdr:to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00000000-0008-0000-0B00-0000D1000000}"/>
            </a:ext>
          </a:extLst>
        </xdr:cNvPr>
        <xdr:cNvSpPr/>
      </xdr:nvSpPr>
      <xdr:spPr>
        <a:xfrm>
          <a:off x="4554360" y="401148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23</xdr:row>
      <xdr:rowOff>239040</xdr:rowOff>
    </xdr:from>
    <xdr:to>
      <xdr:col>4</xdr:col>
      <xdr:colOff>105480</xdr:colOff>
      <xdr:row>26</xdr:row>
      <xdr:rowOff>105120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00000000-0008-0000-0B00-0000D2000000}"/>
            </a:ext>
          </a:extLst>
        </xdr:cNvPr>
        <xdr:cNvSpPr/>
      </xdr:nvSpPr>
      <xdr:spPr>
        <a:xfrm>
          <a:off x="4554360" y="401148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23</xdr:row>
      <xdr:rowOff>239040</xdr:rowOff>
    </xdr:from>
    <xdr:to>
      <xdr:col>4</xdr:col>
      <xdr:colOff>105480</xdr:colOff>
      <xdr:row>26</xdr:row>
      <xdr:rowOff>105120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00000000-0008-0000-0B00-0000D3000000}"/>
            </a:ext>
          </a:extLst>
        </xdr:cNvPr>
        <xdr:cNvSpPr/>
      </xdr:nvSpPr>
      <xdr:spPr>
        <a:xfrm>
          <a:off x="4554360" y="401148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20</xdr:row>
      <xdr:rowOff>110880</xdr:rowOff>
    </xdr:from>
    <xdr:to>
      <xdr:col>4</xdr:col>
      <xdr:colOff>105480</xdr:colOff>
      <xdr:row>24</xdr:row>
      <xdr:rowOff>18059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0000000-0008-0000-0B00-0000D4000000}"/>
            </a:ext>
          </a:extLst>
        </xdr:cNvPr>
        <xdr:cNvSpPr/>
      </xdr:nvSpPr>
      <xdr:spPr>
        <a:xfrm>
          <a:off x="4554360" y="3240000"/>
          <a:ext cx="65880" cy="36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20</xdr:row>
      <xdr:rowOff>110880</xdr:rowOff>
    </xdr:from>
    <xdr:to>
      <xdr:col>4</xdr:col>
      <xdr:colOff>105480</xdr:colOff>
      <xdr:row>24</xdr:row>
      <xdr:rowOff>18059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00000000-0008-0000-0B00-0000D5000000}"/>
            </a:ext>
          </a:extLst>
        </xdr:cNvPr>
        <xdr:cNvSpPr/>
      </xdr:nvSpPr>
      <xdr:spPr>
        <a:xfrm>
          <a:off x="4554360" y="3240000"/>
          <a:ext cx="65880" cy="36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20</xdr:row>
      <xdr:rowOff>110880</xdr:rowOff>
    </xdr:from>
    <xdr:to>
      <xdr:col>4</xdr:col>
      <xdr:colOff>105480</xdr:colOff>
      <xdr:row>24</xdr:row>
      <xdr:rowOff>18059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00000000-0008-0000-0B00-0000D6000000}"/>
            </a:ext>
          </a:extLst>
        </xdr:cNvPr>
        <xdr:cNvSpPr/>
      </xdr:nvSpPr>
      <xdr:spPr>
        <a:xfrm>
          <a:off x="4554360" y="3240000"/>
          <a:ext cx="65880" cy="361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0000000-0008-0000-0B00-0000D7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B00-0000D8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32</xdr:row>
      <xdr:rowOff>110880</xdr:rowOff>
    </xdr:from>
    <xdr:to>
      <xdr:col>4</xdr:col>
      <xdr:colOff>105480</xdr:colOff>
      <xdr:row>36</xdr:row>
      <xdr:rowOff>124169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00000000-0008-0000-0B00-0000D9000000}"/>
            </a:ext>
          </a:extLst>
        </xdr:cNvPr>
        <xdr:cNvSpPr/>
      </xdr:nvSpPr>
      <xdr:spPr>
        <a:xfrm>
          <a:off x="4554360" y="5575680"/>
          <a:ext cx="65880" cy="3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22</xdr:row>
      <xdr:rowOff>239400</xdr:rowOff>
    </xdr:from>
    <xdr:to>
      <xdr:col>4</xdr:col>
      <xdr:colOff>105480</xdr:colOff>
      <xdr:row>26</xdr:row>
      <xdr:rowOff>17098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0000000-0008-0000-0B00-0000DD000000}"/>
            </a:ext>
          </a:extLst>
        </xdr:cNvPr>
        <xdr:cNvSpPr/>
      </xdr:nvSpPr>
      <xdr:spPr>
        <a:xfrm>
          <a:off x="4554360" y="3754440"/>
          <a:ext cx="65880" cy="542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22</xdr:row>
      <xdr:rowOff>239400</xdr:rowOff>
    </xdr:from>
    <xdr:to>
      <xdr:col>4</xdr:col>
      <xdr:colOff>105480</xdr:colOff>
      <xdr:row>26</xdr:row>
      <xdr:rowOff>17098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00000000-0008-0000-0B00-0000DE000000}"/>
            </a:ext>
          </a:extLst>
        </xdr:cNvPr>
        <xdr:cNvSpPr/>
      </xdr:nvSpPr>
      <xdr:spPr>
        <a:xfrm>
          <a:off x="4554360" y="3754440"/>
          <a:ext cx="65880" cy="542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22</xdr:row>
      <xdr:rowOff>239400</xdr:rowOff>
    </xdr:from>
    <xdr:to>
      <xdr:col>4</xdr:col>
      <xdr:colOff>105480</xdr:colOff>
      <xdr:row>26</xdr:row>
      <xdr:rowOff>17098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00000000-0008-0000-0B00-0000DF000000}"/>
            </a:ext>
          </a:extLst>
        </xdr:cNvPr>
        <xdr:cNvSpPr/>
      </xdr:nvSpPr>
      <xdr:spPr>
        <a:xfrm>
          <a:off x="4554360" y="3754440"/>
          <a:ext cx="65880" cy="542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22</xdr:row>
      <xdr:rowOff>239400</xdr:rowOff>
    </xdr:from>
    <xdr:to>
      <xdr:col>4</xdr:col>
      <xdr:colOff>105480</xdr:colOff>
      <xdr:row>26</xdr:row>
      <xdr:rowOff>17098</xdr:rowOff>
    </xdr:to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00000000-0008-0000-0B00-0000E0000000}"/>
            </a:ext>
          </a:extLst>
        </xdr:cNvPr>
        <xdr:cNvSpPr/>
      </xdr:nvSpPr>
      <xdr:spPr>
        <a:xfrm>
          <a:off x="4554360" y="3754440"/>
          <a:ext cx="65880" cy="542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21</xdr:row>
      <xdr:rowOff>239040</xdr:rowOff>
    </xdr:from>
    <xdr:to>
      <xdr:col>4</xdr:col>
      <xdr:colOff>105480</xdr:colOff>
      <xdr:row>23</xdr:row>
      <xdr:rowOff>254812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0000000-0008-0000-0B00-0000E1000000}"/>
            </a:ext>
          </a:extLst>
        </xdr:cNvPr>
        <xdr:cNvSpPr/>
      </xdr:nvSpPr>
      <xdr:spPr>
        <a:xfrm>
          <a:off x="4554360" y="349704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21</xdr:row>
      <xdr:rowOff>239040</xdr:rowOff>
    </xdr:from>
    <xdr:to>
      <xdr:col>4</xdr:col>
      <xdr:colOff>105480</xdr:colOff>
      <xdr:row>23</xdr:row>
      <xdr:rowOff>254812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00000000-0008-0000-0B00-0000E2000000}"/>
            </a:ext>
          </a:extLst>
        </xdr:cNvPr>
        <xdr:cNvSpPr/>
      </xdr:nvSpPr>
      <xdr:spPr>
        <a:xfrm>
          <a:off x="4554360" y="349704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39600</xdr:colOff>
      <xdr:row>21</xdr:row>
      <xdr:rowOff>239040</xdr:rowOff>
    </xdr:from>
    <xdr:to>
      <xdr:col>4</xdr:col>
      <xdr:colOff>105480</xdr:colOff>
      <xdr:row>23</xdr:row>
      <xdr:rowOff>254812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0B00-0000E3000000}"/>
            </a:ext>
          </a:extLst>
        </xdr:cNvPr>
        <xdr:cNvSpPr/>
      </xdr:nvSpPr>
      <xdr:spPr>
        <a:xfrm>
          <a:off x="4554360" y="3497040"/>
          <a:ext cx="65880" cy="380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0B00-0000E4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0B00-0000E5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0B00-0000E6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0B00-0000E7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0B00-0000E8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0B00-0000E9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0B00-0000EA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0B00-0000EB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0B00-0000EC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0000000-0008-0000-0B00-0000ED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00000000-0008-0000-0B00-0000EE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00000000-0008-0000-0B00-0000EF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0000000-0008-0000-0B00-0000F0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00000000-0008-0000-0B00-0000F1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0B00-0000F2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0000000-0008-0000-0B00-0000F3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00000000-0008-0000-0B00-0000F4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00000000-0008-0000-0B00-0000F5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00000000-0008-0000-0B00-0000F6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00000000-0008-0000-0B00-0000F7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00000000-0008-0000-0B00-0000F8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00000000-0008-0000-0B00-0000F9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00000000-0008-0000-0B00-0000FA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0B00-0000FB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0B00-0000FC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0B00-0000FD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0B00-0000FE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00000000-0008-0000-0B00-0000FF00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0B00-00000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00000000-0008-0000-0B00-00000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00000000-0008-0000-0B00-00000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00000000-0008-0000-0B00-00000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00000000-0008-0000-0B00-00000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0B00-00000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0B00-00000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00000000-0008-0000-0B00-00000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0B00-00000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0B00-00000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0B00-00000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0B00-00000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00000000-0008-0000-0B00-00000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0B00-00000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0000000-0008-0000-0B00-00000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00000000-0008-0000-0B00-00001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00000000-0008-0000-0B00-00001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0B00-00001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00000000-0008-0000-0B00-00001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0000000-0008-0000-0B00-00001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00000000-0008-0000-0B00-00001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00000000-0008-0000-0B00-00001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0000000-0008-0000-0B00-00001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0000000-0008-0000-0B00-00001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00000000-0008-0000-0B00-00001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00000000-0008-0000-0B00-00001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0000000-0008-0000-0B00-00001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00000000-0008-0000-0B00-00001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0B00-00002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000000-0008-0000-0B00-00002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0B00-00002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0000000-0008-0000-0B00-00002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0B00-00002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0B00-00002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0000000-0008-0000-0B00-00002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00000000-0008-0000-0B00-00002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00000000-0008-0000-0B00-00002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0000000-0008-0000-0B00-00002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0B00-00002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0B00-00003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0B00-00003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0B00-00003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0000000-0008-0000-0B00-00003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0B00-00003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0B00-00003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0B00-00003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0B00-00003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0B00-00003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0B00-00003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0B00-00003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0B00-00003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0B00-00003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0B00-00003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B00-00003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B00-00003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0B00-00004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0B00-00004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0B00-00004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0B00-00004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0000000-0008-0000-0B00-00004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0B00-00004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B00-00004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0B00-00004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0B00-00004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0B00-00004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0B00-00004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0B00-00004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0B00-00004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0000000-0008-0000-0B00-00004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00000000-0008-0000-0B00-00004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00000000-0008-0000-0B00-00004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0000000-0008-0000-0B00-00005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0000000-0008-0000-0B00-00005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00000000-0008-0000-0B00-00005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0B00-00005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0B00-00005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0B00-00005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0B00-00005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0000000-0008-0000-0B00-00005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00000000-0008-0000-0B00-00005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00000000-0008-0000-0B00-00005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00000000-0008-0000-0B00-00005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00000000-0008-0000-0B00-00005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00000000-0008-0000-0B00-00005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0000000-0008-0000-0B00-00005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0000000-0008-0000-0B00-00005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0000000-0008-0000-0B00-00005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00000000-0008-0000-0B00-00006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00000000-0008-0000-0B00-00006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0000000-0008-0000-0B00-00006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00000000-0008-0000-0B00-00006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0000000-0008-0000-0B00-00006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0000000-0008-0000-0B00-00006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00000000-0008-0000-0B00-00006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0000000-0008-0000-0B00-00006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00000000-0008-0000-0B00-00006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0000000-0008-0000-0B00-00006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00000000-0008-0000-0B00-00006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00000000-0008-0000-0B00-00006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00000000-0008-0000-0B00-00006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00000000-0008-0000-0B00-00006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00000000-0008-0000-0B00-00007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0000000-0008-0000-0B00-00007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0000000-0008-0000-0B00-00007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00000000-0008-0000-0B00-000073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00000000-0008-0000-0B00-00007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00000000-0008-0000-0B00-00007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00000000-0008-0000-0B00-00007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0000000-0008-0000-0B00-00007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00000000-0008-0000-0B00-00007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00000000-0008-0000-0B00-00007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0000000-0008-0000-0B00-00007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0000000-0008-0000-0B00-00007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00000000-0008-0000-0B00-00007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0000000-0008-0000-0B00-00007D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00000000-0008-0000-0B00-00007E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00000000-0008-0000-0B00-00007F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00000000-0008-0000-0B00-000080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00000000-0008-0000-0B00-000081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0000000-0008-0000-0B00-000082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0000000-0008-0000-0B00-000084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00000000-0008-0000-0B00-000085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0000000-0008-0000-0B00-000086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0000000-0008-0000-0B00-000087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0000000-0008-0000-0B00-000088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00000000-0008-0000-0B00-000089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0000000-0008-0000-0B00-00008A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00000000-0008-0000-0B00-00008B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38</xdr:row>
      <xdr:rowOff>110880</xdr:rowOff>
    </xdr:from>
    <xdr:to>
      <xdr:col>4</xdr:col>
      <xdr:colOff>91440</xdr:colOff>
      <xdr:row>41</xdr:row>
      <xdr:rowOff>1913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0000000-0008-0000-0B00-00008C010000}"/>
            </a:ext>
          </a:extLst>
        </xdr:cNvPr>
        <xdr:cNvSpPr/>
      </xdr:nvSpPr>
      <xdr:spPr>
        <a:xfrm>
          <a:off x="4549680" y="634896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00000000-0008-0000-0B00-00008E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0000000-0008-0000-0B00-00008F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0000000-0008-0000-0B00-000090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0000000-0008-0000-0B00-000091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0000000-0008-0000-0B00-000092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00000000-0008-0000-0B00-000093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00000000-0008-0000-0B00-000094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0000000-0008-0000-0B00-000095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0000000-0008-0000-0B00-000096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00000000-0008-0000-0B00-000097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0000000-0008-0000-0B00-000098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00000000-0008-0000-0B00-000099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00000000-0008-0000-0B00-00009A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00000000-0008-0000-0B00-00009B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00000000-0008-0000-0B00-00009C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0000000-0008-0000-0B00-00009D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00000000-0008-0000-0B00-00009E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0000000-0008-0000-0B00-00009F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00000000-0008-0000-0B00-0000A0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00000000-0008-0000-0B00-0000A1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154080</xdr:colOff>
      <xdr:row>32</xdr:row>
      <xdr:rowOff>110880</xdr:rowOff>
    </xdr:from>
    <xdr:to>
      <xdr:col>3</xdr:col>
      <xdr:colOff>224640</xdr:colOff>
      <xdr:row>35</xdr:row>
      <xdr:rowOff>13784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00000000-0008-0000-0B00-0000A2010000}"/>
            </a:ext>
          </a:extLst>
        </xdr:cNvPr>
        <xdr:cNvSpPr/>
      </xdr:nvSpPr>
      <xdr:spPr>
        <a:xfrm>
          <a:off x="4325760" y="5575680"/>
          <a:ext cx="7056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0000000-0008-0000-0B00-0000A3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0000000-0008-0000-0B00-0000A4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0000000-0008-0000-0B00-0000A5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0000000-0008-0000-0B00-0000A6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91440</xdr:colOff>
      <xdr:row>35</xdr:row>
      <xdr:rowOff>13784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0000000-0008-0000-0B00-0000A7010000}"/>
            </a:ext>
          </a:extLst>
        </xdr:cNvPr>
        <xdr:cNvSpPr/>
      </xdr:nvSpPr>
      <xdr:spPr>
        <a:xfrm>
          <a:off x="4549680" y="5575680"/>
          <a:ext cx="56520" cy="19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23</xdr:row>
      <xdr:rowOff>239040</xdr:rowOff>
    </xdr:from>
    <xdr:to>
      <xdr:col>4</xdr:col>
      <xdr:colOff>100800</xdr:colOff>
      <xdr:row>25</xdr:row>
      <xdr:rowOff>38564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0000000-0008-0000-0B00-0000A9010000}"/>
            </a:ext>
          </a:extLst>
        </xdr:cNvPr>
        <xdr:cNvSpPr/>
      </xdr:nvSpPr>
      <xdr:spPr>
        <a:xfrm>
          <a:off x="4549680" y="40114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100800</xdr:colOff>
      <xdr:row>35</xdr:row>
      <xdr:rowOff>22024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00000000-0008-0000-0B00-0000AB010000}"/>
            </a:ext>
          </a:extLst>
        </xdr:cNvPr>
        <xdr:cNvSpPr/>
      </xdr:nvSpPr>
      <xdr:spPr>
        <a:xfrm>
          <a:off x="4549680" y="55756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100800</xdr:colOff>
      <xdr:row>35</xdr:row>
      <xdr:rowOff>22024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00000000-0008-0000-0B00-0000AC010000}"/>
            </a:ext>
          </a:extLst>
        </xdr:cNvPr>
        <xdr:cNvSpPr/>
      </xdr:nvSpPr>
      <xdr:spPr>
        <a:xfrm>
          <a:off x="4549680" y="55756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100800</xdr:colOff>
      <xdr:row>35</xdr:row>
      <xdr:rowOff>22024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0000000-0008-0000-0B00-0000AD010000}"/>
            </a:ext>
          </a:extLst>
        </xdr:cNvPr>
        <xdr:cNvSpPr/>
      </xdr:nvSpPr>
      <xdr:spPr>
        <a:xfrm>
          <a:off x="4549680" y="55756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32</xdr:row>
      <xdr:rowOff>110880</xdr:rowOff>
    </xdr:from>
    <xdr:to>
      <xdr:col>4</xdr:col>
      <xdr:colOff>100800</xdr:colOff>
      <xdr:row>35</xdr:row>
      <xdr:rowOff>22024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0000000-0008-0000-0B00-0000AE010000}"/>
            </a:ext>
          </a:extLst>
        </xdr:cNvPr>
        <xdr:cNvSpPr/>
      </xdr:nvSpPr>
      <xdr:spPr>
        <a:xfrm>
          <a:off x="4549680" y="55756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33</xdr:row>
      <xdr:rowOff>110880</xdr:rowOff>
    </xdr:from>
    <xdr:to>
      <xdr:col>4</xdr:col>
      <xdr:colOff>100800</xdr:colOff>
      <xdr:row>36</xdr:row>
      <xdr:rowOff>22023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00000000-0008-0000-0B00-0000AF010000}"/>
            </a:ext>
          </a:extLst>
        </xdr:cNvPr>
        <xdr:cNvSpPr/>
      </xdr:nvSpPr>
      <xdr:spPr>
        <a:xfrm>
          <a:off x="4549680" y="570456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33</xdr:row>
      <xdr:rowOff>110880</xdr:rowOff>
    </xdr:from>
    <xdr:to>
      <xdr:col>4</xdr:col>
      <xdr:colOff>100800</xdr:colOff>
      <xdr:row>36</xdr:row>
      <xdr:rowOff>22023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00000000-0008-0000-0B00-0000B0010000}"/>
            </a:ext>
          </a:extLst>
        </xdr:cNvPr>
        <xdr:cNvSpPr/>
      </xdr:nvSpPr>
      <xdr:spPr>
        <a:xfrm>
          <a:off x="4549680" y="570456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33</xdr:row>
      <xdr:rowOff>110880</xdr:rowOff>
    </xdr:from>
    <xdr:to>
      <xdr:col>4</xdr:col>
      <xdr:colOff>100800</xdr:colOff>
      <xdr:row>36</xdr:row>
      <xdr:rowOff>22023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00000000-0008-0000-0B00-0000B1010000}"/>
            </a:ext>
          </a:extLst>
        </xdr:cNvPr>
        <xdr:cNvSpPr/>
      </xdr:nvSpPr>
      <xdr:spPr>
        <a:xfrm>
          <a:off x="4549680" y="570456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23</xdr:row>
      <xdr:rowOff>239040</xdr:rowOff>
    </xdr:from>
    <xdr:to>
      <xdr:col>4</xdr:col>
      <xdr:colOff>100800</xdr:colOff>
      <xdr:row>25</xdr:row>
      <xdr:rowOff>38564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00000000-0008-0000-0B00-0000B2010000}"/>
            </a:ext>
          </a:extLst>
        </xdr:cNvPr>
        <xdr:cNvSpPr/>
      </xdr:nvSpPr>
      <xdr:spPr>
        <a:xfrm>
          <a:off x="4549680" y="40114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23</xdr:row>
      <xdr:rowOff>239040</xdr:rowOff>
    </xdr:from>
    <xdr:to>
      <xdr:col>4</xdr:col>
      <xdr:colOff>100800</xdr:colOff>
      <xdr:row>25</xdr:row>
      <xdr:rowOff>38564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0000000-0008-0000-0B00-0000B3010000}"/>
            </a:ext>
          </a:extLst>
        </xdr:cNvPr>
        <xdr:cNvSpPr/>
      </xdr:nvSpPr>
      <xdr:spPr>
        <a:xfrm>
          <a:off x="4549680" y="40114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23</xdr:row>
      <xdr:rowOff>239040</xdr:rowOff>
    </xdr:from>
    <xdr:to>
      <xdr:col>4</xdr:col>
      <xdr:colOff>100800</xdr:colOff>
      <xdr:row>25</xdr:row>
      <xdr:rowOff>38564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00000000-0008-0000-0B00-0000B4010000}"/>
            </a:ext>
          </a:extLst>
        </xdr:cNvPr>
        <xdr:cNvSpPr/>
      </xdr:nvSpPr>
      <xdr:spPr>
        <a:xfrm>
          <a:off x="4549680" y="401148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20</xdr:row>
      <xdr:rowOff>110880</xdr:rowOff>
    </xdr:from>
    <xdr:to>
      <xdr:col>4</xdr:col>
      <xdr:colOff>100800</xdr:colOff>
      <xdr:row>23</xdr:row>
      <xdr:rowOff>109257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00000000-0008-0000-0B00-0000B5010000}"/>
            </a:ext>
          </a:extLst>
        </xdr:cNvPr>
        <xdr:cNvSpPr/>
      </xdr:nvSpPr>
      <xdr:spPr>
        <a:xfrm>
          <a:off x="4549680" y="324000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20</xdr:row>
      <xdr:rowOff>110880</xdr:rowOff>
    </xdr:from>
    <xdr:to>
      <xdr:col>4</xdr:col>
      <xdr:colOff>100800</xdr:colOff>
      <xdr:row>23</xdr:row>
      <xdr:rowOff>109257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00000000-0008-0000-0B00-0000B6010000}"/>
            </a:ext>
          </a:extLst>
        </xdr:cNvPr>
        <xdr:cNvSpPr/>
      </xdr:nvSpPr>
      <xdr:spPr>
        <a:xfrm>
          <a:off x="4549680" y="324000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20</xdr:row>
      <xdr:rowOff>110880</xdr:rowOff>
    </xdr:from>
    <xdr:to>
      <xdr:col>4</xdr:col>
      <xdr:colOff>100800</xdr:colOff>
      <xdr:row>23</xdr:row>
      <xdr:rowOff>109257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00000000-0008-0000-0B00-0000B7010000}"/>
            </a:ext>
          </a:extLst>
        </xdr:cNvPr>
        <xdr:cNvSpPr/>
      </xdr:nvSpPr>
      <xdr:spPr>
        <a:xfrm>
          <a:off x="4549680" y="324000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33</xdr:row>
      <xdr:rowOff>110880</xdr:rowOff>
    </xdr:from>
    <xdr:to>
      <xdr:col>4</xdr:col>
      <xdr:colOff>100800</xdr:colOff>
      <xdr:row>36</xdr:row>
      <xdr:rowOff>22023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00000000-0008-0000-0B00-0000B8010000}"/>
            </a:ext>
          </a:extLst>
        </xdr:cNvPr>
        <xdr:cNvSpPr/>
      </xdr:nvSpPr>
      <xdr:spPr>
        <a:xfrm>
          <a:off x="4549680" y="570456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33</xdr:row>
      <xdr:rowOff>110880</xdr:rowOff>
    </xdr:from>
    <xdr:to>
      <xdr:col>4</xdr:col>
      <xdr:colOff>100800</xdr:colOff>
      <xdr:row>36</xdr:row>
      <xdr:rowOff>22023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00000000-0008-0000-0B00-0000B9010000}"/>
            </a:ext>
          </a:extLst>
        </xdr:cNvPr>
        <xdr:cNvSpPr/>
      </xdr:nvSpPr>
      <xdr:spPr>
        <a:xfrm>
          <a:off x="4549680" y="570456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34</xdr:row>
      <xdr:rowOff>110880</xdr:rowOff>
    </xdr:from>
    <xdr:to>
      <xdr:col>4</xdr:col>
      <xdr:colOff>100800</xdr:colOff>
      <xdr:row>37</xdr:row>
      <xdr:rowOff>60185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00000000-0008-0000-0B00-0000BB010000}"/>
            </a:ext>
          </a:extLst>
        </xdr:cNvPr>
        <xdr:cNvSpPr/>
      </xdr:nvSpPr>
      <xdr:spPr>
        <a:xfrm>
          <a:off x="4549680" y="5833440"/>
          <a:ext cx="65880" cy="237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22</xdr:row>
      <xdr:rowOff>239400</xdr:rowOff>
    </xdr:from>
    <xdr:to>
      <xdr:col>4</xdr:col>
      <xdr:colOff>100800</xdr:colOff>
      <xdr:row>23</xdr:row>
      <xdr:rowOff>203106</xdr:rowOff>
    </xdr:to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00000000-0008-0000-0B00-0000BE010000}"/>
            </a:ext>
          </a:extLst>
        </xdr:cNvPr>
        <xdr:cNvSpPr/>
      </xdr:nvSpPr>
      <xdr:spPr>
        <a:xfrm>
          <a:off x="4549680" y="37544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22</xdr:row>
      <xdr:rowOff>239400</xdr:rowOff>
    </xdr:from>
    <xdr:to>
      <xdr:col>4</xdr:col>
      <xdr:colOff>100800</xdr:colOff>
      <xdr:row>23</xdr:row>
      <xdr:rowOff>203106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0000000-0008-0000-0B00-0000BF010000}"/>
            </a:ext>
          </a:extLst>
        </xdr:cNvPr>
        <xdr:cNvSpPr/>
      </xdr:nvSpPr>
      <xdr:spPr>
        <a:xfrm>
          <a:off x="4549680" y="37544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22</xdr:row>
      <xdr:rowOff>239400</xdr:rowOff>
    </xdr:from>
    <xdr:to>
      <xdr:col>4</xdr:col>
      <xdr:colOff>100800</xdr:colOff>
      <xdr:row>23</xdr:row>
      <xdr:rowOff>203106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00000000-0008-0000-0B00-0000C0010000}"/>
            </a:ext>
          </a:extLst>
        </xdr:cNvPr>
        <xdr:cNvSpPr/>
      </xdr:nvSpPr>
      <xdr:spPr>
        <a:xfrm>
          <a:off x="4549680" y="37544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22</xdr:row>
      <xdr:rowOff>239400</xdr:rowOff>
    </xdr:from>
    <xdr:to>
      <xdr:col>4</xdr:col>
      <xdr:colOff>100800</xdr:colOff>
      <xdr:row>23</xdr:row>
      <xdr:rowOff>203106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0000000-0008-0000-0B00-0000C1010000}"/>
            </a:ext>
          </a:extLst>
        </xdr:cNvPr>
        <xdr:cNvSpPr/>
      </xdr:nvSpPr>
      <xdr:spPr>
        <a:xfrm>
          <a:off x="4549680" y="37544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21</xdr:row>
      <xdr:rowOff>239040</xdr:rowOff>
    </xdr:from>
    <xdr:to>
      <xdr:col>4</xdr:col>
      <xdr:colOff>100800</xdr:colOff>
      <xdr:row>23</xdr:row>
      <xdr:rowOff>73397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0000000-0008-0000-0B00-0000C2010000}"/>
            </a:ext>
          </a:extLst>
        </xdr:cNvPr>
        <xdr:cNvSpPr/>
      </xdr:nvSpPr>
      <xdr:spPr>
        <a:xfrm>
          <a:off x="4549680" y="34970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21</xdr:row>
      <xdr:rowOff>239040</xdr:rowOff>
    </xdr:from>
    <xdr:to>
      <xdr:col>4</xdr:col>
      <xdr:colOff>100800</xdr:colOff>
      <xdr:row>23</xdr:row>
      <xdr:rowOff>73397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00000000-0008-0000-0B00-0000C3010000}"/>
            </a:ext>
          </a:extLst>
        </xdr:cNvPr>
        <xdr:cNvSpPr/>
      </xdr:nvSpPr>
      <xdr:spPr>
        <a:xfrm>
          <a:off x="4549680" y="34970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34920</xdr:colOff>
      <xdr:row>21</xdr:row>
      <xdr:rowOff>239040</xdr:rowOff>
    </xdr:from>
    <xdr:to>
      <xdr:col>4</xdr:col>
      <xdr:colOff>100800</xdr:colOff>
      <xdr:row>23</xdr:row>
      <xdr:rowOff>73397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0000000-0008-0000-0B00-0000C4010000}"/>
            </a:ext>
          </a:extLst>
        </xdr:cNvPr>
        <xdr:cNvSpPr/>
      </xdr:nvSpPr>
      <xdr:spPr>
        <a:xfrm>
          <a:off x="4549680" y="3497040"/>
          <a:ext cx="65880" cy="1994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D5D8AF75-19BB-4B03-BD9F-28835A59EB2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F98815E1-9C72-483D-BFF4-C68E91A9C8C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B59A34AE-309D-4C34-AA7F-7CCE5E18633F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E45ED666-46AA-4D29-90D2-74355AF3FB58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7F4E1649-B97A-46D9-97C4-4324D2637DD8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EEE0A2A8-06CA-487B-A2E9-E5BA64725D8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81B3C027-88A7-4448-8D92-949C09934DE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269AE097-82EA-44D5-B1C5-1C790FFCCAB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7F488E08-162B-489B-94D4-77995732094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5CF56396-A57E-4C24-90FC-CCE38D41322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E515E1F8-4620-494B-8D98-680D7DFDD44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B3305D3A-03F2-46D5-A3D8-1C58F8B4796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C35EF3B7-F5BF-4C1F-AC3A-B123E07994EC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8ED27D74-CCE4-46E4-81B1-42F70CF2D9DC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47736D1A-4E5E-486B-AC67-4C6D45D4A39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768A9EFC-96A9-4A96-BC6C-3AFF0419A9AE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02D611CA-600B-437A-AC9C-7E2F0664AB0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BF38B0DC-DC24-4266-A8F2-62430EF252E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CC61EEF9-3363-44DC-8E71-3A48914639C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909877DE-3A5E-433F-85F1-3C17755A53B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846A252D-6C96-481D-91AE-768096BE83A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1BC72084-1212-45ED-89BE-8EA3A25E2E4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2C0F7C13-9823-4178-9019-5F753704F93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4903098B-3DE7-4204-846F-8A661A18369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1A3AEC08-669A-48ED-9204-7EF8A5921F2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9188C7CB-6B2A-47BF-BA3F-23F606992F1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D4A08A37-97E9-405F-8718-BE924DE8BCF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A6C3729E-177E-47C1-B1C1-EDF2A044CF2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F1F545BF-E7DD-4711-924B-3FD235E6FF3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91E79B3F-F81A-4821-B259-2D383E749EA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E0DB6575-B756-4493-A0A7-9B35A53CAB9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240086CF-8455-485C-A431-20AA58A6896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25299C74-8054-404A-8702-0D6DCD3BE38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FFC83F53-2056-4835-8306-C8A079B0358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86B1A385-F18F-4302-879B-68CA5B28B76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B0A6B030-00A4-4E74-B955-9F778E7F227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76793BA-233E-4405-A5B7-94DC02E91B3D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274FF892-B3C4-4B16-8181-FFAC8B9CC9B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CF7818AC-747F-453F-A15D-BD3B73D3E31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ABAB294D-E929-4209-9721-3D401248252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0C94A8A4-A73B-4D1E-8E98-7B9918B9F98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31A581D8-7BBA-4296-8D8D-79BB9E09879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A9A02EA1-3E77-4E54-B1D8-D3FB0BB6398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4AC88A7E-4865-4892-BFD1-570C2C5EEE6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367FD204-87F5-4FDD-A6BB-147F6860718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3957FB82-FA95-44DE-B9A0-510BE726AECD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8D412FDE-DF8E-4546-A48E-F8754DC3ABA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54237FAC-5F70-4311-BEBF-7427E2CF74CE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1C441EF5-E2DF-49DA-9C1F-28278303552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B1035C18-67C4-4F46-9457-6C7ADA1BBC2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139F69DC-A87B-412F-B1D7-5D0C580F33D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A4B8E49B-A53D-430B-97FC-8F74018B37B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455FB9C9-76A7-4946-AA3F-52BF21E5755C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B9B2337A-732E-4DAA-9E55-D31D3EB5F28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4DAD3391-E146-46A9-9F8B-A06CFFF5FBF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D66AD01A-0CE7-43BF-BB4A-1ADB742F0EDD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7929B492-15BD-42D9-9BCA-1E64A7ADCD5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7295F02F-F835-4882-BFD4-A572DC150BD8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F4ECD616-489C-4F0B-B719-B919E4D27F7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483636FF-BA85-4E18-8F1F-31826E57355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734793C6-BDFB-4BA8-A84A-3CC61F8BE82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CCD8B640-9FD5-4963-991E-732A6179BE3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C200FCA9-EE0F-40F4-8C79-6E5211232BB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B941F6D2-4D46-49C4-9FCF-A0719943E37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776C7B69-D670-495B-B701-695D4526268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89825D88-DB6A-467D-A3BA-FA1767B645E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FD4A9521-DEEA-4BC6-B7D9-CF4876DAF8D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E1D4FD8E-5B2B-4021-8D80-81FBD0D1FA9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B5D33E6B-C11D-4052-A523-21BE797E9C2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9B0B9506-BAC7-4C54-ADD7-1578B34392B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C1EBC115-01AC-4244-BC8F-20203BE5D8C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20662B2B-CC9C-419C-BDF4-4E1E0C8332BD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FDB93CFF-F8C6-4572-A7C2-29067B0DD5F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249621AC-5EBF-4AA0-A011-A834D3DF4FD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62708728-E768-4CD6-B63F-C566B2C7BF1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41F311C6-ABD3-421F-B5CE-B558195DD1E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F4F106C0-82FA-4283-ADBC-A30F31F8CA4D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D5D048B5-EF64-4903-99A7-23B71F03283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61201B60-3C8B-4D6C-A83D-E05D6D3A363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106AAFD4-8E10-44A4-8CD6-BAA4BE4EDF3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C4CC6F3A-DCF3-48DD-BC35-C65B0C382DD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CAB6616D-04F9-418D-BAFD-747DEF798E11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17D7EF20-7897-473C-BDAE-92084AF867F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3DFEB85-1B45-4F28-93BE-055C1C0C8AB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B1144D92-508F-48DB-AA04-DC576B90D60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CC6B5B9A-C57A-4DF8-B1C3-4E272078C77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747D18D8-BEF1-48D3-B49B-D9CE0ABBA808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267C4DE3-7C43-4DFA-B4A4-816B8E97E87F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DA927F79-700B-4081-A22B-15ECB16E5FD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3B31A08C-9CA4-41A1-BC99-B149FF189D4E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6FFB2347-13CA-4AEF-8336-B4800D46BA19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F2FF8137-6DC4-4E83-97DA-C9AA8CD567B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C0F171B-D335-4CE9-98E2-B649E224415C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0A5C38F8-91F1-44C8-86E6-05B0C2243C2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E012F199-5FE1-4306-BC7E-BD5C95BD3D4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D951A6A1-F696-421F-A946-CFE70D0EED18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8F086815-538D-4773-916A-1687AA5F49F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F6A769D0-E977-44D3-8B57-E54FB3413D2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62272921-E6CC-4D93-97A5-D8ADD9D2CCD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4F6CEC28-07B4-4142-8080-B72FDFB784E5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466D2A0A-24DA-4F43-A75C-83CB99C78F0E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60C2CB2C-ECCE-47E6-B601-747A07D58FA6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E3B7CCD0-E4AA-4D16-8D65-6EE7FD3D4CB2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CC10950-F47A-42CA-97F4-3A5E68807B03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0A818A74-CBB9-4C8E-A7A9-3A2FC0F4485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477027D1-FEA4-464D-A7BD-74A7D0B336D0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B95F37AD-6A57-482A-8C67-EEFCC12FED44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80102741-B895-4C79-8817-2553941BA90B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52992D8B-D3A2-45AA-856D-FEB9D064752F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E0F8B3F0-7F0F-47C9-A9EE-68A8F2655137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34920</xdr:colOff>
      <xdr:row>39</xdr:row>
      <xdr:rowOff>110880</xdr:rowOff>
    </xdr:from>
    <xdr:ext cx="56520" cy="290908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5672D5CB-539C-4ADC-9993-AEB69D33F40A}"/>
            </a:ext>
          </a:extLst>
        </xdr:cNvPr>
        <xdr:cNvSpPr/>
      </xdr:nvSpPr>
      <xdr:spPr>
        <a:xfrm>
          <a:off x="4859053" y="6358160"/>
          <a:ext cx="56520" cy="2909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NAS16\Kopejiedati\_LNA%20dz&#299;vojam&#257;s%20m&#257;jas\_Turaidas%208a%20EA\T%20un%20DA%20Turaidas%208a\T_%20Turaidas%208a_21.06.2018%20sakret+v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ERA\Users$\kbeihman\Documents\Reinu%20meza%203\Darbu%20apjomi%20Reinu%20meza%203%2021_05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"/>
      <sheetName val="logi"/>
      <sheetName val="Cokol"/>
      <sheetName val="Jumts"/>
      <sheetName val="pagr"/>
      <sheetName val="balkoni"/>
      <sheetName val="apjoms"/>
      <sheetName val="ieejas"/>
      <sheetName val="AVK"/>
      <sheetName val="gaze"/>
    </sheetNames>
    <sheetDataSet>
      <sheetData sheetId="0"/>
      <sheetData sheetId="1">
        <row r="27">
          <cell r="C27" t="str">
            <v>V.Maļukovs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"/>
      <sheetName val="KPDV"/>
      <sheetName val="AR"/>
      <sheetName val="apjomi"/>
      <sheetName val="Logi"/>
      <sheetName val="pagrabs"/>
      <sheetName val="cokols"/>
      <sheetName val="jumts"/>
      <sheetName val="Ieeja"/>
      <sheetName val="bēniņi"/>
      <sheetName val="lodžijas"/>
      <sheetName val="AVK"/>
      <sheetName val="zibens"/>
    </sheetNames>
    <sheetDataSet>
      <sheetData sheetId="0"/>
      <sheetData sheetId="1">
        <row r="31">
          <cell r="B31" t="str">
            <v>Sastādīja:</v>
          </cell>
        </row>
        <row r="32">
          <cell r="B32" t="str">
            <v>Tāme sastādīta</v>
          </cell>
        </row>
        <row r="34">
          <cell r="B34" t="str">
            <v>Pārbaudīja:</v>
          </cell>
        </row>
        <row r="35">
          <cell r="B35" t="str">
            <v>Sertifikāta Nr.: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E984-45E4-44BA-BC82-240216424605}">
  <dimension ref="A1:AMK29"/>
  <sheetViews>
    <sheetView zoomScaleNormal="100" workbookViewId="0">
      <selection activeCell="B32" sqref="B32"/>
    </sheetView>
  </sheetViews>
  <sheetFormatPr defaultRowHeight="15" x14ac:dyDescent="0.25"/>
  <cols>
    <col min="1" max="1" width="9" style="263" customWidth="1"/>
    <col min="2" max="2" width="40.85546875" style="263" customWidth="1"/>
    <col min="3" max="3" width="10.28515625" style="263" customWidth="1"/>
    <col min="4" max="4" width="28.140625" style="263" customWidth="1"/>
    <col min="5" max="1025" width="9" style="263" customWidth="1"/>
    <col min="1026" max="16384" width="9.140625" style="295"/>
  </cols>
  <sheetData>
    <row r="1" spans="1:5" x14ac:dyDescent="0.25">
      <c r="B1" s="264"/>
      <c r="C1" s="264"/>
      <c r="D1" s="264"/>
      <c r="E1" s="264"/>
    </row>
    <row r="2" spans="1:5" x14ac:dyDescent="0.25">
      <c r="B2" s="265"/>
      <c r="C2" s="265"/>
      <c r="D2" s="264"/>
      <c r="E2" s="264"/>
    </row>
    <row r="3" spans="1:5" x14ac:dyDescent="0.25">
      <c r="B3" s="264"/>
      <c r="C3" s="264"/>
      <c r="D3" s="264"/>
      <c r="E3" s="264"/>
    </row>
    <row r="4" spans="1:5" x14ac:dyDescent="0.25">
      <c r="B4" s="264"/>
      <c r="C4" s="264"/>
      <c r="D4" s="266"/>
      <c r="E4" s="266"/>
    </row>
    <row r="5" spans="1:5" x14ac:dyDescent="0.25">
      <c r="B5" s="267"/>
      <c r="C5" s="267"/>
      <c r="D5" s="267"/>
      <c r="E5" s="267"/>
    </row>
    <row r="6" spans="1:5" x14ac:dyDescent="0.25">
      <c r="B6" s="268"/>
      <c r="C6" s="268"/>
      <c r="D6" s="268"/>
      <c r="E6" s="264"/>
    </row>
    <row r="7" spans="1:5" x14ac:dyDescent="0.25">
      <c r="B7" s="264"/>
      <c r="C7" s="269"/>
      <c r="D7" s="264"/>
      <c r="E7" s="264"/>
    </row>
    <row r="8" spans="1:5" x14ac:dyDescent="0.25">
      <c r="D8" s="270" t="s">
        <v>352</v>
      </c>
    </row>
    <row r="9" spans="1:5" x14ac:dyDescent="0.25">
      <c r="A9" s="271" t="s">
        <v>339</v>
      </c>
      <c r="B9" s="271"/>
      <c r="C9" s="271"/>
      <c r="D9" s="271"/>
    </row>
    <row r="10" spans="1:5" x14ac:dyDescent="0.25">
      <c r="A10" s="272" t="s">
        <v>340</v>
      </c>
      <c r="B10" s="273"/>
      <c r="C10" s="274"/>
      <c r="D10" s="273"/>
    </row>
    <row r="11" spans="1:5" ht="14.25" customHeight="1" x14ac:dyDescent="0.25">
      <c r="A11" s="275" t="s">
        <v>341</v>
      </c>
      <c r="B11" s="275"/>
      <c r="C11" s="275"/>
      <c r="D11" s="275"/>
    </row>
    <row r="12" spans="1:5" x14ac:dyDescent="0.25">
      <c r="A12" s="276" t="s">
        <v>350</v>
      </c>
      <c r="B12" s="277"/>
      <c r="C12" s="276"/>
      <c r="D12" s="277"/>
    </row>
    <row r="13" spans="1:5" x14ac:dyDescent="0.25">
      <c r="A13" s="276" t="s">
        <v>353</v>
      </c>
      <c r="B13" s="278"/>
      <c r="C13" s="279"/>
      <c r="D13" s="277"/>
    </row>
    <row r="14" spans="1:5" x14ac:dyDescent="0.25">
      <c r="A14" s="280"/>
      <c r="C14" s="274"/>
      <c r="D14" s="281" t="s">
        <v>342</v>
      </c>
    </row>
    <row r="17" spans="1:4" x14ac:dyDescent="0.25">
      <c r="A17" s="282" t="s">
        <v>15</v>
      </c>
      <c r="B17" s="283" t="s">
        <v>343</v>
      </c>
      <c r="C17" s="284" t="s">
        <v>344</v>
      </c>
      <c r="D17" s="284"/>
    </row>
    <row r="18" spans="1:4" ht="22.5" x14ac:dyDescent="0.25">
      <c r="A18" s="285">
        <v>1</v>
      </c>
      <c r="B18" s="286" t="s">
        <v>351</v>
      </c>
      <c r="C18" s="287"/>
      <c r="D18" s="287"/>
    </row>
    <row r="19" spans="1:4" x14ac:dyDescent="0.25">
      <c r="A19" s="278"/>
      <c r="B19" s="288" t="s">
        <v>345</v>
      </c>
      <c r="C19" s="289"/>
      <c r="D19" s="289"/>
    </row>
    <row r="20" spans="1:4" x14ac:dyDescent="0.25">
      <c r="B20" s="290" t="s">
        <v>346</v>
      </c>
      <c r="C20" s="291"/>
      <c r="D20" s="291"/>
    </row>
    <row r="21" spans="1:4" x14ac:dyDescent="0.25">
      <c r="A21" s="278"/>
      <c r="B21" s="290"/>
      <c r="C21" s="292"/>
    </row>
    <row r="22" spans="1:4" x14ac:dyDescent="0.25">
      <c r="A22" s="280"/>
      <c r="B22" s="293"/>
      <c r="C22" s="280"/>
      <c r="D22" s="280"/>
    </row>
    <row r="23" spans="1:4" x14ac:dyDescent="0.25">
      <c r="A23" s="280"/>
      <c r="B23" s="294"/>
      <c r="C23" s="280"/>
      <c r="D23" s="280"/>
    </row>
    <row r="24" spans="1:4" x14ac:dyDescent="0.25">
      <c r="C24" s="280"/>
      <c r="D24" s="277"/>
    </row>
    <row r="25" spans="1:4" x14ac:dyDescent="0.25">
      <c r="A25" s="280"/>
      <c r="B25" s="294" t="s">
        <v>347</v>
      </c>
      <c r="C25" s="276"/>
      <c r="D25" s="277"/>
    </row>
    <row r="26" spans="1:4" x14ac:dyDescent="0.25">
      <c r="A26" s="280"/>
      <c r="B26" s="294" t="s">
        <v>348</v>
      </c>
      <c r="C26" s="280"/>
      <c r="D26" s="280"/>
    </row>
    <row r="28" spans="1:4" x14ac:dyDescent="0.25">
      <c r="B28" s="293" t="s">
        <v>342</v>
      </c>
    </row>
    <row r="29" spans="1:4" x14ac:dyDescent="0.25">
      <c r="B29" s="294"/>
    </row>
  </sheetData>
  <mergeCells count="6">
    <mergeCell ref="B5:E5"/>
    <mergeCell ref="A9:D9"/>
    <mergeCell ref="C17:D17"/>
    <mergeCell ref="C18:D18"/>
    <mergeCell ref="C19:D19"/>
    <mergeCell ref="C20:D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49"/>
  <sheetViews>
    <sheetView view="pageBreakPreview" topLeftCell="A31" zoomScaleNormal="115" zoomScaleSheetLayoutView="100" workbookViewId="0">
      <selection activeCell="B35" sqref="B35:Q46"/>
    </sheetView>
  </sheetViews>
  <sheetFormatPr defaultColWidth="9" defaultRowHeight="11.25" x14ac:dyDescent="0.2"/>
  <cols>
    <col min="1" max="1" width="4.42578125" style="66" customWidth="1"/>
    <col min="2" max="2" width="4.5703125" style="66"/>
    <col min="3" max="3" width="44.7109375" style="159"/>
    <col min="4" max="4" width="5.7109375" style="66"/>
    <col min="5" max="5" width="7.28515625" style="66" customWidth="1"/>
    <col min="6" max="6" width="3.7109375" style="66" hidden="1" customWidth="1"/>
    <col min="7" max="17" width="9" style="66" customWidth="1"/>
    <col min="18" max="1011" width="8.5703125" style="66"/>
    <col min="1012" max="16384" width="9" style="66"/>
  </cols>
  <sheetData>
    <row r="1" spans="1:17" s="62" customFormat="1" x14ac:dyDescent="0.2">
      <c r="A1" s="237" t="s">
        <v>11</v>
      </c>
      <c r="B1" s="237"/>
      <c r="C1" s="237"/>
      <c r="D1" s="237"/>
      <c r="E1" s="237"/>
      <c r="F1" s="237"/>
      <c r="G1" s="237"/>
      <c r="H1" s="61">
        <f>KPDV!A19</f>
        <v>7</v>
      </c>
      <c r="I1" s="61"/>
      <c r="J1" s="61"/>
      <c r="K1" s="61"/>
      <c r="L1" s="61"/>
      <c r="M1" s="61"/>
      <c r="N1" s="61"/>
      <c r="O1" s="61"/>
      <c r="P1" s="61"/>
      <c r="Q1" s="61"/>
    </row>
    <row r="2" spans="1:17" x14ac:dyDescent="0.2">
      <c r="A2" s="63"/>
      <c r="B2" s="61"/>
      <c r="C2" s="109" t="s">
        <v>69</v>
      </c>
      <c r="D2" s="61"/>
      <c r="E2" s="61"/>
      <c r="F2" s="61"/>
      <c r="G2" s="61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">
      <c r="A3" s="63" t="str">
        <f>KPDV!A3</f>
        <v>Būves nosaukums: Daudzdzīvokļu dzīvojamās mājas fasādes vienkāršotā atjaunošana</v>
      </c>
      <c r="B3" s="67"/>
      <c r="C3" s="110"/>
      <c r="D3" s="67"/>
      <c r="E3" s="67"/>
      <c r="F3" s="67"/>
      <c r="G3" s="67"/>
      <c r="H3" s="67"/>
      <c r="I3" s="67"/>
      <c r="J3" s="67"/>
      <c r="K3" s="67"/>
      <c r="L3" s="67"/>
      <c r="M3" s="68"/>
      <c r="N3" s="68"/>
      <c r="O3" s="68"/>
      <c r="P3" s="68"/>
      <c r="Q3" s="65"/>
    </row>
    <row r="4" spans="1:17" x14ac:dyDescent="0.2">
      <c r="A4" s="63" t="str">
        <f>KPDV!A4</f>
        <v>Objekta nosaukums: Dzīvojamas ēkas fasādes vienkāršota atjaunošana</v>
      </c>
      <c r="B4" s="67"/>
      <c r="C4" s="110"/>
      <c r="D4" s="67"/>
      <c r="E4" s="67"/>
      <c r="F4" s="67"/>
      <c r="G4" s="67"/>
      <c r="H4" s="67"/>
      <c r="I4" s="65"/>
      <c r="J4" s="65"/>
      <c r="K4" s="68"/>
      <c r="L4" s="68"/>
      <c r="M4" s="68"/>
      <c r="N4" s="68"/>
      <c r="O4" s="68"/>
      <c r="P4" s="68"/>
      <c r="Q4" s="65"/>
    </row>
    <row r="5" spans="1:17" x14ac:dyDescent="0.2">
      <c r="A5" s="69" t="str">
        <f>KPDV!A5</f>
        <v>Objekta adrese: Eduarda Tisē ielā 50, Liepājā</v>
      </c>
      <c r="B5" s="65"/>
      <c r="C5" s="63"/>
      <c r="D5" s="65"/>
      <c r="E5" s="67"/>
      <c r="F5" s="67"/>
      <c r="G5" s="65"/>
      <c r="H5" s="65"/>
      <c r="I5" s="65"/>
      <c r="J5" s="65"/>
      <c r="K5" s="68"/>
      <c r="L5" s="68"/>
      <c r="M5" s="68"/>
      <c r="N5" s="68"/>
      <c r="O5" s="68"/>
      <c r="P5" s="68"/>
      <c r="Q5" s="65"/>
    </row>
    <row r="6" spans="1:17" x14ac:dyDescent="0.2">
      <c r="A6" s="69" t="str">
        <f>KPDV!A6</f>
        <v>Pasūtījuma Nr.EA-15-17</v>
      </c>
      <c r="B6" s="65"/>
      <c r="C6" s="63"/>
      <c r="D6" s="65"/>
      <c r="E6" s="65"/>
      <c r="F6" s="65"/>
      <c r="G6" s="65"/>
      <c r="H6" s="65"/>
      <c r="I6" s="65"/>
      <c r="J6" s="65"/>
      <c r="K6" s="68"/>
      <c r="L6" s="68"/>
      <c r="M6" s="68"/>
      <c r="N6" s="68"/>
      <c r="O6" s="68"/>
      <c r="P6" s="68"/>
      <c r="Q6" s="65"/>
    </row>
    <row r="7" spans="1:17" x14ac:dyDescent="0.2">
      <c r="A7" s="69" t="str">
        <f>KPDV!A7</f>
        <v>Pasūtītājs: SIA "Liepājas namu apsaimniekotājs"</v>
      </c>
      <c r="B7" s="65"/>
      <c r="C7" s="63"/>
      <c r="D7" s="65"/>
      <c r="E7" s="65"/>
      <c r="F7" s="65"/>
      <c r="G7" s="65"/>
      <c r="H7" s="65"/>
      <c r="I7" s="65"/>
      <c r="J7" s="65"/>
      <c r="K7" s="68"/>
      <c r="L7" s="68"/>
      <c r="M7" s="68"/>
      <c r="N7" s="68"/>
      <c r="O7" s="68"/>
      <c r="P7" s="68"/>
      <c r="Q7" s="65"/>
    </row>
    <row r="8" spans="1:17" x14ac:dyDescent="0.2">
      <c r="A8" s="251" t="str">
        <f>AR!D8</f>
        <v>Tāme sastādīta .gada tirgus cenās, pamatojoties uz:</v>
      </c>
      <c r="B8" s="251"/>
      <c r="C8" s="251"/>
      <c r="D8" s="251"/>
      <c r="E8" s="65" t="s">
        <v>268</v>
      </c>
      <c r="F8" s="65"/>
      <c r="G8" s="252" t="s">
        <v>13</v>
      </c>
      <c r="H8" s="252"/>
      <c r="I8" s="252"/>
      <c r="J8" s="252"/>
      <c r="K8" s="69"/>
      <c r="L8" s="69"/>
      <c r="M8" s="69"/>
      <c r="N8" s="69" t="s">
        <v>48</v>
      </c>
      <c r="O8" s="69"/>
      <c r="P8" s="70">
        <f>Q36</f>
        <v>0</v>
      </c>
      <c r="Q8" s="71" t="s">
        <v>49</v>
      </c>
    </row>
    <row r="9" spans="1:17" ht="10.5" customHeight="1" x14ac:dyDescent="0.2">
      <c r="A9" s="63"/>
      <c r="B9" s="65"/>
      <c r="C9" s="63"/>
      <c r="D9" s="65"/>
      <c r="E9" s="65"/>
      <c r="F9" s="65"/>
      <c r="G9" s="65"/>
      <c r="H9" s="65"/>
      <c r="I9" s="65"/>
      <c r="J9" s="65"/>
      <c r="K9" s="65"/>
      <c r="L9" s="65"/>
      <c r="M9" s="65"/>
      <c r="N9" s="253" t="str">
        <f>KPDV!B10</f>
        <v>Tāme sastādīta .gada</v>
      </c>
      <c r="O9" s="253"/>
      <c r="P9" s="253"/>
      <c r="Q9" s="253"/>
    </row>
    <row r="10" spans="1:17" ht="10.5" customHeight="1" x14ac:dyDescent="0.2">
      <c r="A10" s="254" t="s">
        <v>15</v>
      </c>
      <c r="B10" s="240" t="s">
        <v>16</v>
      </c>
      <c r="C10" s="255" t="s">
        <v>17</v>
      </c>
      <c r="D10" s="242" t="s">
        <v>18</v>
      </c>
      <c r="E10" s="240" t="s">
        <v>19</v>
      </c>
      <c r="F10" s="72"/>
      <c r="G10" s="243" t="s">
        <v>20</v>
      </c>
      <c r="H10" s="243"/>
      <c r="I10" s="243"/>
      <c r="J10" s="243"/>
      <c r="K10" s="243"/>
      <c r="L10" s="243"/>
      <c r="M10" s="243" t="s">
        <v>21</v>
      </c>
      <c r="N10" s="243"/>
      <c r="O10" s="243"/>
      <c r="P10" s="243"/>
      <c r="Q10" s="243"/>
    </row>
    <row r="11" spans="1:17" ht="55.5" x14ac:dyDescent="0.2">
      <c r="A11" s="254"/>
      <c r="B11" s="240"/>
      <c r="C11" s="255"/>
      <c r="D11" s="242"/>
      <c r="E11" s="240"/>
      <c r="F11" s="72"/>
      <c r="G11" s="335" t="s">
        <v>403</v>
      </c>
      <c r="H11" s="336" t="s">
        <v>404</v>
      </c>
      <c r="I11" s="336" t="s">
        <v>405</v>
      </c>
      <c r="J11" s="336" t="s">
        <v>406</v>
      </c>
      <c r="K11" s="336" t="s">
        <v>407</v>
      </c>
      <c r="L11" s="337" t="s">
        <v>365</v>
      </c>
      <c r="M11" s="335" t="s">
        <v>22</v>
      </c>
      <c r="N11" s="336" t="s">
        <v>405</v>
      </c>
      <c r="O11" s="336" t="s">
        <v>406</v>
      </c>
      <c r="P11" s="336" t="s">
        <v>407</v>
      </c>
      <c r="Q11" s="337" t="s">
        <v>408</v>
      </c>
    </row>
    <row r="12" spans="1:17" x14ac:dyDescent="0.2">
      <c r="A12" s="73">
        <v>1</v>
      </c>
      <c r="B12" s="74">
        <f>A12+1</f>
        <v>2</v>
      </c>
      <c r="C12" s="152">
        <f>B12+1</f>
        <v>3</v>
      </c>
      <c r="D12" s="74">
        <f>C12+1</f>
        <v>4</v>
      </c>
      <c r="E12" s="74">
        <f>D12+1</f>
        <v>5</v>
      </c>
      <c r="F12" s="74"/>
      <c r="G12" s="74">
        <f>E12+1</f>
        <v>6</v>
      </c>
      <c r="H12" s="74">
        <f t="shared" ref="H12:Q12" si="0">G12+1</f>
        <v>7</v>
      </c>
      <c r="I12" s="74">
        <f t="shared" si="0"/>
        <v>8</v>
      </c>
      <c r="J12" s="74">
        <f t="shared" si="0"/>
        <v>9</v>
      </c>
      <c r="K12" s="74">
        <f t="shared" si="0"/>
        <v>10</v>
      </c>
      <c r="L12" s="74">
        <f t="shared" si="0"/>
        <v>11</v>
      </c>
      <c r="M12" s="74">
        <f t="shared" si="0"/>
        <v>12</v>
      </c>
      <c r="N12" s="74">
        <f t="shared" si="0"/>
        <v>13</v>
      </c>
      <c r="O12" s="74">
        <f t="shared" si="0"/>
        <v>14</v>
      </c>
      <c r="P12" s="74">
        <f t="shared" si="0"/>
        <v>15</v>
      </c>
      <c r="Q12" s="74">
        <f t="shared" si="0"/>
        <v>16</v>
      </c>
    </row>
    <row r="13" spans="1:17" ht="22.5" x14ac:dyDescent="0.2">
      <c r="A13" s="125"/>
      <c r="B13" s="78"/>
      <c r="C13" s="153" t="s">
        <v>296</v>
      </c>
      <c r="D13" s="154"/>
      <c r="E13" s="154"/>
      <c r="F13" s="15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ht="45" x14ac:dyDescent="0.2">
      <c r="A14" s="78">
        <f>IF(COUNTBLANK(B14)=1," ",COUNTA(B$14:B14))</f>
        <v>1</v>
      </c>
      <c r="B14" s="89" t="s">
        <v>23</v>
      </c>
      <c r="C14" s="80" t="s">
        <v>454</v>
      </c>
      <c r="D14" s="155" t="s">
        <v>29</v>
      </c>
      <c r="E14" s="156">
        <f>2*2.25*3.2</f>
        <v>14.4</v>
      </c>
      <c r="F14" s="78"/>
      <c r="G14" s="92"/>
      <c r="H14" s="82"/>
      <c r="I14" s="92"/>
      <c r="J14" s="81"/>
      <c r="K14" s="81"/>
      <c r="L14" s="83"/>
      <c r="M14" s="84"/>
      <c r="N14" s="84"/>
      <c r="O14" s="84"/>
      <c r="P14" s="84"/>
      <c r="Q14" s="84"/>
    </row>
    <row r="15" spans="1:17" ht="33.75" x14ac:dyDescent="0.2">
      <c r="A15" s="78">
        <f>IF(COUNTBLANK(B15)=1," ",COUNTA(B$14:B15))</f>
        <v>2</v>
      </c>
      <c r="B15" s="89" t="s">
        <v>23</v>
      </c>
      <c r="C15" s="80" t="s">
        <v>455</v>
      </c>
      <c r="D15" s="155" t="s">
        <v>29</v>
      </c>
      <c r="E15" s="157">
        <v>4.1399999999999997</v>
      </c>
      <c r="F15" s="78"/>
      <c r="G15" s="92"/>
      <c r="H15" s="82"/>
      <c r="I15" s="92"/>
      <c r="J15" s="81"/>
      <c r="K15" s="81"/>
      <c r="L15" s="83"/>
      <c r="M15" s="84"/>
      <c r="N15" s="84"/>
      <c r="O15" s="84"/>
      <c r="P15" s="84"/>
      <c r="Q15" s="84"/>
    </row>
    <row r="16" spans="1:17" ht="45" x14ac:dyDescent="0.2">
      <c r="A16" s="78">
        <f>IF(COUNTBLANK(B16)=1," ",COUNTA(B$14:B16))</f>
        <v>3</v>
      </c>
      <c r="B16" s="89" t="s">
        <v>23</v>
      </c>
      <c r="C16" s="80" t="s">
        <v>456</v>
      </c>
      <c r="D16" s="155" t="s">
        <v>29</v>
      </c>
      <c r="E16" s="156">
        <v>7.8</v>
      </c>
      <c r="F16" s="78"/>
      <c r="G16" s="92"/>
      <c r="H16" s="82"/>
      <c r="I16" s="92"/>
      <c r="J16" s="81"/>
      <c r="K16" s="81"/>
      <c r="L16" s="83"/>
      <c r="M16" s="84"/>
      <c r="N16" s="84"/>
      <c r="O16" s="84"/>
      <c r="P16" s="84"/>
      <c r="Q16" s="84"/>
    </row>
    <row r="17" spans="1:17" ht="22.5" x14ac:dyDescent="0.2">
      <c r="A17" s="78">
        <f>IF(COUNTBLANK(B17)=1," ",COUNTA(B$14:B17))</f>
        <v>4</v>
      </c>
      <c r="B17" s="89" t="s">
        <v>23</v>
      </c>
      <c r="C17" s="80" t="s">
        <v>248</v>
      </c>
      <c r="D17" s="155" t="s">
        <v>25</v>
      </c>
      <c r="E17" s="157">
        <v>51.4</v>
      </c>
      <c r="F17" s="80"/>
      <c r="G17" s="92"/>
      <c r="H17" s="82"/>
      <c r="I17" s="92"/>
      <c r="J17" s="81"/>
      <c r="K17" s="81"/>
      <c r="L17" s="83"/>
      <c r="M17" s="84"/>
      <c r="N17" s="84"/>
      <c r="O17" s="84"/>
      <c r="P17" s="84"/>
      <c r="Q17" s="84"/>
    </row>
    <row r="18" spans="1:17" ht="22.5" x14ac:dyDescent="0.2">
      <c r="A18" s="78">
        <f>IF(COUNTBLANK(B18)=1," ",COUNTA(B$14:B18))</f>
        <v>5</v>
      </c>
      <c r="B18" s="78">
        <v>6</v>
      </c>
      <c r="C18" s="80" t="s">
        <v>249</v>
      </c>
      <c r="D18" s="85"/>
      <c r="E18" s="78"/>
      <c r="F18" s="80"/>
      <c r="G18" s="92"/>
      <c r="H18" s="82"/>
      <c r="I18" s="92"/>
      <c r="J18" s="92"/>
      <c r="K18" s="92"/>
      <c r="L18" s="83"/>
      <c r="M18" s="84"/>
      <c r="N18" s="84"/>
      <c r="O18" s="84"/>
      <c r="P18" s="84"/>
      <c r="Q18" s="84"/>
    </row>
    <row r="19" spans="1:17" ht="22.5" x14ac:dyDescent="0.2">
      <c r="A19" s="78">
        <f>IF(COUNTBLANK(B19)=1," ",COUNTA(B$14:B19))</f>
        <v>6</v>
      </c>
      <c r="B19" s="89" t="s">
        <v>23</v>
      </c>
      <c r="C19" s="80" t="s">
        <v>250</v>
      </c>
      <c r="D19" s="85" t="s">
        <v>29</v>
      </c>
      <c r="E19" s="78">
        <f>2*9.7*0.3</f>
        <v>5.8199999999999994</v>
      </c>
      <c r="F19" s="80"/>
      <c r="G19" s="92"/>
      <c r="H19" s="82"/>
      <c r="I19" s="92"/>
      <c r="J19" s="81"/>
      <c r="K19" s="81"/>
      <c r="L19" s="83"/>
      <c r="M19" s="84"/>
      <c r="N19" s="84"/>
      <c r="O19" s="84"/>
      <c r="P19" s="84"/>
      <c r="Q19" s="84"/>
    </row>
    <row r="20" spans="1:17" ht="22.5" x14ac:dyDescent="0.2">
      <c r="A20" s="78">
        <f>IF(COUNTBLANK(B20)=1," ",COUNTA(B$14:B20))</f>
        <v>7</v>
      </c>
      <c r="B20" s="89" t="s">
        <v>23</v>
      </c>
      <c r="C20" s="80" t="s">
        <v>251</v>
      </c>
      <c r="D20" s="85" t="s">
        <v>25</v>
      </c>
      <c r="E20" s="78">
        <f>9.7*2</f>
        <v>19.399999999999999</v>
      </c>
      <c r="F20" s="80"/>
      <c r="G20" s="92"/>
      <c r="H20" s="82"/>
      <c r="I20" s="92"/>
      <c r="J20" s="81"/>
      <c r="K20" s="81"/>
      <c r="L20" s="83"/>
      <c r="M20" s="84"/>
      <c r="N20" s="84"/>
      <c r="O20" s="84"/>
      <c r="P20" s="84"/>
      <c r="Q20" s="84"/>
    </row>
    <row r="21" spans="1:17" ht="22.5" x14ac:dyDescent="0.2">
      <c r="A21" s="78">
        <f>IF(COUNTBLANK(B21)=1," ",COUNTA(B$14:B21))</f>
        <v>8</v>
      </c>
      <c r="B21" s="89" t="s">
        <v>23</v>
      </c>
      <c r="C21" s="80" t="s">
        <v>252</v>
      </c>
      <c r="D21" s="85" t="s">
        <v>27</v>
      </c>
      <c r="E21" s="78">
        <v>20</v>
      </c>
      <c r="F21" s="80"/>
      <c r="G21" s="92"/>
      <c r="H21" s="82"/>
      <c r="I21" s="92"/>
      <c r="J21" s="81"/>
      <c r="K21" s="81"/>
      <c r="L21" s="83"/>
      <c r="M21" s="84"/>
      <c r="N21" s="84"/>
      <c r="O21" s="84"/>
      <c r="P21" s="84"/>
      <c r="Q21" s="84"/>
    </row>
    <row r="22" spans="1:17" ht="22.5" x14ac:dyDescent="0.2">
      <c r="A22" s="78">
        <f>IF(COUNTBLANK(B22)=1," ",COUNTA(B$14:B22))</f>
        <v>9</v>
      </c>
      <c r="B22" s="89" t="s">
        <v>23</v>
      </c>
      <c r="C22" s="80" t="s">
        <v>253</v>
      </c>
      <c r="D22" s="85" t="s">
        <v>29</v>
      </c>
      <c r="E22" s="86">
        <v>5.82</v>
      </c>
      <c r="F22" s="80"/>
      <c r="G22" s="92"/>
      <c r="H22" s="82"/>
      <c r="I22" s="92"/>
      <c r="J22" s="81"/>
      <c r="K22" s="81"/>
      <c r="L22" s="83"/>
      <c r="M22" s="84"/>
      <c r="N22" s="84"/>
      <c r="O22" s="84"/>
      <c r="P22" s="84"/>
      <c r="Q22" s="84"/>
    </row>
    <row r="23" spans="1:17" ht="22.5" x14ac:dyDescent="0.2">
      <c r="A23" s="78">
        <f>IF(COUNTBLANK(B23)=1," ",COUNTA(B$14:B23))</f>
        <v>10</v>
      </c>
      <c r="B23" s="89" t="s">
        <v>23</v>
      </c>
      <c r="C23" s="80" t="s">
        <v>129</v>
      </c>
      <c r="D23" s="85" t="s">
        <v>25</v>
      </c>
      <c r="E23" s="86">
        <v>6.4</v>
      </c>
      <c r="F23" s="80"/>
      <c r="G23" s="92"/>
      <c r="H23" s="82"/>
      <c r="I23" s="92"/>
      <c r="J23" s="81"/>
      <c r="K23" s="81"/>
      <c r="L23" s="83"/>
      <c r="M23" s="84"/>
      <c r="N23" s="84"/>
      <c r="O23" s="84"/>
      <c r="P23" s="84"/>
      <c r="Q23" s="84"/>
    </row>
    <row r="24" spans="1:17" ht="22.5" x14ac:dyDescent="0.2">
      <c r="A24" s="78">
        <f>IF(COUNTBLANK(B24)=1," ",COUNTA(B$14:B24))</f>
        <v>11</v>
      </c>
      <c r="B24" s="89" t="s">
        <v>23</v>
      </c>
      <c r="C24" s="80" t="s">
        <v>254</v>
      </c>
      <c r="D24" s="85" t="s">
        <v>25</v>
      </c>
      <c r="E24" s="86">
        <v>12.4</v>
      </c>
      <c r="F24" s="80"/>
      <c r="G24" s="92"/>
      <c r="H24" s="82"/>
      <c r="I24" s="92"/>
      <c r="J24" s="81"/>
      <c r="K24" s="81"/>
      <c r="L24" s="83"/>
      <c r="M24" s="84"/>
      <c r="N24" s="84"/>
      <c r="O24" s="84"/>
      <c r="P24" s="84"/>
      <c r="Q24" s="84"/>
    </row>
    <row r="25" spans="1:17" x14ac:dyDescent="0.2">
      <c r="A25" s="78">
        <f>IF(COUNTBLANK(B25)=1," ",COUNTA(B$14:B25))</f>
        <v>12</v>
      </c>
      <c r="B25" s="89" t="s">
        <v>23</v>
      </c>
      <c r="C25" s="80" t="s">
        <v>255</v>
      </c>
      <c r="D25" s="85" t="s">
        <v>25</v>
      </c>
      <c r="E25" s="86">
        <v>6</v>
      </c>
      <c r="F25" s="80"/>
      <c r="G25" s="92"/>
      <c r="H25" s="82"/>
      <c r="I25" s="92"/>
      <c r="J25" s="81"/>
      <c r="K25" s="81"/>
      <c r="L25" s="83"/>
      <c r="M25" s="84"/>
      <c r="N25" s="84"/>
      <c r="O25" s="84"/>
      <c r="P25" s="84"/>
      <c r="Q25" s="84"/>
    </row>
    <row r="26" spans="1:17" ht="22.5" x14ac:dyDescent="0.2">
      <c r="A26" s="78" t="str">
        <f>IF(COUNTBLANK(B26)=1," ",COUNTA(B$14:B26))</f>
        <v xml:space="preserve"> </v>
      </c>
      <c r="B26" s="78"/>
      <c r="C26" s="80" t="s">
        <v>130</v>
      </c>
      <c r="D26" s="85"/>
      <c r="E26" s="87"/>
      <c r="F26" s="80"/>
      <c r="G26" s="92"/>
      <c r="H26" s="82"/>
      <c r="I26" s="92"/>
      <c r="J26" s="92"/>
      <c r="K26" s="92"/>
      <c r="L26" s="83"/>
      <c r="M26" s="84"/>
      <c r="N26" s="84"/>
      <c r="O26" s="84"/>
      <c r="P26" s="84"/>
      <c r="Q26" s="84"/>
    </row>
    <row r="27" spans="1:17" ht="33.75" x14ac:dyDescent="0.2">
      <c r="A27" s="78">
        <f>IF(COUNTBLANK(B27)=1," ",COUNTA(B$14:B27))</f>
        <v>13</v>
      </c>
      <c r="B27" s="89" t="s">
        <v>23</v>
      </c>
      <c r="C27" s="80" t="s">
        <v>457</v>
      </c>
      <c r="D27" s="155" t="s">
        <v>29</v>
      </c>
      <c r="E27" s="156">
        <v>20.8</v>
      </c>
      <c r="F27" s="80"/>
      <c r="G27" s="92"/>
      <c r="H27" s="82"/>
      <c r="I27" s="92"/>
      <c r="J27" s="81"/>
      <c r="K27" s="81"/>
      <c r="L27" s="83"/>
      <c r="M27" s="84"/>
      <c r="N27" s="84"/>
      <c r="O27" s="84"/>
      <c r="P27" s="84"/>
      <c r="Q27" s="84"/>
    </row>
    <row r="28" spans="1:17" x14ac:dyDescent="0.2">
      <c r="A28" s="78">
        <f>IF(COUNTBLANK(B28)=1," ",COUNTA(B$14:B28))</f>
        <v>14</v>
      </c>
      <c r="B28" s="89" t="s">
        <v>23</v>
      </c>
      <c r="C28" s="124" t="s">
        <v>458</v>
      </c>
      <c r="D28" s="78" t="s">
        <v>25</v>
      </c>
      <c r="E28" s="86">
        <v>6.4</v>
      </c>
      <c r="F28" s="80"/>
      <c r="G28" s="92"/>
      <c r="H28" s="82"/>
      <c r="I28" s="92"/>
      <c r="J28" s="81"/>
      <c r="K28" s="81"/>
      <c r="L28" s="83"/>
      <c r="M28" s="84"/>
      <c r="N28" s="84"/>
      <c r="O28" s="84"/>
      <c r="P28" s="84"/>
      <c r="Q28" s="84"/>
    </row>
    <row r="29" spans="1:17" x14ac:dyDescent="0.2">
      <c r="A29" s="78">
        <f>IF(COUNTBLANK(B29)=1," ",COUNTA(B$14:B29))</f>
        <v>15</v>
      </c>
      <c r="B29" s="89" t="s">
        <v>23</v>
      </c>
      <c r="C29" s="124" t="s">
        <v>459</v>
      </c>
      <c r="D29" s="78" t="s">
        <v>29</v>
      </c>
      <c r="E29" s="86">
        <f>0.15*6.4</f>
        <v>0.96</v>
      </c>
      <c r="F29" s="80"/>
      <c r="G29" s="92"/>
      <c r="H29" s="82"/>
      <c r="I29" s="92"/>
      <c r="J29" s="92"/>
      <c r="K29" s="92"/>
      <c r="L29" s="83"/>
      <c r="M29" s="84"/>
      <c r="N29" s="84"/>
      <c r="O29" s="84"/>
      <c r="P29" s="84"/>
      <c r="Q29" s="84"/>
    </row>
    <row r="30" spans="1:17" x14ac:dyDescent="0.2">
      <c r="A30" s="78">
        <f>IF(COUNTBLANK(B30)=1," ",COUNTA(B$14:B30))</f>
        <v>16</v>
      </c>
      <c r="B30" s="89" t="s">
        <v>23</v>
      </c>
      <c r="C30" s="124" t="s">
        <v>460</v>
      </c>
      <c r="D30" s="78" t="s">
        <v>25</v>
      </c>
      <c r="E30" s="86">
        <v>6.4</v>
      </c>
      <c r="F30" s="80"/>
      <c r="G30" s="92"/>
      <c r="H30" s="82"/>
      <c r="I30" s="92"/>
      <c r="J30" s="92"/>
      <c r="K30" s="92"/>
      <c r="L30" s="83"/>
      <c r="M30" s="84"/>
      <c r="N30" s="84"/>
      <c r="O30" s="84"/>
      <c r="P30" s="84"/>
      <c r="Q30" s="84"/>
    </row>
    <row r="31" spans="1:17" ht="22.5" x14ac:dyDescent="0.2">
      <c r="A31" s="78">
        <f>IF(COUNTBLANK(B31)=1," ",COUNTA(B$14:B31))</f>
        <v>17</v>
      </c>
      <c r="B31" s="89" t="s">
        <v>23</v>
      </c>
      <c r="C31" s="124" t="s">
        <v>256</v>
      </c>
      <c r="D31" s="78" t="s">
        <v>29</v>
      </c>
      <c r="E31" s="86">
        <f>6.4*0.7</f>
        <v>4.4799999999999995</v>
      </c>
      <c r="F31" s="80"/>
      <c r="G31" s="92"/>
      <c r="H31" s="82"/>
      <c r="I31" s="92"/>
      <c r="J31" s="92"/>
      <c r="K31" s="92"/>
      <c r="L31" s="83"/>
      <c r="M31" s="84"/>
      <c r="N31" s="84"/>
      <c r="O31" s="84"/>
      <c r="P31" s="84"/>
      <c r="Q31" s="84"/>
    </row>
    <row r="32" spans="1:17" s="158" customFormat="1" ht="22.5" x14ac:dyDescent="0.25">
      <c r="A32" s="78">
        <f>IF(COUNTBLANK(B32)=1," ",COUNTA(B$14:B32))</f>
        <v>18</v>
      </c>
      <c r="B32" s="89" t="s">
        <v>23</v>
      </c>
      <c r="C32" s="124" t="s">
        <v>257</v>
      </c>
      <c r="D32" s="78" t="s">
        <v>25</v>
      </c>
      <c r="E32" s="86">
        <v>6.4</v>
      </c>
      <c r="F32" s="92"/>
      <c r="G32" s="92"/>
      <c r="H32" s="82"/>
      <c r="I32" s="92"/>
      <c r="J32" s="92"/>
      <c r="K32" s="92"/>
      <c r="L32" s="83"/>
      <c r="M32" s="84"/>
      <c r="N32" s="84"/>
      <c r="O32" s="84"/>
      <c r="P32" s="84"/>
      <c r="Q32" s="84"/>
    </row>
    <row r="33" spans="1:17" s="158" customFormat="1" x14ac:dyDescent="0.25">
      <c r="A33" s="78">
        <f>IF(COUNTBLANK(B33)=1," ",COUNTA(B$14:B33))</f>
        <v>19</v>
      </c>
      <c r="B33" s="89" t="s">
        <v>23</v>
      </c>
      <c r="C33" s="124" t="s">
        <v>258</v>
      </c>
      <c r="D33" s="78" t="s">
        <v>25</v>
      </c>
      <c r="E33" s="86">
        <v>6.4</v>
      </c>
      <c r="F33" s="92"/>
      <c r="G33" s="92"/>
      <c r="H33" s="82"/>
      <c r="I33" s="92"/>
      <c r="J33" s="92"/>
      <c r="K33" s="92"/>
      <c r="L33" s="83"/>
      <c r="M33" s="84"/>
      <c r="N33" s="84"/>
      <c r="O33" s="84"/>
      <c r="P33" s="84"/>
      <c r="Q33" s="84"/>
    </row>
    <row r="34" spans="1:17" s="158" customFormat="1" ht="33.75" x14ac:dyDescent="0.2">
      <c r="A34" s="78">
        <f>IF(COUNTBLANK(B34)=1," ",COUNTA(B$14:B34))</f>
        <v>20</v>
      </c>
      <c r="B34" s="89" t="s">
        <v>23</v>
      </c>
      <c r="C34" s="80" t="s">
        <v>259</v>
      </c>
      <c r="D34" s="155" t="s">
        <v>29</v>
      </c>
      <c r="E34" s="156">
        <f>2.3*3*2</f>
        <v>13.799999999999999</v>
      </c>
      <c r="F34" s="92"/>
      <c r="G34" s="92"/>
      <c r="H34" s="82"/>
      <c r="I34" s="92"/>
      <c r="J34" s="92"/>
      <c r="K34" s="92"/>
      <c r="L34" s="83"/>
      <c r="M34" s="84"/>
      <c r="N34" s="84"/>
      <c r="O34" s="84"/>
      <c r="P34" s="84"/>
      <c r="Q34" s="84"/>
    </row>
    <row r="35" spans="1:17" ht="22.5" x14ac:dyDescent="0.2">
      <c r="B35" s="69"/>
      <c r="C35" s="318" t="s">
        <v>156</v>
      </c>
      <c r="D35" s="319"/>
      <c r="E35" s="320"/>
      <c r="F35" s="320"/>
      <c r="G35" s="321"/>
      <c r="H35" s="321"/>
      <c r="I35" s="321"/>
      <c r="J35" s="321"/>
      <c r="K35" s="321"/>
      <c r="L35" s="69"/>
      <c r="M35" s="322"/>
      <c r="N35" s="322"/>
      <c r="O35" s="322"/>
      <c r="P35" s="322"/>
      <c r="Q35" s="322"/>
    </row>
    <row r="36" spans="1:17" x14ac:dyDescent="0.2">
      <c r="A36" s="68"/>
      <c r="B36" s="69"/>
      <c r="C36" s="323"/>
      <c r="D36" s="323"/>
      <c r="E36" s="323"/>
      <c r="F36" s="323"/>
      <c r="G36" s="323"/>
      <c r="H36" s="323"/>
      <c r="I36" s="69"/>
      <c r="J36" s="69"/>
      <c r="K36" s="69"/>
      <c r="L36" s="69"/>
      <c r="M36" s="69"/>
      <c r="N36" s="69"/>
      <c r="O36" s="69"/>
      <c r="P36" s="69"/>
      <c r="Q36" s="69"/>
    </row>
    <row r="37" spans="1:17" x14ac:dyDescent="0.2">
      <c r="A37" s="69"/>
      <c r="B37" s="69"/>
      <c r="C37" s="324" t="str">
        <f>[2]KPDV!$B$31</f>
        <v>Sastādīja:</v>
      </c>
      <c r="D37" s="325"/>
      <c r="E37" s="326"/>
      <c r="F37" s="326"/>
      <c r="G37" s="323"/>
      <c r="H37" s="323"/>
      <c r="I37" s="69"/>
      <c r="J37" s="69"/>
      <c r="K37" s="69"/>
      <c r="L37" s="69"/>
      <c r="M37" s="69"/>
      <c r="N37" s="69"/>
      <c r="O37" s="69"/>
      <c r="P37" s="69"/>
      <c r="Q37" s="69"/>
    </row>
    <row r="38" spans="1:17" x14ac:dyDescent="0.2">
      <c r="A38" s="69"/>
      <c r="B38" s="69"/>
      <c r="C38" s="324" t="str">
        <f>[2]KPDV!$B$32</f>
        <v>Tāme sastādīta</v>
      </c>
      <c r="D38" s="327"/>
      <c r="E38" s="314"/>
      <c r="F38" s="314"/>
      <c r="G38" s="323"/>
      <c r="H38" s="323"/>
      <c r="I38" s="69"/>
      <c r="J38" s="69"/>
      <c r="K38" s="69"/>
      <c r="L38" s="69"/>
      <c r="M38" s="69"/>
      <c r="N38" s="69"/>
      <c r="O38" s="69"/>
      <c r="P38" s="69"/>
      <c r="Q38" s="69"/>
    </row>
    <row r="39" spans="1:17" x14ac:dyDescent="0.2">
      <c r="A39" s="69"/>
      <c r="B39" s="69"/>
      <c r="C39" s="324"/>
      <c r="D39" s="327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69"/>
    </row>
    <row r="40" spans="1:17" x14ac:dyDescent="0.2">
      <c r="A40" s="69"/>
      <c r="B40" s="69"/>
      <c r="C40" s="324" t="str">
        <f>[2]KPDV!$B$34</f>
        <v>Pārbaudīja:</v>
      </c>
      <c r="D40" s="325"/>
      <c r="E40" s="326"/>
      <c r="F40" s="326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69"/>
    </row>
    <row r="41" spans="1:17" x14ac:dyDescent="0.2">
      <c r="A41" s="69"/>
      <c r="B41" s="69"/>
      <c r="C41" s="324" t="str">
        <f>[2]KPDV!$B$35</f>
        <v>Sertifikāta Nr.:</v>
      </c>
      <c r="D41" s="325"/>
      <c r="E41" s="328"/>
      <c r="F41" s="328"/>
      <c r="G41" s="327"/>
      <c r="H41" s="327"/>
      <c r="I41" s="327"/>
      <c r="J41" s="327"/>
      <c r="K41" s="327"/>
      <c r="L41" s="327"/>
      <c r="M41" s="329"/>
      <c r="N41" s="327"/>
      <c r="O41" s="329"/>
      <c r="P41" s="327"/>
      <c r="Q41" s="69"/>
    </row>
    <row r="42" spans="1:17" x14ac:dyDescent="0.2">
      <c r="A42" s="69"/>
      <c r="B42" s="69"/>
      <c r="C42" s="69"/>
      <c r="D42" s="69"/>
      <c r="E42" s="69"/>
      <c r="F42" s="69"/>
      <c r="G42" s="69"/>
      <c r="H42" s="69"/>
      <c r="I42" s="134"/>
      <c r="J42" s="135"/>
      <c r="K42" s="135"/>
      <c r="L42" s="69"/>
      <c r="M42" s="69"/>
      <c r="N42" s="69"/>
      <c r="O42" s="135"/>
      <c r="P42" s="135"/>
      <c r="Q42" s="69"/>
    </row>
    <row r="43" spans="1:17" ht="12.75" x14ac:dyDescent="0.2">
      <c r="A43" s="69"/>
      <c r="B43" s="330" t="s">
        <v>400</v>
      </c>
      <c r="C43" s="331"/>
      <c r="D43" s="332"/>
      <c r="E43" s="332"/>
      <c r="F43" s="332"/>
      <c r="G43" s="333"/>
      <c r="H43" s="332"/>
      <c r="I43" s="332"/>
      <c r="J43" s="332"/>
      <c r="K43" s="332"/>
      <c r="L43" s="332"/>
      <c r="M43" s="332"/>
      <c r="N43" s="332"/>
      <c r="O43" s="332"/>
      <c r="P43" s="332"/>
      <c r="Q43" s="332"/>
    </row>
    <row r="44" spans="1:17" x14ac:dyDescent="0.2">
      <c r="A44" s="69"/>
      <c r="B44" s="334" t="s">
        <v>401</v>
      </c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</row>
    <row r="45" spans="1:17" x14ac:dyDescent="0.2">
      <c r="A45" s="69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</row>
    <row r="46" spans="1:17" x14ac:dyDescent="0.2">
      <c r="A46" s="69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</row>
    <row r="47" spans="1:17" x14ac:dyDescent="0.2">
      <c r="A47" s="69"/>
      <c r="B47" s="69"/>
      <c r="C47" s="69"/>
      <c r="D47" s="69"/>
      <c r="E47" s="69"/>
    </row>
    <row r="48" spans="1:17" x14ac:dyDescent="0.2">
      <c r="A48" s="69"/>
      <c r="B48" s="69"/>
      <c r="C48" s="69"/>
      <c r="D48" s="69"/>
      <c r="E48" s="69"/>
    </row>
    <row r="49" spans="1:5" x14ac:dyDescent="0.2">
      <c r="A49" s="69"/>
      <c r="B49" s="69"/>
      <c r="C49" s="69"/>
      <c r="D49" s="69"/>
      <c r="E49" s="69"/>
    </row>
  </sheetData>
  <autoFilter ref="A12:ALW34" xr:uid="{00000000-0009-0000-0000-000008000000}"/>
  <mergeCells count="12">
    <mergeCell ref="B44:Q46"/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.7" right="0.7" top="0.75" bottom="0.75" header="0.3" footer="0.3"/>
  <pageSetup paperSize="9" scale="79" firstPageNumber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163"/>
  <sheetViews>
    <sheetView tabSelected="1" view="pageBreakPreview" zoomScaleNormal="85" zoomScaleSheetLayoutView="100" workbookViewId="0">
      <selection activeCell="G7" sqref="G7"/>
    </sheetView>
  </sheetViews>
  <sheetFormatPr defaultColWidth="9" defaultRowHeight="11.25" x14ac:dyDescent="0.2"/>
  <cols>
    <col min="1" max="2" width="5.140625" style="66"/>
    <col min="3" max="3" width="43" style="129" customWidth="1"/>
    <col min="4" max="4" width="3.5703125" style="66" customWidth="1"/>
    <col min="5" max="5" width="9.140625" style="66" hidden="1" customWidth="1"/>
    <col min="6" max="6" width="5.42578125" style="66"/>
    <col min="7" max="8" width="9" style="66" customWidth="1"/>
    <col min="9" max="9" width="9" style="151" customWidth="1"/>
    <col min="10" max="17" width="9" style="66" customWidth="1"/>
    <col min="18" max="997" width="8.28515625" style="66"/>
    <col min="998" max="16384" width="9" style="66"/>
  </cols>
  <sheetData>
    <row r="1" spans="1:17" s="61" customFormat="1" x14ac:dyDescent="0.25">
      <c r="B1" s="108"/>
      <c r="C1" s="108"/>
      <c r="D1" s="108"/>
      <c r="E1" s="108" t="s">
        <v>11</v>
      </c>
      <c r="F1" s="61">
        <f>KPDV!A20</f>
        <v>8</v>
      </c>
      <c r="I1" s="130"/>
      <c r="J1" s="131"/>
      <c r="K1" s="131"/>
    </row>
    <row r="2" spans="1:17" s="63" customFormat="1" x14ac:dyDescent="0.25">
      <c r="A2" s="109"/>
      <c r="B2" s="109"/>
      <c r="C2" s="109" t="s">
        <v>485</v>
      </c>
      <c r="D2" s="109"/>
      <c r="E2" s="109"/>
      <c r="I2" s="132"/>
      <c r="J2" s="133"/>
      <c r="K2" s="133"/>
    </row>
    <row r="3" spans="1:17" s="63" customFormat="1" x14ac:dyDescent="0.25">
      <c r="A3" s="63" t="str">
        <f>KPDV!A3</f>
        <v>Būves nosaukums: Daudzdzīvokļu dzīvojamās mājas fasādes vienkāršotā atjaunošana</v>
      </c>
      <c r="I3" s="132"/>
      <c r="J3" s="133"/>
      <c r="K3" s="133"/>
    </row>
    <row r="4" spans="1:17" s="63" customFormat="1" x14ac:dyDescent="0.25">
      <c r="A4" s="63" t="str">
        <f>KPDV!A4</f>
        <v>Objekta nosaukums: Dzīvojamas ēkas fasādes vienkāršota atjaunošana</v>
      </c>
      <c r="I4" s="132"/>
      <c r="J4" s="133"/>
      <c r="K4" s="133"/>
    </row>
    <row r="5" spans="1:17" s="69" customFormat="1" x14ac:dyDescent="0.25">
      <c r="A5" s="69" t="str">
        <f>KPDV!A5</f>
        <v>Objekta adrese: Eduarda Tisē ielā 50, Liepājā</v>
      </c>
      <c r="B5" s="67"/>
      <c r="C5" s="67"/>
      <c r="D5" s="67"/>
      <c r="E5" s="67"/>
      <c r="I5" s="134"/>
      <c r="J5" s="135"/>
      <c r="K5" s="135"/>
      <c r="O5" s="135"/>
      <c r="P5" s="135"/>
    </row>
    <row r="6" spans="1:17" s="64" customFormat="1" x14ac:dyDescent="0.25">
      <c r="A6" s="69" t="str">
        <f>KPDV!A6</f>
        <v>Pasūtījuma Nr.EA-15-17</v>
      </c>
      <c r="B6" s="67"/>
      <c r="C6" s="67"/>
      <c r="D6" s="67"/>
      <c r="E6" s="67"/>
      <c r="F6" s="69"/>
      <c r="G6" s="69"/>
      <c r="H6" s="69"/>
      <c r="I6" s="134"/>
      <c r="J6" s="135"/>
      <c r="K6" s="135"/>
      <c r="L6" s="69"/>
      <c r="M6" s="69"/>
      <c r="N6" s="69"/>
      <c r="O6" s="135"/>
      <c r="P6" s="135"/>
    </row>
    <row r="7" spans="1:17" x14ac:dyDescent="0.2">
      <c r="A7" s="69" t="str">
        <f>KPDV!A7</f>
        <v>Pasūtītājs: SIA "Liepājas namu apsaimniekotājs"</v>
      </c>
      <c r="B7" s="67"/>
      <c r="C7" s="67"/>
      <c r="D7" s="67"/>
      <c r="E7" s="67"/>
      <c r="F7" s="69"/>
      <c r="G7" s="69"/>
      <c r="H7" s="69"/>
      <c r="I7" s="134"/>
      <c r="J7" s="135"/>
      <c r="K7" s="135"/>
      <c r="L7" s="69"/>
      <c r="M7" s="69"/>
      <c r="N7" s="69"/>
      <c r="O7" s="135"/>
      <c r="P7" s="136"/>
    </row>
    <row r="8" spans="1:17" x14ac:dyDescent="0.2">
      <c r="A8" s="69"/>
      <c r="B8" s="67"/>
      <c r="C8" s="111" t="str">
        <f>AR!D8</f>
        <v>Tāme sastādīta .gada tirgus cenās, pamatojoties uz:</v>
      </c>
      <c r="D8" s="137" t="s">
        <v>71</v>
      </c>
      <c r="E8" s="138"/>
      <c r="F8" s="112" t="s">
        <v>13</v>
      </c>
      <c r="G8" s="69"/>
      <c r="H8" s="69"/>
      <c r="I8" s="134"/>
      <c r="J8" s="135"/>
      <c r="K8" s="135"/>
      <c r="L8" s="69"/>
      <c r="M8" s="69"/>
      <c r="N8" s="69"/>
      <c r="O8" s="135"/>
      <c r="P8" s="136"/>
    </row>
    <row r="9" spans="1:17" x14ac:dyDescent="0.2">
      <c r="A9" s="110"/>
      <c r="B9" s="110"/>
      <c r="C9" s="110"/>
      <c r="D9" s="110"/>
      <c r="E9" s="110"/>
      <c r="F9" s="69"/>
      <c r="G9" s="69"/>
      <c r="H9" s="69"/>
      <c r="I9" s="134"/>
      <c r="J9" s="135"/>
      <c r="K9" s="135"/>
      <c r="L9" s="69"/>
      <c r="M9" s="69"/>
      <c r="N9" s="69"/>
      <c r="O9" s="61" t="str">
        <f>AR!A9</f>
        <v>Tāmes izmaksas euro:</v>
      </c>
      <c r="P9" s="113">
        <f>Q151</f>
        <v>0</v>
      </c>
    </row>
    <row r="10" spans="1:17" x14ac:dyDescent="0.2">
      <c r="B10" s="139"/>
      <c r="C10" s="139"/>
      <c r="D10" s="139"/>
      <c r="E10" s="139"/>
      <c r="F10" s="69"/>
      <c r="G10" s="69"/>
      <c r="H10" s="69"/>
      <c r="I10" s="134"/>
      <c r="J10" s="135"/>
      <c r="K10" s="135"/>
      <c r="L10" s="69"/>
      <c r="M10" s="69"/>
      <c r="N10" s="69"/>
      <c r="O10" s="135"/>
      <c r="P10" s="61" t="str">
        <f>KPDV!B10</f>
        <v>Tāme sastādīta .gada</v>
      </c>
    </row>
    <row r="11" spans="1:17" s="63" customFormat="1" x14ac:dyDescent="0.25">
      <c r="A11" s="240" t="s">
        <v>15</v>
      </c>
      <c r="B11" s="240" t="s">
        <v>16</v>
      </c>
      <c r="C11" s="241" t="s">
        <v>17</v>
      </c>
      <c r="D11" s="242" t="s">
        <v>18</v>
      </c>
      <c r="E11" s="240" t="s">
        <v>19</v>
      </c>
      <c r="F11" s="240"/>
      <c r="G11" s="243" t="s">
        <v>20</v>
      </c>
      <c r="H11" s="243"/>
      <c r="I11" s="243"/>
      <c r="J11" s="243"/>
      <c r="K11" s="243"/>
      <c r="L11" s="243"/>
      <c r="M11" s="243" t="s">
        <v>21</v>
      </c>
      <c r="N11" s="243"/>
      <c r="O11" s="243"/>
      <c r="P11" s="243"/>
      <c r="Q11" s="243"/>
    </row>
    <row r="12" spans="1:17" ht="55.5" x14ac:dyDescent="0.2">
      <c r="A12" s="240"/>
      <c r="B12" s="240"/>
      <c r="C12" s="241"/>
      <c r="D12" s="242"/>
      <c r="E12" s="240"/>
      <c r="F12" s="240"/>
      <c r="G12" s="335" t="s">
        <v>403</v>
      </c>
      <c r="H12" s="336" t="s">
        <v>404</v>
      </c>
      <c r="I12" s="336" t="s">
        <v>405</v>
      </c>
      <c r="J12" s="336" t="s">
        <v>406</v>
      </c>
      <c r="K12" s="336" t="s">
        <v>407</v>
      </c>
      <c r="L12" s="337" t="s">
        <v>365</v>
      </c>
      <c r="M12" s="335" t="s">
        <v>22</v>
      </c>
      <c r="N12" s="336" t="s">
        <v>405</v>
      </c>
      <c r="O12" s="336" t="s">
        <v>406</v>
      </c>
      <c r="P12" s="336" t="s">
        <v>407</v>
      </c>
      <c r="Q12" s="337" t="s">
        <v>408</v>
      </c>
    </row>
    <row r="13" spans="1:17" x14ac:dyDescent="0.2">
      <c r="A13" s="74">
        <v>1</v>
      </c>
      <c r="B13" s="74">
        <f>A13+1</f>
        <v>2</v>
      </c>
      <c r="C13" s="87">
        <f>B13+1</f>
        <v>3</v>
      </c>
      <c r="D13" s="74">
        <f>C13+1</f>
        <v>4</v>
      </c>
      <c r="E13" s="243">
        <f>D13+1</f>
        <v>5</v>
      </c>
      <c r="F13" s="243"/>
      <c r="G13" s="74">
        <f>E13+1</f>
        <v>6</v>
      </c>
      <c r="H13" s="74">
        <f t="shared" ref="H13:Q13" si="0">G13+1</f>
        <v>7</v>
      </c>
      <c r="I13" s="74">
        <f t="shared" si="0"/>
        <v>8</v>
      </c>
      <c r="J13" s="74">
        <f t="shared" si="0"/>
        <v>9</v>
      </c>
      <c r="K13" s="74">
        <f t="shared" si="0"/>
        <v>10</v>
      </c>
      <c r="L13" s="74">
        <f t="shared" si="0"/>
        <v>11</v>
      </c>
      <c r="M13" s="74">
        <f t="shared" si="0"/>
        <v>12</v>
      </c>
      <c r="N13" s="74">
        <f t="shared" si="0"/>
        <v>13</v>
      </c>
      <c r="O13" s="74">
        <f t="shared" si="0"/>
        <v>14</v>
      </c>
      <c r="P13" s="74">
        <f t="shared" si="0"/>
        <v>15</v>
      </c>
      <c r="Q13" s="74">
        <f t="shared" si="0"/>
        <v>16</v>
      </c>
    </row>
    <row r="14" spans="1:17" ht="31.15" customHeight="1" x14ac:dyDescent="0.2">
      <c r="A14" s="256" t="s">
        <v>317</v>
      </c>
      <c r="B14" s="257"/>
      <c r="C14" s="257"/>
      <c r="D14" s="257"/>
      <c r="E14" s="257"/>
      <c r="F14" s="258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s="69" customFormat="1" x14ac:dyDescent="0.25">
      <c r="A15" s="74"/>
      <c r="B15" s="74"/>
      <c r="C15" s="76" t="s">
        <v>72</v>
      </c>
      <c r="D15" s="74"/>
      <c r="E15" s="74"/>
      <c r="F15" s="74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</row>
    <row r="16" spans="1:17" x14ac:dyDescent="0.2">
      <c r="A16" s="78">
        <f>IF(COUNTBLANK(B16)=1," ",COUNTA(B$15:B16))</f>
        <v>1</v>
      </c>
      <c r="B16" s="78">
        <v>1</v>
      </c>
      <c r="C16" s="125" t="s">
        <v>131</v>
      </c>
      <c r="D16" s="74" t="s">
        <v>278</v>
      </c>
      <c r="E16" s="74"/>
      <c r="F16" s="74">
        <v>1</v>
      </c>
      <c r="G16" s="81"/>
      <c r="H16" s="81"/>
      <c r="I16" s="81"/>
      <c r="J16" s="141"/>
      <c r="K16" s="142"/>
      <c r="L16" s="142"/>
      <c r="M16" s="81"/>
      <c r="N16" s="81"/>
      <c r="O16" s="81"/>
      <c r="P16" s="81"/>
      <c r="Q16" s="81"/>
    </row>
    <row r="17" spans="1:17" ht="22.5" x14ac:dyDescent="0.2">
      <c r="A17" s="78">
        <f>IF(COUNTBLANK(B17)=1," ",COUNTA(B$15:B17))</f>
        <v>2</v>
      </c>
      <c r="B17" s="78">
        <v>2</v>
      </c>
      <c r="C17" s="125" t="s">
        <v>132</v>
      </c>
      <c r="D17" s="74" t="s">
        <v>25</v>
      </c>
      <c r="E17" s="74"/>
      <c r="F17" s="74">
        <v>12</v>
      </c>
      <c r="G17" s="81"/>
      <c r="H17" s="81"/>
      <c r="I17" s="81"/>
      <c r="J17" s="141"/>
      <c r="K17" s="142"/>
      <c r="L17" s="142"/>
      <c r="M17" s="81"/>
      <c r="N17" s="81"/>
      <c r="O17" s="81"/>
      <c r="P17" s="81"/>
      <c r="Q17" s="81"/>
    </row>
    <row r="18" spans="1:17" s="63" customFormat="1" ht="22.5" x14ac:dyDescent="0.25">
      <c r="A18" s="78">
        <f>IF(COUNTBLANK(B18)=1," ",COUNTA(B$15:B18))</f>
        <v>3</v>
      </c>
      <c r="B18" s="78">
        <v>3</v>
      </c>
      <c r="C18" s="125" t="s">
        <v>133</v>
      </c>
      <c r="D18" s="74" t="s">
        <v>25</v>
      </c>
      <c r="E18" s="74"/>
      <c r="F18" s="74">
        <v>88</v>
      </c>
      <c r="G18" s="81"/>
      <c r="H18" s="81"/>
      <c r="I18" s="81"/>
      <c r="J18" s="141"/>
      <c r="K18" s="142"/>
      <c r="L18" s="142"/>
      <c r="M18" s="81"/>
      <c r="N18" s="81"/>
      <c r="O18" s="81"/>
      <c r="P18" s="81"/>
      <c r="Q18" s="81"/>
    </row>
    <row r="19" spans="1:17" s="63" customFormat="1" ht="22.5" x14ac:dyDescent="0.25">
      <c r="A19" s="78">
        <f>IF(COUNTBLANK(B19)=1," ",COUNTA(B$15:B19))</f>
        <v>4</v>
      </c>
      <c r="B19" s="78">
        <v>4</v>
      </c>
      <c r="C19" s="125" t="s">
        <v>134</v>
      </c>
      <c r="D19" s="74" t="s">
        <v>25</v>
      </c>
      <c r="E19" s="74"/>
      <c r="F19" s="74">
        <v>24</v>
      </c>
      <c r="G19" s="81"/>
      <c r="H19" s="81"/>
      <c r="I19" s="81"/>
      <c r="J19" s="141"/>
      <c r="K19" s="142"/>
      <c r="L19" s="142"/>
      <c r="M19" s="81"/>
      <c r="N19" s="81"/>
      <c r="O19" s="81"/>
      <c r="P19" s="81"/>
      <c r="Q19" s="81"/>
    </row>
    <row r="20" spans="1:17" ht="22.5" x14ac:dyDescent="0.2">
      <c r="A20" s="78">
        <f>IF(COUNTBLANK(B20)=1," ",COUNTA(B$15:B20))</f>
        <v>5</v>
      </c>
      <c r="B20" s="78">
        <v>5</v>
      </c>
      <c r="C20" s="125" t="s">
        <v>135</v>
      </c>
      <c r="D20" s="74" t="s">
        <v>25</v>
      </c>
      <c r="E20" s="74"/>
      <c r="F20" s="74">
        <v>12</v>
      </c>
      <c r="G20" s="81"/>
      <c r="H20" s="81"/>
      <c r="I20" s="81"/>
      <c r="J20" s="141"/>
      <c r="K20" s="142"/>
      <c r="L20" s="142"/>
      <c r="M20" s="81"/>
      <c r="N20" s="81"/>
      <c r="O20" s="81"/>
      <c r="P20" s="81"/>
      <c r="Q20" s="81"/>
    </row>
    <row r="21" spans="1:17" ht="22.5" x14ac:dyDescent="0.2">
      <c r="A21" s="78">
        <f>IF(COUNTBLANK(B21)=1," ",COUNTA(B$15:B21))</f>
        <v>6</v>
      </c>
      <c r="B21" s="78">
        <v>6</v>
      </c>
      <c r="C21" s="125" t="s">
        <v>136</v>
      </c>
      <c r="D21" s="74" t="s">
        <v>25</v>
      </c>
      <c r="E21" s="74"/>
      <c r="F21" s="74">
        <v>26</v>
      </c>
      <c r="G21" s="81"/>
      <c r="H21" s="81"/>
      <c r="I21" s="81"/>
      <c r="J21" s="141"/>
      <c r="K21" s="142"/>
      <c r="L21" s="142"/>
      <c r="M21" s="81"/>
      <c r="N21" s="81"/>
      <c r="O21" s="81"/>
      <c r="P21" s="81"/>
      <c r="Q21" s="81"/>
    </row>
    <row r="22" spans="1:17" x14ac:dyDescent="0.2">
      <c r="A22" s="78">
        <f>IF(COUNTBLANK(B22)=1," ",COUNTA(B$15:B22))</f>
        <v>7</v>
      </c>
      <c r="B22" s="78">
        <v>7</v>
      </c>
      <c r="C22" s="73" t="s">
        <v>137</v>
      </c>
      <c r="D22" s="74" t="s">
        <v>27</v>
      </c>
      <c r="E22" s="74"/>
      <c r="F22" s="74">
        <v>2</v>
      </c>
      <c r="G22" s="81"/>
      <c r="H22" s="81"/>
      <c r="I22" s="81"/>
      <c r="J22" s="141"/>
      <c r="K22" s="142"/>
      <c r="L22" s="142"/>
      <c r="M22" s="81"/>
      <c r="N22" s="81"/>
      <c r="O22" s="81"/>
      <c r="P22" s="81"/>
      <c r="Q22" s="81"/>
    </row>
    <row r="23" spans="1:17" x14ac:dyDescent="0.2">
      <c r="A23" s="78">
        <f>IF(COUNTBLANK(B23)=1," ",COUNTA(B$15:B23))</f>
        <v>8</v>
      </c>
      <c r="B23" s="78">
        <v>8</v>
      </c>
      <c r="C23" s="73" t="s">
        <v>138</v>
      </c>
      <c r="D23" s="234" t="s">
        <v>27</v>
      </c>
      <c r="E23" s="74"/>
      <c r="F23" s="74">
        <v>4</v>
      </c>
      <c r="G23" s="81"/>
      <c r="H23" s="81"/>
      <c r="I23" s="81"/>
      <c r="J23" s="141"/>
      <c r="K23" s="142"/>
      <c r="L23" s="142"/>
      <c r="M23" s="81"/>
      <c r="N23" s="81"/>
      <c r="O23" s="81"/>
      <c r="P23" s="81"/>
      <c r="Q23" s="81"/>
    </row>
    <row r="24" spans="1:17" x14ac:dyDescent="0.2">
      <c r="A24" s="78">
        <f>IF(COUNTBLANK(B24)=1," ",COUNTA(B$15:B24))</f>
        <v>9</v>
      </c>
      <c r="B24" s="78">
        <v>9</v>
      </c>
      <c r="C24" s="73" t="s">
        <v>139</v>
      </c>
      <c r="D24" s="234" t="s">
        <v>27</v>
      </c>
      <c r="E24" s="74"/>
      <c r="F24" s="74">
        <v>4</v>
      </c>
      <c r="G24" s="81"/>
      <c r="H24" s="81"/>
      <c r="I24" s="81"/>
      <c r="J24" s="141"/>
      <c r="K24" s="142"/>
      <c r="L24" s="142"/>
      <c r="M24" s="81"/>
      <c r="N24" s="81"/>
      <c r="O24" s="81"/>
      <c r="P24" s="81"/>
      <c r="Q24" s="81"/>
    </row>
    <row r="25" spans="1:17" ht="33.75" x14ac:dyDescent="0.2">
      <c r="A25" s="78">
        <f>IF(COUNTBLANK(B25)=1," ",COUNTA(B$15:B25))</f>
        <v>10</v>
      </c>
      <c r="B25" s="78">
        <v>10</v>
      </c>
      <c r="C25" s="125" t="s">
        <v>461</v>
      </c>
      <c r="D25" s="234" t="s">
        <v>27</v>
      </c>
      <c r="E25" s="74"/>
      <c r="F25" s="74">
        <v>2</v>
      </c>
      <c r="G25" s="81"/>
      <c r="H25" s="81"/>
      <c r="I25" s="81"/>
      <c r="J25" s="141"/>
      <c r="K25" s="142"/>
      <c r="L25" s="142"/>
      <c r="M25" s="81"/>
      <c r="N25" s="81"/>
      <c r="O25" s="81"/>
      <c r="P25" s="81"/>
      <c r="Q25" s="81"/>
    </row>
    <row r="26" spans="1:17" ht="33.75" x14ac:dyDescent="0.2">
      <c r="A26" s="78">
        <f>IF(COUNTBLANK(B26)=1," ",COUNTA(B$15:B26))</f>
        <v>11</v>
      </c>
      <c r="B26" s="78">
        <v>11</v>
      </c>
      <c r="C26" s="125" t="s">
        <v>462</v>
      </c>
      <c r="D26" s="234" t="s">
        <v>27</v>
      </c>
      <c r="E26" s="74"/>
      <c r="F26" s="74">
        <v>2</v>
      </c>
      <c r="G26" s="81"/>
      <c r="H26" s="81"/>
      <c r="I26" s="81"/>
      <c r="J26" s="141"/>
      <c r="K26" s="142"/>
      <c r="L26" s="142"/>
      <c r="M26" s="81"/>
      <c r="N26" s="81"/>
      <c r="O26" s="81"/>
      <c r="P26" s="81"/>
      <c r="Q26" s="81"/>
    </row>
    <row r="27" spans="1:17" ht="22.5" x14ac:dyDescent="0.2">
      <c r="A27" s="78">
        <f>IF(COUNTBLANK(B27)=1," ",COUNTA(B$15:B27))</f>
        <v>12</v>
      </c>
      <c r="B27" s="78">
        <v>12</v>
      </c>
      <c r="C27" s="125" t="s">
        <v>140</v>
      </c>
      <c r="D27" s="234" t="s">
        <v>27</v>
      </c>
      <c r="E27" s="74"/>
      <c r="F27" s="74">
        <v>4</v>
      </c>
      <c r="G27" s="81"/>
      <c r="H27" s="81"/>
      <c r="I27" s="81"/>
      <c r="J27" s="141"/>
      <c r="K27" s="142"/>
      <c r="L27" s="142"/>
      <c r="M27" s="81"/>
      <c r="N27" s="81"/>
      <c r="O27" s="81"/>
      <c r="P27" s="81"/>
      <c r="Q27" s="81"/>
    </row>
    <row r="28" spans="1:17" s="63" customFormat="1" ht="22.5" x14ac:dyDescent="0.25">
      <c r="A28" s="78">
        <f>IF(COUNTBLANK(B28)=1," ",COUNTA(B$15:B28))</f>
        <v>13</v>
      </c>
      <c r="B28" s="78">
        <v>13</v>
      </c>
      <c r="C28" s="125" t="s">
        <v>141</v>
      </c>
      <c r="D28" s="234" t="s">
        <v>27</v>
      </c>
      <c r="E28" s="74"/>
      <c r="F28" s="74">
        <v>4</v>
      </c>
      <c r="G28" s="81"/>
      <c r="H28" s="81"/>
      <c r="I28" s="81"/>
      <c r="J28" s="141"/>
      <c r="K28" s="142"/>
      <c r="L28" s="142"/>
      <c r="M28" s="81"/>
      <c r="N28" s="81"/>
      <c r="O28" s="81"/>
      <c r="P28" s="81"/>
      <c r="Q28" s="81"/>
    </row>
    <row r="29" spans="1:17" s="63" customFormat="1" ht="22.5" x14ac:dyDescent="0.25">
      <c r="A29" s="78">
        <f>IF(COUNTBLANK(B29)=1," ",COUNTA(B$15:B29))</f>
        <v>14</v>
      </c>
      <c r="B29" s="78">
        <v>14</v>
      </c>
      <c r="C29" s="125" t="s">
        <v>142</v>
      </c>
      <c r="D29" s="234" t="s">
        <v>27</v>
      </c>
      <c r="E29" s="74"/>
      <c r="F29" s="74">
        <v>4</v>
      </c>
      <c r="G29" s="81"/>
      <c r="H29" s="81"/>
      <c r="I29" s="81"/>
      <c r="J29" s="141"/>
      <c r="K29" s="142"/>
      <c r="L29" s="142"/>
      <c r="M29" s="81"/>
      <c r="N29" s="81"/>
      <c r="O29" s="81"/>
      <c r="P29" s="81"/>
      <c r="Q29" s="81"/>
    </row>
    <row r="30" spans="1:17" s="63" customFormat="1" ht="22.5" x14ac:dyDescent="0.25">
      <c r="A30" s="78">
        <f>IF(COUNTBLANK(B30)=1," ",COUNTA(B$15:B30))</f>
        <v>15</v>
      </c>
      <c r="B30" s="78">
        <v>15</v>
      </c>
      <c r="C30" s="125" t="s">
        <v>143</v>
      </c>
      <c r="D30" s="234" t="s">
        <v>27</v>
      </c>
      <c r="E30" s="74"/>
      <c r="F30" s="74">
        <v>4</v>
      </c>
      <c r="G30" s="81"/>
      <c r="H30" s="81"/>
      <c r="I30" s="81"/>
      <c r="J30" s="141"/>
      <c r="K30" s="142"/>
      <c r="L30" s="142"/>
      <c r="M30" s="81"/>
      <c r="N30" s="81"/>
      <c r="O30" s="81"/>
      <c r="P30" s="81"/>
      <c r="Q30" s="81"/>
    </row>
    <row r="31" spans="1:17" s="63" customFormat="1" x14ac:dyDescent="0.25">
      <c r="A31" s="78">
        <f>IF(COUNTBLANK(B31)=1," ",COUNTA(B$15:B31))</f>
        <v>16</v>
      </c>
      <c r="B31" s="78">
        <v>16</v>
      </c>
      <c r="C31" s="125" t="s">
        <v>144</v>
      </c>
      <c r="D31" s="234" t="s">
        <v>27</v>
      </c>
      <c r="E31" s="74"/>
      <c r="F31" s="74">
        <v>4</v>
      </c>
      <c r="G31" s="81"/>
      <c r="H31" s="81"/>
      <c r="I31" s="81"/>
      <c r="J31" s="141"/>
      <c r="K31" s="142"/>
      <c r="L31" s="142"/>
      <c r="M31" s="81"/>
      <c r="N31" s="81"/>
      <c r="O31" s="81"/>
      <c r="P31" s="81"/>
      <c r="Q31" s="81"/>
    </row>
    <row r="32" spans="1:17" s="63" customFormat="1" x14ac:dyDescent="0.25">
      <c r="A32" s="78">
        <f>IF(COUNTBLANK(B32)=1," ",COUNTA(B$15:B32))</f>
        <v>17</v>
      </c>
      <c r="B32" s="78">
        <v>17</v>
      </c>
      <c r="C32" s="125" t="s">
        <v>145</v>
      </c>
      <c r="D32" s="234" t="s">
        <v>27</v>
      </c>
      <c r="E32" s="74"/>
      <c r="F32" s="74">
        <v>2</v>
      </c>
      <c r="G32" s="81"/>
      <c r="H32" s="81"/>
      <c r="I32" s="81"/>
      <c r="J32" s="141"/>
      <c r="K32" s="142"/>
      <c r="L32" s="142"/>
      <c r="M32" s="81"/>
      <c r="N32" s="81"/>
      <c r="O32" s="81"/>
      <c r="P32" s="81"/>
      <c r="Q32" s="81"/>
    </row>
    <row r="33" spans="1:17" s="63" customFormat="1" x14ac:dyDescent="0.25">
      <c r="A33" s="78">
        <f>IF(COUNTBLANK(B33)=1," ",COUNTA(B$15:B33))</f>
        <v>18</v>
      </c>
      <c r="B33" s="78">
        <v>18</v>
      </c>
      <c r="C33" s="125" t="s">
        <v>146</v>
      </c>
      <c r="D33" s="234" t="s">
        <v>27</v>
      </c>
      <c r="E33" s="74"/>
      <c r="F33" s="74">
        <v>8</v>
      </c>
      <c r="G33" s="81"/>
      <c r="H33" s="81"/>
      <c r="I33" s="81"/>
      <c r="J33" s="141"/>
      <c r="K33" s="142"/>
      <c r="L33" s="142"/>
      <c r="M33" s="81"/>
      <c r="N33" s="81"/>
      <c r="O33" s="81"/>
      <c r="P33" s="81"/>
      <c r="Q33" s="81"/>
    </row>
    <row r="34" spans="1:17" s="63" customFormat="1" x14ac:dyDescent="0.25">
      <c r="A34" s="78">
        <f>IF(COUNTBLANK(B34)=1," ",COUNTA(B$15:B34))</f>
        <v>19</v>
      </c>
      <c r="B34" s="78">
        <v>19</v>
      </c>
      <c r="C34" s="125" t="s">
        <v>147</v>
      </c>
      <c r="D34" s="234" t="s">
        <v>27</v>
      </c>
      <c r="E34" s="74"/>
      <c r="F34" s="74">
        <v>4</v>
      </c>
      <c r="G34" s="81"/>
      <c r="H34" s="81"/>
      <c r="I34" s="81"/>
      <c r="J34" s="141"/>
      <c r="K34" s="142"/>
      <c r="L34" s="142"/>
      <c r="M34" s="81"/>
      <c r="N34" s="81"/>
      <c r="O34" s="81"/>
      <c r="P34" s="81"/>
      <c r="Q34" s="81"/>
    </row>
    <row r="35" spans="1:17" s="63" customFormat="1" x14ac:dyDescent="0.25">
      <c r="A35" s="78">
        <f>IF(COUNTBLANK(B35)=1," ",COUNTA(B$15:B35))</f>
        <v>20</v>
      </c>
      <c r="B35" s="78">
        <v>20</v>
      </c>
      <c r="C35" s="125" t="s">
        <v>148</v>
      </c>
      <c r="D35" s="234" t="s">
        <v>27</v>
      </c>
      <c r="E35" s="74"/>
      <c r="F35" s="74">
        <v>4</v>
      </c>
      <c r="G35" s="81"/>
      <c r="H35" s="81"/>
      <c r="I35" s="81"/>
      <c r="J35" s="141"/>
      <c r="K35" s="142"/>
      <c r="L35" s="142"/>
      <c r="M35" s="81"/>
      <c r="N35" s="81"/>
      <c r="O35" s="81"/>
      <c r="P35" s="81"/>
      <c r="Q35" s="81"/>
    </row>
    <row r="36" spans="1:17" s="63" customFormat="1" ht="22.5" x14ac:dyDescent="0.25">
      <c r="A36" s="78">
        <f>IF(COUNTBLANK(B36)=1," ",COUNTA(B$15:B36))</f>
        <v>21</v>
      </c>
      <c r="B36" s="78">
        <v>21</v>
      </c>
      <c r="C36" s="125" t="s">
        <v>149</v>
      </c>
      <c r="D36" s="234" t="s">
        <v>27</v>
      </c>
      <c r="E36" s="74"/>
      <c r="F36" s="74">
        <v>18</v>
      </c>
      <c r="G36" s="81"/>
      <c r="H36" s="81"/>
      <c r="I36" s="81"/>
      <c r="J36" s="141"/>
      <c r="K36" s="142"/>
      <c r="L36" s="142"/>
      <c r="M36" s="81"/>
      <c r="N36" s="81"/>
      <c r="O36" s="81"/>
      <c r="P36" s="81"/>
      <c r="Q36" s="81"/>
    </row>
    <row r="37" spans="1:17" x14ac:dyDescent="0.2">
      <c r="A37" s="78">
        <f>IF(COUNTBLANK(B37)=1," ",COUNTA(B$15:B37))</f>
        <v>22</v>
      </c>
      <c r="B37" s="78">
        <v>22</v>
      </c>
      <c r="C37" s="125" t="s">
        <v>150</v>
      </c>
      <c r="D37" s="234" t="s">
        <v>27</v>
      </c>
      <c r="E37" s="74"/>
      <c r="F37" s="74">
        <v>4</v>
      </c>
      <c r="G37" s="81"/>
      <c r="H37" s="81"/>
      <c r="I37" s="81"/>
      <c r="J37" s="141"/>
      <c r="K37" s="142"/>
      <c r="L37" s="142"/>
      <c r="M37" s="81"/>
      <c r="N37" s="81"/>
      <c r="O37" s="81"/>
      <c r="P37" s="81"/>
      <c r="Q37" s="81"/>
    </row>
    <row r="38" spans="1:17" ht="33.75" x14ac:dyDescent="0.2">
      <c r="A38" s="78">
        <f>IF(COUNTBLANK(B38)=1," ",COUNTA(B$15:B38))</f>
        <v>23</v>
      </c>
      <c r="B38" s="78">
        <v>23</v>
      </c>
      <c r="C38" s="125" t="s">
        <v>463</v>
      </c>
      <c r="D38" s="234" t="s">
        <v>27</v>
      </c>
      <c r="E38" s="74"/>
      <c r="F38" s="74">
        <v>4</v>
      </c>
      <c r="G38" s="81"/>
      <c r="H38" s="81"/>
      <c r="I38" s="81"/>
      <c r="J38" s="141"/>
      <c r="K38" s="142"/>
      <c r="L38" s="142"/>
      <c r="M38" s="81"/>
      <c r="N38" s="81"/>
      <c r="O38" s="81"/>
      <c r="P38" s="81"/>
      <c r="Q38" s="81"/>
    </row>
    <row r="39" spans="1:17" ht="33.75" x14ac:dyDescent="0.2">
      <c r="A39" s="78">
        <f>IF(COUNTBLANK(B39)=1," ",COUNTA(B$15:B39))</f>
        <v>24</v>
      </c>
      <c r="B39" s="78">
        <v>24</v>
      </c>
      <c r="C39" s="125" t="s">
        <v>464</v>
      </c>
      <c r="D39" s="234" t="s">
        <v>27</v>
      </c>
      <c r="E39" s="74"/>
      <c r="F39" s="74">
        <v>8</v>
      </c>
      <c r="G39" s="81"/>
      <c r="H39" s="81"/>
      <c r="I39" s="81"/>
      <c r="J39" s="141"/>
      <c r="K39" s="142"/>
      <c r="L39" s="142"/>
      <c r="M39" s="81"/>
      <c r="N39" s="81"/>
      <c r="O39" s="81"/>
      <c r="P39" s="81"/>
      <c r="Q39" s="81"/>
    </row>
    <row r="40" spans="1:17" ht="33.75" x14ac:dyDescent="0.2">
      <c r="A40" s="78">
        <f>IF(COUNTBLANK(B40)=1," ",COUNTA(B$15:B40))</f>
        <v>25</v>
      </c>
      <c r="B40" s="78">
        <v>25</v>
      </c>
      <c r="C40" s="125" t="s">
        <v>465</v>
      </c>
      <c r="D40" s="234" t="s">
        <v>27</v>
      </c>
      <c r="E40" s="74"/>
      <c r="F40" s="74">
        <v>18</v>
      </c>
      <c r="G40" s="81"/>
      <c r="H40" s="81"/>
      <c r="I40" s="81"/>
      <c r="J40" s="141"/>
      <c r="K40" s="142"/>
      <c r="L40" s="142"/>
      <c r="M40" s="81"/>
      <c r="N40" s="81"/>
      <c r="O40" s="81"/>
      <c r="P40" s="81"/>
      <c r="Q40" s="81"/>
    </row>
    <row r="41" spans="1:17" ht="22.5" x14ac:dyDescent="0.2">
      <c r="A41" s="78">
        <f>IF(COUNTBLANK(B41)=1," ",COUNTA(B$15:B41))</f>
        <v>26</v>
      </c>
      <c r="B41" s="78">
        <v>26</v>
      </c>
      <c r="C41" s="125" t="s">
        <v>269</v>
      </c>
      <c r="D41" s="74" t="s">
        <v>25</v>
      </c>
      <c r="E41" s="74"/>
      <c r="F41" s="74">
        <v>12</v>
      </c>
      <c r="G41" s="81"/>
      <c r="H41" s="81"/>
      <c r="I41" s="81"/>
      <c r="J41" s="141"/>
      <c r="K41" s="142"/>
      <c r="L41" s="142"/>
      <c r="M41" s="81"/>
      <c r="N41" s="81"/>
      <c r="O41" s="81"/>
      <c r="P41" s="81"/>
      <c r="Q41" s="81"/>
    </row>
    <row r="42" spans="1:17" ht="22.5" x14ac:dyDescent="0.2">
      <c r="A42" s="78">
        <f>IF(COUNTBLANK(B42)=1," ",COUNTA(B$15:B42))</f>
        <v>27</v>
      </c>
      <c r="B42" s="78">
        <v>27</v>
      </c>
      <c r="C42" s="125" t="s">
        <v>270</v>
      </c>
      <c r="D42" s="74" t="s">
        <v>25</v>
      </c>
      <c r="E42" s="74"/>
      <c r="F42" s="74">
        <v>36</v>
      </c>
      <c r="G42" s="81"/>
      <c r="H42" s="81"/>
      <c r="I42" s="81"/>
      <c r="J42" s="141"/>
      <c r="K42" s="142"/>
      <c r="L42" s="142"/>
      <c r="M42" s="81"/>
      <c r="N42" s="81"/>
      <c r="O42" s="81"/>
      <c r="P42" s="81"/>
      <c r="Q42" s="81"/>
    </row>
    <row r="43" spans="1:17" ht="22.5" x14ac:dyDescent="0.2">
      <c r="A43" s="78">
        <f>IF(COUNTBLANK(B43)=1," ",COUNTA(B$15:B43))</f>
        <v>28</v>
      </c>
      <c r="B43" s="78">
        <v>28</v>
      </c>
      <c r="C43" s="125" t="s">
        <v>271</v>
      </c>
      <c r="D43" s="74" t="s">
        <v>25</v>
      </c>
      <c r="E43" s="74"/>
      <c r="F43" s="74">
        <v>52</v>
      </c>
      <c r="G43" s="81"/>
      <c r="H43" s="81"/>
      <c r="I43" s="81"/>
      <c r="J43" s="141"/>
      <c r="K43" s="142"/>
      <c r="L43" s="142"/>
      <c r="M43" s="81"/>
      <c r="N43" s="81"/>
      <c r="O43" s="81"/>
      <c r="P43" s="81"/>
      <c r="Q43" s="81"/>
    </row>
    <row r="44" spans="1:17" ht="22.5" x14ac:dyDescent="0.2">
      <c r="A44" s="78">
        <f>IF(COUNTBLANK(B44)=1," ",COUNTA(B$15:B44))</f>
        <v>29</v>
      </c>
      <c r="B44" s="78">
        <v>29</v>
      </c>
      <c r="C44" s="125" t="s">
        <v>272</v>
      </c>
      <c r="D44" s="74" t="s">
        <v>25</v>
      </c>
      <c r="E44" s="74"/>
      <c r="F44" s="74">
        <v>24</v>
      </c>
      <c r="G44" s="81"/>
      <c r="H44" s="81"/>
      <c r="I44" s="81"/>
      <c r="J44" s="141"/>
      <c r="K44" s="142"/>
      <c r="L44" s="142"/>
      <c r="M44" s="81"/>
      <c r="N44" s="81"/>
      <c r="O44" s="81"/>
      <c r="P44" s="81"/>
      <c r="Q44" s="81"/>
    </row>
    <row r="45" spans="1:17" ht="22.5" x14ac:dyDescent="0.2">
      <c r="A45" s="78">
        <f>IF(COUNTBLANK(B45)=1," ",COUNTA(B$15:B45))</f>
        <v>30</v>
      </c>
      <c r="B45" s="78">
        <v>30</v>
      </c>
      <c r="C45" s="125" t="s">
        <v>273</v>
      </c>
      <c r="D45" s="74" t="s">
        <v>25</v>
      </c>
      <c r="E45" s="74"/>
      <c r="F45" s="74">
        <v>12</v>
      </c>
      <c r="G45" s="81"/>
      <c r="H45" s="81"/>
      <c r="I45" s="81"/>
      <c r="J45" s="141"/>
      <c r="K45" s="142"/>
      <c r="L45" s="142"/>
      <c r="M45" s="81"/>
      <c r="N45" s="81"/>
      <c r="O45" s="81"/>
      <c r="P45" s="81"/>
      <c r="Q45" s="81"/>
    </row>
    <row r="46" spans="1:17" ht="22.5" x14ac:dyDescent="0.2">
      <c r="A46" s="78">
        <f>IF(COUNTBLANK(B46)=1," ",COUNTA(B$15:B46))</f>
        <v>31</v>
      </c>
      <c r="B46" s="78">
        <v>31</v>
      </c>
      <c r="C46" s="125" t="s">
        <v>274</v>
      </c>
      <c r="D46" s="74" t="s">
        <v>25</v>
      </c>
      <c r="E46" s="74"/>
      <c r="F46" s="74">
        <v>26</v>
      </c>
      <c r="G46" s="81"/>
      <c r="H46" s="81"/>
      <c r="I46" s="81"/>
      <c r="J46" s="141"/>
      <c r="K46" s="142"/>
      <c r="L46" s="142"/>
      <c r="M46" s="81"/>
      <c r="N46" s="81"/>
      <c r="O46" s="81"/>
      <c r="P46" s="81"/>
      <c r="Q46" s="81"/>
    </row>
    <row r="47" spans="1:17" x14ac:dyDescent="0.2">
      <c r="A47" s="78">
        <f>IF(COUNTBLANK(B47)=1," ",COUNTA(B$15:B47))</f>
        <v>32</v>
      </c>
      <c r="B47" s="78">
        <v>32</v>
      </c>
      <c r="C47" s="73" t="s">
        <v>73</v>
      </c>
      <c r="D47" s="74" t="s">
        <v>36</v>
      </c>
      <c r="E47" s="74"/>
      <c r="F47" s="74">
        <v>8</v>
      </c>
      <c r="G47" s="81"/>
      <c r="H47" s="81"/>
      <c r="I47" s="81"/>
      <c r="J47" s="141"/>
      <c r="K47" s="142"/>
      <c r="L47" s="142"/>
      <c r="M47" s="81"/>
      <c r="N47" s="81"/>
      <c r="O47" s="81"/>
      <c r="P47" s="81"/>
      <c r="Q47" s="81"/>
    </row>
    <row r="48" spans="1:17" x14ac:dyDescent="0.2">
      <c r="A48" s="78">
        <f>IF(COUNTBLANK(B48)=1," ",COUNTA(B$15:B48))</f>
        <v>33</v>
      </c>
      <c r="B48" s="78">
        <v>33</v>
      </c>
      <c r="C48" s="73" t="s">
        <v>74</v>
      </c>
      <c r="D48" s="234" t="s">
        <v>278</v>
      </c>
      <c r="E48" s="74"/>
      <c r="F48" s="74">
        <v>1</v>
      </c>
      <c r="G48" s="81"/>
      <c r="H48" s="81"/>
      <c r="I48" s="81"/>
      <c r="J48" s="141"/>
      <c r="K48" s="142"/>
      <c r="L48" s="142"/>
      <c r="M48" s="81"/>
      <c r="N48" s="81"/>
      <c r="O48" s="81"/>
      <c r="P48" s="81"/>
      <c r="Q48" s="81"/>
    </row>
    <row r="49" spans="1:17" x14ac:dyDescent="0.2">
      <c r="A49" s="78">
        <f>IF(COUNTBLANK(B49)=1," ",COUNTA(B$15:B49))</f>
        <v>34</v>
      </c>
      <c r="B49" s="78">
        <v>34</v>
      </c>
      <c r="C49" s="73" t="s">
        <v>78</v>
      </c>
      <c r="D49" s="234" t="s">
        <v>278</v>
      </c>
      <c r="E49" s="74"/>
      <c r="F49" s="74">
        <v>1</v>
      </c>
      <c r="G49" s="81"/>
      <c r="H49" s="81"/>
      <c r="I49" s="81"/>
      <c r="J49" s="141"/>
      <c r="K49" s="142"/>
      <c r="L49" s="142"/>
      <c r="M49" s="81"/>
      <c r="N49" s="81"/>
      <c r="O49" s="81"/>
      <c r="P49" s="81"/>
      <c r="Q49" s="81"/>
    </row>
    <row r="50" spans="1:17" ht="22.5" x14ac:dyDescent="0.2">
      <c r="A50" s="78">
        <f>IF(COUNTBLANK(B50)=1," ",COUNTA(B$15:B50))</f>
        <v>35</v>
      </c>
      <c r="B50" s="78">
        <v>35</v>
      </c>
      <c r="C50" s="125" t="s">
        <v>466</v>
      </c>
      <c r="D50" s="74" t="s">
        <v>29</v>
      </c>
      <c r="E50" s="74"/>
      <c r="F50" s="74">
        <v>4</v>
      </c>
      <c r="G50" s="81"/>
      <c r="H50" s="81"/>
      <c r="I50" s="81"/>
      <c r="J50" s="141"/>
      <c r="K50" s="142"/>
      <c r="L50" s="142"/>
      <c r="M50" s="81"/>
      <c r="N50" s="81"/>
      <c r="O50" s="81"/>
      <c r="P50" s="81"/>
      <c r="Q50" s="81"/>
    </row>
    <row r="51" spans="1:17" ht="22.5" x14ac:dyDescent="0.2">
      <c r="A51" s="78">
        <f>IF(COUNTBLANK(B51)=1," ",COUNTA(B$15:B51))</f>
        <v>36</v>
      </c>
      <c r="B51" s="78">
        <v>36</v>
      </c>
      <c r="C51" s="125" t="s">
        <v>75</v>
      </c>
      <c r="D51" s="234" t="s">
        <v>278</v>
      </c>
      <c r="E51" s="74"/>
      <c r="F51" s="74">
        <v>1</v>
      </c>
      <c r="G51" s="81"/>
      <c r="H51" s="81"/>
      <c r="I51" s="81"/>
      <c r="J51" s="141"/>
      <c r="K51" s="142"/>
      <c r="L51" s="142"/>
      <c r="M51" s="81"/>
      <c r="N51" s="81"/>
      <c r="O51" s="81"/>
      <c r="P51" s="81"/>
      <c r="Q51" s="81"/>
    </row>
    <row r="52" spans="1:17" x14ac:dyDescent="0.2">
      <c r="A52" s="78" t="str">
        <f>IF(COUNTBLANK(B52)=1," ",COUNTA(B$15:B52))</f>
        <v xml:space="preserve"> </v>
      </c>
      <c r="B52" s="143"/>
      <c r="C52" s="144" t="s">
        <v>166</v>
      </c>
      <c r="D52" s="143"/>
      <c r="E52" s="143"/>
      <c r="F52" s="143"/>
      <c r="G52" s="81"/>
      <c r="H52" s="81"/>
      <c r="I52" s="81"/>
      <c r="J52" s="141"/>
      <c r="K52" s="142"/>
      <c r="L52" s="142"/>
      <c r="M52" s="81"/>
      <c r="N52" s="81"/>
      <c r="O52" s="81"/>
      <c r="P52" s="81"/>
      <c r="Q52" s="81"/>
    </row>
    <row r="53" spans="1:17" ht="101.25" x14ac:dyDescent="0.2">
      <c r="A53" s="78">
        <f>IF(COUNTBLANK(B53)=1," ",COUNTA(B$15:B53))</f>
        <v>37</v>
      </c>
      <c r="B53" s="145">
        <v>1</v>
      </c>
      <c r="C53" s="125" t="s">
        <v>292</v>
      </c>
      <c r="D53" s="234" t="s">
        <v>278</v>
      </c>
      <c r="E53" s="78">
        <v>1</v>
      </c>
      <c r="F53" s="78">
        <v>30</v>
      </c>
      <c r="G53" s="81"/>
      <c r="H53" s="81"/>
      <c r="I53" s="81"/>
      <c r="J53" s="141"/>
      <c r="K53" s="142"/>
      <c r="L53" s="142"/>
      <c r="M53" s="81"/>
      <c r="N53" s="81"/>
      <c r="O53" s="81"/>
      <c r="P53" s="81"/>
      <c r="Q53" s="81"/>
    </row>
    <row r="54" spans="1:17" ht="22.5" x14ac:dyDescent="0.2">
      <c r="A54" s="78">
        <f>IF(COUNTBLANK(B54)=1," ",COUNTA(B$15:B54))</f>
        <v>38</v>
      </c>
      <c r="B54" s="145">
        <v>2</v>
      </c>
      <c r="C54" s="125" t="s">
        <v>467</v>
      </c>
      <c r="D54" s="234" t="s">
        <v>27</v>
      </c>
      <c r="E54" s="78">
        <v>1</v>
      </c>
      <c r="F54" s="78">
        <v>30</v>
      </c>
      <c r="G54" s="81"/>
      <c r="H54" s="81"/>
      <c r="I54" s="81"/>
      <c r="J54" s="141"/>
      <c r="K54" s="142"/>
      <c r="L54" s="142"/>
      <c r="M54" s="81"/>
      <c r="N54" s="81"/>
      <c r="O54" s="81"/>
      <c r="P54" s="81"/>
      <c r="Q54" s="81"/>
    </row>
    <row r="55" spans="1:17" x14ac:dyDescent="0.2">
      <c r="A55" s="78">
        <f>IF(COUNTBLANK(B55)=1," ",COUNTA(B$15:B55))</f>
        <v>39</v>
      </c>
      <c r="B55" s="145">
        <v>3</v>
      </c>
      <c r="C55" s="125" t="s">
        <v>152</v>
      </c>
      <c r="D55" s="234" t="s">
        <v>27</v>
      </c>
      <c r="E55" s="78">
        <v>2</v>
      </c>
      <c r="F55" s="78">
        <v>60</v>
      </c>
      <c r="G55" s="81"/>
      <c r="H55" s="81"/>
      <c r="I55" s="81"/>
      <c r="J55" s="141"/>
      <c r="K55" s="142"/>
      <c r="L55" s="142"/>
      <c r="M55" s="81"/>
      <c r="N55" s="81"/>
      <c r="O55" s="81"/>
      <c r="P55" s="81"/>
      <c r="Q55" s="81"/>
    </row>
    <row r="56" spans="1:17" x14ac:dyDescent="0.2">
      <c r="A56" s="78">
        <f>IF(COUNTBLANK(B56)=1," ",COUNTA(B$15:B56))</f>
        <v>40</v>
      </c>
      <c r="B56" s="145">
        <v>4</v>
      </c>
      <c r="C56" s="125" t="s">
        <v>153</v>
      </c>
      <c r="D56" s="234" t="s">
        <v>27</v>
      </c>
      <c r="E56" s="78">
        <v>1</v>
      </c>
      <c r="F56" s="78">
        <v>30</v>
      </c>
      <c r="G56" s="81"/>
      <c r="H56" s="81"/>
      <c r="I56" s="81"/>
      <c r="J56" s="141"/>
      <c r="K56" s="142"/>
      <c r="L56" s="142"/>
      <c r="M56" s="81"/>
      <c r="N56" s="81"/>
      <c r="O56" s="81"/>
      <c r="P56" s="81"/>
      <c r="Q56" s="81"/>
    </row>
    <row r="57" spans="1:17" x14ac:dyDescent="0.2">
      <c r="A57" s="78">
        <f>IF(COUNTBLANK(B57)=1," ",COUNTA(B$15:B57))</f>
        <v>41</v>
      </c>
      <c r="B57" s="145">
        <v>5</v>
      </c>
      <c r="C57" s="125" t="s">
        <v>73</v>
      </c>
      <c r="D57" s="78" t="s">
        <v>36</v>
      </c>
      <c r="E57" s="78">
        <v>0.1</v>
      </c>
      <c r="F57" s="78">
        <v>3</v>
      </c>
      <c r="G57" s="81"/>
      <c r="H57" s="81"/>
      <c r="I57" s="81"/>
      <c r="J57" s="141"/>
      <c r="K57" s="142"/>
      <c r="L57" s="142"/>
      <c r="M57" s="81"/>
      <c r="N57" s="81"/>
      <c r="O57" s="81"/>
      <c r="P57" s="81"/>
      <c r="Q57" s="81"/>
    </row>
    <row r="58" spans="1:17" x14ac:dyDescent="0.2">
      <c r="A58" s="78">
        <f>IF(COUNTBLANK(B58)=1," ",COUNTA(B$15:B58))</f>
        <v>42</v>
      </c>
      <c r="B58" s="145">
        <v>6</v>
      </c>
      <c r="C58" s="125" t="s">
        <v>74</v>
      </c>
      <c r="D58" s="234" t="s">
        <v>278</v>
      </c>
      <c r="E58" s="78">
        <v>1</v>
      </c>
      <c r="F58" s="78">
        <v>30</v>
      </c>
      <c r="G58" s="81"/>
      <c r="H58" s="81"/>
      <c r="I58" s="81"/>
      <c r="J58" s="141"/>
      <c r="K58" s="142"/>
      <c r="L58" s="142"/>
      <c r="M58" s="81"/>
      <c r="N58" s="81"/>
      <c r="O58" s="81"/>
      <c r="P58" s="81"/>
      <c r="Q58" s="81"/>
    </row>
    <row r="59" spans="1:17" x14ac:dyDescent="0.2">
      <c r="A59" s="78">
        <f>IF(COUNTBLANK(B59)=1," ",COUNTA(B$15:B59))</f>
        <v>43</v>
      </c>
      <c r="B59" s="145">
        <v>7</v>
      </c>
      <c r="C59" s="125" t="s">
        <v>78</v>
      </c>
      <c r="D59" s="234" t="s">
        <v>278</v>
      </c>
      <c r="E59" s="78">
        <v>1</v>
      </c>
      <c r="F59" s="78">
        <v>30</v>
      </c>
      <c r="G59" s="81"/>
      <c r="H59" s="81"/>
      <c r="I59" s="81"/>
      <c r="J59" s="141"/>
      <c r="K59" s="142"/>
      <c r="L59" s="142"/>
      <c r="M59" s="81"/>
      <c r="N59" s="81"/>
      <c r="O59" s="81"/>
      <c r="P59" s="81"/>
      <c r="Q59" s="81"/>
    </row>
    <row r="60" spans="1:17" ht="22.5" x14ac:dyDescent="0.2">
      <c r="A60" s="78">
        <f>IF(COUNTBLANK(B60)=1," ",COUNTA(B$15:B60))</f>
        <v>44</v>
      </c>
      <c r="B60" s="145">
        <v>8</v>
      </c>
      <c r="C60" s="125" t="s">
        <v>154</v>
      </c>
      <c r="D60" s="234" t="s">
        <v>278</v>
      </c>
      <c r="E60" s="78">
        <v>1</v>
      </c>
      <c r="F60" s="78">
        <v>30</v>
      </c>
      <c r="G60" s="81"/>
      <c r="H60" s="81"/>
      <c r="I60" s="81"/>
      <c r="J60" s="141"/>
      <c r="K60" s="142"/>
      <c r="L60" s="142"/>
      <c r="M60" s="81"/>
      <c r="N60" s="81"/>
      <c r="O60" s="81"/>
      <c r="P60" s="81"/>
      <c r="Q60" s="81"/>
    </row>
    <row r="61" spans="1:17" ht="22.5" x14ac:dyDescent="0.2">
      <c r="A61" s="78">
        <f>IF(COUNTBLANK(B61)=1," ",COUNTA(B$15:B61))</f>
        <v>45</v>
      </c>
      <c r="B61" s="145">
        <v>10</v>
      </c>
      <c r="C61" s="125" t="s">
        <v>151</v>
      </c>
      <c r="D61" s="234" t="s">
        <v>278</v>
      </c>
      <c r="E61" s="78">
        <v>1</v>
      </c>
      <c r="F61" s="78">
        <v>30</v>
      </c>
      <c r="G61" s="81"/>
      <c r="H61" s="81"/>
      <c r="I61" s="81"/>
      <c r="J61" s="141"/>
      <c r="K61" s="142"/>
      <c r="L61" s="142"/>
      <c r="M61" s="81"/>
      <c r="N61" s="81"/>
      <c r="O61" s="81"/>
      <c r="P61" s="81"/>
      <c r="Q61" s="81"/>
    </row>
    <row r="62" spans="1:17" x14ac:dyDescent="0.2">
      <c r="A62" s="78" t="str">
        <f>IF(COUNTBLANK(B62)=1," ",COUNTA(B$15:B62))</f>
        <v xml:space="preserve"> </v>
      </c>
      <c r="B62" s="74"/>
      <c r="C62" s="146" t="s">
        <v>76</v>
      </c>
      <c r="D62" s="74"/>
      <c r="E62" s="74"/>
      <c r="F62" s="74"/>
      <c r="G62" s="81"/>
      <c r="H62" s="81"/>
      <c r="I62" s="81"/>
      <c r="J62" s="141"/>
      <c r="K62" s="142"/>
      <c r="L62" s="142"/>
      <c r="M62" s="81"/>
      <c r="N62" s="81"/>
      <c r="O62" s="81"/>
      <c r="P62" s="81"/>
      <c r="Q62" s="81"/>
    </row>
    <row r="63" spans="1:17" ht="22.5" x14ac:dyDescent="0.2">
      <c r="A63" s="78">
        <f>IF(COUNTBLANK(B63)=1," ",COUNTA(B$15:B63))</f>
        <v>46</v>
      </c>
      <c r="B63" s="74">
        <v>1</v>
      </c>
      <c r="C63" s="125" t="s">
        <v>469</v>
      </c>
      <c r="D63" s="234" t="s">
        <v>278</v>
      </c>
      <c r="E63" s="74">
        <v>1</v>
      </c>
      <c r="F63" s="74">
        <v>30</v>
      </c>
      <c r="G63" s="81"/>
      <c r="H63" s="81"/>
      <c r="I63" s="81"/>
      <c r="J63" s="141"/>
      <c r="K63" s="142"/>
      <c r="L63" s="142"/>
      <c r="M63" s="81"/>
      <c r="N63" s="81"/>
      <c r="O63" s="81"/>
      <c r="P63" s="81"/>
      <c r="Q63" s="81"/>
    </row>
    <row r="64" spans="1:17" ht="22.5" x14ac:dyDescent="0.2">
      <c r="A64" s="78">
        <f>IF(COUNTBLANK(B64)=1," ",COUNTA(B$15:B64))</f>
        <v>47</v>
      </c>
      <c r="B64" s="74">
        <v>4</v>
      </c>
      <c r="C64" s="125" t="s">
        <v>468</v>
      </c>
      <c r="D64" s="234" t="s">
        <v>278</v>
      </c>
      <c r="E64" s="74">
        <v>1</v>
      </c>
      <c r="F64" s="74">
        <v>30</v>
      </c>
      <c r="G64" s="81"/>
      <c r="H64" s="81"/>
      <c r="I64" s="81"/>
      <c r="J64" s="141"/>
      <c r="K64" s="142"/>
      <c r="L64" s="142"/>
      <c r="M64" s="81"/>
      <c r="N64" s="81"/>
      <c r="O64" s="81"/>
      <c r="P64" s="81"/>
      <c r="Q64" s="81"/>
    </row>
    <row r="65" spans="1:17" x14ac:dyDescent="0.2">
      <c r="A65" s="78" t="str">
        <f>IF(COUNTBLANK(B65)=1," ",COUNTA(B$15:B65))</f>
        <v xml:space="preserve"> </v>
      </c>
      <c r="B65" s="74"/>
      <c r="C65" s="147" t="s">
        <v>167</v>
      </c>
      <c r="D65" s="148"/>
      <c r="E65" s="148"/>
      <c r="F65" s="147"/>
      <c r="G65" s="81"/>
      <c r="H65" s="81"/>
      <c r="I65" s="81"/>
      <c r="J65" s="141"/>
      <c r="K65" s="142"/>
      <c r="L65" s="142"/>
      <c r="M65" s="81"/>
      <c r="N65" s="81"/>
      <c r="O65" s="81"/>
      <c r="P65" s="81"/>
      <c r="Q65" s="81"/>
    </row>
    <row r="66" spans="1:17" x14ac:dyDescent="0.2">
      <c r="A66" s="78" t="str">
        <f>IF(COUNTBLANK(B66)=1," ",COUNTA(B$15:B66))</f>
        <v xml:space="preserve"> </v>
      </c>
      <c r="B66" s="74"/>
      <c r="C66" s="149" t="s">
        <v>185</v>
      </c>
      <c r="D66" s="74"/>
      <c r="E66" s="74"/>
      <c r="F66" s="74"/>
      <c r="G66" s="81"/>
      <c r="H66" s="81"/>
      <c r="I66" s="81"/>
      <c r="J66" s="141"/>
      <c r="K66" s="142"/>
      <c r="L66" s="142"/>
      <c r="M66" s="81"/>
      <c r="N66" s="81"/>
      <c r="O66" s="81"/>
      <c r="P66" s="81"/>
      <c r="Q66" s="81"/>
    </row>
    <row r="67" spans="1:17" x14ac:dyDescent="0.2">
      <c r="A67" s="78">
        <f>IF(COUNTBLANK(B67)=1," ",COUNTA(B$15:B67))</f>
        <v>48</v>
      </c>
      <c r="B67" s="78">
        <v>1</v>
      </c>
      <c r="C67" s="125" t="s">
        <v>131</v>
      </c>
      <c r="D67" s="234" t="s">
        <v>278</v>
      </c>
      <c r="E67" s="74">
        <v>1</v>
      </c>
      <c r="F67" s="74">
        <v>5</v>
      </c>
      <c r="G67" s="81"/>
      <c r="H67" s="81"/>
      <c r="I67" s="81"/>
      <c r="J67" s="141"/>
      <c r="K67" s="142"/>
      <c r="L67" s="142"/>
      <c r="M67" s="81"/>
      <c r="N67" s="81"/>
      <c r="O67" s="81"/>
      <c r="P67" s="81"/>
      <c r="Q67" s="81"/>
    </row>
    <row r="68" spans="1:17" ht="22.5" x14ac:dyDescent="0.2">
      <c r="A68" s="78">
        <f>IF(COUNTBLANK(B68)=1," ",COUNTA(B$15:B68))</f>
        <v>49</v>
      </c>
      <c r="B68" s="78">
        <v>5</v>
      </c>
      <c r="C68" s="124" t="s">
        <v>470</v>
      </c>
      <c r="D68" s="234" t="s">
        <v>278</v>
      </c>
      <c r="E68" s="74">
        <v>3</v>
      </c>
      <c r="F68" s="74">
        <v>15</v>
      </c>
      <c r="G68" s="81"/>
      <c r="H68" s="81"/>
      <c r="I68" s="81"/>
      <c r="J68" s="141"/>
      <c r="K68" s="142"/>
      <c r="L68" s="142"/>
      <c r="M68" s="81"/>
      <c r="N68" s="81"/>
      <c r="O68" s="81"/>
      <c r="P68" s="81"/>
      <c r="Q68" s="81"/>
    </row>
    <row r="69" spans="1:17" ht="22.5" x14ac:dyDescent="0.2">
      <c r="A69" s="78">
        <f>IF(COUNTBLANK(B69)=1," ",COUNTA(B$15:B69))</f>
        <v>50</v>
      </c>
      <c r="B69" s="74">
        <v>6</v>
      </c>
      <c r="C69" s="124" t="s">
        <v>471</v>
      </c>
      <c r="D69" s="234" t="s">
        <v>27</v>
      </c>
      <c r="E69" s="74">
        <v>3</v>
      </c>
      <c r="F69" s="74">
        <v>15</v>
      </c>
      <c r="G69" s="81"/>
      <c r="H69" s="81"/>
      <c r="I69" s="81"/>
      <c r="J69" s="141"/>
      <c r="K69" s="142"/>
      <c r="L69" s="142"/>
      <c r="M69" s="81"/>
      <c r="N69" s="81"/>
      <c r="O69" s="81"/>
      <c r="P69" s="81"/>
      <c r="Q69" s="81"/>
    </row>
    <row r="70" spans="1:17" x14ac:dyDescent="0.2">
      <c r="A70" s="78">
        <f>IF(COUNTBLANK(B70)=1," ",COUNTA(B$15:B70))</f>
        <v>51</v>
      </c>
      <c r="B70" s="78">
        <v>7</v>
      </c>
      <c r="C70" s="140" t="s">
        <v>168</v>
      </c>
      <c r="D70" s="74" t="s">
        <v>25</v>
      </c>
      <c r="E70" s="74">
        <v>60</v>
      </c>
      <c r="F70" s="74">
        <v>300</v>
      </c>
      <c r="G70" s="81"/>
      <c r="H70" s="81"/>
      <c r="I70" s="81"/>
      <c r="J70" s="141"/>
      <c r="K70" s="142"/>
      <c r="L70" s="142"/>
      <c r="M70" s="81"/>
      <c r="N70" s="81"/>
      <c r="O70" s="81"/>
      <c r="P70" s="81"/>
      <c r="Q70" s="81"/>
    </row>
    <row r="71" spans="1:17" x14ac:dyDescent="0.2">
      <c r="A71" s="78">
        <f>IF(COUNTBLANK(B71)=1," ",COUNTA(B$15:B71))</f>
        <v>52</v>
      </c>
      <c r="B71" s="74">
        <v>8</v>
      </c>
      <c r="C71" s="124" t="s">
        <v>169</v>
      </c>
      <c r="D71" s="234" t="s">
        <v>27</v>
      </c>
      <c r="E71" s="74">
        <v>16</v>
      </c>
      <c r="F71" s="74">
        <v>80</v>
      </c>
      <c r="G71" s="81"/>
      <c r="H71" s="81"/>
      <c r="I71" s="81"/>
      <c r="J71" s="141"/>
      <c r="K71" s="142"/>
      <c r="L71" s="142"/>
      <c r="M71" s="81"/>
      <c r="N71" s="81"/>
      <c r="O71" s="81"/>
      <c r="P71" s="81"/>
      <c r="Q71" s="81"/>
    </row>
    <row r="72" spans="1:17" x14ac:dyDescent="0.2">
      <c r="A72" s="78">
        <f>IF(COUNTBLANK(B72)=1," ",COUNTA(B$15:B72))</f>
        <v>53</v>
      </c>
      <c r="B72" s="78">
        <v>9</v>
      </c>
      <c r="C72" s="124" t="s">
        <v>170</v>
      </c>
      <c r="D72" s="234" t="s">
        <v>27</v>
      </c>
      <c r="E72" s="74">
        <v>4</v>
      </c>
      <c r="F72" s="74">
        <v>20</v>
      </c>
      <c r="G72" s="81"/>
      <c r="H72" s="81"/>
      <c r="I72" s="81"/>
      <c r="J72" s="141"/>
      <c r="K72" s="142"/>
      <c r="L72" s="142"/>
      <c r="M72" s="81"/>
      <c r="N72" s="81"/>
      <c r="O72" s="81"/>
      <c r="P72" s="81"/>
      <c r="Q72" s="81"/>
    </row>
    <row r="73" spans="1:17" x14ac:dyDescent="0.2">
      <c r="A73" s="78">
        <f>IF(COUNTBLANK(B73)=1," ",COUNTA(B$15:B73))</f>
        <v>54</v>
      </c>
      <c r="B73" s="74">
        <v>10</v>
      </c>
      <c r="C73" s="140" t="s">
        <v>139</v>
      </c>
      <c r="D73" s="234" t="s">
        <v>27</v>
      </c>
      <c r="E73" s="74">
        <v>2</v>
      </c>
      <c r="F73" s="74">
        <v>10</v>
      </c>
      <c r="G73" s="81"/>
      <c r="H73" s="81"/>
      <c r="I73" s="81"/>
      <c r="J73" s="141"/>
      <c r="K73" s="142"/>
      <c r="L73" s="142"/>
      <c r="M73" s="81"/>
      <c r="N73" s="81"/>
      <c r="O73" s="81"/>
      <c r="P73" s="81"/>
      <c r="Q73" s="81"/>
    </row>
    <row r="74" spans="1:17" ht="22.5" x14ac:dyDescent="0.2">
      <c r="A74" s="78">
        <f>IF(COUNTBLANK(B74)=1," ",COUNTA(B$15:B74))</f>
        <v>55</v>
      </c>
      <c r="B74" s="78">
        <v>11</v>
      </c>
      <c r="C74" s="124" t="s">
        <v>472</v>
      </c>
      <c r="D74" s="234" t="s">
        <v>27</v>
      </c>
      <c r="E74" s="74">
        <v>10</v>
      </c>
      <c r="F74" s="74">
        <v>50</v>
      </c>
      <c r="G74" s="81"/>
      <c r="H74" s="81"/>
      <c r="I74" s="81"/>
      <c r="J74" s="141"/>
      <c r="K74" s="142"/>
      <c r="L74" s="142"/>
      <c r="M74" s="81"/>
      <c r="N74" s="81"/>
      <c r="O74" s="81"/>
      <c r="P74" s="81"/>
      <c r="Q74" s="81"/>
    </row>
    <row r="75" spans="1:17" x14ac:dyDescent="0.2">
      <c r="A75" s="78">
        <f>IF(COUNTBLANK(B75)=1," ",COUNTA(B$15:B75))</f>
        <v>56</v>
      </c>
      <c r="B75" s="74">
        <v>12</v>
      </c>
      <c r="C75" s="124" t="s">
        <v>73</v>
      </c>
      <c r="D75" s="74" t="s">
        <v>36</v>
      </c>
      <c r="E75" s="74">
        <v>1</v>
      </c>
      <c r="F75" s="74">
        <v>5</v>
      </c>
      <c r="G75" s="81"/>
      <c r="H75" s="81"/>
      <c r="I75" s="81"/>
      <c r="J75" s="141"/>
      <c r="K75" s="142"/>
      <c r="L75" s="142"/>
      <c r="M75" s="81"/>
      <c r="N75" s="81"/>
      <c r="O75" s="81"/>
      <c r="P75" s="81"/>
      <c r="Q75" s="81"/>
    </row>
    <row r="76" spans="1:17" x14ac:dyDescent="0.2">
      <c r="A76" s="78">
        <f>IF(COUNTBLANK(B76)=1," ",COUNTA(B$15:B76))</f>
        <v>57</v>
      </c>
      <c r="B76" s="78">
        <v>13</v>
      </c>
      <c r="C76" s="124" t="s">
        <v>74</v>
      </c>
      <c r="D76" s="234" t="s">
        <v>278</v>
      </c>
      <c r="E76" s="74">
        <v>1</v>
      </c>
      <c r="F76" s="74">
        <v>5</v>
      </c>
      <c r="G76" s="81"/>
      <c r="H76" s="81"/>
      <c r="I76" s="81"/>
      <c r="J76" s="141"/>
      <c r="K76" s="142"/>
      <c r="L76" s="142"/>
      <c r="M76" s="81"/>
      <c r="N76" s="81"/>
      <c r="O76" s="81"/>
      <c r="P76" s="81"/>
      <c r="Q76" s="81"/>
    </row>
    <row r="77" spans="1:17" x14ac:dyDescent="0.2">
      <c r="A77" s="78">
        <f>IF(COUNTBLANK(B77)=1," ",COUNTA(B$15:B77))</f>
        <v>58</v>
      </c>
      <c r="B77" s="74">
        <v>14</v>
      </c>
      <c r="C77" s="124" t="s">
        <v>78</v>
      </c>
      <c r="D77" s="234" t="s">
        <v>278</v>
      </c>
      <c r="E77" s="74">
        <v>1</v>
      </c>
      <c r="F77" s="74">
        <v>5</v>
      </c>
      <c r="G77" s="81"/>
      <c r="H77" s="81"/>
      <c r="I77" s="81"/>
      <c r="J77" s="141"/>
      <c r="K77" s="142"/>
      <c r="L77" s="142"/>
      <c r="M77" s="81"/>
      <c r="N77" s="81"/>
      <c r="O77" s="81"/>
      <c r="P77" s="81"/>
      <c r="Q77" s="81"/>
    </row>
    <row r="78" spans="1:17" ht="22.5" x14ac:dyDescent="0.2">
      <c r="A78" s="78">
        <f>IF(COUNTBLANK(B78)=1," ",COUNTA(B$15:B78))</f>
        <v>59</v>
      </c>
      <c r="B78" s="78">
        <v>15</v>
      </c>
      <c r="C78" s="124" t="s">
        <v>151</v>
      </c>
      <c r="D78" s="234" t="s">
        <v>278</v>
      </c>
      <c r="E78" s="74">
        <v>1</v>
      </c>
      <c r="F78" s="74">
        <v>5</v>
      </c>
      <c r="G78" s="81"/>
      <c r="H78" s="81"/>
      <c r="I78" s="81"/>
      <c r="J78" s="141"/>
      <c r="K78" s="142"/>
      <c r="L78" s="142"/>
      <c r="M78" s="81"/>
      <c r="N78" s="81"/>
      <c r="O78" s="81"/>
      <c r="P78" s="81"/>
      <c r="Q78" s="81"/>
    </row>
    <row r="79" spans="1:17" x14ac:dyDescent="0.2">
      <c r="A79" s="78" t="str">
        <f>IF(COUNTBLANK(B79)=1," ",COUNTA(B$15:B79))</f>
        <v xml:space="preserve"> </v>
      </c>
      <c r="B79" s="74"/>
      <c r="C79" s="146" t="s">
        <v>171</v>
      </c>
      <c r="D79" s="148"/>
      <c r="E79" s="148"/>
      <c r="F79" s="147"/>
      <c r="G79" s="81"/>
      <c r="H79" s="81"/>
      <c r="I79" s="81"/>
      <c r="J79" s="141"/>
      <c r="K79" s="142"/>
      <c r="L79" s="142"/>
      <c r="M79" s="81"/>
      <c r="N79" s="81"/>
      <c r="O79" s="81"/>
      <c r="P79" s="81"/>
      <c r="Q79" s="81"/>
    </row>
    <row r="80" spans="1:17" x14ac:dyDescent="0.2">
      <c r="A80" s="78" t="str">
        <f>IF(COUNTBLANK(B80)=1," ",COUNTA(B$15:B80))</f>
        <v xml:space="preserve"> </v>
      </c>
      <c r="B80" s="74"/>
      <c r="C80" s="149" t="s">
        <v>185</v>
      </c>
      <c r="D80" s="74"/>
      <c r="E80" s="74"/>
      <c r="F80" s="74"/>
      <c r="G80" s="81"/>
      <c r="H80" s="81"/>
      <c r="I80" s="81"/>
      <c r="J80" s="141"/>
      <c r="K80" s="142"/>
      <c r="L80" s="142"/>
      <c r="M80" s="81"/>
      <c r="N80" s="81"/>
      <c r="O80" s="81"/>
      <c r="P80" s="81"/>
      <c r="Q80" s="81"/>
    </row>
    <row r="81" spans="1:17" ht="11.25" customHeight="1" x14ac:dyDescent="0.2">
      <c r="A81" s="78">
        <f>IF(COUNTBLANK(B81)=1," ",COUNTA(B$15:B81))</f>
        <v>60</v>
      </c>
      <c r="B81" s="78">
        <v>1</v>
      </c>
      <c r="C81" s="125" t="s">
        <v>131</v>
      </c>
      <c r="D81" s="234" t="s">
        <v>278</v>
      </c>
      <c r="E81" s="74">
        <v>1</v>
      </c>
      <c r="F81" s="74">
        <v>5</v>
      </c>
      <c r="G81" s="81"/>
      <c r="H81" s="81"/>
      <c r="I81" s="81"/>
      <c r="J81" s="141"/>
      <c r="K81" s="142"/>
      <c r="L81" s="142"/>
      <c r="M81" s="81"/>
      <c r="N81" s="81"/>
      <c r="O81" s="81"/>
      <c r="P81" s="81"/>
      <c r="Q81" s="81"/>
    </row>
    <row r="82" spans="1:17" ht="22.5" x14ac:dyDescent="0.2">
      <c r="A82" s="78">
        <f>IF(COUNTBLANK(B82)=1," ",COUNTA(B$15:B82))</f>
        <v>61</v>
      </c>
      <c r="B82" s="78">
        <v>4</v>
      </c>
      <c r="C82" s="124" t="s">
        <v>470</v>
      </c>
      <c r="D82" s="234" t="s">
        <v>278</v>
      </c>
      <c r="E82" s="74">
        <v>2</v>
      </c>
      <c r="F82" s="74">
        <v>10</v>
      </c>
      <c r="G82" s="81"/>
      <c r="H82" s="81"/>
      <c r="I82" s="81"/>
      <c r="J82" s="141"/>
      <c r="K82" s="142"/>
      <c r="L82" s="142"/>
      <c r="M82" s="81"/>
      <c r="N82" s="81"/>
      <c r="O82" s="81"/>
      <c r="P82" s="81"/>
      <c r="Q82" s="81"/>
    </row>
    <row r="83" spans="1:17" ht="22.5" x14ac:dyDescent="0.2">
      <c r="A83" s="78">
        <f>IF(COUNTBLANK(B83)=1," ",COUNTA(B$15:B83))</f>
        <v>62</v>
      </c>
      <c r="B83" s="74">
        <v>5</v>
      </c>
      <c r="C83" s="124" t="s">
        <v>471</v>
      </c>
      <c r="D83" s="234" t="s">
        <v>27</v>
      </c>
      <c r="E83" s="74">
        <v>2</v>
      </c>
      <c r="F83" s="74">
        <v>10</v>
      </c>
      <c r="G83" s="81"/>
      <c r="H83" s="81"/>
      <c r="I83" s="81"/>
      <c r="J83" s="141"/>
      <c r="K83" s="142"/>
      <c r="L83" s="142"/>
      <c r="M83" s="81"/>
      <c r="N83" s="81"/>
      <c r="O83" s="81"/>
      <c r="P83" s="81"/>
      <c r="Q83" s="81"/>
    </row>
    <row r="84" spans="1:17" x14ac:dyDescent="0.2">
      <c r="A84" s="78">
        <f>IF(COUNTBLANK(B84)=1," ",COUNTA(B$15:B84))</f>
        <v>63</v>
      </c>
      <c r="B84" s="74">
        <v>6</v>
      </c>
      <c r="C84" s="140" t="s">
        <v>168</v>
      </c>
      <c r="D84" s="74" t="s">
        <v>25</v>
      </c>
      <c r="E84" s="74">
        <v>30</v>
      </c>
      <c r="F84" s="74">
        <v>150</v>
      </c>
      <c r="G84" s="81"/>
      <c r="H84" s="81"/>
      <c r="I84" s="81"/>
      <c r="J84" s="141"/>
      <c r="K84" s="142"/>
      <c r="L84" s="142"/>
      <c r="M84" s="81"/>
      <c r="N84" s="81"/>
      <c r="O84" s="81"/>
      <c r="P84" s="81"/>
      <c r="Q84" s="81"/>
    </row>
    <row r="85" spans="1:17" x14ac:dyDescent="0.2">
      <c r="A85" s="78">
        <f>IF(COUNTBLANK(B85)=1," ",COUNTA(B$15:B85))</f>
        <v>64</v>
      </c>
      <c r="B85" s="78">
        <v>7</v>
      </c>
      <c r="C85" s="124" t="s">
        <v>169</v>
      </c>
      <c r="D85" s="234" t="s">
        <v>27</v>
      </c>
      <c r="E85" s="74">
        <v>8</v>
      </c>
      <c r="F85" s="74">
        <v>40</v>
      </c>
      <c r="G85" s="81"/>
      <c r="H85" s="81"/>
      <c r="I85" s="81"/>
      <c r="J85" s="141"/>
      <c r="K85" s="142"/>
      <c r="L85" s="142"/>
      <c r="M85" s="81"/>
      <c r="N85" s="81"/>
      <c r="O85" s="81"/>
      <c r="P85" s="81"/>
      <c r="Q85" s="81"/>
    </row>
    <row r="86" spans="1:17" x14ac:dyDescent="0.2">
      <c r="A86" s="78">
        <f>IF(COUNTBLANK(B86)=1," ",COUNTA(B$15:B86))</f>
        <v>65</v>
      </c>
      <c r="B86" s="74">
        <v>8</v>
      </c>
      <c r="C86" s="124" t="s">
        <v>172</v>
      </c>
      <c r="D86" s="234" t="s">
        <v>27</v>
      </c>
      <c r="E86" s="74">
        <v>2</v>
      </c>
      <c r="F86" s="74">
        <v>10</v>
      </c>
      <c r="G86" s="81"/>
      <c r="H86" s="81"/>
      <c r="I86" s="81"/>
      <c r="J86" s="141"/>
      <c r="K86" s="142"/>
      <c r="L86" s="142"/>
      <c r="M86" s="81"/>
      <c r="N86" s="81"/>
      <c r="O86" s="81"/>
      <c r="P86" s="81"/>
      <c r="Q86" s="81"/>
    </row>
    <row r="87" spans="1:17" x14ac:dyDescent="0.2">
      <c r="A87" s="78">
        <f>IF(COUNTBLANK(B87)=1," ",COUNTA(B$15:B87))</f>
        <v>66</v>
      </c>
      <c r="B87" s="74">
        <v>9</v>
      </c>
      <c r="C87" s="140" t="s">
        <v>77</v>
      </c>
      <c r="D87" s="234" t="s">
        <v>27</v>
      </c>
      <c r="E87" s="74">
        <v>2</v>
      </c>
      <c r="F87" s="74">
        <v>10</v>
      </c>
      <c r="G87" s="81"/>
      <c r="H87" s="81"/>
      <c r="I87" s="81"/>
      <c r="J87" s="141"/>
      <c r="K87" s="142"/>
      <c r="L87" s="142"/>
      <c r="M87" s="81"/>
      <c r="N87" s="81"/>
      <c r="O87" s="81"/>
      <c r="P87" s="81"/>
      <c r="Q87" s="81"/>
    </row>
    <row r="88" spans="1:17" ht="22.5" x14ac:dyDescent="0.2">
      <c r="A88" s="78">
        <f>IF(COUNTBLANK(B88)=1," ",COUNTA(B$15:B88))</f>
        <v>67</v>
      </c>
      <c r="B88" s="78">
        <v>10</v>
      </c>
      <c r="C88" s="124" t="s">
        <v>472</v>
      </c>
      <c r="D88" s="234" t="s">
        <v>27</v>
      </c>
      <c r="E88" s="74">
        <v>4</v>
      </c>
      <c r="F88" s="74">
        <v>20</v>
      </c>
      <c r="G88" s="81"/>
      <c r="H88" s="81"/>
      <c r="I88" s="81"/>
      <c r="J88" s="141"/>
      <c r="K88" s="142"/>
      <c r="L88" s="142"/>
      <c r="M88" s="81"/>
      <c r="N88" s="81"/>
      <c r="O88" s="81"/>
      <c r="P88" s="81"/>
      <c r="Q88" s="81"/>
    </row>
    <row r="89" spans="1:17" x14ac:dyDescent="0.2">
      <c r="A89" s="78">
        <f>IF(COUNTBLANK(B89)=1," ",COUNTA(B$15:B89))</f>
        <v>68</v>
      </c>
      <c r="B89" s="74">
        <v>11</v>
      </c>
      <c r="C89" s="124" t="s">
        <v>73</v>
      </c>
      <c r="D89" s="74" t="s">
        <v>36</v>
      </c>
      <c r="E89" s="74">
        <v>1</v>
      </c>
      <c r="F89" s="74">
        <v>5</v>
      </c>
      <c r="G89" s="81"/>
      <c r="H89" s="81"/>
      <c r="I89" s="81"/>
      <c r="J89" s="141"/>
      <c r="K89" s="142"/>
      <c r="L89" s="142"/>
      <c r="M89" s="81"/>
      <c r="N89" s="81"/>
      <c r="O89" s="81"/>
      <c r="P89" s="81"/>
      <c r="Q89" s="81"/>
    </row>
    <row r="90" spans="1:17" x14ac:dyDescent="0.2">
      <c r="A90" s="78">
        <f>IF(COUNTBLANK(B90)=1," ",COUNTA(B$15:B90))</f>
        <v>69</v>
      </c>
      <c r="B90" s="74">
        <v>12</v>
      </c>
      <c r="C90" s="124" t="s">
        <v>74</v>
      </c>
      <c r="D90" s="234" t="s">
        <v>278</v>
      </c>
      <c r="E90" s="74">
        <v>1</v>
      </c>
      <c r="F90" s="74">
        <v>5</v>
      </c>
      <c r="G90" s="81"/>
      <c r="H90" s="81"/>
      <c r="I90" s="81"/>
      <c r="J90" s="141"/>
      <c r="K90" s="142"/>
      <c r="L90" s="142"/>
      <c r="M90" s="81"/>
      <c r="N90" s="81"/>
      <c r="O90" s="81"/>
      <c r="P90" s="81"/>
      <c r="Q90" s="81"/>
    </row>
    <row r="91" spans="1:17" x14ac:dyDescent="0.2">
      <c r="A91" s="78">
        <f>IF(COUNTBLANK(B91)=1," ",COUNTA(B$15:B91))</f>
        <v>70</v>
      </c>
      <c r="B91" s="78">
        <v>13</v>
      </c>
      <c r="C91" s="124" t="s">
        <v>78</v>
      </c>
      <c r="D91" s="234" t="s">
        <v>278</v>
      </c>
      <c r="E91" s="74">
        <v>1</v>
      </c>
      <c r="F91" s="74">
        <v>5</v>
      </c>
      <c r="G91" s="81"/>
      <c r="H91" s="81"/>
      <c r="I91" s="81"/>
      <c r="J91" s="141"/>
      <c r="K91" s="142"/>
      <c r="L91" s="142"/>
      <c r="M91" s="81"/>
      <c r="N91" s="81"/>
      <c r="O91" s="81"/>
      <c r="P91" s="81"/>
      <c r="Q91" s="81"/>
    </row>
    <row r="92" spans="1:17" ht="22.5" x14ac:dyDescent="0.2">
      <c r="A92" s="78">
        <f>IF(COUNTBLANK(B92)=1," ",COUNTA(B$15:B92))</f>
        <v>71</v>
      </c>
      <c r="B92" s="74">
        <v>14</v>
      </c>
      <c r="C92" s="124" t="s">
        <v>151</v>
      </c>
      <c r="D92" s="234" t="s">
        <v>278</v>
      </c>
      <c r="E92" s="74">
        <v>1</v>
      </c>
      <c r="F92" s="74">
        <v>5</v>
      </c>
      <c r="G92" s="81"/>
      <c r="H92" s="81"/>
      <c r="I92" s="81"/>
      <c r="J92" s="141"/>
      <c r="K92" s="142"/>
      <c r="L92" s="142"/>
      <c r="M92" s="81"/>
      <c r="N92" s="81"/>
      <c r="O92" s="81"/>
      <c r="P92" s="81"/>
      <c r="Q92" s="81"/>
    </row>
    <row r="93" spans="1:17" x14ac:dyDescent="0.2">
      <c r="A93" s="78" t="str">
        <f>IF(COUNTBLANK(B93)=1," ",COUNTA(B$15:B93))</f>
        <v xml:space="preserve"> </v>
      </c>
      <c r="B93" s="148"/>
      <c r="C93" s="146" t="s">
        <v>173</v>
      </c>
      <c r="D93" s="148"/>
      <c r="E93" s="148"/>
      <c r="F93" s="148"/>
      <c r="G93" s="81"/>
      <c r="H93" s="81"/>
      <c r="I93" s="81"/>
      <c r="J93" s="141"/>
      <c r="K93" s="142"/>
      <c r="L93" s="142"/>
      <c r="M93" s="81"/>
      <c r="N93" s="81"/>
      <c r="O93" s="81"/>
      <c r="P93" s="81"/>
      <c r="Q93" s="81"/>
    </row>
    <row r="94" spans="1:17" x14ac:dyDescent="0.2">
      <c r="A94" s="78" t="str">
        <f>IF(COUNTBLANK(B94)=1," ",COUNTA(B$15:B94))</f>
        <v xml:space="preserve"> </v>
      </c>
      <c r="B94" s="74"/>
      <c r="C94" s="149" t="s">
        <v>185</v>
      </c>
      <c r="D94" s="74"/>
      <c r="E94" s="74"/>
      <c r="F94" s="74"/>
      <c r="G94" s="81"/>
      <c r="H94" s="81"/>
      <c r="I94" s="81"/>
      <c r="J94" s="141"/>
      <c r="K94" s="142"/>
      <c r="L94" s="142"/>
      <c r="M94" s="81"/>
      <c r="N94" s="81"/>
      <c r="O94" s="81"/>
      <c r="P94" s="81"/>
      <c r="Q94" s="81"/>
    </row>
    <row r="95" spans="1:17" x14ac:dyDescent="0.2">
      <c r="A95" s="78">
        <f>IF(COUNTBLANK(B95)=1," ",COUNTA(B$15:B95))</f>
        <v>72</v>
      </c>
      <c r="B95" s="78">
        <v>1</v>
      </c>
      <c r="C95" s="125" t="s">
        <v>131</v>
      </c>
      <c r="D95" s="234" t="s">
        <v>278</v>
      </c>
      <c r="E95" s="74">
        <v>1</v>
      </c>
      <c r="F95" s="74">
        <v>5</v>
      </c>
      <c r="G95" s="81"/>
      <c r="H95" s="81"/>
      <c r="I95" s="81"/>
      <c r="J95" s="141"/>
      <c r="K95" s="142"/>
      <c r="L95" s="142"/>
      <c r="M95" s="81"/>
      <c r="N95" s="81"/>
      <c r="O95" s="81"/>
      <c r="P95" s="81"/>
      <c r="Q95" s="81"/>
    </row>
    <row r="96" spans="1:17" ht="22.5" x14ac:dyDescent="0.2">
      <c r="A96" s="78">
        <f>IF(COUNTBLANK(B96)=1," ",COUNTA(B$15:B96))</f>
        <v>73</v>
      </c>
      <c r="B96" s="78">
        <v>5</v>
      </c>
      <c r="C96" s="124" t="s">
        <v>470</v>
      </c>
      <c r="D96" s="234" t="s">
        <v>278</v>
      </c>
      <c r="E96" s="74">
        <v>4</v>
      </c>
      <c r="F96" s="74">
        <v>20</v>
      </c>
      <c r="G96" s="81"/>
      <c r="H96" s="81"/>
      <c r="I96" s="81"/>
      <c r="J96" s="141"/>
      <c r="K96" s="142"/>
      <c r="L96" s="142"/>
      <c r="M96" s="81"/>
      <c r="N96" s="81"/>
      <c r="O96" s="81"/>
      <c r="P96" s="81"/>
      <c r="Q96" s="81"/>
    </row>
    <row r="97" spans="1:17" ht="22.5" x14ac:dyDescent="0.2">
      <c r="A97" s="78">
        <f>IF(COUNTBLANK(B97)=1," ",COUNTA(B$15:B97))</f>
        <v>74</v>
      </c>
      <c r="B97" s="74">
        <v>6</v>
      </c>
      <c r="C97" s="124" t="s">
        <v>471</v>
      </c>
      <c r="D97" s="234" t="s">
        <v>27</v>
      </c>
      <c r="E97" s="74">
        <v>4</v>
      </c>
      <c r="F97" s="74">
        <v>20</v>
      </c>
      <c r="G97" s="81"/>
      <c r="H97" s="81"/>
      <c r="I97" s="81"/>
      <c r="J97" s="141"/>
      <c r="K97" s="142"/>
      <c r="L97" s="142"/>
      <c r="M97" s="81"/>
      <c r="N97" s="81"/>
      <c r="O97" s="81"/>
      <c r="P97" s="81"/>
      <c r="Q97" s="81"/>
    </row>
    <row r="98" spans="1:17" x14ac:dyDescent="0.2">
      <c r="A98" s="78">
        <f>IF(COUNTBLANK(B98)=1," ",COUNTA(B$15:B98))</f>
        <v>75</v>
      </c>
      <c r="B98" s="74">
        <v>7</v>
      </c>
      <c r="C98" s="140" t="s">
        <v>168</v>
      </c>
      <c r="D98" s="74" t="s">
        <v>25</v>
      </c>
      <c r="E98" s="74">
        <v>80</v>
      </c>
      <c r="F98" s="74">
        <v>400</v>
      </c>
      <c r="G98" s="81"/>
      <c r="H98" s="81"/>
      <c r="I98" s="81"/>
      <c r="J98" s="141"/>
      <c r="K98" s="142"/>
      <c r="L98" s="142"/>
      <c r="M98" s="81"/>
      <c r="N98" s="81"/>
      <c r="O98" s="81"/>
      <c r="P98" s="81"/>
      <c r="Q98" s="81"/>
    </row>
    <row r="99" spans="1:17" x14ac:dyDescent="0.2">
      <c r="A99" s="78">
        <f>IF(COUNTBLANK(B99)=1," ",COUNTA(B$15:B99))</f>
        <v>76</v>
      </c>
      <c r="B99" s="74">
        <v>8</v>
      </c>
      <c r="C99" s="124" t="s">
        <v>169</v>
      </c>
      <c r="D99" s="234" t="s">
        <v>27</v>
      </c>
      <c r="E99" s="74">
        <v>18</v>
      </c>
      <c r="F99" s="74">
        <v>90</v>
      </c>
      <c r="G99" s="81"/>
      <c r="H99" s="81"/>
      <c r="I99" s="81"/>
      <c r="J99" s="141"/>
      <c r="K99" s="142"/>
      <c r="L99" s="142"/>
      <c r="M99" s="81"/>
      <c r="N99" s="81"/>
      <c r="O99" s="81"/>
      <c r="P99" s="81"/>
      <c r="Q99" s="81"/>
    </row>
    <row r="100" spans="1:17" x14ac:dyDescent="0.2">
      <c r="A100" s="78">
        <f>IF(COUNTBLANK(B100)=1," ",COUNTA(B$15:B100))</f>
        <v>77</v>
      </c>
      <c r="B100" s="78">
        <v>9</v>
      </c>
      <c r="C100" s="124" t="s">
        <v>172</v>
      </c>
      <c r="D100" s="234" t="s">
        <v>27</v>
      </c>
      <c r="E100" s="74">
        <v>6</v>
      </c>
      <c r="F100" s="74">
        <v>30</v>
      </c>
      <c r="G100" s="81"/>
      <c r="H100" s="81"/>
      <c r="I100" s="81"/>
      <c r="J100" s="141"/>
      <c r="K100" s="142"/>
      <c r="L100" s="142"/>
      <c r="M100" s="81"/>
      <c r="N100" s="81"/>
      <c r="O100" s="81"/>
      <c r="P100" s="81"/>
      <c r="Q100" s="81"/>
    </row>
    <row r="101" spans="1:17" x14ac:dyDescent="0.2">
      <c r="A101" s="78">
        <f>IF(COUNTBLANK(B101)=1," ",COUNTA(B$15:B101))</f>
        <v>78</v>
      </c>
      <c r="B101" s="74">
        <v>10</v>
      </c>
      <c r="C101" s="140" t="s">
        <v>139</v>
      </c>
      <c r="D101" s="234" t="s">
        <v>27</v>
      </c>
      <c r="E101" s="74">
        <v>2</v>
      </c>
      <c r="F101" s="74">
        <v>10</v>
      </c>
      <c r="G101" s="81"/>
      <c r="H101" s="81"/>
      <c r="I101" s="81"/>
      <c r="J101" s="141"/>
      <c r="K101" s="142"/>
      <c r="L101" s="142"/>
      <c r="M101" s="81"/>
      <c r="N101" s="81"/>
      <c r="O101" s="81"/>
      <c r="P101" s="81"/>
      <c r="Q101" s="81"/>
    </row>
    <row r="102" spans="1:17" ht="22.5" x14ac:dyDescent="0.2">
      <c r="A102" s="78">
        <f>IF(COUNTBLANK(B102)=1," ",COUNTA(B$15:B102))</f>
        <v>79</v>
      </c>
      <c r="B102" s="74">
        <v>11</v>
      </c>
      <c r="C102" s="124" t="s">
        <v>472</v>
      </c>
      <c r="D102" s="234" t="s">
        <v>27</v>
      </c>
      <c r="E102" s="74">
        <v>10</v>
      </c>
      <c r="F102" s="74">
        <v>50</v>
      </c>
      <c r="G102" s="81"/>
      <c r="H102" s="81"/>
      <c r="I102" s="81"/>
      <c r="J102" s="141"/>
      <c r="K102" s="142"/>
      <c r="L102" s="142"/>
      <c r="M102" s="81"/>
      <c r="N102" s="81"/>
      <c r="O102" s="81"/>
      <c r="P102" s="81"/>
      <c r="Q102" s="81"/>
    </row>
    <row r="103" spans="1:17" x14ac:dyDescent="0.2">
      <c r="A103" s="78">
        <f>IF(COUNTBLANK(B103)=1," ",COUNTA(B$15:B103))</f>
        <v>80</v>
      </c>
      <c r="B103" s="74">
        <v>12</v>
      </c>
      <c r="C103" s="124" t="s">
        <v>73</v>
      </c>
      <c r="D103" s="74" t="s">
        <v>36</v>
      </c>
      <c r="E103" s="74">
        <v>1</v>
      </c>
      <c r="F103" s="74">
        <v>5</v>
      </c>
      <c r="G103" s="81"/>
      <c r="H103" s="81"/>
      <c r="I103" s="81"/>
      <c r="J103" s="141"/>
      <c r="K103" s="142"/>
      <c r="L103" s="142"/>
      <c r="M103" s="81"/>
      <c r="N103" s="81"/>
      <c r="O103" s="81"/>
      <c r="P103" s="81"/>
      <c r="Q103" s="81"/>
    </row>
    <row r="104" spans="1:17" x14ac:dyDescent="0.2">
      <c r="A104" s="78">
        <f>IF(COUNTBLANK(B104)=1," ",COUNTA(B$15:B104))</f>
        <v>81</v>
      </c>
      <c r="B104" s="78">
        <v>13</v>
      </c>
      <c r="C104" s="124" t="s">
        <v>74</v>
      </c>
      <c r="D104" s="234" t="s">
        <v>278</v>
      </c>
      <c r="E104" s="74">
        <v>1</v>
      </c>
      <c r="F104" s="74">
        <v>5</v>
      </c>
      <c r="G104" s="81"/>
      <c r="H104" s="81"/>
      <c r="I104" s="81"/>
      <c r="J104" s="141"/>
      <c r="K104" s="142"/>
      <c r="L104" s="142"/>
      <c r="M104" s="81"/>
      <c r="N104" s="81"/>
      <c r="O104" s="81"/>
      <c r="P104" s="81"/>
      <c r="Q104" s="81"/>
    </row>
    <row r="105" spans="1:17" x14ac:dyDescent="0.2">
      <c r="A105" s="78">
        <f>IF(COUNTBLANK(B105)=1," ",COUNTA(B$15:B105))</f>
        <v>82</v>
      </c>
      <c r="B105" s="74">
        <v>14</v>
      </c>
      <c r="C105" s="124" t="s">
        <v>78</v>
      </c>
      <c r="D105" s="234" t="s">
        <v>278</v>
      </c>
      <c r="E105" s="74">
        <v>1</v>
      </c>
      <c r="F105" s="74">
        <v>5</v>
      </c>
      <c r="G105" s="81"/>
      <c r="H105" s="81"/>
      <c r="I105" s="81"/>
      <c r="J105" s="141"/>
      <c r="K105" s="142"/>
      <c r="L105" s="142"/>
      <c r="M105" s="81"/>
      <c r="N105" s="81"/>
      <c r="O105" s="81"/>
      <c r="P105" s="81"/>
      <c r="Q105" s="81"/>
    </row>
    <row r="106" spans="1:17" ht="22.5" x14ac:dyDescent="0.2">
      <c r="A106" s="78">
        <f>IF(COUNTBLANK(B106)=1," ",COUNTA(B$15:B106))</f>
        <v>83</v>
      </c>
      <c r="B106" s="74">
        <v>15</v>
      </c>
      <c r="C106" s="124" t="s">
        <v>151</v>
      </c>
      <c r="D106" s="234" t="s">
        <v>278</v>
      </c>
      <c r="E106" s="74">
        <v>1</v>
      </c>
      <c r="F106" s="74">
        <v>5</v>
      </c>
      <c r="G106" s="81"/>
      <c r="H106" s="81"/>
      <c r="I106" s="81"/>
      <c r="J106" s="141"/>
      <c r="K106" s="142"/>
      <c r="L106" s="142"/>
      <c r="M106" s="81"/>
      <c r="N106" s="81"/>
      <c r="O106" s="81"/>
      <c r="P106" s="81"/>
      <c r="Q106" s="81"/>
    </row>
    <row r="107" spans="1:17" x14ac:dyDescent="0.2">
      <c r="A107" s="78" t="str">
        <f>IF(COUNTBLANK(B107)=1," ",COUNTA(B$15:B107))</f>
        <v xml:space="preserve"> </v>
      </c>
      <c r="B107" s="148"/>
      <c r="C107" s="146" t="s">
        <v>174</v>
      </c>
      <c r="D107" s="148"/>
      <c r="E107" s="148"/>
      <c r="F107" s="148"/>
      <c r="G107" s="81"/>
      <c r="H107" s="81"/>
      <c r="I107" s="81"/>
      <c r="J107" s="141"/>
      <c r="K107" s="142"/>
      <c r="L107" s="142"/>
      <c r="M107" s="81"/>
      <c r="N107" s="81"/>
      <c r="O107" s="81"/>
      <c r="P107" s="81"/>
      <c r="Q107" s="81"/>
    </row>
    <row r="108" spans="1:17" x14ac:dyDescent="0.2">
      <c r="A108" s="78" t="str">
        <f>IF(COUNTBLANK(B108)=1," ",COUNTA(B$15:B108))</f>
        <v xml:space="preserve"> </v>
      </c>
      <c r="B108" s="74"/>
      <c r="C108" s="149" t="s">
        <v>185</v>
      </c>
      <c r="D108" s="74"/>
      <c r="E108" s="74"/>
      <c r="F108" s="74"/>
      <c r="G108" s="81"/>
      <c r="H108" s="81"/>
      <c r="I108" s="81"/>
      <c r="J108" s="141"/>
      <c r="K108" s="142"/>
      <c r="L108" s="142"/>
      <c r="M108" s="81"/>
      <c r="N108" s="81"/>
      <c r="O108" s="81"/>
      <c r="P108" s="81"/>
      <c r="Q108" s="81"/>
    </row>
    <row r="109" spans="1:17" x14ac:dyDescent="0.2">
      <c r="A109" s="78">
        <f>IF(COUNTBLANK(B109)=1," ",COUNTA(B$15:B109))</f>
        <v>84</v>
      </c>
      <c r="B109" s="78">
        <v>1</v>
      </c>
      <c r="C109" s="125" t="s">
        <v>131</v>
      </c>
      <c r="D109" s="234" t="s">
        <v>278</v>
      </c>
      <c r="E109" s="74">
        <v>1</v>
      </c>
      <c r="F109" s="74">
        <v>5</v>
      </c>
      <c r="G109" s="81"/>
      <c r="H109" s="81"/>
      <c r="I109" s="81"/>
      <c r="J109" s="141"/>
      <c r="K109" s="142"/>
      <c r="L109" s="142"/>
      <c r="M109" s="81"/>
      <c r="N109" s="81"/>
      <c r="O109" s="81"/>
      <c r="P109" s="81"/>
      <c r="Q109" s="81"/>
    </row>
    <row r="110" spans="1:17" ht="22.5" x14ac:dyDescent="0.2">
      <c r="A110" s="78">
        <f>IF(COUNTBLANK(B110)=1," ",COUNTA(B$15:B110))</f>
        <v>85</v>
      </c>
      <c r="B110" s="78">
        <v>4</v>
      </c>
      <c r="C110" s="124" t="s">
        <v>470</v>
      </c>
      <c r="D110" s="234" t="s">
        <v>278</v>
      </c>
      <c r="E110" s="74">
        <v>4</v>
      </c>
      <c r="F110" s="74">
        <v>20</v>
      </c>
      <c r="G110" s="81"/>
      <c r="H110" s="81"/>
      <c r="I110" s="81"/>
      <c r="J110" s="141"/>
      <c r="K110" s="142"/>
      <c r="L110" s="142"/>
      <c r="M110" s="81"/>
      <c r="N110" s="81"/>
      <c r="O110" s="81"/>
      <c r="P110" s="81"/>
      <c r="Q110" s="81"/>
    </row>
    <row r="111" spans="1:17" ht="22.5" x14ac:dyDescent="0.2">
      <c r="A111" s="78">
        <f>IF(COUNTBLANK(B111)=1," ",COUNTA(B$15:B111))</f>
        <v>86</v>
      </c>
      <c r="B111" s="74">
        <v>5</v>
      </c>
      <c r="C111" s="124" t="s">
        <v>471</v>
      </c>
      <c r="D111" s="234" t="s">
        <v>27</v>
      </c>
      <c r="E111" s="74">
        <v>4</v>
      </c>
      <c r="F111" s="74">
        <v>20</v>
      </c>
      <c r="G111" s="81"/>
      <c r="H111" s="81"/>
      <c r="I111" s="81"/>
      <c r="J111" s="141"/>
      <c r="K111" s="142"/>
      <c r="L111" s="142"/>
      <c r="M111" s="81"/>
      <c r="N111" s="81"/>
      <c r="O111" s="81"/>
      <c r="P111" s="81"/>
      <c r="Q111" s="81"/>
    </row>
    <row r="112" spans="1:17" x14ac:dyDescent="0.2">
      <c r="A112" s="78">
        <f>IF(COUNTBLANK(B112)=1," ",COUNTA(B$15:B112))</f>
        <v>87</v>
      </c>
      <c r="B112" s="78">
        <v>6</v>
      </c>
      <c r="C112" s="140" t="s">
        <v>168</v>
      </c>
      <c r="D112" s="74" t="s">
        <v>25</v>
      </c>
      <c r="E112" s="74">
        <v>52</v>
      </c>
      <c r="F112" s="74">
        <v>260</v>
      </c>
      <c r="G112" s="81"/>
      <c r="H112" s="81"/>
      <c r="I112" s="81"/>
      <c r="J112" s="141"/>
      <c r="K112" s="142"/>
      <c r="L112" s="142"/>
      <c r="M112" s="81"/>
      <c r="N112" s="81"/>
      <c r="O112" s="81"/>
      <c r="P112" s="81"/>
      <c r="Q112" s="81"/>
    </row>
    <row r="113" spans="1:17" x14ac:dyDescent="0.2">
      <c r="A113" s="78">
        <f>IF(COUNTBLANK(B113)=1," ",COUNTA(B$15:B113))</f>
        <v>88</v>
      </c>
      <c r="B113" s="74">
        <v>7</v>
      </c>
      <c r="C113" s="124" t="s">
        <v>169</v>
      </c>
      <c r="D113" s="234" t="s">
        <v>27</v>
      </c>
      <c r="E113" s="74">
        <v>14</v>
      </c>
      <c r="F113" s="74">
        <v>40</v>
      </c>
      <c r="G113" s="140"/>
      <c r="H113" s="81"/>
      <c r="I113" s="81"/>
      <c r="J113" s="140"/>
      <c r="K113" s="140"/>
      <c r="L113" s="140"/>
      <c r="M113" s="140"/>
      <c r="N113" s="140"/>
      <c r="O113" s="140"/>
      <c r="P113" s="140"/>
      <c r="Q113" s="140"/>
    </row>
    <row r="114" spans="1:17" x14ac:dyDescent="0.2">
      <c r="A114" s="78">
        <f>IF(COUNTBLANK(B114)=1," ",COUNTA(B$15:B114))</f>
        <v>89</v>
      </c>
      <c r="B114" s="74">
        <v>8</v>
      </c>
      <c r="C114" s="124" t="s">
        <v>172</v>
      </c>
      <c r="D114" s="234" t="s">
        <v>27</v>
      </c>
      <c r="E114" s="74">
        <v>6</v>
      </c>
      <c r="F114" s="74">
        <v>30</v>
      </c>
      <c r="G114" s="81"/>
      <c r="H114" s="81"/>
      <c r="I114" s="81"/>
      <c r="J114" s="141"/>
      <c r="K114" s="142"/>
      <c r="L114" s="142"/>
      <c r="M114" s="81"/>
      <c r="N114" s="81"/>
      <c r="O114" s="81"/>
      <c r="P114" s="81"/>
      <c r="Q114" s="81"/>
    </row>
    <row r="115" spans="1:17" x14ac:dyDescent="0.2">
      <c r="A115" s="78">
        <f>IF(COUNTBLANK(B115)=1," ",COUNTA(B$15:B115))</f>
        <v>90</v>
      </c>
      <c r="B115" s="78">
        <v>9</v>
      </c>
      <c r="C115" s="140" t="s">
        <v>139</v>
      </c>
      <c r="D115" s="234" t="s">
        <v>27</v>
      </c>
      <c r="E115" s="74">
        <v>2</v>
      </c>
      <c r="F115" s="74">
        <v>10</v>
      </c>
      <c r="G115" s="81"/>
      <c r="H115" s="81"/>
      <c r="I115" s="81"/>
      <c r="J115" s="141"/>
      <c r="K115" s="142"/>
      <c r="L115" s="142"/>
      <c r="M115" s="81"/>
      <c r="N115" s="81"/>
      <c r="O115" s="81"/>
      <c r="P115" s="81"/>
      <c r="Q115" s="81"/>
    </row>
    <row r="116" spans="1:17" ht="22.5" x14ac:dyDescent="0.2">
      <c r="A116" s="78">
        <f>IF(COUNTBLANK(B116)=1," ",COUNTA(B$15:B116))</f>
        <v>91</v>
      </c>
      <c r="B116" s="74">
        <v>10</v>
      </c>
      <c r="C116" s="124" t="s">
        <v>472</v>
      </c>
      <c r="D116" s="234" t="s">
        <v>27</v>
      </c>
      <c r="E116" s="74">
        <v>10</v>
      </c>
      <c r="F116" s="74">
        <v>50</v>
      </c>
      <c r="G116" s="81"/>
      <c r="H116" s="81"/>
      <c r="I116" s="81"/>
      <c r="J116" s="141"/>
      <c r="K116" s="142"/>
      <c r="L116" s="142"/>
      <c r="M116" s="81"/>
      <c r="N116" s="81"/>
      <c r="O116" s="81"/>
      <c r="P116" s="81"/>
      <c r="Q116" s="81"/>
    </row>
    <row r="117" spans="1:17" s="63" customFormat="1" x14ac:dyDescent="0.25">
      <c r="A117" s="78">
        <f>IF(COUNTBLANK(B117)=1," ",COUNTA(B$15:B117))</f>
        <v>92</v>
      </c>
      <c r="B117" s="78">
        <v>11</v>
      </c>
      <c r="C117" s="124" t="s">
        <v>73</v>
      </c>
      <c r="D117" s="74" t="s">
        <v>36</v>
      </c>
      <c r="E117" s="74">
        <v>1</v>
      </c>
      <c r="F117" s="74">
        <v>5</v>
      </c>
      <c r="G117" s="81"/>
      <c r="H117" s="81"/>
      <c r="I117" s="81"/>
      <c r="J117" s="141"/>
      <c r="K117" s="142"/>
      <c r="L117" s="142"/>
      <c r="M117" s="81"/>
      <c r="N117" s="81"/>
      <c r="O117" s="81"/>
      <c r="P117" s="81"/>
      <c r="Q117" s="81"/>
    </row>
    <row r="118" spans="1:17" x14ac:dyDescent="0.2">
      <c r="A118" s="78">
        <f>IF(COUNTBLANK(B118)=1," ",COUNTA(B$15:B118))</f>
        <v>93</v>
      </c>
      <c r="B118" s="74">
        <v>12</v>
      </c>
      <c r="C118" s="124" t="s">
        <v>74</v>
      </c>
      <c r="D118" s="234" t="s">
        <v>278</v>
      </c>
      <c r="E118" s="74">
        <v>1</v>
      </c>
      <c r="F118" s="74">
        <v>5</v>
      </c>
      <c r="G118" s="81"/>
      <c r="H118" s="81"/>
      <c r="I118" s="81"/>
      <c r="J118" s="141"/>
      <c r="K118" s="142"/>
      <c r="L118" s="142"/>
      <c r="M118" s="81"/>
      <c r="N118" s="81"/>
      <c r="O118" s="81"/>
      <c r="P118" s="81"/>
      <c r="Q118" s="81"/>
    </row>
    <row r="119" spans="1:17" x14ac:dyDescent="0.2">
      <c r="A119" s="78">
        <f>IF(COUNTBLANK(B119)=1," ",COUNTA(B$15:B119))</f>
        <v>94</v>
      </c>
      <c r="B119" s="74">
        <v>13</v>
      </c>
      <c r="C119" s="124" t="s">
        <v>78</v>
      </c>
      <c r="D119" s="234" t="s">
        <v>278</v>
      </c>
      <c r="E119" s="74">
        <v>1</v>
      </c>
      <c r="F119" s="74">
        <v>5</v>
      </c>
      <c r="G119" s="81"/>
      <c r="H119" s="81"/>
      <c r="I119" s="81"/>
      <c r="J119" s="141"/>
      <c r="K119" s="142"/>
      <c r="L119" s="142"/>
      <c r="M119" s="81"/>
      <c r="N119" s="81"/>
      <c r="O119" s="81"/>
      <c r="P119" s="81"/>
      <c r="Q119" s="81"/>
    </row>
    <row r="120" spans="1:17" ht="22.5" x14ac:dyDescent="0.2">
      <c r="A120" s="78">
        <f>IF(COUNTBLANK(B120)=1," ",COUNTA(B$15:B120))</f>
        <v>95</v>
      </c>
      <c r="B120" s="78">
        <v>14</v>
      </c>
      <c r="C120" s="124" t="s">
        <v>151</v>
      </c>
      <c r="D120" s="234" t="s">
        <v>278</v>
      </c>
      <c r="E120" s="74">
        <v>1</v>
      </c>
      <c r="F120" s="74">
        <v>5</v>
      </c>
      <c r="G120" s="81"/>
      <c r="H120" s="81"/>
      <c r="I120" s="81"/>
      <c r="J120" s="141"/>
      <c r="K120" s="142"/>
      <c r="L120" s="142"/>
      <c r="M120" s="81"/>
      <c r="N120" s="81"/>
      <c r="O120" s="81"/>
      <c r="P120" s="81"/>
      <c r="Q120" s="81"/>
    </row>
    <row r="121" spans="1:17" x14ac:dyDescent="0.2">
      <c r="A121" s="78" t="str">
        <f>IF(COUNTBLANK(B121)=1," ",COUNTA(B$15:B121))</f>
        <v xml:space="preserve"> </v>
      </c>
      <c r="B121" s="74"/>
      <c r="C121" s="146" t="s">
        <v>175</v>
      </c>
      <c r="D121" s="148"/>
      <c r="E121" s="148"/>
      <c r="F121" s="147"/>
      <c r="G121" s="81"/>
      <c r="H121" s="81"/>
      <c r="I121" s="81"/>
      <c r="J121" s="150"/>
      <c r="K121" s="142"/>
      <c r="L121" s="142"/>
      <c r="M121" s="81"/>
      <c r="N121" s="81"/>
      <c r="O121" s="81"/>
      <c r="P121" s="81"/>
      <c r="Q121" s="81"/>
    </row>
    <row r="122" spans="1:17" x14ac:dyDescent="0.2">
      <c r="A122" s="78" t="str">
        <f>IF(COUNTBLANK(B122)=1," ",COUNTA(B$15:B122))</f>
        <v xml:space="preserve"> </v>
      </c>
      <c r="B122" s="74"/>
      <c r="C122" s="149" t="s">
        <v>185</v>
      </c>
      <c r="D122" s="74"/>
      <c r="E122" s="74"/>
      <c r="F122" s="74"/>
      <c r="G122" s="81"/>
      <c r="H122" s="81"/>
      <c r="I122" s="81"/>
      <c r="J122" s="150"/>
      <c r="K122" s="142"/>
      <c r="L122" s="142"/>
      <c r="M122" s="81"/>
      <c r="N122" s="81"/>
      <c r="O122" s="81"/>
      <c r="P122" s="81"/>
      <c r="Q122" s="81"/>
    </row>
    <row r="123" spans="1:17" x14ac:dyDescent="0.2">
      <c r="A123" s="78">
        <f>IF(COUNTBLANK(B123)=1," ",COUNTA(B$15:B123))</f>
        <v>96</v>
      </c>
      <c r="B123" s="78">
        <v>1</v>
      </c>
      <c r="C123" s="125" t="s">
        <v>131</v>
      </c>
      <c r="D123" s="234" t="s">
        <v>278</v>
      </c>
      <c r="E123" s="74">
        <v>1</v>
      </c>
      <c r="F123" s="74">
        <v>5</v>
      </c>
      <c r="G123" s="81"/>
      <c r="H123" s="81"/>
      <c r="I123" s="81"/>
      <c r="J123" s="141"/>
      <c r="K123" s="142"/>
      <c r="L123" s="142"/>
      <c r="M123" s="81"/>
      <c r="N123" s="81"/>
      <c r="O123" s="81"/>
      <c r="P123" s="81"/>
      <c r="Q123" s="81"/>
    </row>
    <row r="124" spans="1:17" ht="22.5" x14ac:dyDescent="0.2">
      <c r="A124" s="78">
        <f>IF(COUNTBLANK(B124)=1," ",COUNTA(B$15:B124))</f>
        <v>97</v>
      </c>
      <c r="B124" s="74">
        <v>5</v>
      </c>
      <c r="C124" s="124" t="s">
        <v>470</v>
      </c>
      <c r="D124" s="234" t="s">
        <v>278</v>
      </c>
      <c r="E124" s="74">
        <v>4</v>
      </c>
      <c r="F124" s="74">
        <v>20</v>
      </c>
      <c r="G124" s="142"/>
      <c r="H124" s="81"/>
      <c r="I124" s="81"/>
      <c r="J124" s="150"/>
      <c r="K124" s="142"/>
      <c r="L124" s="142"/>
      <c r="M124" s="81"/>
      <c r="N124" s="81"/>
      <c r="O124" s="81"/>
      <c r="P124" s="81"/>
      <c r="Q124" s="81"/>
    </row>
    <row r="125" spans="1:17" ht="22.5" x14ac:dyDescent="0.2">
      <c r="A125" s="78">
        <f>IF(COUNTBLANK(B125)=1," ",COUNTA(B$15:B125))</f>
        <v>98</v>
      </c>
      <c r="B125" s="74">
        <v>6</v>
      </c>
      <c r="C125" s="124" t="s">
        <v>471</v>
      </c>
      <c r="D125" s="234" t="s">
        <v>27</v>
      </c>
      <c r="E125" s="74">
        <v>4</v>
      </c>
      <c r="F125" s="74">
        <v>20</v>
      </c>
      <c r="G125" s="142"/>
      <c r="H125" s="81"/>
      <c r="I125" s="81"/>
      <c r="J125" s="150"/>
      <c r="K125" s="142"/>
      <c r="L125" s="142"/>
      <c r="M125" s="81"/>
      <c r="N125" s="81"/>
      <c r="O125" s="81"/>
      <c r="P125" s="81"/>
      <c r="Q125" s="81"/>
    </row>
    <row r="126" spans="1:17" s="63" customFormat="1" x14ac:dyDescent="0.25">
      <c r="A126" s="78">
        <f>IF(COUNTBLANK(B126)=1," ",COUNTA(B$15:B126))</f>
        <v>99</v>
      </c>
      <c r="B126" s="78">
        <v>7</v>
      </c>
      <c r="C126" s="140" t="s">
        <v>168</v>
      </c>
      <c r="D126" s="74" t="s">
        <v>25</v>
      </c>
      <c r="E126" s="74">
        <v>64</v>
      </c>
      <c r="F126" s="74">
        <v>320</v>
      </c>
      <c r="G126" s="142"/>
      <c r="H126" s="81"/>
      <c r="I126" s="81"/>
      <c r="J126" s="150"/>
      <c r="K126" s="142"/>
      <c r="L126" s="142"/>
      <c r="M126" s="81"/>
      <c r="N126" s="81"/>
      <c r="O126" s="81"/>
      <c r="P126" s="81"/>
      <c r="Q126" s="81"/>
    </row>
    <row r="127" spans="1:17" x14ac:dyDescent="0.2">
      <c r="A127" s="78">
        <f>IF(COUNTBLANK(B127)=1," ",COUNTA(B$15:B127))</f>
        <v>100</v>
      </c>
      <c r="B127" s="74">
        <v>8</v>
      </c>
      <c r="C127" s="124" t="s">
        <v>169</v>
      </c>
      <c r="D127" s="234" t="s">
        <v>27</v>
      </c>
      <c r="E127" s="74">
        <v>18</v>
      </c>
      <c r="F127" s="74">
        <v>90</v>
      </c>
      <c r="G127" s="142"/>
      <c r="H127" s="81"/>
      <c r="I127" s="81"/>
      <c r="J127" s="150"/>
      <c r="K127" s="142"/>
      <c r="L127" s="142"/>
      <c r="M127" s="81"/>
      <c r="N127" s="81"/>
      <c r="O127" s="81"/>
      <c r="P127" s="81"/>
      <c r="Q127" s="81"/>
    </row>
    <row r="128" spans="1:17" x14ac:dyDescent="0.2">
      <c r="A128" s="78">
        <f>IF(COUNTBLANK(B128)=1," ",COUNTA(B$15:B128))</f>
        <v>101</v>
      </c>
      <c r="B128" s="74">
        <v>9</v>
      </c>
      <c r="C128" s="124" t="s">
        <v>170</v>
      </c>
      <c r="D128" s="234" t="s">
        <v>27</v>
      </c>
      <c r="E128" s="74">
        <v>6</v>
      </c>
      <c r="F128" s="74">
        <v>30</v>
      </c>
      <c r="G128" s="142"/>
      <c r="H128" s="81"/>
      <c r="I128" s="81"/>
      <c r="J128" s="150"/>
      <c r="K128" s="142"/>
      <c r="L128" s="142"/>
      <c r="M128" s="81"/>
      <c r="N128" s="81"/>
      <c r="O128" s="81"/>
      <c r="P128" s="81"/>
      <c r="Q128" s="81"/>
    </row>
    <row r="129" spans="1:17" x14ac:dyDescent="0.2">
      <c r="A129" s="78">
        <f>IF(COUNTBLANK(B129)=1," ",COUNTA(B$15:B129))</f>
        <v>102</v>
      </c>
      <c r="B129" s="78">
        <v>10</v>
      </c>
      <c r="C129" s="140" t="s">
        <v>139</v>
      </c>
      <c r="D129" s="234" t="s">
        <v>27</v>
      </c>
      <c r="E129" s="74">
        <v>2</v>
      </c>
      <c r="F129" s="74">
        <v>10</v>
      </c>
      <c r="G129" s="142"/>
      <c r="H129" s="81"/>
      <c r="I129" s="81"/>
      <c r="J129" s="150"/>
      <c r="K129" s="142"/>
      <c r="L129" s="142"/>
      <c r="M129" s="81"/>
      <c r="N129" s="81"/>
      <c r="O129" s="81"/>
      <c r="P129" s="81"/>
      <c r="Q129" s="81"/>
    </row>
    <row r="130" spans="1:17" ht="22.5" x14ac:dyDescent="0.2">
      <c r="A130" s="78">
        <f>IF(COUNTBLANK(B130)=1," ",COUNTA(B$15:B130))</f>
        <v>103</v>
      </c>
      <c r="B130" s="74">
        <v>11</v>
      </c>
      <c r="C130" s="124" t="s">
        <v>472</v>
      </c>
      <c r="D130" s="234" t="s">
        <v>27</v>
      </c>
      <c r="E130" s="74">
        <v>14</v>
      </c>
      <c r="F130" s="74">
        <v>70</v>
      </c>
      <c r="G130" s="142"/>
      <c r="H130" s="81"/>
      <c r="I130" s="81"/>
      <c r="J130" s="141"/>
      <c r="K130" s="142"/>
      <c r="L130" s="142"/>
      <c r="M130" s="81"/>
      <c r="N130" s="81"/>
      <c r="O130" s="81"/>
      <c r="P130" s="81"/>
      <c r="Q130" s="81"/>
    </row>
    <row r="131" spans="1:17" x14ac:dyDescent="0.2">
      <c r="A131" s="78">
        <f>IF(COUNTBLANK(B131)=1," ",COUNTA(B$15:B131))</f>
        <v>104</v>
      </c>
      <c r="B131" s="74">
        <v>12</v>
      </c>
      <c r="C131" s="124" t="s">
        <v>73</v>
      </c>
      <c r="D131" s="74" t="s">
        <v>36</v>
      </c>
      <c r="E131" s="74">
        <v>1</v>
      </c>
      <c r="F131" s="74">
        <v>5</v>
      </c>
      <c r="G131" s="81"/>
      <c r="H131" s="81"/>
      <c r="I131" s="81"/>
      <c r="J131" s="150"/>
      <c r="K131" s="142"/>
      <c r="L131" s="142"/>
      <c r="M131" s="81"/>
      <c r="N131" s="81"/>
      <c r="O131" s="81"/>
      <c r="P131" s="81"/>
      <c r="Q131" s="81"/>
    </row>
    <row r="132" spans="1:17" x14ac:dyDescent="0.2">
      <c r="A132" s="78">
        <f>IF(COUNTBLANK(B132)=1," ",COUNTA(B$15:B132))</f>
        <v>105</v>
      </c>
      <c r="B132" s="78">
        <v>13</v>
      </c>
      <c r="C132" s="124" t="s">
        <v>74</v>
      </c>
      <c r="D132" s="234" t="s">
        <v>278</v>
      </c>
      <c r="E132" s="74">
        <v>1</v>
      </c>
      <c r="F132" s="74">
        <v>5</v>
      </c>
      <c r="G132" s="142"/>
      <c r="H132" s="81"/>
      <c r="I132" s="81"/>
      <c r="J132" s="150"/>
      <c r="K132" s="142"/>
      <c r="L132" s="142"/>
      <c r="M132" s="81"/>
      <c r="N132" s="81"/>
      <c r="O132" s="81"/>
      <c r="P132" s="81"/>
      <c r="Q132" s="81"/>
    </row>
    <row r="133" spans="1:17" x14ac:dyDescent="0.2">
      <c r="A133" s="78">
        <f>IF(COUNTBLANK(B133)=1," ",COUNTA(B$15:B133))</f>
        <v>106</v>
      </c>
      <c r="B133" s="74">
        <v>14</v>
      </c>
      <c r="C133" s="124" t="s">
        <v>78</v>
      </c>
      <c r="D133" s="234" t="s">
        <v>278</v>
      </c>
      <c r="E133" s="74">
        <v>1</v>
      </c>
      <c r="F133" s="74">
        <v>5</v>
      </c>
      <c r="G133" s="142"/>
      <c r="H133" s="81"/>
      <c r="I133" s="81"/>
      <c r="J133" s="150"/>
      <c r="K133" s="142"/>
      <c r="L133" s="142"/>
      <c r="M133" s="81"/>
      <c r="N133" s="81"/>
      <c r="O133" s="81"/>
      <c r="P133" s="81"/>
      <c r="Q133" s="81"/>
    </row>
    <row r="134" spans="1:17" ht="22.5" x14ac:dyDescent="0.2">
      <c r="A134" s="78">
        <f>IF(COUNTBLANK(B134)=1," ",COUNTA(B$15:B134))</f>
        <v>107</v>
      </c>
      <c r="B134" s="74">
        <v>15</v>
      </c>
      <c r="C134" s="124" t="s">
        <v>151</v>
      </c>
      <c r="D134" s="234" t="s">
        <v>278</v>
      </c>
      <c r="E134" s="74">
        <v>1</v>
      </c>
      <c r="F134" s="74">
        <v>5</v>
      </c>
      <c r="G134" s="142"/>
      <c r="H134" s="81"/>
      <c r="I134" s="81"/>
      <c r="J134" s="150"/>
      <c r="K134" s="142"/>
      <c r="L134" s="142"/>
      <c r="M134" s="81"/>
      <c r="N134" s="81"/>
      <c r="O134" s="81"/>
      <c r="P134" s="81"/>
      <c r="Q134" s="81"/>
    </row>
    <row r="135" spans="1:17" x14ac:dyDescent="0.2">
      <c r="A135" s="78" t="str">
        <f>IF(COUNTBLANK(B135)=1," ",COUNTA(B$15:B135))</f>
        <v xml:space="preserve"> </v>
      </c>
      <c r="B135" s="74"/>
      <c r="C135" s="147" t="s">
        <v>176</v>
      </c>
      <c r="D135" s="148"/>
      <c r="E135" s="148"/>
      <c r="F135" s="147"/>
      <c r="G135" s="140"/>
      <c r="H135" s="81"/>
      <c r="I135" s="81"/>
      <c r="J135" s="140"/>
      <c r="K135" s="140"/>
      <c r="L135" s="140"/>
      <c r="M135" s="140"/>
      <c r="N135" s="140"/>
      <c r="O135" s="140"/>
      <c r="P135" s="140"/>
      <c r="Q135" s="140"/>
    </row>
    <row r="136" spans="1:17" x14ac:dyDescent="0.2">
      <c r="A136" s="78" t="str">
        <f>IF(COUNTBLANK(B136)=1," ",COUNTA(B$15:B136))</f>
        <v xml:space="preserve"> </v>
      </c>
      <c r="B136" s="74"/>
      <c r="C136" s="149" t="s">
        <v>185</v>
      </c>
      <c r="D136" s="74"/>
      <c r="E136" s="74"/>
      <c r="F136" s="74"/>
      <c r="G136" s="140"/>
      <c r="H136" s="81"/>
      <c r="I136" s="81"/>
      <c r="J136" s="140"/>
      <c r="K136" s="140"/>
      <c r="L136" s="140"/>
      <c r="M136" s="140"/>
      <c r="N136" s="140"/>
      <c r="O136" s="140"/>
      <c r="P136" s="140"/>
      <c r="Q136" s="140"/>
    </row>
    <row r="137" spans="1:17" x14ac:dyDescent="0.2">
      <c r="A137" s="78">
        <f>IF(COUNTBLANK(B137)=1," ",COUNTA(B$15:B137))</f>
        <v>108</v>
      </c>
      <c r="B137" s="78">
        <v>1</v>
      </c>
      <c r="C137" s="125" t="s">
        <v>131</v>
      </c>
      <c r="D137" s="234" t="s">
        <v>278</v>
      </c>
      <c r="E137" s="74">
        <v>1</v>
      </c>
      <c r="F137" s="74">
        <v>5</v>
      </c>
      <c r="G137" s="142"/>
      <c r="H137" s="81"/>
      <c r="I137" s="81"/>
      <c r="J137" s="150"/>
      <c r="K137" s="142"/>
      <c r="L137" s="142"/>
      <c r="M137" s="81"/>
      <c r="N137" s="81"/>
      <c r="O137" s="81"/>
      <c r="P137" s="81"/>
      <c r="Q137" s="81"/>
    </row>
    <row r="138" spans="1:17" ht="22.5" x14ac:dyDescent="0.2">
      <c r="A138" s="78">
        <f>IF(COUNTBLANK(B138)=1," ",COUNTA(B$15:B138))</f>
        <v>109</v>
      </c>
      <c r="B138" s="74">
        <v>6</v>
      </c>
      <c r="C138" s="124" t="s">
        <v>470</v>
      </c>
      <c r="D138" s="234" t="s">
        <v>278</v>
      </c>
      <c r="E138" s="74">
        <v>5</v>
      </c>
      <c r="F138" s="74">
        <v>25</v>
      </c>
      <c r="G138" s="142"/>
      <c r="H138" s="81"/>
      <c r="I138" s="81"/>
      <c r="J138" s="150"/>
      <c r="K138" s="142"/>
      <c r="L138" s="142"/>
      <c r="M138" s="81"/>
      <c r="N138" s="81"/>
      <c r="O138" s="81"/>
      <c r="P138" s="81"/>
      <c r="Q138" s="81"/>
    </row>
    <row r="139" spans="1:17" ht="22.5" x14ac:dyDescent="0.2">
      <c r="A139" s="78">
        <f>IF(COUNTBLANK(B139)=1," ",COUNTA(B$15:B139))</f>
        <v>110</v>
      </c>
      <c r="B139" s="78">
        <v>7</v>
      </c>
      <c r="C139" s="124" t="s">
        <v>471</v>
      </c>
      <c r="D139" s="234" t="s">
        <v>27</v>
      </c>
      <c r="E139" s="74">
        <v>5</v>
      </c>
      <c r="F139" s="74">
        <v>25</v>
      </c>
      <c r="G139" s="142"/>
      <c r="H139" s="81"/>
      <c r="I139" s="81"/>
      <c r="J139" s="141"/>
      <c r="K139" s="142"/>
      <c r="L139" s="142"/>
      <c r="M139" s="81"/>
      <c r="N139" s="81"/>
      <c r="O139" s="81"/>
      <c r="P139" s="81"/>
      <c r="Q139" s="81"/>
    </row>
    <row r="140" spans="1:17" x14ac:dyDescent="0.2">
      <c r="A140" s="78">
        <f>IF(COUNTBLANK(B140)=1," ",COUNTA(B$15:B140))</f>
        <v>111</v>
      </c>
      <c r="B140" s="74">
        <v>8</v>
      </c>
      <c r="C140" s="140" t="s">
        <v>168</v>
      </c>
      <c r="D140" s="74" t="s">
        <v>25</v>
      </c>
      <c r="E140" s="74">
        <v>96</v>
      </c>
      <c r="F140" s="74">
        <v>480</v>
      </c>
      <c r="G140" s="81"/>
      <c r="H140" s="81"/>
      <c r="I140" s="81"/>
      <c r="J140" s="150"/>
      <c r="K140" s="142"/>
      <c r="L140" s="142"/>
      <c r="M140" s="81"/>
      <c r="N140" s="81"/>
      <c r="O140" s="81"/>
      <c r="P140" s="81"/>
      <c r="Q140" s="81"/>
    </row>
    <row r="141" spans="1:17" x14ac:dyDescent="0.2">
      <c r="A141" s="78">
        <f>IF(COUNTBLANK(B141)=1," ",COUNTA(B$15:B141))</f>
        <v>112</v>
      </c>
      <c r="B141" s="78">
        <v>9</v>
      </c>
      <c r="C141" s="124" t="s">
        <v>169</v>
      </c>
      <c r="D141" s="234" t="s">
        <v>27</v>
      </c>
      <c r="E141" s="74">
        <v>26</v>
      </c>
      <c r="F141" s="74">
        <v>130</v>
      </c>
      <c r="G141" s="142"/>
      <c r="H141" s="81"/>
      <c r="I141" s="81"/>
      <c r="J141" s="150"/>
      <c r="K141" s="142"/>
      <c r="L141" s="142"/>
      <c r="M141" s="81"/>
      <c r="N141" s="81"/>
      <c r="O141" s="81"/>
      <c r="P141" s="81"/>
      <c r="Q141" s="81"/>
    </row>
    <row r="142" spans="1:17" x14ac:dyDescent="0.2">
      <c r="A142" s="78">
        <f>IF(COUNTBLANK(B142)=1," ",COUNTA(B$15:B142))</f>
        <v>113</v>
      </c>
      <c r="B142" s="74">
        <v>10</v>
      </c>
      <c r="C142" s="124" t="s">
        <v>172</v>
      </c>
      <c r="D142" s="234" t="s">
        <v>27</v>
      </c>
      <c r="E142" s="74">
        <v>8</v>
      </c>
      <c r="F142" s="74">
        <v>40</v>
      </c>
      <c r="G142" s="142"/>
      <c r="H142" s="81"/>
      <c r="I142" s="81"/>
      <c r="J142" s="150"/>
      <c r="K142" s="142"/>
      <c r="L142" s="142"/>
      <c r="M142" s="81"/>
      <c r="N142" s="81"/>
      <c r="O142" s="81"/>
      <c r="P142" s="81"/>
      <c r="Q142" s="81"/>
    </row>
    <row r="143" spans="1:17" x14ac:dyDescent="0.2">
      <c r="A143" s="78">
        <f>IF(COUNTBLANK(B143)=1," ",COUNTA(B$15:B143))</f>
        <v>114</v>
      </c>
      <c r="B143" s="78">
        <v>11</v>
      </c>
      <c r="C143" s="140" t="s">
        <v>77</v>
      </c>
      <c r="D143" s="234" t="s">
        <v>27</v>
      </c>
      <c r="E143" s="74">
        <v>2</v>
      </c>
      <c r="F143" s="74">
        <v>10</v>
      </c>
      <c r="G143" s="142"/>
      <c r="H143" s="81"/>
      <c r="I143" s="81"/>
      <c r="J143" s="150"/>
      <c r="K143" s="142"/>
      <c r="L143" s="142"/>
      <c r="M143" s="81"/>
      <c r="N143" s="81"/>
      <c r="O143" s="81"/>
      <c r="P143" s="81"/>
      <c r="Q143" s="81"/>
    </row>
    <row r="144" spans="1:17" ht="22.5" x14ac:dyDescent="0.2">
      <c r="A144" s="78">
        <f>IF(COUNTBLANK(B144)=1," ",COUNTA(B$15:B144))</f>
        <v>115</v>
      </c>
      <c r="B144" s="74">
        <v>12</v>
      </c>
      <c r="C144" s="124" t="s">
        <v>472</v>
      </c>
      <c r="D144" s="234" t="s">
        <v>27</v>
      </c>
      <c r="E144" s="74">
        <v>18</v>
      </c>
      <c r="F144" s="74">
        <v>90</v>
      </c>
      <c r="G144" s="142"/>
      <c r="H144" s="81"/>
      <c r="I144" s="81"/>
      <c r="J144" s="150"/>
      <c r="K144" s="142"/>
      <c r="L144" s="142"/>
      <c r="M144" s="81"/>
      <c r="N144" s="81"/>
      <c r="O144" s="81"/>
      <c r="P144" s="81"/>
      <c r="Q144" s="81"/>
    </row>
    <row r="145" spans="1:17" x14ac:dyDescent="0.2">
      <c r="A145" s="78">
        <f>IF(COUNTBLANK(B145)=1," ",COUNTA(B$15:B145))</f>
        <v>116</v>
      </c>
      <c r="B145" s="78">
        <v>13</v>
      </c>
      <c r="C145" s="124" t="s">
        <v>73</v>
      </c>
      <c r="D145" s="74" t="s">
        <v>36</v>
      </c>
      <c r="E145" s="74">
        <v>1</v>
      </c>
      <c r="F145" s="74">
        <v>5</v>
      </c>
      <c r="G145" s="140"/>
      <c r="H145" s="81"/>
      <c r="I145" s="81"/>
      <c r="J145" s="140"/>
      <c r="K145" s="140"/>
      <c r="L145" s="140"/>
      <c r="M145" s="140"/>
      <c r="N145" s="140"/>
      <c r="O145" s="140"/>
      <c r="P145" s="140"/>
      <c r="Q145" s="140"/>
    </row>
    <row r="146" spans="1:17" x14ac:dyDescent="0.2">
      <c r="A146" s="78">
        <f>IF(COUNTBLANK(B146)=1," ",COUNTA(B$15:B146))</f>
        <v>117</v>
      </c>
      <c r="B146" s="74">
        <v>14</v>
      </c>
      <c r="C146" s="124" t="s">
        <v>74</v>
      </c>
      <c r="D146" s="234" t="s">
        <v>278</v>
      </c>
      <c r="E146" s="74">
        <v>1</v>
      </c>
      <c r="F146" s="74">
        <v>5</v>
      </c>
      <c r="G146" s="142"/>
      <c r="H146" s="81"/>
      <c r="I146" s="81"/>
      <c r="J146" s="150"/>
      <c r="K146" s="142"/>
      <c r="L146" s="142"/>
      <c r="M146" s="81"/>
      <c r="N146" s="81"/>
      <c r="O146" s="81"/>
      <c r="P146" s="81"/>
      <c r="Q146" s="81"/>
    </row>
    <row r="147" spans="1:17" x14ac:dyDescent="0.2">
      <c r="A147" s="78">
        <f>IF(COUNTBLANK(B147)=1," ",COUNTA(B$15:B147))</f>
        <v>118</v>
      </c>
      <c r="B147" s="78">
        <v>15</v>
      </c>
      <c r="C147" s="124" t="s">
        <v>78</v>
      </c>
      <c r="D147" s="234" t="s">
        <v>278</v>
      </c>
      <c r="E147" s="74">
        <v>1</v>
      </c>
      <c r="F147" s="74">
        <v>5</v>
      </c>
      <c r="G147" s="142"/>
      <c r="H147" s="81"/>
      <c r="I147" s="81"/>
      <c r="J147" s="150"/>
      <c r="K147" s="142"/>
      <c r="L147" s="142"/>
      <c r="M147" s="81"/>
      <c r="N147" s="81"/>
      <c r="O147" s="81"/>
      <c r="P147" s="81"/>
      <c r="Q147" s="81"/>
    </row>
    <row r="148" spans="1:17" s="63" customFormat="1" ht="22.5" x14ac:dyDescent="0.25">
      <c r="A148" s="78">
        <f>IF(COUNTBLANK(B148)=1," ",COUNTA(B$15:B148))</f>
        <v>119</v>
      </c>
      <c r="B148" s="74">
        <v>16</v>
      </c>
      <c r="C148" s="124" t="s">
        <v>151</v>
      </c>
      <c r="D148" s="234" t="s">
        <v>278</v>
      </c>
      <c r="E148" s="74">
        <v>1</v>
      </c>
      <c r="F148" s="74">
        <v>5</v>
      </c>
      <c r="G148" s="142"/>
      <c r="H148" s="81"/>
      <c r="I148" s="81"/>
      <c r="J148" s="150"/>
      <c r="K148" s="142"/>
      <c r="L148" s="142"/>
      <c r="M148" s="81"/>
      <c r="N148" s="81"/>
      <c r="O148" s="81"/>
      <c r="P148" s="81"/>
      <c r="Q148" s="81"/>
    </row>
    <row r="149" spans="1:17" ht="22.5" x14ac:dyDescent="0.2">
      <c r="A149" s="69"/>
      <c r="B149" s="69"/>
      <c r="C149" s="318" t="s">
        <v>156</v>
      </c>
      <c r="D149" s="319"/>
      <c r="E149" s="320"/>
      <c r="F149" s="320"/>
      <c r="G149" s="321"/>
      <c r="H149" s="321"/>
      <c r="I149" s="321"/>
      <c r="J149" s="321"/>
      <c r="K149" s="321"/>
      <c r="L149" s="69"/>
      <c r="M149" s="322"/>
      <c r="N149" s="322"/>
      <c r="O149" s="322"/>
      <c r="P149" s="322"/>
      <c r="Q149" s="322"/>
    </row>
    <row r="150" spans="1:17" x14ac:dyDescent="0.2">
      <c r="A150" s="68"/>
      <c r="B150" s="69"/>
      <c r="C150" s="323"/>
      <c r="D150" s="323"/>
      <c r="E150" s="323"/>
      <c r="F150" s="323"/>
      <c r="G150" s="323"/>
      <c r="H150" s="323"/>
      <c r="I150" s="69"/>
      <c r="J150" s="69"/>
      <c r="K150" s="69"/>
      <c r="L150" s="69"/>
      <c r="M150" s="69"/>
      <c r="N150" s="69"/>
      <c r="O150" s="69"/>
      <c r="P150" s="69"/>
      <c r="Q150" s="69"/>
    </row>
    <row r="151" spans="1:17" x14ac:dyDescent="0.2">
      <c r="A151" s="69"/>
      <c r="B151" s="69"/>
      <c r="C151" s="324" t="str">
        <f>[2]KPDV!$B$31</f>
        <v>Sastādīja:</v>
      </c>
      <c r="D151" s="325"/>
      <c r="E151" s="326"/>
      <c r="F151" s="326"/>
      <c r="G151" s="323"/>
      <c r="H151" s="323"/>
      <c r="I151" s="69"/>
      <c r="J151" s="69"/>
      <c r="K151" s="69"/>
      <c r="L151" s="69"/>
      <c r="M151" s="69"/>
      <c r="N151" s="69"/>
      <c r="O151" s="69"/>
      <c r="P151" s="69"/>
      <c r="Q151" s="69"/>
    </row>
    <row r="152" spans="1:17" x14ac:dyDescent="0.2">
      <c r="A152" s="69"/>
      <c r="B152" s="69"/>
      <c r="C152" s="324" t="str">
        <f>[2]KPDV!$B$32</f>
        <v>Tāme sastādīta</v>
      </c>
      <c r="D152" s="327"/>
      <c r="E152" s="314"/>
      <c r="F152" s="314"/>
      <c r="G152" s="323"/>
      <c r="H152" s="323"/>
      <c r="I152" s="69"/>
      <c r="J152" s="69"/>
      <c r="K152" s="69"/>
      <c r="L152" s="69"/>
      <c r="M152" s="69"/>
      <c r="N152" s="69"/>
      <c r="O152" s="69"/>
      <c r="P152" s="69"/>
      <c r="Q152" s="69"/>
    </row>
    <row r="153" spans="1:17" x14ac:dyDescent="0.2">
      <c r="A153" s="69"/>
      <c r="B153" s="69"/>
      <c r="C153" s="324"/>
      <c r="D153" s="327"/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23"/>
      <c r="P153" s="323"/>
      <c r="Q153" s="69"/>
    </row>
    <row r="154" spans="1:17" x14ac:dyDescent="0.2">
      <c r="A154" s="69"/>
      <c r="B154" s="69"/>
      <c r="C154" s="324" t="str">
        <f>[2]KPDV!$B$34</f>
        <v>Pārbaudīja:</v>
      </c>
      <c r="D154" s="325"/>
      <c r="E154" s="326"/>
      <c r="F154" s="326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69"/>
    </row>
    <row r="155" spans="1:17" x14ac:dyDescent="0.2">
      <c r="A155" s="69"/>
      <c r="B155" s="69"/>
      <c r="C155" s="324" t="str">
        <f>[2]KPDV!$B$35</f>
        <v>Sertifikāta Nr.:</v>
      </c>
      <c r="D155" s="325"/>
      <c r="E155" s="328"/>
      <c r="F155" s="328"/>
      <c r="G155" s="327"/>
      <c r="H155" s="327"/>
      <c r="I155" s="327"/>
      <c r="J155" s="327"/>
      <c r="K155" s="327"/>
      <c r="L155" s="327"/>
      <c r="M155" s="329"/>
      <c r="N155" s="327"/>
      <c r="O155" s="329"/>
      <c r="P155" s="327"/>
      <c r="Q155" s="69"/>
    </row>
    <row r="156" spans="1:17" x14ac:dyDescent="0.2">
      <c r="A156" s="69"/>
      <c r="B156" s="69"/>
      <c r="C156" s="69"/>
      <c r="D156" s="69"/>
      <c r="E156" s="69"/>
      <c r="F156" s="69"/>
      <c r="G156" s="69"/>
      <c r="H156" s="69"/>
      <c r="I156" s="134"/>
      <c r="J156" s="135"/>
      <c r="K156" s="135"/>
      <c r="L156" s="69"/>
      <c r="M156" s="69"/>
      <c r="N156" s="69"/>
      <c r="O156" s="135"/>
      <c r="P156" s="135"/>
      <c r="Q156" s="69"/>
    </row>
    <row r="157" spans="1:17" ht="12.75" x14ac:dyDescent="0.2">
      <c r="A157" s="69"/>
      <c r="B157" s="330" t="s">
        <v>400</v>
      </c>
      <c r="C157" s="331"/>
      <c r="D157" s="332"/>
      <c r="E157" s="332"/>
      <c r="F157" s="332"/>
      <c r="G157" s="333"/>
      <c r="H157" s="332"/>
      <c r="I157" s="332"/>
      <c r="J157" s="332"/>
      <c r="K157" s="332"/>
      <c r="L157" s="332"/>
      <c r="M157" s="332"/>
      <c r="N157" s="332"/>
      <c r="O157" s="332"/>
      <c r="P157" s="332"/>
      <c r="Q157" s="332"/>
    </row>
    <row r="158" spans="1:17" x14ac:dyDescent="0.2">
      <c r="A158" s="69"/>
      <c r="B158" s="334" t="s">
        <v>401</v>
      </c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</row>
    <row r="159" spans="1:17" x14ac:dyDescent="0.2">
      <c r="A159" s="69"/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</row>
    <row r="160" spans="1:17" x14ac:dyDescent="0.2">
      <c r="A160" s="69"/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</row>
    <row r="161" spans="1:9" x14ac:dyDescent="0.2">
      <c r="A161" s="69"/>
      <c r="B161" s="69"/>
      <c r="C161" s="69"/>
      <c r="D161" s="69"/>
      <c r="E161" s="69"/>
      <c r="I161" s="66"/>
    </row>
    <row r="162" spans="1:9" x14ac:dyDescent="0.2">
      <c r="A162" s="69"/>
      <c r="B162" s="69"/>
      <c r="C162" s="69"/>
      <c r="D162" s="69"/>
      <c r="E162" s="69"/>
      <c r="I162" s="66"/>
    </row>
    <row r="163" spans="1:9" x14ac:dyDescent="0.2">
      <c r="A163" s="69"/>
      <c r="B163" s="69"/>
      <c r="C163" s="69"/>
      <c r="D163" s="69"/>
      <c r="E163" s="69"/>
      <c r="I163" s="66"/>
    </row>
  </sheetData>
  <mergeCells count="10">
    <mergeCell ref="B158:Q160"/>
    <mergeCell ref="A14:F14"/>
    <mergeCell ref="E13:F13"/>
    <mergeCell ref="G11:L11"/>
    <mergeCell ref="M11:Q11"/>
    <mergeCell ref="A11:A12"/>
    <mergeCell ref="B11:B12"/>
    <mergeCell ref="C11:C12"/>
    <mergeCell ref="D11:D12"/>
    <mergeCell ref="E11:F12"/>
  </mergeCells>
  <pageMargins left="0.7" right="0.7" top="0.75" bottom="0.75" header="0.3" footer="0.3"/>
  <pageSetup paperSize="9" scale="81" firstPageNumber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57"/>
  <sheetViews>
    <sheetView view="pageBreakPreview" topLeftCell="A16" zoomScaleNormal="115" zoomScaleSheetLayoutView="100" zoomScalePageLayoutView="85" workbookViewId="0">
      <selection activeCell="C49" sqref="C49"/>
    </sheetView>
  </sheetViews>
  <sheetFormatPr defaultColWidth="9" defaultRowHeight="11.25" x14ac:dyDescent="0.2"/>
  <cols>
    <col min="1" max="1" width="4" style="66"/>
    <col min="2" max="2" width="8.5703125" style="66" customWidth="1"/>
    <col min="3" max="3" width="50" style="129"/>
    <col min="4" max="4" width="6.42578125" style="66" customWidth="1"/>
    <col min="5" max="5" width="4.85546875" style="66"/>
    <col min="6" max="8" width="9" style="66" customWidth="1"/>
    <col min="9" max="9" width="6.42578125" style="66" customWidth="1"/>
    <col min="10" max="10" width="9" style="66" customWidth="1"/>
    <col min="11" max="11" width="6.5703125" style="66" customWidth="1"/>
    <col min="12" max="16" width="9" style="66" customWidth="1"/>
    <col min="17" max="244" width="8.28515625" style="66"/>
    <col min="245" max="1016" width="4" style="66"/>
    <col min="1017" max="16384" width="9" style="66"/>
  </cols>
  <sheetData>
    <row r="1" spans="1:16" s="61" customFormat="1" x14ac:dyDescent="0.25">
      <c r="A1" s="235" t="s">
        <v>11</v>
      </c>
      <c r="B1" s="235"/>
      <c r="C1" s="235"/>
      <c r="D1" s="235"/>
      <c r="E1" s="235"/>
      <c r="F1" s="235"/>
      <c r="G1" s="108">
        <f>KPDV!A21</f>
        <v>9</v>
      </c>
      <c r="H1" s="108"/>
      <c r="I1" s="108"/>
      <c r="J1" s="108"/>
      <c r="K1" s="108"/>
    </row>
    <row r="2" spans="1:16" s="63" customFormat="1" x14ac:dyDescent="0.25">
      <c r="A2" s="109"/>
      <c r="B2" s="109"/>
      <c r="C2" s="109" t="s">
        <v>79</v>
      </c>
      <c r="D2" s="109"/>
      <c r="E2" s="109"/>
      <c r="F2" s="109"/>
      <c r="G2" s="109"/>
      <c r="H2" s="109"/>
      <c r="I2" s="109"/>
      <c r="J2" s="109"/>
      <c r="K2" s="109"/>
    </row>
    <row r="3" spans="1:16" s="63" customFormat="1" x14ac:dyDescent="0.25">
      <c r="A3" s="63" t="str">
        <f>KPDV!A3</f>
        <v>Būves nosaukums: Daudzdzīvokļu dzīvojamās mājas fasādes vienkāršotā atjaunošana</v>
      </c>
    </row>
    <row r="4" spans="1:16" s="63" customFormat="1" x14ac:dyDescent="0.25">
      <c r="A4" s="63" t="str">
        <f>KPDV!A4</f>
        <v>Objekta nosaukums: Dzīvojamas ēkas fasādes vienkāršota atjaunošana</v>
      </c>
    </row>
    <row r="5" spans="1:16" x14ac:dyDescent="0.2">
      <c r="A5" s="69" t="str">
        <f>KPDV!A5</f>
        <v>Objekta adrese: Eduarda Tisē ielā 50, Liepājā</v>
      </c>
      <c r="B5" s="69"/>
      <c r="C5" s="110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x14ac:dyDescent="0.2">
      <c r="A6" s="69" t="str">
        <f>KPDV!A6</f>
        <v>Pasūtījuma Nr.EA-15-17</v>
      </c>
      <c r="B6" s="69"/>
      <c r="C6" s="11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x14ac:dyDescent="0.2">
      <c r="A7" s="69" t="str">
        <f>KPDV!A7</f>
        <v>Pasūtītājs: SIA "Liepājas namu apsaimniekotājs"</v>
      </c>
      <c r="B7" s="69"/>
      <c r="C7" s="110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x14ac:dyDescent="0.2">
      <c r="A8" s="69"/>
      <c r="B8" s="69"/>
      <c r="C8" s="111" t="str">
        <f>AR!D8</f>
        <v>Tāme sastādīta .gada tirgus cenās, pamatojoties uz:</v>
      </c>
      <c r="D8" s="109" t="s">
        <v>80</v>
      </c>
      <c r="E8" s="112" t="s">
        <v>13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6" x14ac:dyDescent="0.2">
      <c r="A9" s="239" t="str">
        <f>AR!A9</f>
        <v>Tāmes izmaksas euro: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113">
        <f>P45</f>
        <v>0</v>
      </c>
    </row>
    <row r="10" spans="1:16" s="69" customForma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1" t="str">
        <f>KPDV!B10</f>
        <v>Tāme sastādīta .gada</v>
      </c>
    </row>
    <row r="11" spans="1:16" s="63" customFormat="1" ht="10.15" customHeight="1" x14ac:dyDescent="0.25">
      <c r="A11" s="259" t="s">
        <v>15</v>
      </c>
      <c r="B11" s="259" t="s">
        <v>16</v>
      </c>
      <c r="C11" s="260" t="s">
        <v>17</v>
      </c>
      <c r="D11" s="261" t="s">
        <v>18</v>
      </c>
      <c r="E11" s="259" t="s">
        <v>19</v>
      </c>
      <c r="F11" s="262" t="s">
        <v>20</v>
      </c>
      <c r="G11" s="262"/>
      <c r="H11" s="262"/>
      <c r="I11" s="262"/>
      <c r="J11" s="262"/>
      <c r="K11" s="262"/>
      <c r="L11" s="262" t="s">
        <v>21</v>
      </c>
      <c r="M11" s="262"/>
      <c r="N11" s="262"/>
      <c r="O11" s="262"/>
      <c r="P11" s="262"/>
    </row>
    <row r="12" spans="1:16" ht="55.5" x14ac:dyDescent="0.2">
      <c r="A12" s="259"/>
      <c r="B12" s="259"/>
      <c r="C12" s="260"/>
      <c r="D12" s="261"/>
      <c r="E12" s="259"/>
      <c r="F12" s="335" t="s">
        <v>403</v>
      </c>
      <c r="G12" s="336" t="s">
        <v>404</v>
      </c>
      <c r="H12" s="336" t="s">
        <v>405</v>
      </c>
      <c r="I12" s="336" t="s">
        <v>406</v>
      </c>
      <c r="J12" s="336" t="s">
        <v>407</v>
      </c>
      <c r="K12" s="337" t="s">
        <v>365</v>
      </c>
      <c r="L12" s="335" t="s">
        <v>22</v>
      </c>
      <c r="M12" s="336" t="s">
        <v>405</v>
      </c>
      <c r="N12" s="336" t="s">
        <v>406</v>
      </c>
      <c r="O12" s="336" t="s">
        <v>407</v>
      </c>
      <c r="P12" s="337" t="s">
        <v>408</v>
      </c>
    </row>
    <row r="13" spans="1:16" x14ac:dyDescent="0.2">
      <c r="A13" s="114">
        <v>1</v>
      </c>
      <c r="B13" s="114">
        <f t="shared" ref="B13:P13" si="0">A13+1</f>
        <v>2</v>
      </c>
      <c r="C13" s="115">
        <f t="shared" si="0"/>
        <v>3</v>
      </c>
      <c r="D13" s="114">
        <f t="shared" si="0"/>
        <v>4</v>
      </c>
      <c r="E13" s="116">
        <f t="shared" si="0"/>
        <v>5</v>
      </c>
      <c r="F13" s="116">
        <f t="shared" si="0"/>
        <v>6</v>
      </c>
      <c r="G13" s="116">
        <f t="shared" si="0"/>
        <v>7</v>
      </c>
      <c r="H13" s="116">
        <f t="shared" si="0"/>
        <v>8</v>
      </c>
      <c r="I13" s="116">
        <f t="shared" si="0"/>
        <v>9</v>
      </c>
      <c r="J13" s="116">
        <f t="shared" si="0"/>
        <v>10</v>
      </c>
      <c r="K13" s="116">
        <f t="shared" si="0"/>
        <v>11</v>
      </c>
      <c r="L13" s="116">
        <f t="shared" si="0"/>
        <v>12</v>
      </c>
      <c r="M13" s="116">
        <f t="shared" si="0"/>
        <v>13</v>
      </c>
      <c r="N13" s="116">
        <f t="shared" si="0"/>
        <v>14</v>
      </c>
      <c r="O13" s="116">
        <f t="shared" si="0"/>
        <v>15</v>
      </c>
      <c r="P13" s="116">
        <f t="shared" si="0"/>
        <v>16</v>
      </c>
    </row>
    <row r="14" spans="1:16" x14ac:dyDescent="0.2">
      <c r="A14" s="117"/>
      <c r="B14" s="117"/>
      <c r="C14" s="118" t="s">
        <v>81</v>
      </c>
      <c r="D14" s="117"/>
      <c r="E14" s="117"/>
      <c r="F14" s="69"/>
    </row>
    <row r="15" spans="1:16" x14ac:dyDescent="0.2">
      <c r="A15" s="117">
        <v>1</v>
      </c>
      <c r="B15" s="116"/>
      <c r="C15" s="119" t="s">
        <v>122</v>
      </c>
      <c r="D15" s="116" t="s">
        <v>70</v>
      </c>
      <c r="E15" s="120">
        <v>2</v>
      </c>
      <c r="F15" s="121"/>
      <c r="G15" s="121"/>
      <c r="H15" s="121"/>
      <c r="I15" s="121"/>
      <c r="J15" s="121"/>
      <c r="K15" s="122"/>
      <c r="L15" s="122"/>
      <c r="M15" s="122"/>
      <c r="N15" s="122"/>
      <c r="O15" s="122"/>
      <c r="P15" s="122"/>
    </row>
    <row r="16" spans="1:16" ht="22.5" x14ac:dyDescent="0.2">
      <c r="A16" s="117">
        <v>2</v>
      </c>
      <c r="B16" s="116" t="s">
        <v>82</v>
      </c>
      <c r="C16" s="119" t="s">
        <v>336</v>
      </c>
      <c r="D16" s="116" t="s">
        <v>27</v>
      </c>
      <c r="E16" s="116">
        <f>E15</f>
        <v>2</v>
      </c>
      <c r="F16" s="121"/>
      <c r="G16" s="121"/>
      <c r="H16" s="121"/>
      <c r="I16" s="121"/>
      <c r="J16" s="121"/>
      <c r="K16" s="122"/>
      <c r="L16" s="122"/>
      <c r="M16" s="122"/>
      <c r="N16" s="122"/>
      <c r="O16" s="122"/>
      <c r="P16" s="122"/>
    </row>
    <row r="17" spans="1:16" x14ac:dyDescent="0.2">
      <c r="A17" s="117">
        <v>3</v>
      </c>
      <c r="B17" s="116" t="str">
        <f>B16</f>
        <v>Dn50</v>
      </c>
      <c r="C17" s="123" t="s">
        <v>473</v>
      </c>
      <c r="D17" s="117" t="s">
        <v>27</v>
      </c>
      <c r="E17" s="116">
        <f>E16</f>
        <v>2</v>
      </c>
      <c r="F17" s="121"/>
      <c r="G17" s="121"/>
      <c r="H17" s="121"/>
      <c r="I17" s="121"/>
      <c r="J17" s="121"/>
      <c r="K17" s="122"/>
      <c r="L17" s="122"/>
      <c r="M17" s="122"/>
      <c r="N17" s="122"/>
      <c r="O17" s="122"/>
      <c r="P17" s="122"/>
    </row>
    <row r="18" spans="1:16" x14ac:dyDescent="0.2">
      <c r="A18" s="117">
        <v>4</v>
      </c>
      <c r="B18" s="116" t="str">
        <f>B17</f>
        <v>Dn50</v>
      </c>
      <c r="C18" s="123" t="s">
        <v>474</v>
      </c>
      <c r="D18" s="117" t="s">
        <v>27</v>
      </c>
      <c r="E18" s="116">
        <f>E17</f>
        <v>2</v>
      </c>
      <c r="F18" s="121"/>
      <c r="G18" s="121"/>
      <c r="H18" s="121"/>
      <c r="I18" s="121"/>
      <c r="J18" s="121"/>
      <c r="K18" s="122"/>
      <c r="L18" s="122"/>
      <c r="M18" s="122"/>
      <c r="N18" s="122"/>
      <c r="O18" s="122"/>
      <c r="P18" s="122"/>
    </row>
    <row r="19" spans="1:16" x14ac:dyDescent="0.2">
      <c r="A19" s="117">
        <v>5</v>
      </c>
      <c r="B19" s="116" t="str">
        <f>B18</f>
        <v>Dn50</v>
      </c>
      <c r="C19" s="123" t="s">
        <v>475</v>
      </c>
      <c r="D19" s="117" t="s">
        <v>27</v>
      </c>
      <c r="E19" s="117">
        <f>E16*2</f>
        <v>4</v>
      </c>
      <c r="F19" s="121"/>
      <c r="G19" s="121"/>
      <c r="H19" s="121"/>
      <c r="I19" s="121"/>
      <c r="J19" s="121"/>
      <c r="K19" s="122"/>
      <c r="L19" s="122"/>
      <c r="M19" s="122"/>
      <c r="N19" s="122"/>
      <c r="O19" s="122"/>
      <c r="P19" s="122"/>
    </row>
    <row r="20" spans="1:16" x14ac:dyDescent="0.2">
      <c r="A20" s="117">
        <v>6</v>
      </c>
      <c r="B20" s="116" t="str">
        <f>B19</f>
        <v>Dn50</v>
      </c>
      <c r="C20" s="119" t="s">
        <v>476</v>
      </c>
      <c r="D20" s="116" t="s">
        <v>27</v>
      </c>
      <c r="E20" s="117">
        <f>E16</f>
        <v>2</v>
      </c>
      <c r="F20" s="121"/>
      <c r="G20" s="121"/>
      <c r="H20" s="121"/>
      <c r="I20" s="121"/>
      <c r="J20" s="121"/>
      <c r="K20" s="122"/>
      <c r="L20" s="122"/>
      <c r="M20" s="122"/>
      <c r="N20" s="122"/>
      <c r="O20" s="122"/>
      <c r="P20" s="122"/>
    </row>
    <row r="21" spans="1:16" x14ac:dyDescent="0.2">
      <c r="A21" s="117">
        <v>7</v>
      </c>
      <c r="B21" s="116" t="str">
        <f>B20</f>
        <v>Dn50</v>
      </c>
      <c r="C21" s="123" t="s">
        <v>477</v>
      </c>
      <c r="D21" s="117" t="s">
        <v>278</v>
      </c>
      <c r="E21" s="117">
        <f>E16</f>
        <v>2</v>
      </c>
      <c r="F21" s="121"/>
      <c r="G21" s="121"/>
      <c r="H21" s="121"/>
      <c r="I21" s="121"/>
      <c r="J21" s="121"/>
      <c r="K21" s="122"/>
      <c r="L21" s="122"/>
      <c r="M21" s="122"/>
      <c r="N21" s="122"/>
      <c r="O21" s="122"/>
      <c r="P21" s="122"/>
    </row>
    <row r="22" spans="1:16" x14ac:dyDescent="0.2">
      <c r="A22" s="117">
        <v>8</v>
      </c>
      <c r="B22" s="117" t="s">
        <v>83</v>
      </c>
      <c r="C22" s="119" t="s">
        <v>478</v>
      </c>
      <c r="D22" s="116" t="s">
        <v>25</v>
      </c>
      <c r="E22" s="116">
        <f>E16*2</f>
        <v>4</v>
      </c>
      <c r="F22" s="121"/>
      <c r="G22" s="121"/>
      <c r="H22" s="121"/>
      <c r="I22" s="121"/>
      <c r="J22" s="121"/>
      <c r="K22" s="122"/>
      <c r="L22" s="122"/>
      <c r="M22" s="122"/>
      <c r="N22" s="122"/>
      <c r="O22" s="122"/>
      <c r="P22" s="122"/>
    </row>
    <row r="23" spans="1:16" x14ac:dyDescent="0.2">
      <c r="A23" s="117">
        <v>9</v>
      </c>
      <c r="B23" s="117" t="s">
        <v>83</v>
      </c>
      <c r="C23" s="119" t="s">
        <v>479</v>
      </c>
      <c r="D23" s="116" t="s">
        <v>27</v>
      </c>
      <c r="E23" s="116">
        <f>E16</f>
        <v>2</v>
      </c>
      <c r="F23" s="121"/>
      <c r="G23" s="121"/>
      <c r="H23" s="121"/>
      <c r="I23" s="121"/>
      <c r="J23" s="121"/>
      <c r="K23" s="122"/>
      <c r="L23" s="122"/>
      <c r="M23" s="122"/>
      <c r="N23" s="122"/>
      <c r="O23" s="122"/>
      <c r="P23" s="122"/>
    </row>
    <row r="24" spans="1:16" ht="22.5" x14ac:dyDescent="0.2">
      <c r="A24" s="117">
        <v>10</v>
      </c>
      <c r="B24" s="117" t="s">
        <v>84</v>
      </c>
      <c r="C24" s="123" t="s">
        <v>480</v>
      </c>
      <c r="D24" s="116" t="s">
        <v>27</v>
      </c>
      <c r="E24" s="116">
        <f>E16</f>
        <v>2</v>
      </c>
      <c r="F24" s="121"/>
      <c r="G24" s="121"/>
      <c r="H24" s="121"/>
      <c r="I24" s="121"/>
      <c r="J24" s="121"/>
      <c r="K24" s="122"/>
      <c r="L24" s="122"/>
      <c r="M24" s="122"/>
      <c r="N24" s="122"/>
      <c r="O24" s="122"/>
      <c r="P24" s="122"/>
    </row>
    <row r="25" spans="1:16" x14ac:dyDescent="0.2">
      <c r="A25" s="117">
        <v>11</v>
      </c>
      <c r="B25" s="117" t="s">
        <v>85</v>
      </c>
      <c r="C25" s="123" t="s">
        <v>481</v>
      </c>
      <c r="D25" s="117" t="s">
        <v>25</v>
      </c>
      <c r="E25" s="117">
        <f>E16*4</f>
        <v>8</v>
      </c>
      <c r="F25" s="121"/>
      <c r="G25" s="121"/>
      <c r="H25" s="121"/>
      <c r="I25" s="121"/>
      <c r="J25" s="121"/>
      <c r="K25" s="122"/>
      <c r="L25" s="122"/>
      <c r="M25" s="122"/>
      <c r="N25" s="122"/>
      <c r="O25" s="122"/>
      <c r="P25" s="122"/>
    </row>
    <row r="26" spans="1:16" x14ac:dyDescent="0.2">
      <c r="A26" s="117">
        <v>12</v>
      </c>
      <c r="B26" s="117" t="s">
        <v>85</v>
      </c>
      <c r="C26" s="123" t="s">
        <v>157</v>
      </c>
      <c r="D26" s="117" t="s">
        <v>27</v>
      </c>
      <c r="E26" s="117">
        <f>E15*2</f>
        <v>4</v>
      </c>
      <c r="F26" s="121"/>
      <c r="G26" s="121"/>
      <c r="H26" s="121"/>
      <c r="I26" s="121"/>
      <c r="J26" s="121"/>
      <c r="K26" s="122"/>
      <c r="L26" s="122"/>
      <c r="M26" s="122"/>
      <c r="N26" s="122"/>
      <c r="O26" s="122"/>
      <c r="P26" s="122"/>
    </row>
    <row r="27" spans="1:16" ht="22.5" x14ac:dyDescent="0.2">
      <c r="A27" s="117">
        <v>13</v>
      </c>
      <c r="B27" s="117"/>
      <c r="C27" s="123" t="s">
        <v>86</v>
      </c>
      <c r="D27" s="117" t="s">
        <v>278</v>
      </c>
      <c r="E27" s="117">
        <f>E16</f>
        <v>2</v>
      </c>
      <c r="F27" s="121"/>
      <c r="G27" s="121"/>
      <c r="H27" s="121"/>
      <c r="I27" s="121"/>
      <c r="J27" s="121"/>
      <c r="K27" s="122"/>
      <c r="L27" s="122"/>
      <c r="M27" s="122"/>
      <c r="N27" s="122"/>
      <c r="O27" s="122"/>
      <c r="P27" s="122"/>
    </row>
    <row r="28" spans="1:16" x14ac:dyDescent="0.2">
      <c r="A28" s="117">
        <v>14</v>
      </c>
      <c r="B28" s="117"/>
      <c r="C28" s="123" t="s">
        <v>87</v>
      </c>
      <c r="D28" s="117" t="s">
        <v>29</v>
      </c>
      <c r="E28" s="117">
        <f>E16*0.5</f>
        <v>1</v>
      </c>
      <c r="F28" s="121"/>
      <c r="G28" s="121"/>
      <c r="H28" s="121"/>
      <c r="I28" s="121"/>
      <c r="J28" s="121"/>
      <c r="K28" s="122"/>
      <c r="L28" s="122"/>
      <c r="M28" s="122"/>
      <c r="N28" s="122"/>
      <c r="O28" s="122"/>
      <c r="P28" s="122"/>
    </row>
    <row r="29" spans="1:16" x14ac:dyDescent="0.2">
      <c r="A29" s="117">
        <v>15</v>
      </c>
      <c r="B29" s="117"/>
      <c r="C29" s="119" t="s">
        <v>482</v>
      </c>
      <c r="D29" s="116" t="s">
        <v>27</v>
      </c>
      <c r="E29" s="116">
        <f>E16</f>
        <v>2</v>
      </c>
      <c r="F29" s="121"/>
      <c r="G29" s="121"/>
      <c r="H29" s="121"/>
      <c r="I29" s="121"/>
      <c r="J29" s="121"/>
      <c r="K29" s="122"/>
      <c r="L29" s="122"/>
      <c r="M29" s="122"/>
      <c r="N29" s="122"/>
      <c r="O29" s="122"/>
      <c r="P29" s="122"/>
    </row>
    <row r="30" spans="1:16" ht="22.5" x14ac:dyDescent="0.2">
      <c r="A30" s="117">
        <v>16</v>
      </c>
      <c r="B30" s="117"/>
      <c r="C30" s="123" t="s">
        <v>88</v>
      </c>
      <c r="D30" s="117" t="s">
        <v>25</v>
      </c>
      <c r="E30" s="117">
        <f>E22</f>
        <v>4</v>
      </c>
      <c r="F30" s="121"/>
      <c r="G30" s="121"/>
      <c r="H30" s="121"/>
      <c r="I30" s="121"/>
      <c r="J30" s="121"/>
      <c r="K30" s="122"/>
      <c r="L30" s="122"/>
      <c r="M30" s="122"/>
      <c r="N30" s="122"/>
      <c r="O30" s="122"/>
      <c r="P30" s="122"/>
    </row>
    <row r="31" spans="1:16" x14ac:dyDescent="0.2">
      <c r="A31" s="117">
        <v>17</v>
      </c>
      <c r="B31" s="117"/>
      <c r="C31" s="123" t="s">
        <v>89</v>
      </c>
      <c r="D31" s="117" t="s">
        <v>25</v>
      </c>
      <c r="E31" s="117">
        <f>E22*2</f>
        <v>8</v>
      </c>
      <c r="F31" s="121"/>
      <c r="G31" s="121"/>
      <c r="H31" s="121"/>
      <c r="I31" s="121"/>
      <c r="J31" s="121"/>
      <c r="K31" s="122"/>
      <c r="L31" s="122"/>
      <c r="M31" s="122"/>
      <c r="N31" s="122"/>
      <c r="O31" s="122"/>
      <c r="P31" s="122"/>
    </row>
    <row r="32" spans="1:16" x14ac:dyDescent="0.2">
      <c r="A32" s="78">
        <v>18</v>
      </c>
      <c r="B32" s="78"/>
      <c r="C32" s="124" t="s">
        <v>90</v>
      </c>
      <c r="D32" s="78" t="s">
        <v>25</v>
      </c>
      <c r="E32" s="78">
        <f>E31</f>
        <v>8</v>
      </c>
      <c r="F32" s="121"/>
      <c r="G32" s="121"/>
      <c r="H32" s="121"/>
      <c r="I32" s="121"/>
      <c r="J32" s="121"/>
      <c r="K32" s="122"/>
      <c r="L32" s="122"/>
      <c r="M32" s="122"/>
      <c r="N32" s="122"/>
      <c r="O32" s="122"/>
      <c r="P32" s="122"/>
    </row>
    <row r="33" spans="1:17" x14ac:dyDescent="0.2">
      <c r="A33" s="78">
        <v>19</v>
      </c>
      <c r="B33" s="78"/>
      <c r="C33" s="124" t="s">
        <v>91</v>
      </c>
      <c r="D33" s="78" t="s">
        <v>61</v>
      </c>
      <c r="E33" s="78">
        <f>E30*0.2*1.5</f>
        <v>1.2000000000000002</v>
      </c>
      <c r="F33" s="121"/>
      <c r="G33" s="121"/>
      <c r="H33" s="121"/>
      <c r="I33" s="121"/>
      <c r="J33" s="121"/>
      <c r="K33" s="122"/>
      <c r="L33" s="122"/>
      <c r="M33" s="122"/>
      <c r="N33" s="122"/>
      <c r="O33" s="122"/>
      <c r="P33" s="122"/>
    </row>
    <row r="34" spans="1:17" x14ac:dyDescent="0.2">
      <c r="A34" s="78">
        <v>20</v>
      </c>
      <c r="B34" s="78"/>
      <c r="C34" s="125" t="s">
        <v>483</v>
      </c>
      <c r="D34" s="74" t="s">
        <v>92</v>
      </c>
      <c r="E34" s="74">
        <f>E16</f>
        <v>2</v>
      </c>
      <c r="F34" s="121"/>
      <c r="G34" s="121"/>
      <c r="H34" s="121"/>
      <c r="I34" s="121"/>
      <c r="J34" s="121"/>
      <c r="K34" s="122"/>
      <c r="L34" s="122"/>
      <c r="M34" s="122"/>
      <c r="N34" s="122"/>
      <c r="O34" s="122"/>
      <c r="P34" s="122"/>
    </row>
    <row r="35" spans="1:17" x14ac:dyDescent="0.2">
      <c r="A35" s="78">
        <v>21</v>
      </c>
      <c r="B35" s="78"/>
      <c r="C35" s="124" t="s">
        <v>93</v>
      </c>
      <c r="D35" s="78" t="s">
        <v>278</v>
      </c>
      <c r="E35" s="78">
        <f>E16</f>
        <v>2</v>
      </c>
      <c r="F35" s="121"/>
      <c r="G35" s="121"/>
      <c r="H35" s="121"/>
      <c r="I35" s="121"/>
      <c r="J35" s="121"/>
      <c r="K35" s="122"/>
      <c r="L35" s="122"/>
      <c r="M35" s="122"/>
      <c r="N35" s="122"/>
      <c r="O35" s="122"/>
      <c r="P35" s="122"/>
    </row>
    <row r="36" spans="1:17" x14ac:dyDescent="0.2">
      <c r="A36" s="117">
        <v>22</v>
      </c>
      <c r="B36" s="117"/>
      <c r="C36" s="123" t="s">
        <v>94</v>
      </c>
      <c r="D36" s="117" t="s">
        <v>278</v>
      </c>
      <c r="E36" s="117">
        <f>E35</f>
        <v>2</v>
      </c>
      <c r="F36" s="121"/>
      <c r="G36" s="121"/>
      <c r="H36" s="121"/>
      <c r="I36" s="121"/>
      <c r="J36" s="121"/>
      <c r="K36" s="122"/>
      <c r="L36" s="122"/>
      <c r="M36" s="122"/>
      <c r="N36" s="122"/>
      <c r="O36" s="122"/>
      <c r="P36" s="122"/>
    </row>
    <row r="37" spans="1:17" x14ac:dyDescent="0.2">
      <c r="A37" s="117">
        <v>23</v>
      </c>
      <c r="B37" s="117"/>
      <c r="C37" s="123" t="s">
        <v>337</v>
      </c>
      <c r="D37" s="117" t="s">
        <v>278</v>
      </c>
      <c r="E37" s="117">
        <f>E36</f>
        <v>2</v>
      </c>
      <c r="F37" s="121"/>
      <c r="G37" s="121"/>
      <c r="H37" s="121"/>
      <c r="I37" s="121"/>
      <c r="J37" s="121"/>
      <c r="K37" s="122"/>
      <c r="L37" s="122"/>
      <c r="M37" s="122"/>
      <c r="N37" s="122"/>
      <c r="O37" s="122"/>
      <c r="P37" s="122"/>
    </row>
    <row r="38" spans="1:17" x14ac:dyDescent="0.2">
      <c r="A38" s="117">
        <v>24</v>
      </c>
      <c r="B38" s="117"/>
      <c r="C38" s="123" t="s">
        <v>95</v>
      </c>
      <c r="D38" s="117" t="s">
        <v>29</v>
      </c>
      <c r="E38" s="117">
        <f>E16*3</f>
        <v>6</v>
      </c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</row>
    <row r="39" spans="1:17" x14ac:dyDescent="0.2">
      <c r="A39" s="117">
        <v>25</v>
      </c>
      <c r="B39" s="117"/>
      <c r="C39" s="123" t="s">
        <v>96</v>
      </c>
      <c r="D39" s="117" t="s">
        <v>278</v>
      </c>
      <c r="E39" s="117">
        <f>E16</f>
        <v>2</v>
      </c>
      <c r="F39" s="121"/>
      <c r="G39" s="121"/>
      <c r="H39" s="121"/>
      <c r="I39" s="121"/>
      <c r="J39" s="121"/>
      <c r="K39" s="122"/>
      <c r="L39" s="122"/>
      <c r="M39" s="122"/>
      <c r="N39" s="122"/>
      <c r="O39" s="122"/>
      <c r="P39" s="122"/>
    </row>
    <row r="40" spans="1:17" x14ac:dyDescent="0.2">
      <c r="A40" s="117">
        <v>26</v>
      </c>
      <c r="B40" s="117"/>
      <c r="C40" s="123" t="s">
        <v>97</v>
      </c>
      <c r="D40" s="117" t="s">
        <v>278</v>
      </c>
      <c r="E40" s="117">
        <f>E39</f>
        <v>2</v>
      </c>
      <c r="F40" s="121"/>
      <c r="G40" s="121"/>
      <c r="H40" s="121"/>
      <c r="I40" s="121"/>
      <c r="J40" s="121"/>
      <c r="K40" s="122"/>
      <c r="L40" s="122"/>
      <c r="M40" s="122"/>
      <c r="N40" s="122"/>
      <c r="O40" s="122"/>
      <c r="P40" s="122"/>
    </row>
    <row r="41" spans="1:17" ht="22.5" x14ac:dyDescent="0.2">
      <c r="A41" s="117">
        <v>27</v>
      </c>
      <c r="B41" s="117" t="s">
        <v>82</v>
      </c>
      <c r="C41" s="123" t="s">
        <v>295</v>
      </c>
      <c r="D41" s="117" t="s">
        <v>27</v>
      </c>
      <c r="E41" s="117">
        <f>E40</f>
        <v>2</v>
      </c>
      <c r="F41" s="121"/>
      <c r="G41" s="121"/>
      <c r="H41" s="121"/>
      <c r="I41" s="121"/>
      <c r="J41" s="121"/>
      <c r="K41" s="122"/>
      <c r="L41" s="122"/>
      <c r="M41" s="122"/>
      <c r="N41" s="122"/>
      <c r="O41" s="122"/>
      <c r="P41" s="122"/>
    </row>
    <row r="42" spans="1:17" x14ac:dyDescent="0.2">
      <c r="A42" s="117">
        <v>28</v>
      </c>
      <c r="B42" s="117" t="s">
        <v>82</v>
      </c>
      <c r="C42" s="123" t="s">
        <v>484</v>
      </c>
      <c r="D42" s="117" t="s">
        <v>27</v>
      </c>
      <c r="E42" s="117">
        <f>E41</f>
        <v>2</v>
      </c>
      <c r="F42" s="126"/>
      <c r="G42" s="126"/>
      <c r="H42" s="126"/>
      <c r="I42" s="126"/>
      <c r="J42" s="126"/>
      <c r="K42" s="127"/>
      <c r="L42" s="127"/>
      <c r="M42" s="127"/>
      <c r="N42" s="127"/>
      <c r="O42" s="127"/>
      <c r="P42" s="127"/>
    </row>
    <row r="43" spans="1:17" x14ac:dyDescent="0.2">
      <c r="A43" s="65"/>
      <c r="B43" s="69"/>
      <c r="C43" s="318" t="s">
        <v>156</v>
      </c>
      <c r="D43" s="319"/>
      <c r="E43" s="320"/>
      <c r="F43" s="320"/>
      <c r="G43" s="321"/>
      <c r="H43" s="321"/>
      <c r="I43" s="321"/>
      <c r="J43" s="321"/>
      <c r="K43" s="321"/>
      <c r="L43" s="69"/>
      <c r="M43" s="322"/>
      <c r="N43" s="322"/>
      <c r="O43" s="322"/>
      <c r="P43" s="322"/>
      <c r="Q43" s="322"/>
    </row>
    <row r="44" spans="1:17" x14ac:dyDescent="0.2">
      <c r="A44" s="68"/>
      <c r="B44" s="69"/>
      <c r="C44" s="323"/>
      <c r="D44" s="323"/>
      <c r="E44" s="323"/>
      <c r="F44" s="323"/>
      <c r="G44" s="323"/>
      <c r="H44" s="323"/>
      <c r="I44" s="69"/>
      <c r="J44" s="69"/>
      <c r="K44" s="69"/>
      <c r="L44" s="69"/>
      <c r="M44" s="69"/>
      <c r="N44" s="69"/>
      <c r="O44" s="69"/>
      <c r="P44" s="69"/>
      <c r="Q44" s="69"/>
    </row>
    <row r="45" spans="1:17" x14ac:dyDescent="0.2">
      <c r="A45" s="69"/>
      <c r="B45" s="69"/>
      <c r="C45" s="324" t="str">
        <f>[2]KPDV!$B$31</f>
        <v>Sastādīja:</v>
      </c>
      <c r="D45" s="325"/>
      <c r="E45" s="326"/>
      <c r="F45" s="326"/>
      <c r="G45" s="323"/>
      <c r="H45" s="323"/>
      <c r="I45" s="69"/>
      <c r="J45" s="69"/>
      <c r="K45" s="69"/>
      <c r="L45" s="69"/>
      <c r="M45" s="69"/>
      <c r="N45" s="69"/>
      <c r="O45" s="69"/>
      <c r="P45" s="69"/>
      <c r="Q45" s="69"/>
    </row>
    <row r="46" spans="1:17" x14ac:dyDescent="0.2">
      <c r="A46" s="69"/>
      <c r="B46" s="69"/>
      <c r="C46" s="324" t="str">
        <f>[2]KPDV!$B$32</f>
        <v>Tāme sastādīta</v>
      </c>
      <c r="D46" s="327"/>
      <c r="E46" s="314"/>
      <c r="F46" s="314"/>
      <c r="G46" s="323"/>
      <c r="H46" s="323"/>
      <c r="I46" s="69"/>
      <c r="J46" s="69"/>
      <c r="K46" s="69"/>
      <c r="L46" s="69"/>
      <c r="M46" s="69"/>
      <c r="N46" s="69"/>
      <c r="O46" s="69"/>
      <c r="P46" s="69"/>
      <c r="Q46" s="69"/>
    </row>
    <row r="47" spans="1:17" x14ac:dyDescent="0.2">
      <c r="A47" s="69"/>
      <c r="B47" s="69"/>
      <c r="C47" s="324"/>
      <c r="D47" s="327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69"/>
    </row>
    <row r="48" spans="1:17" x14ac:dyDescent="0.2">
      <c r="A48" s="69"/>
      <c r="B48" s="69"/>
      <c r="C48" s="324" t="str">
        <f>[2]KPDV!$B$34</f>
        <v>Pārbaudīja:</v>
      </c>
      <c r="D48" s="325"/>
      <c r="E48" s="326"/>
      <c r="F48" s="326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69"/>
    </row>
    <row r="49" spans="1:17" x14ac:dyDescent="0.2">
      <c r="A49" s="69"/>
      <c r="B49" s="69"/>
      <c r="C49" s="324" t="str">
        <f>[2]KPDV!$B$35</f>
        <v>Sertifikāta Nr.:</v>
      </c>
      <c r="D49" s="325"/>
      <c r="E49" s="328"/>
      <c r="F49" s="328"/>
      <c r="G49" s="327"/>
      <c r="H49" s="327"/>
      <c r="I49" s="327"/>
      <c r="J49" s="327"/>
      <c r="K49" s="327"/>
      <c r="L49" s="327"/>
      <c r="M49" s="329"/>
      <c r="N49" s="327"/>
      <c r="O49" s="329"/>
      <c r="P49" s="327"/>
      <c r="Q49" s="69"/>
    </row>
    <row r="50" spans="1:17" x14ac:dyDescent="0.2">
      <c r="A50" s="69"/>
      <c r="B50" s="69"/>
      <c r="C50" s="69"/>
      <c r="D50" s="69"/>
      <c r="E50" s="69"/>
      <c r="F50" s="69"/>
      <c r="G50" s="69"/>
      <c r="H50" s="69"/>
      <c r="I50" s="134"/>
      <c r="J50" s="135"/>
      <c r="K50" s="135"/>
      <c r="L50" s="69"/>
      <c r="M50" s="69"/>
      <c r="N50" s="69"/>
      <c r="O50" s="135"/>
      <c r="P50" s="135"/>
      <c r="Q50" s="69"/>
    </row>
    <row r="51" spans="1:17" ht="12.75" x14ac:dyDescent="0.2">
      <c r="A51" s="69"/>
      <c r="B51" s="330" t="s">
        <v>400</v>
      </c>
      <c r="C51" s="331"/>
      <c r="D51" s="332"/>
      <c r="E51" s="332"/>
      <c r="F51" s="332"/>
      <c r="G51" s="333"/>
      <c r="H51" s="332"/>
      <c r="I51" s="332"/>
      <c r="J51" s="332"/>
      <c r="K51" s="332"/>
      <c r="L51" s="332"/>
      <c r="M51" s="332"/>
      <c r="N51" s="332"/>
      <c r="O51" s="332"/>
      <c r="P51" s="332"/>
      <c r="Q51" s="332"/>
    </row>
    <row r="52" spans="1:17" x14ac:dyDescent="0.2">
      <c r="A52" s="69"/>
      <c r="B52" s="334" t="s">
        <v>401</v>
      </c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x14ac:dyDescent="0.2">
      <c r="A53" s="69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ht="27" customHeight="1" x14ac:dyDescent="0.2">
      <c r="A54" s="69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x14ac:dyDescent="0.2">
      <c r="A55" s="69"/>
      <c r="B55" s="69"/>
      <c r="C55" s="69"/>
      <c r="D55" s="69"/>
      <c r="E55" s="69"/>
    </row>
    <row r="56" spans="1:17" x14ac:dyDescent="0.2">
      <c r="A56" s="69"/>
      <c r="B56" s="69"/>
      <c r="C56" s="69"/>
      <c r="D56" s="69"/>
      <c r="E56" s="69"/>
    </row>
    <row r="57" spans="1:17" x14ac:dyDescent="0.2">
      <c r="A57" s="69"/>
      <c r="B57" s="69"/>
      <c r="C57" s="69"/>
      <c r="D57" s="69"/>
      <c r="E57" s="69"/>
    </row>
  </sheetData>
  <mergeCells count="10">
    <mergeCell ref="B52:Q54"/>
    <mergeCell ref="A1:F1"/>
    <mergeCell ref="A9:O9"/>
    <mergeCell ref="A11:A12"/>
    <mergeCell ref="B11:B12"/>
    <mergeCell ref="C11:C12"/>
    <mergeCell ref="D11:D12"/>
    <mergeCell ref="E11:E12"/>
    <mergeCell ref="F11:K11"/>
    <mergeCell ref="L11:P11"/>
  </mergeCells>
  <pageMargins left="0.7" right="0.7" top="0.75" bottom="0.75" header="0.3" footer="0.3"/>
  <pageSetup paperSize="9" scale="78" firstPageNumber="0" fitToHeight="0" orientation="landscape" r:id="rId1"/>
  <rowBreaks count="2" manualBreakCount="2">
    <brk id="42" max="15" man="1"/>
    <brk id="55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34"/>
  <sheetViews>
    <sheetView view="pageBreakPreview" zoomScale="115" zoomScaleNormal="130" zoomScaleSheetLayoutView="115" zoomScalePageLayoutView="115" workbookViewId="0">
      <selection activeCell="D30" sqref="D30"/>
    </sheetView>
  </sheetViews>
  <sheetFormatPr defaultColWidth="9" defaultRowHeight="11.25" x14ac:dyDescent="0.2"/>
  <cols>
    <col min="1" max="1" width="19.28515625" style="66" customWidth="1"/>
    <col min="2" max="2" width="34.140625" style="66"/>
    <col min="3" max="7" width="12.140625" style="66"/>
    <col min="8" max="8" width="3.42578125" style="203"/>
    <col min="9" max="14" width="8.140625" style="66"/>
    <col min="15" max="15" width="4.7109375" style="66"/>
    <col min="16" max="17" width="8.140625" style="66"/>
    <col min="18" max="18" width="6.42578125" style="66"/>
    <col min="19" max="1025" width="8.140625" style="66"/>
    <col min="1026" max="16384" width="9" style="66"/>
  </cols>
  <sheetData>
    <row r="1" spans="1:8" s="61" customFormat="1" x14ac:dyDescent="0.25">
      <c r="A1" s="296" t="s">
        <v>349</v>
      </c>
      <c r="B1" s="296"/>
      <c r="C1" s="296"/>
      <c r="D1" s="296"/>
      <c r="E1" s="296"/>
      <c r="F1" s="296"/>
      <c r="G1" s="296"/>
    </row>
    <row r="2" spans="1:8" s="63" customFormat="1" x14ac:dyDescent="0.25">
      <c r="A2" s="236" t="s">
        <v>0</v>
      </c>
      <c r="B2" s="236"/>
      <c r="C2" s="236"/>
      <c r="D2" s="236"/>
      <c r="E2" s="236"/>
      <c r="F2" s="236"/>
      <c r="G2" s="236"/>
    </row>
    <row r="3" spans="1:8" s="63" customFormat="1" x14ac:dyDescent="0.25">
      <c r="A3" s="109" t="s">
        <v>1</v>
      </c>
      <c r="B3" s="109"/>
      <c r="C3" s="109"/>
      <c r="D3" s="109"/>
      <c r="E3" s="109"/>
      <c r="F3" s="109"/>
      <c r="G3" s="109"/>
    </row>
    <row r="4" spans="1:8" x14ac:dyDescent="0.2">
      <c r="A4" s="109" t="str">
        <f>k!A10</f>
        <v>Objekta nosaukums: Dzīvojamas ēkas fasādes vienkāršota atjaunošana</v>
      </c>
      <c r="B4" s="109"/>
      <c r="C4" s="109"/>
      <c r="D4" s="109"/>
      <c r="E4" s="109"/>
      <c r="F4" s="109"/>
      <c r="G4" s="109"/>
      <c r="H4" s="66"/>
    </row>
    <row r="5" spans="1:8" x14ac:dyDescent="0.2">
      <c r="A5" s="233" t="str">
        <f>k!A12</f>
        <v>Objekta adrese: Eduarda Tisē ielā 50, Liepājā</v>
      </c>
      <c r="B5" s="69"/>
      <c r="C5" s="63"/>
      <c r="D5" s="69"/>
      <c r="E5" s="69"/>
      <c r="F5" s="69"/>
      <c r="G5" s="69"/>
      <c r="H5" s="66"/>
    </row>
    <row r="6" spans="1:8" x14ac:dyDescent="0.2">
      <c r="A6" s="64" t="s">
        <v>165</v>
      </c>
      <c r="B6" s="69"/>
      <c r="C6" s="63"/>
      <c r="D6" s="69"/>
      <c r="E6" s="69"/>
      <c r="F6" s="69"/>
      <c r="G6" s="69"/>
      <c r="H6" s="66"/>
    </row>
    <row r="7" spans="1:8" x14ac:dyDescent="0.2">
      <c r="A7" s="64" t="s">
        <v>2</v>
      </c>
      <c r="B7" s="110"/>
      <c r="C7" s="110"/>
      <c r="D7" s="110"/>
      <c r="E7" s="110"/>
      <c r="F7" s="110"/>
      <c r="G7" s="110"/>
      <c r="H7" s="66"/>
    </row>
    <row r="8" spans="1:8" x14ac:dyDescent="0.2">
      <c r="A8" s="237" t="s">
        <v>3</v>
      </c>
      <c r="B8" s="237"/>
      <c r="C8" s="237"/>
      <c r="D8" s="222">
        <f>C28</f>
        <v>0</v>
      </c>
      <c r="E8" s="69"/>
      <c r="F8" s="223"/>
      <c r="G8" s="224"/>
      <c r="H8" s="66"/>
    </row>
    <row r="9" spans="1:8" x14ac:dyDescent="0.2">
      <c r="A9" s="237" t="s">
        <v>4</v>
      </c>
      <c r="B9" s="237"/>
      <c r="C9" s="237"/>
      <c r="D9" s="222">
        <f>G22</f>
        <v>0</v>
      </c>
      <c r="E9" s="69"/>
      <c r="F9" s="69"/>
      <c r="G9" s="69"/>
      <c r="H9" s="66"/>
    </row>
    <row r="10" spans="1:8" ht="12" thickBot="1" x14ac:dyDescent="0.25">
      <c r="A10" s="69"/>
      <c r="B10" s="69" t="s">
        <v>367</v>
      </c>
      <c r="C10" s="65"/>
      <c r="D10" s="69"/>
      <c r="E10" s="69"/>
      <c r="F10" s="69"/>
      <c r="G10" s="69"/>
      <c r="H10" s="66"/>
    </row>
    <row r="11" spans="1:8" ht="10.15" customHeight="1" thickBot="1" x14ac:dyDescent="0.25">
      <c r="A11" s="238" t="s">
        <v>5</v>
      </c>
      <c r="B11" s="238" t="s">
        <v>6</v>
      </c>
      <c r="C11" s="297" t="s">
        <v>354</v>
      </c>
      <c r="D11" s="298" t="s">
        <v>8</v>
      </c>
      <c r="E11" s="299"/>
      <c r="F11" s="300"/>
      <c r="G11" s="301" t="s">
        <v>7</v>
      </c>
      <c r="H11" s="69"/>
    </row>
    <row r="12" spans="1:8" ht="23.25" thickBot="1" x14ac:dyDescent="0.25">
      <c r="A12" s="238"/>
      <c r="B12" s="238"/>
      <c r="C12" s="302"/>
      <c r="D12" s="303" t="s">
        <v>355</v>
      </c>
      <c r="E12" s="303" t="s">
        <v>356</v>
      </c>
      <c r="F12" s="303" t="s">
        <v>357</v>
      </c>
      <c r="G12" s="304"/>
      <c r="H12" s="69"/>
    </row>
    <row r="13" spans="1:8" x14ac:dyDescent="0.2">
      <c r="A13" s="117">
        <v>1</v>
      </c>
      <c r="B13" s="119" t="str">
        <f>AR!A2</f>
        <v>Ārsienu siltināšanas darbi</v>
      </c>
      <c r="C13" s="225"/>
      <c r="D13" s="225"/>
      <c r="E13" s="225"/>
      <c r="F13" s="225"/>
      <c r="G13" s="225"/>
      <c r="H13" s="69"/>
    </row>
    <row r="14" spans="1:8" x14ac:dyDescent="0.2">
      <c r="A14" s="117">
        <f t="shared" ref="A14:A21" si="0">A13+1</f>
        <v>2</v>
      </c>
      <c r="B14" s="119" t="str">
        <f>Logi!C2</f>
        <v>Logu un durvju nomaiņa</v>
      </c>
      <c r="C14" s="225"/>
      <c r="D14" s="225"/>
      <c r="E14" s="225"/>
      <c r="F14" s="225"/>
      <c r="G14" s="225"/>
      <c r="H14" s="69"/>
    </row>
    <row r="15" spans="1:8" x14ac:dyDescent="0.2">
      <c r="A15" s="117">
        <f t="shared" si="0"/>
        <v>3</v>
      </c>
      <c r="B15" s="123" t="str">
        <f>pagrabs!C2</f>
        <v>Pagraba siltināšana</v>
      </c>
      <c r="C15" s="225"/>
      <c r="D15" s="225"/>
      <c r="E15" s="225"/>
      <c r="F15" s="225"/>
      <c r="G15" s="225"/>
      <c r="H15" s="69"/>
    </row>
    <row r="16" spans="1:8" x14ac:dyDescent="0.2">
      <c r="A16" s="117">
        <f t="shared" si="0"/>
        <v>4</v>
      </c>
      <c r="B16" s="123" t="str">
        <f>cokols!C2</f>
        <v>Cokola siltināšanas darbi</v>
      </c>
      <c r="C16" s="225"/>
      <c r="D16" s="225"/>
      <c r="E16" s="225"/>
      <c r="F16" s="225"/>
      <c r="G16" s="225"/>
      <c r="H16" s="69"/>
    </row>
    <row r="17" spans="1:8" x14ac:dyDescent="0.2">
      <c r="A17" s="117">
        <f t="shared" si="0"/>
        <v>5</v>
      </c>
      <c r="B17" s="123" t="str">
        <f>BK!C2</f>
        <v>Būvkonstrukcijas</v>
      </c>
      <c r="C17" s="225"/>
      <c r="D17" s="225"/>
      <c r="E17" s="225"/>
      <c r="F17" s="225"/>
      <c r="G17" s="225"/>
      <c r="H17" s="69"/>
    </row>
    <row r="18" spans="1:8" x14ac:dyDescent="0.2">
      <c r="A18" s="117">
        <f t="shared" si="0"/>
        <v>6</v>
      </c>
      <c r="B18" s="123" t="str">
        <f>jumts!C2</f>
        <v>Jumta atjaunošana</v>
      </c>
      <c r="C18" s="225"/>
      <c r="D18" s="225"/>
      <c r="E18" s="225"/>
      <c r="F18" s="225"/>
      <c r="G18" s="225"/>
      <c r="H18" s="69"/>
    </row>
    <row r="19" spans="1:8" x14ac:dyDescent="0.2">
      <c r="A19" s="117">
        <f t="shared" si="0"/>
        <v>7</v>
      </c>
      <c r="B19" s="123" t="str">
        <f>ieejas!C2</f>
        <v>Ieejas mezglu atjaunošana</v>
      </c>
      <c r="C19" s="225"/>
      <c r="D19" s="225"/>
      <c r="E19" s="225"/>
      <c r="F19" s="225"/>
      <c r="G19" s="225"/>
      <c r="H19" s="69"/>
    </row>
    <row r="20" spans="1:8" x14ac:dyDescent="0.2">
      <c r="A20" s="117">
        <f t="shared" si="0"/>
        <v>8</v>
      </c>
      <c r="B20" s="123" t="str">
        <f>AVK!C2</f>
        <v>Apkures sistēmas atjaunošana</v>
      </c>
      <c r="C20" s="225"/>
      <c r="D20" s="225"/>
      <c r="E20" s="225"/>
      <c r="F20" s="225"/>
      <c r="G20" s="225"/>
      <c r="H20" s="69"/>
    </row>
    <row r="21" spans="1:8" x14ac:dyDescent="0.2">
      <c r="A21" s="117">
        <f t="shared" si="0"/>
        <v>9</v>
      </c>
      <c r="B21" s="123" t="str">
        <f>GA!C2</f>
        <v>Gāzes apgādes sistēmas atjaunošana</v>
      </c>
      <c r="C21" s="225"/>
      <c r="D21" s="225"/>
      <c r="E21" s="225"/>
      <c r="F21" s="225"/>
      <c r="G21" s="225"/>
      <c r="H21" s="69"/>
    </row>
    <row r="22" spans="1:8" x14ac:dyDescent="0.2">
      <c r="A22" s="305"/>
      <c r="B22" s="306" t="s">
        <v>358</v>
      </c>
      <c r="C22" s="226"/>
      <c r="D22" s="226"/>
      <c r="E22" s="226"/>
      <c r="F22" s="226"/>
      <c r="G22" s="226"/>
      <c r="H22" s="69"/>
    </row>
    <row r="23" spans="1:8" x14ac:dyDescent="0.2">
      <c r="A23" s="307" t="s">
        <v>359</v>
      </c>
      <c r="B23" s="308" t="s">
        <v>360</v>
      </c>
      <c r="C23" s="227"/>
      <c r="D23" s="227"/>
      <c r="E23" s="227"/>
      <c r="F23" s="227"/>
      <c r="G23" s="227"/>
      <c r="H23" s="69"/>
    </row>
    <row r="24" spans="1:8" x14ac:dyDescent="0.2">
      <c r="A24" s="309" t="s">
        <v>361</v>
      </c>
      <c r="B24" s="308"/>
      <c r="C24" s="63"/>
      <c r="D24" s="69"/>
      <c r="E24" s="61"/>
      <c r="F24" s="228"/>
      <c r="G24" s="229"/>
      <c r="H24" s="69"/>
    </row>
    <row r="25" spans="1:8" x14ac:dyDescent="0.2">
      <c r="A25" s="307" t="s">
        <v>362</v>
      </c>
      <c r="B25" s="308" t="s">
        <v>360</v>
      </c>
      <c r="C25" s="63"/>
      <c r="D25" s="69"/>
      <c r="E25" s="61"/>
      <c r="F25" s="228"/>
      <c r="G25" s="229"/>
      <c r="H25" s="69"/>
    </row>
    <row r="26" spans="1:8" x14ac:dyDescent="0.2">
      <c r="A26" s="307" t="s">
        <v>363</v>
      </c>
      <c r="B26" s="308"/>
      <c r="C26" s="63"/>
      <c r="D26" s="69"/>
      <c r="E26" s="61"/>
      <c r="F26" s="228"/>
      <c r="G26" s="229"/>
      <c r="H26" s="69"/>
    </row>
    <row r="27" spans="1:8" x14ac:dyDescent="0.2">
      <c r="A27" s="307" t="s">
        <v>364</v>
      </c>
      <c r="B27" s="310">
        <v>0.02</v>
      </c>
      <c r="C27" s="63"/>
      <c r="D27" s="69"/>
      <c r="E27" s="61"/>
      <c r="F27" s="65"/>
      <c r="G27" s="230"/>
      <c r="H27" s="69"/>
    </row>
    <row r="28" spans="1:8" x14ac:dyDescent="0.2">
      <c r="A28" s="311" t="s">
        <v>365</v>
      </c>
      <c r="B28" s="308"/>
      <c r="C28" s="63"/>
      <c r="D28" s="69"/>
      <c r="E28" s="107"/>
      <c r="F28" s="231"/>
      <c r="G28" s="232"/>
      <c r="H28" s="69"/>
    </row>
    <row r="29" spans="1:8" x14ac:dyDescent="0.2">
      <c r="A29" s="312"/>
      <c r="B29" s="313"/>
      <c r="C29" s="63"/>
      <c r="D29" s="63"/>
      <c r="E29" s="107"/>
      <c r="F29" s="67"/>
      <c r="G29" s="232"/>
      <c r="H29" s="69"/>
    </row>
    <row r="30" spans="1:8" x14ac:dyDescent="0.2">
      <c r="A30" s="314"/>
      <c r="B30" s="315" t="s">
        <v>347</v>
      </c>
      <c r="C30" s="63"/>
      <c r="D30" s="69"/>
      <c r="E30" s="69"/>
      <c r="F30" s="108"/>
      <c r="G30" s="222"/>
      <c r="H30" s="69"/>
    </row>
    <row r="31" spans="1:8" x14ac:dyDescent="0.2">
      <c r="A31" s="314"/>
      <c r="B31" s="316" t="s">
        <v>342</v>
      </c>
      <c r="C31" s="63"/>
      <c r="D31" s="69"/>
      <c r="E31" s="69"/>
      <c r="F31" s="108"/>
      <c r="G31" s="222"/>
      <c r="H31" s="69"/>
    </row>
    <row r="32" spans="1:8" ht="15" x14ac:dyDescent="0.25">
      <c r="A32" s="314"/>
      <c r="B32" s="317"/>
      <c r="C32" s="63"/>
      <c r="D32" s="69"/>
      <c r="E32" s="69"/>
      <c r="F32" s="69"/>
      <c r="G32" s="69"/>
    </row>
    <row r="33" spans="1:7" x14ac:dyDescent="0.2">
      <c r="A33" s="314"/>
      <c r="B33" s="315" t="s">
        <v>10</v>
      </c>
      <c r="C33" s="63"/>
      <c r="D33" s="69"/>
      <c r="E33" s="69"/>
      <c r="F33" s="69"/>
      <c r="G33" s="69"/>
    </row>
    <row r="34" spans="1:7" x14ac:dyDescent="0.2">
      <c r="A34" s="314"/>
      <c r="B34" s="315" t="s">
        <v>348</v>
      </c>
      <c r="C34" s="63"/>
      <c r="D34" s="69"/>
      <c r="E34" s="69"/>
      <c r="F34" s="69"/>
      <c r="G34" s="69"/>
    </row>
  </sheetData>
  <mergeCells count="9">
    <mergeCell ref="A1:G1"/>
    <mergeCell ref="A2:G2"/>
    <mergeCell ref="A8:C8"/>
    <mergeCell ref="A9:C9"/>
    <mergeCell ref="A11:A12"/>
    <mergeCell ref="B11:B12"/>
    <mergeCell ref="C11:C12"/>
    <mergeCell ref="D11:F11"/>
    <mergeCell ref="G11:G12"/>
  </mergeCells>
  <pageMargins left="0.7" right="0.7" top="0.75" bottom="0.75" header="0.3" footer="0.3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102"/>
  <sheetViews>
    <sheetView topLeftCell="A79" zoomScale="115" zoomScaleNormal="115" zoomScaleSheetLayoutView="100" zoomScalePageLayoutView="150" workbookViewId="0">
      <selection activeCell="Q88" sqref="Q88"/>
    </sheetView>
  </sheetViews>
  <sheetFormatPr defaultColWidth="9" defaultRowHeight="11.25" x14ac:dyDescent="0.2"/>
  <cols>
    <col min="1" max="1" width="4.5703125" style="66" customWidth="1"/>
    <col min="2" max="2" width="7" style="66" customWidth="1"/>
    <col min="3" max="3" width="39.28515625" style="104" bestFit="1" customWidth="1"/>
    <col min="4" max="4" width="6.42578125" style="66" bestFit="1" customWidth="1"/>
    <col min="5" max="5" width="7.28515625" style="66" bestFit="1" customWidth="1"/>
    <col min="6" max="6" width="4.5703125" style="66" hidden="1" customWidth="1"/>
    <col min="7" max="10" width="6.42578125" style="66" customWidth="1"/>
    <col min="11" max="12" width="7.28515625" style="66" customWidth="1"/>
    <col min="13" max="13" width="8.85546875" style="66" customWidth="1"/>
    <col min="14" max="14" width="9.28515625" style="66" customWidth="1"/>
    <col min="15" max="15" width="8.28515625" style="66" customWidth="1"/>
    <col min="16" max="16" width="9.7109375" style="66" customWidth="1"/>
    <col min="17" max="17" width="8.85546875" style="66" customWidth="1"/>
    <col min="18" max="1007" width="8.140625" style="66"/>
    <col min="1008" max="16384" width="9" style="66"/>
  </cols>
  <sheetData>
    <row r="1" spans="1:17" s="61" customFormat="1" x14ac:dyDescent="0.25">
      <c r="B1" s="108"/>
      <c r="C1" s="108"/>
      <c r="D1" s="108"/>
      <c r="E1" s="108"/>
      <c r="F1" s="108"/>
      <c r="G1" s="108" t="s">
        <v>11</v>
      </c>
      <c r="H1" s="171">
        <f>KPDV!A13</f>
        <v>1</v>
      </c>
      <c r="I1" s="108"/>
      <c r="J1" s="108"/>
      <c r="K1" s="108"/>
      <c r="L1" s="108"/>
    </row>
    <row r="2" spans="1:17" s="63" customFormat="1" x14ac:dyDescent="0.25">
      <c r="A2" s="236" t="s">
        <v>12</v>
      </c>
      <c r="B2" s="236"/>
      <c r="C2" s="236"/>
      <c r="D2" s="236"/>
      <c r="E2" s="236"/>
      <c r="F2" s="109"/>
      <c r="G2" s="109"/>
      <c r="H2" s="172"/>
      <c r="I2" s="109"/>
      <c r="J2" s="109"/>
      <c r="K2" s="109"/>
      <c r="L2" s="109"/>
    </row>
    <row r="3" spans="1:17" s="63" customFormat="1" x14ac:dyDescent="0.25">
      <c r="A3" s="63" t="str">
        <f>KPDV!A3</f>
        <v>Būves nosaukums: Daudzdzīvokļu dzīvojamās mājas fasādes vienkāršotā atjaunošana</v>
      </c>
    </row>
    <row r="4" spans="1:17" s="63" customFormat="1" x14ac:dyDescent="0.25">
      <c r="A4" s="63" t="str">
        <f>KPDV!A4</f>
        <v>Objekta nosaukums: Dzīvojamas ēkas fasādes vienkāršota atjaunošana</v>
      </c>
    </row>
    <row r="5" spans="1:17" x14ac:dyDescent="0.2">
      <c r="A5" s="69" t="str">
        <f>KPDV!A5</f>
        <v>Objekta adrese: Eduarda Tisē ielā 50, Liepājā</v>
      </c>
      <c r="B5" s="69"/>
      <c r="C5" s="6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A6" s="69" t="str">
        <f>KPDV!A6</f>
        <v>Pasūtījuma Nr.EA-15-17</v>
      </c>
      <c r="B6" s="69"/>
      <c r="C6" s="6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x14ac:dyDescent="0.2">
      <c r="A7" s="69" t="str">
        <f>KPDV!A7</f>
        <v>Pasūtītājs: SIA "Liepājas namu apsaimniekotājs"</v>
      </c>
      <c r="B7" s="69"/>
      <c r="C7" s="6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x14ac:dyDescent="0.2">
      <c r="A8" s="69"/>
      <c r="B8" s="69"/>
      <c r="C8" s="69"/>
      <c r="D8" s="111" t="s">
        <v>368</v>
      </c>
      <c r="E8" s="138" t="s">
        <v>369</v>
      </c>
      <c r="G8" s="112" t="s">
        <v>13</v>
      </c>
      <c r="J8" s="69"/>
      <c r="K8" s="69"/>
      <c r="L8" s="69"/>
      <c r="M8" s="69"/>
      <c r="N8" s="69"/>
      <c r="O8" s="69"/>
      <c r="P8" s="69"/>
      <c r="Q8" s="69"/>
    </row>
    <row r="9" spans="1:17" x14ac:dyDescent="0.2">
      <c r="A9" s="239" t="s">
        <v>14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113">
        <f>Q88</f>
        <v>0</v>
      </c>
    </row>
    <row r="10" spans="1:17" x14ac:dyDescent="0.2">
      <c r="C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1" t="str">
        <f>dat</f>
        <v>Tāme sastādīta .gada</v>
      </c>
    </row>
    <row r="11" spans="1:17" s="63" customFormat="1" ht="10.15" customHeight="1" x14ac:dyDescent="0.25">
      <c r="A11" s="240" t="s">
        <v>15</v>
      </c>
      <c r="B11" s="240" t="s">
        <v>16</v>
      </c>
      <c r="C11" s="241" t="s">
        <v>17</v>
      </c>
      <c r="D11" s="242" t="s">
        <v>18</v>
      </c>
      <c r="E11" s="240" t="s">
        <v>19</v>
      </c>
      <c r="F11" s="72"/>
      <c r="G11" s="243" t="s">
        <v>20</v>
      </c>
      <c r="H11" s="243"/>
      <c r="I11" s="243"/>
      <c r="J11" s="243"/>
      <c r="K11" s="243"/>
      <c r="L11" s="243"/>
      <c r="M11" s="243" t="s">
        <v>21</v>
      </c>
      <c r="N11" s="243"/>
      <c r="O11" s="243"/>
      <c r="P11" s="243"/>
      <c r="Q11" s="243"/>
    </row>
    <row r="12" spans="1:17" ht="68.25" x14ac:dyDescent="0.2">
      <c r="A12" s="240"/>
      <c r="B12" s="240"/>
      <c r="C12" s="241"/>
      <c r="D12" s="242"/>
      <c r="E12" s="240"/>
      <c r="F12" s="72"/>
      <c r="G12" s="335" t="s">
        <v>403</v>
      </c>
      <c r="H12" s="336" t="s">
        <v>404</v>
      </c>
      <c r="I12" s="336" t="s">
        <v>405</v>
      </c>
      <c r="J12" s="336" t="s">
        <v>406</v>
      </c>
      <c r="K12" s="336" t="s">
        <v>407</v>
      </c>
      <c r="L12" s="337" t="s">
        <v>365</v>
      </c>
      <c r="M12" s="335" t="s">
        <v>22</v>
      </c>
      <c r="N12" s="336" t="s">
        <v>405</v>
      </c>
      <c r="O12" s="336" t="s">
        <v>406</v>
      </c>
      <c r="P12" s="336" t="s">
        <v>407</v>
      </c>
      <c r="Q12" s="337" t="s">
        <v>408</v>
      </c>
    </row>
    <row r="13" spans="1:17" x14ac:dyDescent="0.2">
      <c r="A13" s="74">
        <v>1</v>
      </c>
      <c r="B13" s="74">
        <f>A13+1</f>
        <v>2</v>
      </c>
      <c r="C13" s="87">
        <f>B13+1</f>
        <v>3</v>
      </c>
      <c r="D13" s="74">
        <f>C13+1</f>
        <v>4</v>
      </c>
      <c r="E13" s="74">
        <f>D13+1</f>
        <v>5</v>
      </c>
      <c r="F13" s="74"/>
      <c r="G13" s="74">
        <f>E13+1</f>
        <v>6</v>
      </c>
      <c r="H13" s="74">
        <f t="shared" ref="H13:Q13" si="0">G13+1</f>
        <v>7</v>
      </c>
      <c r="I13" s="74">
        <f t="shared" si="0"/>
        <v>8</v>
      </c>
      <c r="J13" s="74">
        <f t="shared" si="0"/>
        <v>9</v>
      </c>
      <c r="K13" s="74">
        <f t="shared" si="0"/>
        <v>10</v>
      </c>
      <c r="L13" s="74">
        <f t="shared" si="0"/>
        <v>11</v>
      </c>
      <c r="M13" s="74">
        <f t="shared" si="0"/>
        <v>12</v>
      </c>
      <c r="N13" s="74">
        <f t="shared" si="0"/>
        <v>13</v>
      </c>
      <c r="O13" s="74">
        <f t="shared" si="0"/>
        <v>14</v>
      </c>
      <c r="P13" s="74">
        <f t="shared" si="0"/>
        <v>15</v>
      </c>
      <c r="Q13" s="74">
        <f t="shared" si="0"/>
        <v>16</v>
      </c>
    </row>
    <row r="14" spans="1:17" x14ac:dyDescent="0.2">
      <c r="A14" s="74"/>
      <c r="B14" s="74"/>
      <c r="C14" s="204" t="s">
        <v>285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x14ac:dyDescent="0.2">
      <c r="A15" s="78">
        <f>IF(COUNTBLANK(B15)=1," ",COUNTA(B$15:B15))</f>
        <v>1</v>
      </c>
      <c r="B15" s="79" t="s">
        <v>23</v>
      </c>
      <c r="C15" s="124" t="s">
        <v>24</v>
      </c>
      <c r="D15" s="78" t="s">
        <v>25</v>
      </c>
      <c r="E15" s="86">
        <v>142</v>
      </c>
      <c r="F15" s="78"/>
      <c r="G15" s="81"/>
      <c r="H15" s="81"/>
      <c r="I15" s="81"/>
      <c r="J15" s="81"/>
      <c r="K15" s="81"/>
      <c r="L15" s="81"/>
      <c r="M15" s="205"/>
      <c r="N15" s="205"/>
      <c r="O15" s="205"/>
      <c r="P15" s="205"/>
      <c r="Q15" s="205"/>
    </row>
    <row r="16" spans="1:17" x14ac:dyDescent="0.2">
      <c r="A16" s="78" t="str">
        <f>IF(COUNTBLANK(B16)=1," ",COUNTA(B$15:B16))</f>
        <v xml:space="preserve"> </v>
      </c>
      <c r="B16" s="79"/>
      <c r="C16" s="124" t="s">
        <v>26</v>
      </c>
      <c r="D16" s="78" t="s">
        <v>27</v>
      </c>
      <c r="E16" s="87">
        <f>E15/3.5</f>
        <v>40.571428571428569</v>
      </c>
      <c r="F16" s="78">
        <v>4.5</v>
      </c>
      <c r="G16" s="81"/>
      <c r="H16" s="81"/>
      <c r="I16" s="81"/>
      <c r="J16" s="140"/>
      <c r="K16" s="81"/>
      <c r="L16" s="81"/>
      <c r="M16" s="205"/>
      <c r="N16" s="205"/>
      <c r="O16" s="205"/>
      <c r="P16" s="205"/>
      <c r="Q16" s="205"/>
    </row>
    <row r="17" spans="1:17" x14ac:dyDescent="0.2">
      <c r="A17" s="78" t="str">
        <f>IF(COUNTBLANK(B17)=1," ",COUNTA(B$15:B17))</f>
        <v xml:space="preserve"> </v>
      </c>
      <c r="B17" s="79"/>
      <c r="C17" s="124" t="s">
        <v>28</v>
      </c>
      <c r="D17" s="78" t="s">
        <v>27</v>
      </c>
      <c r="E17" s="87">
        <f>E16+1</f>
        <v>41.571428571428569</v>
      </c>
      <c r="F17" s="78">
        <v>4.5</v>
      </c>
      <c r="G17" s="81"/>
      <c r="H17" s="81"/>
      <c r="I17" s="81"/>
      <c r="J17" s="140"/>
      <c r="K17" s="81"/>
      <c r="L17" s="81"/>
      <c r="M17" s="205"/>
      <c r="N17" s="205"/>
      <c r="O17" s="205"/>
      <c r="P17" s="205"/>
      <c r="Q17" s="205"/>
    </row>
    <row r="18" spans="1:17" x14ac:dyDescent="0.2">
      <c r="A18" s="78">
        <f>IF(COUNTBLANK(B18)=1," ",COUNTA(B$15:B18))</f>
        <v>2</v>
      </c>
      <c r="B18" s="79" t="s">
        <v>23</v>
      </c>
      <c r="C18" s="124" t="s">
        <v>159</v>
      </c>
      <c r="D18" s="78" t="s">
        <v>29</v>
      </c>
      <c r="E18" s="86">
        <f>98.92*16.04</f>
        <v>1586.6768</v>
      </c>
      <c r="F18" s="78"/>
      <c r="G18" s="81"/>
      <c r="H18" s="81"/>
      <c r="I18" s="81"/>
      <c r="J18" s="81"/>
      <c r="K18" s="81"/>
      <c r="L18" s="81"/>
      <c r="M18" s="205"/>
      <c r="N18" s="205"/>
      <c r="O18" s="205"/>
      <c r="P18" s="205"/>
      <c r="Q18" s="205"/>
    </row>
    <row r="19" spans="1:17" x14ac:dyDescent="0.2">
      <c r="A19" s="78" t="str">
        <f>IF(COUNTBLANK(B19)=1," ",COUNTA(B$15:B19))</f>
        <v xml:space="preserve"> </v>
      </c>
      <c r="B19" s="79"/>
      <c r="C19" s="124" t="s">
        <v>30</v>
      </c>
      <c r="D19" s="78" t="s">
        <v>29</v>
      </c>
      <c r="E19" s="86">
        <f>E18</f>
        <v>1586.6768</v>
      </c>
      <c r="F19" s="78"/>
      <c r="G19" s="81"/>
      <c r="H19" s="81"/>
      <c r="I19" s="81"/>
      <c r="J19" s="81"/>
      <c r="K19" s="81"/>
      <c r="L19" s="81"/>
      <c r="M19" s="205"/>
      <c r="N19" s="205"/>
      <c r="O19" s="205"/>
      <c r="P19" s="205"/>
      <c r="Q19" s="205"/>
    </row>
    <row r="20" spans="1:17" x14ac:dyDescent="0.2">
      <c r="A20" s="78"/>
      <c r="B20" s="79"/>
      <c r="C20" s="124" t="s">
        <v>160</v>
      </c>
      <c r="D20" s="78" t="s">
        <v>29</v>
      </c>
      <c r="E20" s="86">
        <f>E19</f>
        <v>1586.6768</v>
      </c>
      <c r="F20" s="78"/>
      <c r="G20" s="81"/>
      <c r="H20" s="81"/>
      <c r="I20" s="81"/>
      <c r="J20" s="81"/>
      <c r="K20" s="81"/>
      <c r="L20" s="81"/>
      <c r="M20" s="205"/>
      <c r="N20" s="205"/>
      <c r="O20" s="205"/>
      <c r="P20" s="205"/>
      <c r="Q20" s="205"/>
    </row>
    <row r="21" spans="1:17" x14ac:dyDescent="0.2">
      <c r="A21" s="78"/>
      <c r="B21" s="79"/>
      <c r="C21" s="124" t="s">
        <v>161</v>
      </c>
      <c r="D21" s="78" t="s">
        <v>25</v>
      </c>
      <c r="E21" s="86">
        <v>95</v>
      </c>
      <c r="F21" s="78"/>
      <c r="G21" s="81"/>
      <c r="H21" s="81"/>
      <c r="I21" s="81"/>
      <c r="J21" s="81"/>
      <c r="K21" s="81"/>
      <c r="L21" s="81"/>
      <c r="M21" s="205"/>
      <c r="N21" s="205"/>
      <c r="O21" s="205"/>
      <c r="P21" s="205"/>
      <c r="Q21" s="205"/>
    </row>
    <row r="22" spans="1:17" x14ac:dyDescent="0.2">
      <c r="A22" s="78">
        <f>IF(COUNTBLANK(B22)=1," ",COUNTA(B$15:B22))</f>
        <v>3</v>
      </c>
      <c r="B22" s="79" t="s">
        <v>23</v>
      </c>
      <c r="C22" s="124" t="s">
        <v>31</v>
      </c>
      <c r="D22" s="78" t="s">
        <v>27</v>
      </c>
      <c r="E22" s="86">
        <v>1</v>
      </c>
      <c r="F22" s="78"/>
      <c r="G22" s="81"/>
      <c r="H22" s="81"/>
      <c r="I22" s="81"/>
      <c r="J22" s="81"/>
      <c r="K22" s="81"/>
      <c r="L22" s="81"/>
      <c r="M22" s="205"/>
      <c r="N22" s="205"/>
      <c r="O22" s="205"/>
      <c r="P22" s="205"/>
      <c r="Q22" s="205"/>
    </row>
    <row r="23" spans="1:17" x14ac:dyDescent="0.2">
      <c r="A23" s="78" t="str">
        <f>IF(COUNTBLANK(B23)=1," ",COUNTA(B$15:B23))</f>
        <v xml:space="preserve"> </v>
      </c>
      <c r="B23" s="79"/>
      <c r="C23" s="124" t="s">
        <v>32</v>
      </c>
      <c r="D23" s="78" t="s">
        <v>33</v>
      </c>
      <c r="E23" s="86">
        <v>16</v>
      </c>
      <c r="F23" s="78"/>
      <c r="G23" s="81"/>
      <c r="H23" s="81"/>
      <c r="I23" s="81"/>
      <c r="J23" s="81"/>
      <c r="K23" s="81"/>
      <c r="L23" s="81"/>
      <c r="M23" s="205"/>
      <c r="N23" s="205"/>
      <c r="O23" s="205"/>
      <c r="P23" s="205"/>
      <c r="Q23" s="205"/>
    </row>
    <row r="24" spans="1:17" x14ac:dyDescent="0.2">
      <c r="A24" s="78">
        <f>IF(COUNTBLANK(B24)=1," ",COUNTA(B$15:B24))</f>
        <v>4</v>
      </c>
      <c r="B24" s="79" t="s">
        <v>23</v>
      </c>
      <c r="C24" s="124" t="s">
        <v>34</v>
      </c>
      <c r="D24" s="78" t="s">
        <v>27</v>
      </c>
      <c r="E24" s="86">
        <v>1</v>
      </c>
      <c r="F24" s="78"/>
      <c r="G24" s="81"/>
      <c r="H24" s="81"/>
      <c r="I24" s="81"/>
      <c r="J24" s="81"/>
      <c r="K24" s="81"/>
      <c r="L24" s="81"/>
      <c r="M24" s="205"/>
      <c r="N24" s="205"/>
      <c r="O24" s="205"/>
      <c r="P24" s="205"/>
      <c r="Q24" s="205"/>
    </row>
    <row r="25" spans="1:17" x14ac:dyDescent="0.2">
      <c r="A25" s="206">
        <f t="shared" ref="A25" si="1">IF(COUNTBLANK(B25)=1," ",COUNTA(B$12:B25))</f>
        <v>6</v>
      </c>
      <c r="B25" s="207" t="s">
        <v>23</v>
      </c>
      <c r="C25" s="208" t="s">
        <v>335</v>
      </c>
      <c r="D25" s="209" t="s">
        <v>27</v>
      </c>
      <c r="E25" s="210">
        <v>2</v>
      </c>
      <c r="F25" s="183"/>
      <c r="G25" s="186"/>
      <c r="H25" s="186"/>
      <c r="I25" s="186"/>
      <c r="J25" s="186"/>
      <c r="K25" s="186"/>
      <c r="L25" s="186"/>
      <c r="M25" s="211"/>
      <c r="N25" s="211"/>
      <c r="O25" s="211"/>
      <c r="P25" s="211"/>
      <c r="Q25" s="211"/>
    </row>
    <row r="26" spans="1:17" x14ac:dyDescent="0.2">
      <c r="A26" s="78"/>
      <c r="B26" s="79"/>
      <c r="C26" s="204" t="s">
        <v>286</v>
      </c>
      <c r="D26" s="78"/>
      <c r="E26" s="86"/>
      <c r="F26" s="78"/>
      <c r="G26" s="81"/>
      <c r="H26" s="81"/>
      <c r="I26" s="81"/>
      <c r="J26" s="81"/>
      <c r="K26" s="81"/>
      <c r="L26" s="81"/>
      <c r="M26" s="205"/>
      <c r="N26" s="205"/>
      <c r="O26" s="205"/>
      <c r="P26" s="205"/>
      <c r="Q26" s="205"/>
    </row>
    <row r="27" spans="1:17" ht="22.5" x14ac:dyDescent="0.2">
      <c r="A27" s="78">
        <f>IF(COUNTBLANK(B27)=1," ",COUNTA(B$15:B27))</f>
        <v>6</v>
      </c>
      <c r="B27" s="79" t="s">
        <v>23</v>
      </c>
      <c r="C27" s="124" t="s">
        <v>287</v>
      </c>
      <c r="D27" s="78" t="s">
        <v>278</v>
      </c>
      <c r="E27" s="87">
        <v>1</v>
      </c>
      <c r="F27" s="78">
        <v>4.5</v>
      </c>
      <c r="G27" s="81"/>
      <c r="H27" s="81"/>
      <c r="I27" s="81"/>
      <c r="J27" s="81"/>
      <c r="K27" s="81"/>
      <c r="L27" s="81"/>
      <c r="M27" s="205"/>
      <c r="N27" s="205"/>
      <c r="O27" s="205"/>
      <c r="P27" s="205"/>
      <c r="Q27" s="205"/>
    </row>
    <row r="28" spans="1:17" x14ac:dyDescent="0.2">
      <c r="A28" s="78">
        <f>IF(COUNTBLANK(B28)=1," ",COUNTA(B$15:B28))</f>
        <v>7</v>
      </c>
      <c r="B28" s="79" t="s">
        <v>23</v>
      </c>
      <c r="C28" s="124" t="s">
        <v>289</v>
      </c>
      <c r="D28" s="78" t="s">
        <v>278</v>
      </c>
      <c r="E28" s="87">
        <v>1</v>
      </c>
      <c r="F28" s="78">
        <v>4.5</v>
      </c>
      <c r="G28" s="81"/>
      <c r="H28" s="81"/>
      <c r="I28" s="81"/>
      <c r="J28" s="81"/>
      <c r="K28" s="81"/>
      <c r="L28" s="81"/>
      <c r="M28" s="205"/>
      <c r="N28" s="205"/>
      <c r="O28" s="205"/>
      <c r="P28" s="205"/>
      <c r="Q28" s="205"/>
    </row>
    <row r="29" spans="1:17" x14ac:dyDescent="0.2">
      <c r="A29" s="78">
        <f>IF(COUNTBLANK(B29)=1," ",COUNTA(B$15:B29))</f>
        <v>8</v>
      </c>
      <c r="B29" s="79" t="s">
        <v>23</v>
      </c>
      <c r="C29" s="124" t="s">
        <v>290</v>
      </c>
      <c r="D29" s="78" t="s">
        <v>278</v>
      </c>
      <c r="E29" s="87">
        <v>1</v>
      </c>
      <c r="F29" s="78">
        <v>4.5</v>
      </c>
      <c r="G29" s="81"/>
      <c r="H29" s="81"/>
      <c r="I29" s="81"/>
      <c r="J29" s="81"/>
      <c r="K29" s="81"/>
      <c r="L29" s="81"/>
      <c r="M29" s="205"/>
      <c r="N29" s="205"/>
      <c r="O29" s="205"/>
      <c r="P29" s="205"/>
      <c r="Q29" s="205"/>
    </row>
    <row r="30" spans="1:17" ht="22.5" x14ac:dyDescent="0.2">
      <c r="A30" s="78">
        <f>IF(COUNTBLANK(B30)=1," ",COUNTA(B$15:B30))</f>
        <v>9</v>
      </c>
      <c r="B30" s="79" t="s">
        <v>23</v>
      </c>
      <c r="C30" s="124" t="s">
        <v>288</v>
      </c>
      <c r="D30" s="78" t="s">
        <v>278</v>
      </c>
      <c r="E30" s="87">
        <v>1</v>
      </c>
      <c r="F30" s="78">
        <v>4.5</v>
      </c>
      <c r="G30" s="81"/>
      <c r="H30" s="81"/>
      <c r="I30" s="81"/>
      <c r="J30" s="81"/>
      <c r="K30" s="81"/>
      <c r="L30" s="81"/>
      <c r="M30" s="205"/>
      <c r="N30" s="205"/>
      <c r="O30" s="205"/>
      <c r="P30" s="205"/>
      <c r="Q30" s="205"/>
    </row>
    <row r="31" spans="1:17" s="64" customFormat="1" ht="22.5" x14ac:dyDescent="0.25">
      <c r="A31" s="78">
        <f>IF(COUNTBLANK(B31)=1," ",COUNTA(B$15:B31))</f>
        <v>10</v>
      </c>
      <c r="B31" s="79" t="s">
        <v>23</v>
      </c>
      <c r="C31" s="124" t="s">
        <v>35</v>
      </c>
      <c r="D31" s="78" t="s">
        <v>29</v>
      </c>
      <c r="E31" s="86">
        <f>apjomi!E27+E49</f>
        <v>1262.9974999999999</v>
      </c>
      <c r="F31" s="81"/>
      <c r="G31" s="81"/>
      <c r="H31" s="81"/>
      <c r="I31" s="81"/>
      <c r="J31" s="81"/>
      <c r="K31" s="81"/>
      <c r="L31" s="81"/>
      <c r="M31" s="205"/>
      <c r="N31" s="205"/>
      <c r="O31" s="205"/>
      <c r="P31" s="205"/>
      <c r="Q31" s="205"/>
    </row>
    <row r="32" spans="1:17" s="69" customFormat="1" x14ac:dyDescent="0.25">
      <c r="A32" s="78" t="str">
        <f>IF(COUNTBLANK(B32)=1," ",COUNTA(B$15:B32))</f>
        <v xml:space="preserve"> </v>
      </c>
      <c r="B32" s="78"/>
      <c r="C32" s="179" t="s">
        <v>370</v>
      </c>
      <c r="D32" s="78" t="s">
        <v>334</v>
      </c>
      <c r="E32" s="81">
        <f>E31*F32</f>
        <v>416.789175</v>
      </c>
      <c r="F32" s="81">
        <v>0.33</v>
      </c>
      <c r="G32" s="81"/>
      <c r="H32" s="81"/>
      <c r="I32" s="81"/>
      <c r="J32" s="81"/>
      <c r="K32" s="81"/>
      <c r="L32" s="81"/>
      <c r="M32" s="205"/>
      <c r="N32" s="205"/>
      <c r="O32" s="205"/>
      <c r="P32" s="205"/>
      <c r="Q32" s="205"/>
    </row>
    <row r="33" spans="1:17" s="64" customFormat="1" ht="33.75" x14ac:dyDescent="0.25">
      <c r="A33" s="78">
        <f>IF(COUNTBLANK(B33)=1," ",COUNTA(B$15:B33))</f>
        <v>11</v>
      </c>
      <c r="B33" s="79" t="s">
        <v>23</v>
      </c>
      <c r="C33" s="212" t="s">
        <v>38</v>
      </c>
      <c r="D33" s="74" t="s">
        <v>29</v>
      </c>
      <c r="E33" s="213">
        <f>apjomi!D27+apjomi!D29+apjomi!D30+apjomi!D31+apjomi!D35</f>
        <v>1004.5</v>
      </c>
      <c r="F33" s="78"/>
      <c r="G33" s="81"/>
      <c r="H33" s="81"/>
      <c r="I33" s="81"/>
      <c r="J33" s="81"/>
      <c r="K33" s="78"/>
      <c r="L33" s="81"/>
      <c r="M33" s="205"/>
      <c r="N33" s="205"/>
      <c r="O33" s="205"/>
      <c r="P33" s="205"/>
      <c r="Q33" s="205"/>
    </row>
    <row r="34" spans="1:17" s="69" customFormat="1" x14ac:dyDescent="0.25">
      <c r="A34" s="78" t="str">
        <f>IF(COUNTBLANK(B34)=1," ",COUNTA(B$15:B34))</f>
        <v xml:space="preserve"> </v>
      </c>
      <c r="B34" s="78"/>
      <c r="C34" s="179" t="s">
        <v>370</v>
      </c>
      <c r="D34" s="78" t="s">
        <v>334</v>
      </c>
      <c r="E34" s="81">
        <f>ROUNDUP(E33*F34,0)</f>
        <v>332</v>
      </c>
      <c r="F34" s="81">
        <v>0.33</v>
      </c>
      <c r="G34" s="81"/>
      <c r="H34" s="81"/>
      <c r="I34" s="81"/>
      <c r="J34" s="81"/>
      <c r="K34" s="81"/>
      <c r="L34" s="81"/>
      <c r="M34" s="205"/>
      <c r="N34" s="205"/>
      <c r="O34" s="205"/>
      <c r="P34" s="205"/>
      <c r="Q34" s="205"/>
    </row>
    <row r="35" spans="1:17" s="69" customFormat="1" x14ac:dyDescent="0.25">
      <c r="A35" s="78" t="str">
        <f>IF(COUNTBLANK(B35)=1," ",COUNTA(B$15:B35))</f>
        <v xml:space="preserve"> </v>
      </c>
      <c r="B35" s="78"/>
      <c r="C35" s="179" t="s">
        <v>371</v>
      </c>
      <c r="D35" s="78" t="s">
        <v>36</v>
      </c>
      <c r="E35" s="81">
        <f>ROUNDUP(E33*F35,2)</f>
        <v>5022.5</v>
      </c>
      <c r="F35" s="81">
        <v>5</v>
      </c>
      <c r="G35" s="81"/>
      <c r="H35" s="81"/>
      <c r="I35" s="81"/>
      <c r="J35" s="81"/>
      <c r="K35" s="81"/>
      <c r="L35" s="81"/>
      <c r="M35" s="205"/>
      <c r="N35" s="205"/>
      <c r="O35" s="205"/>
      <c r="P35" s="205"/>
      <c r="Q35" s="205"/>
    </row>
    <row r="36" spans="1:17" s="69" customFormat="1" x14ac:dyDescent="0.25">
      <c r="A36" s="78"/>
      <c r="B36" s="78"/>
      <c r="C36" s="212" t="s">
        <v>158</v>
      </c>
      <c r="D36" s="78"/>
      <c r="E36" s="81"/>
      <c r="F36" s="81"/>
      <c r="G36" s="81"/>
      <c r="H36" s="81"/>
      <c r="I36" s="81"/>
      <c r="J36" s="81"/>
      <c r="K36" s="81"/>
      <c r="L36" s="81"/>
      <c r="M36" s="205"/>
      <c r="N36" s="205"/>
      <c r="O36" s="205"/>
      <c r="P36" s="205"/>
      <c r="Q36" s="205"/>
    </row>
    <row r="37" spans="1:17" ht="56.25" x14ac:dyDescent="0.2">
      <c r="A37" s="78">
        <f>IF(COUNTBLANK(B37)=1," ",COUNTA(B$15:B37))</f>
        <v>12</v>
      </c>
      <c r="B37" s="214" t="str">
        <f>apjomi!A27</f>
        <v>S1 Vieglbetona paneļu ārējās sienas siltinājums</v>
      </c>
      <c r="C37" s="125" t="str">
        <f>apjomi!B27</f>
        <v>Apmetuma sistēma virs siltinājuma (AS-1 vai AS-2), b=7mm; Grunts; Siltinājums - akmensvate  λ=0,036W/m²K, b=150mm; Līmjava; Grunts; Esošā siena - vieglbetona panelis, b=300mm</v>
      </c>
      <c r="D37" s="74" t="s">
        <v>29</v>
      </c>
      <c r="E37" s="192">
        <f>apjomi!D27*F37</f>
        <v>627</v>
      </c>
      <c r="F37" s="78">
        <v>1.1000000000000001</v>
      </c>
      <c r="G37" s="81"/>
      <c r="H37" s="81"/>
      <c r="I37" s="78"/>
      <c r="J37" s="81"/>
      <c r="K37" s="81"/>
      <c r="L37" s="81"/>
      <c r="M37" s="205"/>
      <c r="N37" s="205"/>
      <c r="O37" s="205"/>
      <c r="P37" s="205"/>
      <c r="Q37" s="205"/>
    </row>
    <row r="38" spans="1:17" ht="57.75" x14ac:dyDescent="0.2">
      <c r="A38" s="78">
        <f>IF(COUNTBLANK(B38)=1," ",COUNTA(B$15:B38))</f>
        <v>13</v>
      </c>
      <c r="B38" s="214" t="str">
        <f>apjomi!A29</f>
        <v>S3 Vieglbetona paneļu ārējās sienas siltinājums (lodžijām)</v>
      </c>
      <c r="C38" s="125" t="str">
        <f>apjomi!B29</f>
        <v>Apmetuma sistēma virs siltinājuma (AS-2), b=7mm; Grunts; Siltinājums - akmensvate  λ=0,036W/m²K, b=150mm; Līmjava; Grunts; Esošā siena - vieglbetona panelis divās kārtās, b=300mm</v>
      </c>
      <c r="D38" s="74" t="s">
        <v>29</v>
      </c>
      <c r="E38" s="192">
        <f>apjomi!D29*F38</f>
        <v>171.49</v>
      </c>
      <c r="F38" s="78">
        <v>1.1000000000000001</v>
      </c>
      <c r="G38" s="81"/>
      <c r="H38" s="81"/>
      <c r="I38" s="78"/>
      <c r="J38" s="81"/>
      <c r="K38" s="81"/>
      <c r="L38" s="81"/>
      <c r="M38" s="205"/>
      <c r="N38" s="205"/>
      <c r="O38" s="205"/>
      <c r="P38" s="205"/>
      <c r="Q38" s="205"/>
    </row>
    <row r="39" spans="1:17" ht="49.5" x14ac:dyDescent="0.2">
      <c r="A39" s="78">
        <f>IF(COUNTBLANK(B39)=1," ",COUNTA(B$15:B39))</f>
        <v>14</v>
      </c>
      <c r="B39" s="214" t="str">
        <f>apjomi!A30</f>
        <v>S4 Vieglbetona paneļu ārējās sienas siltinājums</v>
      </c>
      <c r="C39" s="125" t="str">
        <f>apjomi!B30</f>
        <v xml:space="preserve">Apmetuma sistēma virs siltinājuma (AS-2), b=7mm; Siltinājums - poliuretāna paneļu materiāls; λ=0,021 W/mK), b=90mm; Līmjava; Gruntējums; Esoša betona paneļu siena, b=300mm   </v>
      </c>
      <c r="D39" s="74" t="s">
        <v>29</v>
      </c>
      <c r="E39" s="192">
        <f>apjomi!D30*F39</f>
        <v>80.08</v>
      </c>
      <c r="F39" s="78">
        <v>1.1000000000000001</v>
      </c>
      <c r="G39" s="81"/>
      <c r="H39" s="81"/>
      <c r="I39" s="78"/>
      <c r="J39" s="81"/>
      <c r="K39" s="81"/>
      <c r="L39" s="81"/>
      <c r="M39" s="205"/>
      <c r="N39" s="205"/>
      <c r="O39" s="205"/>
      <c r="P39" s="205"/>
      <c r="Q39" s="205"/>
    </row>
    <row r="40" spans="1:17" ht="56.25" x14ac:dyDescent="0.2">
      <c r="A40" s="78">
        <f>IF(COUNTBLANK(B40)=1," ",COUNTA(B$15:B40))</f>
        <v>15</v>
      </c>
      <c r="B40" s="214" t="str">
        <f>apjomi!A31</f>
        <v>S5 Vieglbetona paneļu ārējās sienas siltinājums</v>
      </c>
      <c r="C40" s="125" t="str">
        <f>apjomi!B31</f>
        <v>Apmetuma sistēma virs siltinājuma (AS-2), b=7mm; Grunts; Siltinājums - akmensvate λ=0,036W/m²K, b=200mm; Līmjava; Grunts; Esošā siena - vieglbetona panelis divās kārtās, b=300mm</v>
      </c>
      <c r="D40" s="74" t="s">
        <v>29</v>
      </c>
      <c r="E40" s="192">
        <f>apjomi!D31*F40</f>
        <v>201.96</v>
      </c>
      <c r="F40" s="78">
        <v>1.1000000000000001</v>
      </c>
      <c r="G40" s="81"/>
      <c r="H40" s="81"/>
      <c r="I40" s="78"/>
      <c r="J40" s="81"/>
      <c r="K40" s="81"/>
      <c r="L40" s="81"/>
      <c r="M40" s="205"/>
      <c r="N40" s="205"/>
      <c r="O40" s="205"/>
      <c r="P40" s="205"/>
      <c r="Q40" s="205"/>
    </row>
    <row r="41" spans="1:17" ht="33.75" x14ac:dyDescent="0.2">
      <c r="A41" s="78">
        <f>IF(COUNTBLANK(B41)=1," ",COUNTA(B$15:B41))</f>
        <v>16</v>
      </c>
      <c r="B41" s="79" t="s">
        <v>23</v>
      </c>
      <c r="C41" s="125" t="str">
        <f>apjomi!B35</f>
        <v>Lodžiju starsienu galu siltinājums - akmensvate λ=0,036W/m²K, b=100mm, apmest, krāsot</v>
      </c>
      <c r="D41" s="74" t="s">
        <v>29</v>
      </c>
      <c r="E41" s="192">
        <f>apjomi!D35*F41</f>
        <v>24.42</v>
      </c>
      <c r="F41" s="78">
        <v>1.1000000000000001</v>
      </c>
      <c r="G41" s="81"/>
      <c r="H41" s="81"/>
      <c r="I41" s="78"/>
      <c r="J41" s="81"/>
      <c r="K41" s="81"/>
      <c r="L41" s="81"/>
      <c r="M41" s="205"/>
      <c r="N41" s="205"/>
      <c r="O41" s="205"/>
      <c r="P41" s="205"/>
      <c r="Q41" s="205"/>
    </row>
    <row r="42" spans="1:17" ht="45" x14ac:dyDescent="0.2">
      <c r="A42" s="78">
        <f>IF(COUNTBLANK(B42)=1," ",COUNTA(B$15:B42))</f>
        <v>17</v>
      </c>
      <c r="B42" s="79" t="s">
        <v>23</v>
      </c>
      <c r="C42" s="125" t="s">
        <v>390</v>
      </c>
      <c r="D42" s="78" t="s">
        <v>27</v>
      </c>
      <c r="E42" s="81">
        <f>ROUNDUP((E37+E38+E40)*F42,0)</f>
        <v>8004</v>
      </c>
      <c r="F42" s="81">
        <v>8</v>
      </c>
      <c r="G42" s="81"/>
      <c r="H42" s="81"/>
      <c r="I42" s="78"/>
      <c r="J42" s="81"/>
      <c r="K42" s="81"/>
      <c r="L42" s="81"/>
      <c r="M42" s="205"/>
      <c r="N42" s="205"/>
      <c r="O42" s="205"/>
      <c r="P42" s="205"/>
      <c r="Q42" s="205"/>
    </row>
    <row r="43" spans="1:17" ht="45" x14ac:dyDescent="0.2">
      <c r="A43" s="78">
        <f>IF(COUNTBLANK(B43)=1," ",COUNTA(B$15:B43))</f>
        <v>18</v>
      </c>
      <c r="B43" s="79" t="s">
        <v>23</v>
      </c>
      <c r="C43" s="125" t="s">
        <v>391</v>
      </c>
      <c r="D43" s="78" t="s">
        <v>27</v>
      </c>
      <c r="E43" s="81">
        <f>ROUNDUP(E39*F43,0)</f>
        <v>641</v>
      </c>
      <c r="F43" s="81">
        <v>8</v>
      </c>
      <c r="G43" s="81"/>
      <c r="H43" s="81"/>
      <c r="I43" s="78"/>
      <c r="J43" s="81"/>
      <c r="K43" s="81"/>
      <c r="L43" s="81"/>
      <c r="M43" s="205"/>
      <c r="N43" s="205"/>
      <c r="O43" s="205"/>
      <c r="P43" s="205"/>
      <c r="Q43" s="205"/>
    </row>
    <row r="44" spans="1:17" ht="45" x14ac:dyDescent="0.2">
      <c r="A44" s="78">
        <f>IF(COUNTBLANK(B44)=1," ",COUNTA(B$15:B44))</f>
        <v>19</v>
      </c>
      <c r="B44" s="79" t="s">
        <v>23</v>
      </c>
      <c r="C44" s="125" t="s">
        <v>263</v>
      </c>
      <c r="D44" s="78" t="s">
        <v>27</v>
      </c>
      <c r="E44" s="81">
        <f>ROUNDUP(E41*F44,0)</f>
        <v>196</v>
      </c>
      <c r="F44" s="81">
        <v>8</v>
      </c>
      <c r="G44" s="81"/>
      <c r="H44" s="81"/>
      <c r="I44" s="78"/>
      <c r="J44" s="81"/>
      <c r="K44" s="81"/>
      <c r="L44" s="81"/>
      <c r="M44" s="205"/>
      <c r="N44" s="205"/>
      <c r="O44" s="205"/>
      <c r="P44" s="205"/>
      <c r="Q44" s="205"/>
    </row>
    <row r="45" spans="1:17" ht="45" x14ac:dyDescent="0.2">
      <c r="A45" s="78">
        <f>IF(COUNTBLANK(B45)=1," ",COUNTA(B$15:B45))</f>
        <v>20</v>
      </c>
      <c r="B45" s="214" t="str">
        <f>apjomi!A32</f>
        <v>A1 Lodžiju starpsienu apdare</v>
      </c>
      <c r="C45" s="125" t="str">
        <f>apjomi!B32</f>
        <v xml:space="preserve">Struktūrapmetums; Špaktele; Gruntējums; Esoša vieglbetona starpsiena, remontējama pēc nepieciešamības b=140mm; Gruntējums; Špaktele; Struktūrapmetums </v>
      </c>
      <c r="D45" s="74" t="s">
        <v>29</v>
      </c>
      <c r="E45" s="81">
        <f>apjomi!D32*F45</f>
        <v>180.18000000000004</v>
      </c>
      <c r="F45" s="81">
        <v>1.1000000000000001</v>
      </c>
      <c r="G45" s="81"/>
      <c r="H45" s="81"/>
      <c r="I45" s="81"/>
      <c r="J45" s="81"/>
      <c r="K45" s="81"/>
      <c r="L45" s="81"/>
      <c r="M45" s="205"/>
      <c r="N45" s="205"/>
      <c r="O45" s="205"/>
      <c r="P45" s="205"/>
      <c r="Q45" s="205"/>
    </row>
    <row r="46" spans="1:17" s="217" customFormat="1" x14ac:dyDescent="0.2">
      <c r="A46" s="78"/>
      <c r="B46" s="215"/>
      <c r="C46" s="179" t="s">
        <v>370</v>
      </c>
      <c r="D46" s="199" t="s">
        <v>36</v>
      </c>
      <c r="E46" s="81">
        <f>E45*F46</f>
        <v>45.045000000000009</v>
      </c>
      <c r="F46" s="199">
        <v>0.25</v>
      </c>
      <c r="G46" s="199"/>
      <c r="H46" s="199"/>
      <c r="I46" s="199"/>
      <c r="J46" s="196"/>
      <c r="K46" s="173"/>
      <c r="L46" s="196"/>
      <c r="M46" s="196"/>
      <c r="N46" s="216"/>
      <c r="O46" s="83"/>
      <c r="P46" s="84"/>
      <c r="Q46" s="84"/>
    </row>
    <row r="47" spans="1:17" s="217" customFormat="1" x14ac:dyDescent="0.2">
      <c r="A47" s="78"/>
      <c r="B47" s="215"/>
      <c r="C47" s="124" t="s">
        <v>276</v>
      </c>
      <c r="D47" s="199" t="s">
        <v>36</v>
      </c>
      <c r="E47" s="81">
        <f>E45*F47</f>
        <v>108.10800000000002</v>
      </c>
      <c r="F47" s="199">
        <v>0.6</v>
      </c>
      <c r="G47" s="199"/>
      <c r="H47" s="199"/>
      <c r="I47" s="199"/>
      <c r="J47" s="196"/>
      <c r="K47" s="173"/>
      <c r="L47" s="196"/>
      <c r="M47" s="196"/>
      <c r="N47" s="216"/>
      <c r="O47" s="83"/>
      <c r="P47" s="84"/>
      <c r="Q47" s="84"/>
    </row>
    <row r="48" spans="1:17" s="217" customFormat="1" x14ac:dyDescent="0.2">
      <c r="A48" s="78"/>
      <c r="B48" s="215"/>
      <c r="C48" s="101" t="s">
        <v>277</v>
      </c>
      <c r="D48" s="199" t="s">
        <v>36</v>
      </c>
      <c r="E48" s="81">
        <f>E45*F48</f>
        <v>450.4500000000001</v>
      </c>
      <c r="F48" s="81">
        <v>2.5</v>
      </c>
      <c r="G48" s="199"/>
      <c r="H48" s="199"/>
      <c r="I48" s="199"/>
      <c r="J48" s="196"/>
      <c r="K48" s="173"/>
      <c r="L48" s="196"/>
      <c r="M48" s="196"/>
      <c r="N48" s="216"/>
      <c r="O48" s="83"/>
      <c r="P48" s="84"/>
      <c r="Q48" s="84"/>
    </row>
    <row r="49" spans="1:17" ht="22.5" x14ac:dyDescent="0.2">
      <c r="A49" s="78">
        <f>IF(COUNTBLANK(B49)=1," ",COUNTA(B$15:B49))</f>
        <v>21</v>
      </c>
      <c r="B49" s="79" t="s">
        <v>23</v>
      </c>
      <c r="C49" s="212" t="s">
        <v>392</v>
      </c>
      <c r="D49" s="74" t="s">
        <v>29</v>
      </c>
      <c r="E49" s="192">
        <f>apjomi!M17</f>
        <v>258.49749999999995</v>
      </c>
      <c r="F49" s="81"/>
      <c r="G49" s="81"/>
      <c r="H49" s="81"/>
      <c r="I49" s="81"/>
      <c r="J49" s="81"/>
      <c r="K49" s="81"/>
      <c r="L49" s="81"/>
      <c r="M49" s="205"/>
      <c r="N49" s="205"/>
      <c r="O49" s="205"/>
      <c r="P49" s="205"/>
      <c r="Q49" s="205"/>
    </row>
    <row r="50" spans="1:17" ht="22.5" x14ac:dyDescent="0.2">
      <c r="A50" s="78"/>
      <c r="B50" s="79"/>
      <c r="C50" s="179" t="s">
        <v>393</v>
      </c>
      <c r="D50" s="74" t="s">
        <v>29</v>
      </c>
      <c r="E50" s="192">
        <f>E49</f>
        <v>258.49749999999995</v>
      </c>
      <c r="F50" s="81"/>
      <c r="G50" s="81"/>
      <c r="H50" s="81"/>
      <c r="I50" s="81"/>
      <c r="J50" s="81"/>
      <c r="K50" s="81"/>
      <c r="L50" s="81"/>
      <c r="M50" s="205"/>
      <c r="N50" s="205"/>
      <c r="O50" s="205"/>
      <c r="P50" s="205"/>
      <c r="Q50" s="205"/>
    </row>
    <row r="51" spans="1:17" x14ac:dyDescent="0.2">
      <c r="A51" s="78" t="str">
        <f>IF(COUNTBLANK(B51)=1," ",COUNTA(B$15:B51))</f>
        <v xml:space="preserve"> </v>
      </c>
      <c r="B51" s="79"/>
      <c r="C51" s="179" t="s">
        <v>370</v>
      </c>
      <c r="D51" s="78" t="s">
        <v>36</v>
      </c>
      <c r="E51" s="81">
        <f>E49*F51</f>
        <v>64.624374999999986</v>
      </c>
      <c r="F51" s="81">
        <v>0.25</v>
      </c>
      <c r="G51" s="81"/>
      <c r="H51" s="81"/>
      <c r="I51" s="81"/>
      <c r="J51" s="81"/>
      <c r="K51" s="81"/>
      <c r="L51" s="81"/>
      <c r="M51" s="205"/>
      <c r="N51" s="205"/>
      <c r="O51" s="205"/>
      <c r="P51" s="205"/>
      <c r="Q51" s="205"/>
    </row>
    <row r="52" spans="1:17" x14ac:dyDescent="0.2">
      <c r="A52" s="78" t="str">
        <f>IF(COUNTBLANK(B52)=1," ",COUNTA(B$15:B52))</f>
        <v xml:space="preserve"> </v>
      </c>
      <c r="B52" s="79"/>
      <c r="C52" s="179" t="s">
        <v>371</v>
      </c>
      <c r="D52" s="78" t="s">
        <v>36</v>
      </c>
      <c r="E52" s="81">
        <f>E49*F52</f>
        <v>1292.4874999999997</v>
      </c>
      <c r="F52" s="81">
        <v>5</v>
      </c>
      <c r="G52" s="81"/>
      <c r="H52" s="81"/>
      <c r="I52" s="81"/>
      <c r="J52" s="81"/>
      <c r="K52" s="81"/>
      <c r="L52" s="81"/>
      <c r="M52" s="205"/>
      <c r="N52" s="205"/>
      <c r="O52" s="205"/>
      <c r="P52" s="205"/>
      <c r="Q52" s="205"/>
    </row>
    <row r="53" spans="1:17" x14ac:dyDescent="0.2">
      <c r="A53" s="78" t="str">
        <f>IF(COUNTBLANK(B53)=1," ",COUNTA(B$15:B53))</f>
        <v xml:space="preserve"> </v>
      </c>
      <c r="B53" s="79"/>
      <c r="C53" s="125" t="s">
        <v>40</v>
      </c>
      <c r="D53" s="74" t="s">
        <v>29</v>
      </c>
      <c r="E53" s="81">
        <f>E49*F53</f>
        <v>271.42237499999993</v>
      </c>
      <c r="F53" s="81">
        <v>1.05</v>
      </c>
      <c r="G53" s="81"/>
      <c r="H53" s="81"/>
      <c r="I53" s="81"/>
      <c r="J53" s="81"/>
      <c r="K53" s="81"/>
      <c r="L53" s="81"/>
      <c r="M53" s="205"/>
      <c r="N53" s="205"/>
      <c r="O53" s="205"/>
      <c r="P53" s="205"/>
      <c r="Q53" s="205"/>
    </row>
    <row r="54" spans="1:17" ht="67.5" x14ac:dyDescent="0.2">
      <c r="A54" s="78">
        <f>IF(COUNTBLANK(B54)=1," ",COUNTA(B$15:B54))</f>
        <v>22</v>
      </c>
      <c r="B54" s="79" t="s">
        <v>23</v>
      </c>
      <c r="C54" s="178" t="s">
        <v>394</v>
      </c>
      <c r="D54" s="78" t="s">
        <v>29</v>
      </c>
      <c r="E54" s="81">
        <f>8.4*F54</f>
        <v>8.82</v>
      </c>
      <c r="F54" s="81">
        <v>1.05</v>
      </c>
      <c r="G54" s="81"/>
      <c r="H54" s="81"/>
      <c r="I54" s="81"/>
      <c r="J54" s="81"/>
      <c r="K54" s="81"/>
      <c r="L54" s="81"/>
      <c r="M54" s="205"/>
      <c r="N54" s="205"/>
      <c r="O54" s="205"/>
      <c r="P54" s="205"/>
      <c r="Q54" s="205"/>
    </row>
    <row r="55" spans="1:17" x14ac:dyDescent="0.2">
      <c r="A55" s="78" t="str">
        <f>IF(COUNTBLANK(B55)=1," ",COUNTA(B$15:B55))</f>
        <v xml:space="preserve"> </v>
      </c>
      <c r="B55" s="78"/>
      <c r="C55" s="179" t="s">
        <v>370</v>
      </c>
      <c r="D55" s="78" t="s">
        <v>36</v>
      </c>
      <c r="E55" s="81">
        <f>ROUNDUP(E54*F55,2)</f>
        <v>2.65</v>
      </c>
      <c r="F55" s="81">
        <v>0.3</v>
      </c>
      <c r="G55" s="81"/>
      <c r="H55" s="81"/>
      <c r="I55" s="81"/>
      <c r="J55" s="81"/>
      <c r="K55" s="81"/>
      <c r="L55" s="81"/>
      <c r="M55" s="205"/>
      <c r="N55" s="205"/>
      <c r="O55" s="205"/>
      <c r="P55" s="205"/>
      <c r="Q55" s="205"/>
    </row>
    <row r="56" spans="1:17" x14ac:dyDescent="0.2">
      <c r="A56" s="78" t="str">
        <f>IF(COUNTBLANK(B56)=1," ",COUNTA(B$15:B56))</f>
        <v xml:space="preserve"> </v>
      </c>
      <c r="B56" s="78"/>
      <c r="C56" s="179" t="s">
        <v>371</v>
      </c>
      <c r="D56" s="78" t="s">
        <v>36</v>
      </c>
      <c r="E56" s="81">
        <f>ROUNDUP(E54*F56,2)</f>
        <v>88.2</v>
      </c>
      <c r="F56" s="81">
        <v>10</v>
      </c>
      <c r="G56" s="81"/>
      <c r="H56" s="81"/>
      <c r="I56" s="81"/>
      <c r="J56" s="81"/>
      <c r="K56" s="81"/>
      <c r="L56" s="81"/>
      <c r="M56" s="205"/>
      <c r="N56" s="205"/>
      <c r="O56" s="205"/>
      <c r="P56" s="205"/>
      <c r="Q56" s="205"/>
    </row>
    <row r="57" spans="1:17" x14ac:dyDescent="0.2">
      <c r="A57" s="78" t="str">
        <f>IF(COUNTBLANK(B57)=1," ",COUNTA(B$15:B57))</f>
        <v xml:space="preserve"> </v>
      </c>
      <c r="B57" s="78"/>
      <c r="C57" s="178" t="s">
        <v>332</v>
      </c>
      <c r="D57" s="78" t="s">
        <v>29</v>
      </c>
      <c r="E57" s="81">
        <f>E54*F57</f>
        <v>19.404000000000003</v>
      </c>
      <c r="F57" s="81">
        <v>2.2000000000000002</v>
      </c>
      <c r="G57" s="81"/>
      <c r="H57" s="81"/>
      <c r="I57" s="81"/>
      <c r="J57" s="81"/>
      <c r="K57" s="81"/>
      <c r="L57" s="81"/>
      <c r="M57" s="205"/>
      <c r="N57" s="205"/>
      <c r="O57" s="205"/>
      <c r="P57" s="205"/>
      <c r="Q57" s="205"/>
    </row>
    <row r="58" spans="1:17" x14ac:dyDescent="0.2">
      <c r="A58" s="78" t="str">
        <f>IF(COUNTBLANK(B58)=1," ",COUNTA(B$15:B58))</f>
        <v xml:space="preserve"> </v>
      </c>
      <c r="B58" s="78"/>
      <c r="C58" s="179" t="s">
        <v>395</v>
      </c>
      <c r="D58" s="78" t="s">
        <v>36</v>
      </c>
      <c r="E58" s="81">
        <f>ROUNDUP(E54*F58,2)</f>
        <v>32.64</v>
      </c>
      <c r="F58" s="81">
        <v>3.7</v>
      </c>
      <c r="G58" s="81"/>
      <c r="H58" s="81"/>
      <c r="I58" s="81"/>
      <c r="J58" s="81"/>
      <c r="K58" s="81"/>
      <c r="L58" s="81"/>
      <c r="M58" s="205"/>
      <c r="N58" s="205"/>
      <c r="O58" s="205"/>
      <c r="P58" s="205"/>
      <c r="Q58" s="205"/>
    </row>
    <row r="59" spans="1:17" x14ac:dyDescent="0.2">
      <c r="A59" s="78" t="str">
        <f>IF(COUNTBLANK(B59)=1," ",COUNTA(B$15:B75))</f>
        <v xml:space="preserve"> </v>
      </c>
      <c r="B59" s="78"/>
      <c r="C59" s="125" t="s">
        <v>39</v>
      </c>
      <c r="D59" s="78" t="s">
        <v>278</v>
      </c>
      <c r="E59" s="81">
        <f>ROUNDUP(E54*F59,0)</f>
        <v>1</v>
      </c>
      <c r="F59" s="81">
        <v>0.09</v>
      </c>
      <c r="G59" s="81"/>
      <c r="H59" s="81"/>
      <c r="I59" s="81"/>
      <c r="J59" s="81"/>
      <c r="K59" s="81"/>
      <c r="L59" s="81"/>
      <c r="M59" s="205"/>
      <c r="N59" s="205"/>
      <c r="O59" s="205"/>
      <c r="P59" s="205"/>
      <c r="Q59" s="205"/>
    </row>
    <row r="60" spans="1:17" ht="56.25" x14ac:dyDescent="0.2">
      <c r="A60" s="78">
        <f>IF(COUNTBLANK(B60)=1," ",COUNTA(B$15:B60))</f>
        <v>23</v>
      </c>
      <c r="B60" s="79" t="s">
        <v>23</v>
      </c>
      <c r="C60" s="180" t="s">
        <v>396</v>
      </c>
      <c r="D60" s="78" t="s">
        <v>29</v>
      </c>
      <c r="E60" s="81">
        <f>943*F60</f>
        <v>990.15000000000009</v>
      </c>
      <c r="F60" s="81">
        <v>1.05</v>
      </c>
      <c r="G60" s="81"/>
      <c r="H60" s="81"/>
      <c r="I60" s="81"/>
      <c r="J60" s="81"/>
      <c r="K60" s="81"/>
      <c r="L60" s="81"/>
      <c r="M60" s="205"/>
      <c r="N60" s="205"/>
      <c r="O60" s="205"/>
      <c r="P60" s="205"/>
      <c r="Q60" s="205"/>
    </row>
    <row r="61" spans="1:17" x14ac:dyDescent="0.2">
      <c r="A61" s="78" t="str">
        <f>IF(COUNTBLANK(B61)=1," ",COUNTA(B$15:B61))</f>
        <v xml:space="preserve"> </v>
      </c>
      <c r="B61" s="78"/>
      <c r="C61" s="179" t="s">
        <v>370</v>
      </c>
      <c r="D61" s="78" t="s">
        <v>36</v>
      </c>
      <c r="E61" s="81">
        <f>ROUNDUP(E60*F61,2)</f>
        <v>297.05</v>
      </c>
      <c r="F61" s="81">
        <v>0.3</v>
      </c>
      <c r="G61" s="81"/>
      <c r="H61" s="81"/>
      <c r="I61" s="81"/>
      <c r="J61" s="81"/>
      <c r="K61" s="81"/>
      <c r="L61" s="81"/>
      <c r="M61" s="205"/>
      <c r="N61" s="205"/>
      <c r="O61" s="205"/>
      <c r="P61" s="205"/>
      <c r="Q61" s="205"/>
    </row>
    <row r="62" spans="1:17" x14ac:dyDescent="0.2">
      <c r="A62" s="78" t="str">
        <f>IF(COUNTBLANK(B62)=1," ",COUNTA(B$15:B62))</f>
        <v xml:space="preserve"> </v>
      </c>
      <c r="B62" s="78"/>
      <c r="C62" s="179" t="s">
        <v>371</v>
      </c>
      <c r="D62" s="78" t="s">
        <v>36</v>
      </c>
      <c r="E62" s="81">
        <f>ROUNDUP(E60*F62,2)</f>
        <v>4950.75</v>
      </c>
      <c r="F62" s="81">
        <v>5</v>
      </c>
      <c r="G62" s="81"/>
      <c r="H62" s="81"/>
      <c r="I62" s="81"/>
      <c r="J62" s="81"/>
      <c r="K62" s="81"/>
      <c r="L62" s="81"/>
      <c r="M62" s="205"/>
      <c r="N62" s="205"/>
      <c r="O62" s="205"/>
      <c r="P62" s="205"/>
      <c r="Q62" s="205"/>
    </row>
    <row r="63" spans="1:17" x14ac:dyDescent="0.2">
      <c r="A63" s="78" t="str">
        <f>IF(COUNTBLANK(B63)=1," ",COUNTA(B$15:B63))</f>
        <v xml:space="preserve"> </v>
      </c>
      <c r="B63" s="78"/>
      <c r="C63" s="178" t="s">
        <v>332</v>
      </c>
      <c r="D63" s="78" t="s">
        <v>29</v>
      </c>
      <c r="E63" s="81">
        <f>E60*F63</f>
        <v>1089.1650000000002</v>
      </c>
      <c r="F63" s="81">
        <v>1.1000000000000001</v>
      </c>
      <c r="G63" s="81"/>
      <c r="H63" s="81"/>
      <c r="I63" s="81"/>
      <c r="J63" s="81"/>
      <c r="K63" s="81"/>
      <c r="L63" s="81"/>
      <c r="M63" s="205"/>
      <c r="N63" s="205"/>
      <c r="O63" s="205"/>
      <c r="P63" s="205"/>
      <c r="Q63" s="205"/>
    </row>
    <row r="64" spans="1:17" x14ac:dyDescent="0.2">
      <c r="A64" s="78" t="str">
        <f>IF(COUNTBLANK(B64)=1," ",COUNTA(B$15:B64))</f>
        <v xml:space="preserve"> </v>
      </c>
      <c r="B64" s="78"/>
      <c r="C64" s="179" t="s">
        <v>395</v>
      </c>
      <c r="D64" s="78" t="s">
        <v>36</v>
      </c>
      <c r="E64" s="81">
        <f>ROUNDUP(E60*F64,2)</f>
        <v>3663.5600000000004</v>
      </c>
      <c r="F64" s="81">
        <v>3.7</v>
      </c>
      <c r="G64" s="81"/>
      <c r="H64" s="81"/>
      <c r="I64" s="81"/>
      <c r="J64" s="81"/>
      <c r="K64" s="81"/>
      <c r="L64" s="81"/>
      <c r="M64" s="205"/>
      <c r="N64" s="205"/>
      <c r="O64" s="205"/>
      <c r="P64" s="205"/>
      <c r="Q64" s="205"/>
    </row>
    <row r="65" spans="1:17" x14ac:dyDescent="0.2">
      <c r="A65" s="78" t="str">
        <f>IF(COUNTBLANK(B65)=1," ",COUNTA(B$15:B81))</f>
        <v xml:space="preserve"> </v>
      </c>
      <c r="B65" s="78"/>
      <c r="C65" s="125" t="s">
        <v>39</v>
      </c>
      <c r="D65" s="78" t="s">
        <v>278</v>
      </c>
      <c r="E65" s="81">
        <f>ROUNDUP(E60*F65,0)</f>
        <v>90</v>
      </c>
      <c r="F65" s="81">
        <v>0.09</v>
      </c>
      <c r="G65" s="81"/>
      <c r="H65" s="81"/>
      <c r="I65" s="81"/>
      <c r="J65" s="81"/>
      <c r="K65" s="81"/>
      <c r="L65" s="81"/>
      <c r="M65" s="205"/>
      <c r="N65" s="205"/>
      <c r="O65" s="205"/>
      <c r="P65" s="205"/>
      <c r="Q65" s="205"/>
    </row>
    <row r="66" spans="1:17" ht="22.5" x14ac:dyDescent="0.2">
      <c r="A66" s="78">
        <f>IF(COUNTBLANK(B66)=1," ",COUNTA(B$15:B66))</f>
        <v>24</v>
      </c>
      <c r="B66" s="79" t="s">
        <v>23</v>
      </c>
      <c r="C66" s="180" t="s">
        <v>397</v>
      </c>
      <c r="D66" s="218" t="s">
        <v>29</v>
      </c>
      <c r="E66" s="219">
        <f>apjomi!M17</f>
        <v>258.49749999999995</v>
      </c>
      <c r="F66" s="220"/>
      <c r="G66" s="81"/>
      <c r="H66" s="81"/>
      <c r="I66" s="81"/>
      <c r="J66" s="81"/>
      <c r="K66" s="81"/>
      <c r="L66" s="81"/>
      <c r="M66" s="205"/>
      <c r="N66" s="205"/>
      <c r="O66" s="205"/>
      <c r="P66" s="205"/>
      <c r="Q66" s="205"/>
    </row>
    <row r="67" spans="1:17" x14ac:dyDescent="0.2">
      <c r="A67" s="78" t="str">
        <f>IF(COUNTBLANK(B67)=1," ",COUNTA(B$15:B67))</f>
        <v xml:space="preserve"> </v>
      </c>
      <c r="B67" s="78"/>
      <c r="C67" s="178" t="s">
        <v>370</v>
      </c>
      <c r="D67" s="221" t="s">
        <v>36</v>
      </c>
      <c r="E67" s="220">
        <f>E66*F67</f>
        <v>77.549249999999986</v>
      </c>
      <c r="F67" s="220">
        <v>0.3</v>
      </c>
      <c r="G67" s="81"/>
      <c r="H67" s="81"/>
      <c r="I67" s="81"/>
      <c r="J67" s="81"/>
      <c r="K67" s="81"/>
      <c r="L67" s="81"/>
      <c r="M67" s="205"/>
      <c r="N67" s="205"/>
      <c r="O67" s="205"/>
      <c r="P67" s="205"/>
      <c r="Q67" s="205"/>
    </row>
    <row r="68" spans="1:17" x14ac:dyDescent="0.2">
      <c r="A68" s="78" t="str">
        <f>IF(COUNTBLANK(B68)=1," ",COUNTA(B$15:B68))</f>
        <v xml:space="preserve"> </v>
      </c>
      <c r="B68" s="78"/>
      <c r="C68" s="178" t="s">
        <v>40</v>
      </c>
      <c r="D68" s="218" t="s">
        <v>29</v>
      </c>
      <c r="E68" s="220">
        <f>E66*F68</f>
        <v>271.42237499999993</v>
      </c>
      <c r="F68" s="220">
        <v>1.05</v>
      </c>
      <c r="G68" s="81"/>
      <c r="H68" s="81"/>
      <c r="I68" s="81"/>
      <c r="J68" s="81"/>
      <c r="K68" s="81"/>
      <c r="L68" s="81"/>
      <c r="M68" s="205"/>
      <c r="N68" s="205"/>
      <c r="O68" s="205"/>
      <c r="P68" s="205"/>
      <c r="Q68" s="205"/>
    </row>
    <row r="69" spans="1:17" x14ac:dyDescent="0.2">
      <c r="A69" s="78"/>
      <c r="B69" s="78"/>
      <c r="C69" s="178" t="s">
        <v>371</v>
      </c>
      <c r="D69" s="221" t="s">
        <v>36</v>
      </c>
      <c r="E69" s="220">
        <f>E66*F69</f>
        <v>1292.4874999999997</v>
      </c>
      <c r="F69" s="220">
        <v>5</v>
      </c>
      <c r="G69" s="81"/>
      <c r="H69" s="81"/>
      <c r="I69" s="81"/>
      <c r="J69" s="81"/>
      <c r="K69" s="81"/>
      <c r="L69" s="81"/>
      <c r="M69" s="205"/>
      <c r="N69" s="205"/>
      <c r="O69" s="205"/>
      <c r="P69" s="205"/>
      <c r="Q69" s="205"/>
    </row>
    <row r="70" spans="1:17" ht="45" x14ac:dyDescent="0.2">
      <c r="A70" s="78"/>
      <c r="B70" s="78"/>
      <c r="C70" s="178" t="s">
        <v>398</v>
      </c>
      <c r="D70" s="221" t="s">
        <v>27</v>
      </c>
      <c r="E70" s="220">
        <f>E66*F70</f>
        <v>1550.9849999999997</v>
      </c>
      <c r="F70" s="220">
        <v>6</v>
      </c>
      <c r="G70" s="81"/>
      <c r="H70" s="81"/>
      <c r="I70" s="81"/>
      <c r="J70" s="81"/>
      <c r="K70" s="81"/>
      <c r="L70" s="81"/>
      <c r="M70" s="205"/>
      <c r="N70" s="205"/>
      <c r="O70" s="205"/>
      <c r="P70" s="205"/>
      <c r="Q70" s="205"/>
    </row>
    <row r="71" spans="1:17" x14ac:dyDescent="0.2">
      <c r="A71" s="78"/>
      <c r="B71" s="78"/>
      <c r="C71" s="178" t="s">
        <v>371</v>
      </c>
      <c r="D71" s="221" t="s">
        <v>36</v>
      </c>
      <c r="E71" s="220">
        <f>E66*F71</f>
        <v>1292.4874999999997</v>
      </c>
      <c r="F71" s="220">
        <v>5</v>
      </c>
      <c r="G71" s="81"/>
      <c r="H71" s="81"/>
      <c r="I71" s="81"/>
      <c r="J71" s="81"/>
      <c r="K71" s="81"/>
      <c r="L71" s="81"/>
      <c r="M71" s="205"/>
      <c r="N71" s="205"/>
      <c r="O71" s="205"/>
      <c r="P71" s="205"/>
      <c r="Q71" s="205"/>
    </row>
    <row r="72" spans="1:17" x14ac:dyDescent="0.2">
      <c r="A72" s="78"/>
      <c r="B72" s="78"/>
      <c r="C72" s="178" t="s">
        <v>332</v>
      </c>
      <c r="D72" s="221" t="s">
        <v>338</v>
      </c>
      <c r="E72" s="220">
        <f>E66*F72</f>
        <v>568.69449999999995</v>
      </c>
      <c r="F72" s="220">
        <v>2.2000000000000002</v>
      </c>
      <c r="G72" s="81"/>
      <c r="H72" s="81"/>
      <c r="I72" s="81"/>
      <c r="J72" s="81"/>
      <c r="K72" s="81"/>
      <c r="L72" s="81"/>
      <c r="M72" s="205"/>
      <c r="N72" s="205"/>
      <c r="O72" s="205"/>
      <c r="P72" s="205"/>
      <c r="Q72" s="205"/>
    </row>
    <row r="73" spans="1:17" ht="45" x14ac:dyDescent="0.2">
      <c r="A73" s="78">
        <f>IF(COUNTBLANK(B73)=1," ",COUNTA(B$15:B73))</f>
        <v>25</v>
      </c>
      <c r="B73" s="79" t="s">
        <v>23</v>
      </c>
      <c r="C73" s="125" t="s">
        <v>399</v>
      </c>
      <c r="D73" s="78" t="s">
        <v>29</v>
      </c>
      <c r="E73" s="86">
        <f>0.5*0.3*4*apjomi!V17</f>
        <v>76.8</v>
      </c>
      <c r="F73" s="193"/>
      <c r="G73" s="81"/>
      <c r="H73" s="81"/>
      <c r="I73" s="81"/>
      <c r="J73" s="81"/>
      <c r="K73" s="81"/>
      <c r="L73" s="81"/>
      <c r="M73" s="205"/>
      <c r="N73" s="205"/>
      <c r="O73" s="205"/>
      <c r="P73" s="205"/>
      <c r="Q73" s="205"/>
    </row>
    <row r="74" spans="1:17" x14ac:dyDescent="0.2">
      <c r="A74" s="78" t="str">
        <f>IF(COUNTBLANK(B74)=1," ",COUNTA(B$15:B74))</f>
        <v xml:space="preserve"> </v>
      </c>
      <c r="B74" s="78"/>
      <c r="C74" s="179" t="s">
        <v>371</v>
      </c>
      <c r="D74" s="78" t="s">
        <v>36</v>
      </c>
      <c r="E74" s="81">
        <f>E73*F74</f>
        <v>384</v>
      </c>
      <c r="F74" s="81">
        <v>5</v>
      </c>
      <c r="G74" s="81"/>
      <c r="H74" s="81"/>
      <c r="I74" s="81"/>
      <c r="J74" s="81"/>
      <c r="K74" s="81"/>
      <c r="L74" s="81"/>
      <c r="M74" s="205"/>
      <c r="N74" s="205"/>
      <c r="O74" s="205"/>
      <c r="P74" s="205"/>
      <c r="Q74" s="205"/>
    </row>
    <row r="75" spans="1:17" x14ac:dyDescent="0.2">
      <c r="A75" s="78" t="str">
        <f>IF(COUNTBLANK(B75)=1," ",COUNTA(B$15:B75))</f>
        <v xml:space="preserve"> </v>
      </c>
      <c r="B75" s="78"/>
      <c r="C75" s="178" t="s">
        <v>332</v>
      </c>
      <c r="D75" s="78" t="s">
        <v>29</v>
      </c>
      <c r="E75" s="81">
        <f>ROUNDUP(E73*F75,0)</f>
        <v>85</v>
      </c>
      <c r="F75" s="81">
        <v>1.1000000000000001</v>
      </c>
      <c r="G75" s="81"/>
      <c r="H75" s="81"/>
      <c r="I75" s="81"/>
      <c r="J75" s="81"/>
      <c r="K75" s="81"/>
      <c r="L75" s="81"/>
      <c r="M75" s="205"/>
      <c r="N75" s="205"/>
      <c r="O75" s="205"/>
      <c r="P75" s="205"/>
      <c r="Q75" s="205"/>
    </row>
    <row r="76" spans="1:17" x14ac:dyDescent="0.2">
      <c r="A76" s="78">
        <f>IF(COUNTBLANK(B76)=1," ",COUNTA(B$15:B76))</f>
        <v>26</v>
      </c>
      <c r="B76" s="79" t="s">
        <v>23</v>
      </c>
      <c r="C76" s="125" t="s">
        <v>42</v>
      </c>
      <c r="D76" s="78" t="s">
        <v>25</v>
      </c>
      <c r="E76" s="86">
        <f>apjomi!K17</f>
        <v>1033.9899999999998</v>
      </c>
      <c r="F76" s="78"/>
      <c r="G76" s="81"/>
      <c r="H76" s="81"/>
      <c r="I76" s="81"/>
      <c r="J76" s="81"/>
      <c r="K76" s="81"/>
      <c r="L76" s="81"/>
      <c r="M76" s="205"/>
      <c r="N76" s="205"/>
      <c r="O76" s="205"/>
      <c r="P76" s="205"/>
      <c r="Q76" s="205"/>
    </row>
    <row r="77" spans="1:17" x14ac:dyDescent="0.2">
      <c r="A77" s="78"/>
      <c r="B77" s="79"/>
      <c r="C77" s="212" t="s">
        <v>402</v>
      </c>
      <c r="D77" s="78"/>
      <c r="E77" s="86"/>
      <c r="F77" s="78"/>
      <c r="G77" s="81"/>
      <c r="H77" s="81"/>
      <c r="I77" s="81"/>
      <c r="J77" s="81"/>
      <c r="K77" s="81"/>
      <c r="L77" s="81"/>
      <c r="M77" s="205"/>
      <c r="N77" s="205"/>
      <c r="O77" s="205"/>
      <c r="P77" s="205"/>
      <c r="Q77" s="205"/>
    </row>
    <row r="78" spans="1:17" x14ac:dyDescent="0.2">
      <c r="A78" s="78">
        <f>IF(COUNTBLANK(B78)=1," ",COUNTA(B$15:B78))</f>
        <v>27</v>
      </c>
      <c r="B78" s="79" t="s">
        <v>23</v>
      </c>
      <c r="C78" s="125" t="str">
        <f>apjomi!Q2</f>
        <v>Stūra profils</v>
      </c>
      <c r="D78" s="78" t="s">
        <v>25</v>
      </c>
      <c r="E78" s="86">
        <f>apjomi!Q17</f>
        <v>736.95</v>
      </c>
      <c r="F78" s="78"/>
      <c r="G78" s="81"/>
      <c r="H78" s="81"/>
      <c r="I78" s="81"/>
      <c r="J78" s="81"/>
      <c r="K78" s="81"/>
      <c r="L78" s="81"/>
      <c r="M78" s="205"/>
      <c r="N78" s="205"/>
      <c r="O78" s="205"/>
      <c r="P78" s="205"/>
      <c r="Q78" s="205"/>
    </row>
    <row r="79" spans="1:17" x14ac:dyDescent="0.2">
      <c r="A79" s="78">
        <f>IF(COUNTBLANK(B79)=1," ",COUNTA(B$15:B79))</f>
        <v>28</v>
      </c>
      <c r="B79" s="79" t="s">
        <v>23</v>
      </c>
      <c r="C79" s="125" t="str">
        <f>apjomi!R2</f>
        <v>Loga pielaiduma profils</v>
      </c>
      <c r="D79" s="78" t="s">
        <v>25</v>
      </c>
      <c r="E79" s="86">
        <f>apjomi!R17</f>
        <v>736.95</v>
      </c>
      <c r="F79" s="78"/>
      <c r="G79" s="81"/>
      <c r="H79" s="81"/>
      <c r="I79" s="81"/>
      <c r="J79" s="81"/>
      <c r="K79" s="81"/>
      <c r="L79" s="81"/>
      <c r="M79" s="205"/>
      <c r="N79" s="205"/>
      <c r="O79" s="205"/>
      <c r="P79" s="205"/>
      <c r="Q79" s="205"/>
    </row>
    <row r="80" spans="1:17" x14ac:dyDescent="0.2">
      <c r="A80" s="78">
        <f>IF(COUNTBLANK(B80)=1," ",COUNTA(B$15:B80))</f>
        <v>29</v>
      </c>
      <c r="B80" s="79" t="s">
        <v>23</v>
      </c>
      <c r="C80" s="125" t="str">
        <f>apjomi!S2</f>
        <v>Stūra lāsenis</v>
      </c>
      <c r="D80" s="78" t="s">
        <v>25</v>
      </c>
      <c r="E80" s="86">
        <f>apjomi!S17</f>
        <v>301.20999999999998</v>
      </c>
      <c r="F80" s="78"/>
      <c r="G80" s="81"/>
      <c r="H80" s="81"/>
      <c r="I80" s="81"/>
      <c r="J80" s="81"/>
      <c r="K80" s="81"/>
      <c r="L80" s="81"/>
      <c r="M80" s="205"/>
      <c r="N80" s="205"/>
      <c r="O80" s="205"/>
      <c r="P80" s="205"/>
      <c r="Q80" s="205"/>
    </row>
    <row r="81" spans="1:17" x14ac:dyDescent="0.2">
      <c r="A81" s="78">
        <f>IF(COUNTBLANK(B81)=1," ",COUNTA(B$15:B81))</f>
        <v>30</v>
      </c>
      <c r="B81" s="79" t="s">
        <v>23</v>
      </c>
      <c r="C81" s="125" t="str">
        <f>apjomi!T2</f>
        <v>Palodzes montāžas profils</v>
      </c>
      <c r="D81" s="78" t="s">
        <v>25</v>
      </c>
      <c r="E81" s="86">
        <f>apjomi!T17</f>
        <v>271.20999999999998</v>
      </c>
      <c r="F81" s="78"/>
      <c r="G81" s="81"/>
      <c r="H81" s="81"/>
      <c r="I81" s="81"/>
      <c r="J81" s="81"/>
      <c r="K81" s="81"/>
      <c r="L81" s="81"/>
      <c r="M81" s="205"/>
      <c r="N81" s="205"/>
      <c r="O81" s="205"/>
      <c r="P81" s="205"/>
      <c r="Q81" s="205"/>
    </row>
    <row r="82" spans="1:17" x14ac:dyDescent="0.2">
      <c r="A82" s="78">
        <f>IF(COUNTBLANK(B82)=1," ",COUNTA(B$15:B82))</f>
        <v>31</v>
      </c>
      <c r="B82" s="79" t="s">
        <v>23</v>
      </c>
      <c r="C82" s="125" t="str">
        <f>apjomi!U2</f>
        <v>Cokola profils</v>
      </c>
      <c r="D82" s="78" t="s">
        <v>25</v>
      </c>
      <c r="E82" s="81">
        <f>apjomi!U17</f>
        <v>75.31</v>
      </c>
      <c r="F82" s="78"/>
      <c r="G82" s="81"/>
      <c r="H82" s="81"/>
      <c r="I82" s="81"/>
      <c r="J82" s="81"/>
      <c r="K82" s="81"/>
      <c r="L82" s="81"/>
      <c r="M82" s="205"/>
      <c r="N82" s="205"/>
      <c r="O82" s="205"/>
      <c r="P82" s="205"/>
      <c r="Q82" s="205"/>
    </row>
    <row r="83" spans="1:17" s="176" customFormat="1" x14ac:dyDescent="0.25">
      <c r="A83" s="78">
        <f>IF(COUNTBLANK(B83)=1," ",COUNTA(B$15:B83))</f>
        <v>32</v>
      </c>
      <c r="B83" s="79" t="s">
        <v>23</v>
      </c>
      <c r="C83" s="125" t="s">
        <v>44</v>
      </c>
      <c r="D83" s="74" t="s">
        <v>25</v>
      </c>
      <c r="E83" s="86">
        <v>239.8</v>
      </c>
      <c r="F83" s="81"/>
      <c r="G83" s="81"/>
      <c r="H83" s="81"/>
      <c r="I83" s="81"/>
      <c r="J83" s="81"/>
      <c r="K83" s="81"/>
      <c r="L83" s="81"/>
      <c r="M83" s="205"/>
      <c r="N83" s="205"/>
      <c r="O83" s="205"/>
      <c r="P83" s="205"/>
      <c r="Q83" s="205"/>
    </row>
    <row r="84" spans="1:17" ht="22.5" x14ac:dyDescent="0.2">
      <c r="A84" s="78">
        <f>IF(COUNTBLANK(B84)=1," ",COUNTA(B$15:B84))</f>
        <v>33</v>
      </c>
      <c r="B84" s="79" t="s">
        <v>23</v>
      </c>
      <c r="C84" s="125" t="s">
        <v>262</v>
      </c>
      <c r="D84" s="74" t="s">
        <v>25</v>
      </c>
      <c r="E84" s="86">
        <v>368.5</v>
      </c>
      <c r="F84" s="81"/>
      <c r="G84" s="81"/>
      <c r="H84" s="81"/>
      <c r="I84" s="81"/>
      <c r="J84" s="81"/>
      <c r="K84" s="81"/>
      <c r="L84" s="81"/>
      <c r="M84" s="205"/>
      <c r="N84" s="205"/>
      <c r="O84" s="205"/>
      <c r="P84" s="205"/>
      <c r="Q84" s="205"/>
    </row>
    <row r="85" spans="1:17" s="65" customFormat="1" x14ac:dyDescent="0.25">
      <c r="A85" s="78">
        <f>IF(COUNTBLANK(B85)=1," ",COUNTA(B$15:B85))</f>
        <v>34</v>
      </c>
      <c r="B85" s="79" t="s">
        <v>23</v>
      </c>
      <c r="C85" s="125" t="s">
        <v>45</v>
      </c>
      <c r="D85" s="78" t="s">
        <v>27</v>
      </c>
      <c r="E85" s="87">
        <v>1</v>
      </c>
      <c r="F85" s="78"/>
      <c r="G85" s="81"/>
      <c r="H85" s="81"/>
      <c r="I85" s="81"/>
      <c r="J85" s="81"/>
      <c r="K85" s="81"/>
      <c r="L85" s="81"/>
      <c r="M85" s="205"/>
      <c r="N85" s="205"/>
      <c r="O85" s="205"/>
      <c r="P85" s="205"/>
      <c r="Q85" s="205"/>
    </row>
    <row r="86" spans="1:17" s="69" customFormat="1" x14ac:dyDescent="0.25">
      <c r="A86" s="78">
        <f>IF(COUNTBLANK(B86)=1," ",COUNTA(B$15:B86))</f>
        <v>35</v>
      </c>
      <c r="B86" s="79" t="s">
        <v>23</v>
      </c>
      <c r="C86" s="125" t="s">
        <v>46</v>
      </c>
      <c r="D86" s="78" t="s">
        <v>61</v>
      </c>
      <c r="E86" s="81">
        <v>15</v>
      </c>
      <c r="F86" s="81"/>
      <c r="G86" s="81"/>
      <c r="H86" s="81"/>
      <c r="I86" s="195"/>
      <c r="J86" s="78"/>
      <c r="K86" s="81"/>
      <c r="L86" s="81"/>
      <c r="M86" s="205"/>
      <c r="N86" s="205"/>
      <c r="O86" s="205"/>
      <c r="P86" s="205"/>
      <c r="Q86" s="205"/>
    </row>
    <row r="87" spans="1:17" x14ac:dyDescent="0.2">
      <c r="A87" s="78" t="str">
        <f>IF(COUNTBLANK(B87)=1," ",COUNTA(B$15:B87))</f>
        <v xml:space="preserve"> </v>
      </c>
      <c r="B87" s="79"/>
      <c r="C87" s="125" t="s">
        <v>47</v>
      </c>
      <c r="D87" s="78" t="s">
        <v>27</v>
      </c>
      <c r="E87" s="81">
        <f>ROUNDUP(E86*F87,0)</f>
        <v>3</v>
      </c>
      <c r="F87" s="81">
        <v>0.15</v>
      </c>
      <c r="G87" s="81"/>
      <c r="H87" s="81"/>
      <c r="I87" s="195"/>
      <c r="J87" s="78"/>
      <c r="K87" s="81"/>
      <c r="L87" s="81"/>
      <c r="M87" s="205"/>
      <c r="N87" s="205"/>
      <c r="O87" s="205"/>
      <c r="P87" s="205"/>
      <c r="Q87" s="205"/>
    </row>
    <row r="88" spans="1:17" ht="22.5" x14ac:dyDescent="0.2">
      <c r="A88" s="68"/>
      <c r="B88" s="69"/>
      <c r="C88" s="318" t="s">
        <v>156</v>
      </c>
      <c r="D88" s="319"/>
      <c r="E88" s="320"/>
      <c r="F88" s="320"/>
      <c r="G88" s="321"/>
      <c r="H88" s="321"/>
      <c r="I88" s="321"/>
      <c r="J88" s="321"/>
      <c r="K88" s="321"/>
      <c r="L88" s="69"/>
      <c r="M88" s="322"/>
      <c r="N88" s="322"/>
      <c r="O88" s="322"/>
      <c r="P88" s="322"/>
      <c r="Q88" s="322"/>
    </row>
    <row r="89" spans="1:17" x14ac:dyDescent="0.2">
      <c r="A89" s="69"/>
      <c r="B89" s="69"/>
      <c r="C89" s="323"/>
      <c r="D89" s="323"/>
      <c r="E89" s="323"/>
      <c r="F89" s="323"/>
      <c r="G89" s="323"/>
      <c r="H89" s="323"/>
      <c r="I89" s="69"/>
      <c r="J89" s="69"/>
      <c r="K89" s="69"/>
      <c r="L89" s="69"/>
      <c r="M89" s="69"/>
      <c r="N89" s="69"/>
      <c r="O89" s="69"/>
      <c r="P89" s="69"/>
      <c r="Q89" s="69"/>
    </row>
    <row r="90" spans="1:17" s="69" customFormat="1" x14ac:dyDescent="0.25">
      <c r="C90" s="324" t="str">
        <f>[2]KPDV!$B$31</f>
        <v>Sastādīja:</v>
      </c>
      <c r="D90" s="325"/>
      <c r="E90" s="326"/>
      <c r="F90" s="326"/>
      <c r="G90" s="323"/>
      <c r="H90" s="323"/>
    </row>
    <row r="91" spans="1:17" x14ac:dyDescent="0.2">
      <c r="A91" s="69"/>
      <c r="B91" s="69"/>
      <c r="C91" s="324" t="str">
        <f>[2]KPDV!$B$32</f>
        <v>Tāme sastādīta</v>
      </c>
      <c r="D91" s="327"/>
      <c r="E91" s="314"/>
      <c r="F91" s="314"/>
      <c r="G91" s="323"/>
      <c r="H91" s="323"/>
      <c r="I91" s="69"/>
      <c r="J91" s="69"/>
      <c r="K91" s="69"/>
      <c r="L91" s="69"/>
      <c r="M91" s="69"/>
      <c r="N91" s="69"/>
      <c r="O91" s="69"/>
      <c r="P91" s="69"/>
      <c r="Q91" s="69"/>
    </row>
    <row r="92" spans="1:17" x14ac:dyDescent="0.2">
      <c r="A92" s="69"/>
      <c r="B92" s="69"/>
      <c r="C92" s="324"/>
      <c r="D92" s="327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69"/>
    </row>
    <row r="93" spans="1:17" s="67" customFormat="1" x14ac:dyDescent="0.25">
      <c r="A93" s="69"/>
      <c r="B93" s="69"/>
      <c r="C93" s="324" t="str">
        <f>[2]KPDV!$B$34</f>
        <v>Pārbaudīja:</v>
      </c>
      <c r="D93" s="325"/>
      <c r="E93" s="326"/>
      <c r="F93" s="326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69"/>
    </row>
    <row r="94" spans="1:17" x14ac:dyDescent="0.2">
      <c r="A94" s="69"/>
      <c r="B94" s="69"/>
      <c r="C94" s="324" t="str">
        <f>[2]KPDV!$B$35</f>
        <v>Sertifikāta Nr.:</v>
      </c>
      <c r="D94" s="325"/>
      <c r="E94" s="328"/>
      <c r="F94" s="328"/>
      <c r="G94" s="327"/>
      <c r="H94" s="327"/>
      <c r="I94" s="327"/>
      <c r="J94" s="327"/>
      <c r="K94" s="327"/>
      <c r="L94" s="327"/>
      <c r="M94" s="329"/>
      <c r="N94" s="327"/>
      <c r="O94" s="329"/>
      <c r="P94" s="327"/>
      <c r="Q94" s="69"/>
    </row>
    <row r="95" spans="1:17" x14ac:dyDescent="0.2">
      <c r="A95" s="69"/>
      <c r="B95" s="69"/>
      <c r="C95" s="69"/>
      <c r="D95" s="69"/>
      <c r="E95" s="69"/>
      <c r="F95" s="69"/>
      <c r="G95" s="69"/>
      <c r="H95" s="69"/>
      <c r="I95" s="134"/>
      <c r="J95" s="135"/>
      <c r="K95" s="135"/>
      <c r="L95" s="69"/>
      <c r="M95" s="69"/>
      <c r="N95" s="69"/>
      <c r="O95" s="135"/>
      <c r="P95" s="135"/>
      <c r="Q95" s="69"/>
    </row>
    <row r="96" spans="1:17" ht="12.75" x14ac:dyDescent="0.2">
      <c r="A96" s="69"/>
      <c r="B96" s="330" t="s">
        <v>400</v>
      </c>
      <c r="C96" s="331"/>
      <c r="D96" s="332"/>
      <c r="E96" s="332"/>
      <c r="F96" s="332"/>
      <c r="G96" s="333"/>
      <c r="H96" s="332"/>
      <c r="I96" s="332"/>
      <c r="J96" s="332"/>
      <c r="K96" s="332"/>
      <c r="L96" s="332"/>
      <c r="M96" s="332"/>
      <c r="N96" s="332"/>
      <c r="O96" s="332"/>
      <c r="P96" s="332"/>
      <c r="Q96" s="332"/>
    </row>
    <row r="97" spans="1:17" x14ac:dyDescent="0.2">
      <c r="A97" s="69"/>
      <c r="B97" s="334" t="s">
        <v>401</v>
      </c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</row>
    <row r="98" spans="1:17" x14ac:dyDescent="0.2">
      <c r="A98" s="69"/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</row>
    <row r="99" spans="1:17" ht="23.25" customHeight="1" x14ac:dyDescent="0.2">
      <c r="A99" s="69"/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</row>
    <row r="100" spans="1:17" x14ac:dyDescent="0.2">
      <c r="A100" s="69"/>
      <c r="B100" s="69"/>
      <c r="C100" s="69"/>
      <c r="D100" s="69"/>
      <c r="E100" s="69"/>
    </row>
    <row r="101" spans="1:17" x14ac:dyDescent="0.2">
      <c r="A101" s="69"/>
      <c r="B101" s="69"/>
      <c r="C101" s="69"/>
      <c r="D101" s="69"/>
      <c r="E101" s="69"/>
    </row>
    <row r="102" spans="1:17" x14ac:dyDescent="0.2">
      <c r="A102" s="69"/>
      <c r="B102" s="69"/>
      <c r="C102" s="69"/>
      <c r="D102" s="69"/>
      <c r="E102" s="69"/>
    </row>
  </sheetData>
  <autoFilter ref="A13:Q87" xr:uid="{00000000-0009-0000-0000-000001000000}"/>
  <mergeCells count="10">
    <mergeCell ref="B97:Q99"/>
    <mergeCell ref="A2:E2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.7" right="0.7" top="0.75" bottom="0.75" header="0.3" footer="0.3"/>
  <pageSetup paperSize="9" firstPageNumber="0" fitToHeight="0" orientation="landscape" r:id="rId1"/>
  <rowBreaks count="1" manualBreakCount="1">
    <brk id="3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H35"/>
  <sheetViews>
    <sheetView zoomScaleNormal="100" zoomScaleSheetLayoutView="115" workbookViewId="0">
      <selection activeCell="B34" sqref="B34"/>
    </sheetView>
  </sheetViews>
  <sheetFormatPr defaultColWidth="9" defaultRowHeight="11.25" x14ac:dyDescent="0.2"/>
  <cols>
    <col min="1" max="1" width="13.140625" style="32"/>
    <col min="2" max="2" width="43" style="7"/>
    <col min="3" max="3" width="6" style="7"/>
    <col min="4" max="4" width="7.5703125" style="7"/>
    <col min="5" max="5" width="5.28515625" style="7"/>
    <col min="6" max="6" width="5.5703125" style="7" customWidth="1"/>
    <col min="7" max="7" width="4.7109375" style="7" customWidth="1"/>
    <col min="8" max="8" width="6" style="7"/>
    <col min="9" max="9" width="5.28515625" style="7"/>
    <col min="10" max="10" width="8" style="7" customWidth="1"/>
    <col min="11" max="11" width="9.85546875" style="7" customWidth="1"/>
    <col min="12" max="12" width="6.85546875" style="7" customWidth="1"/>
    <col min="13" max="13" width="10.28515625" style="7"/>
    <col min="14" max="14" width="11.42578125" style="7" customWidth="1"/>
    <col min="15" max="15" width="6" style="7"/>
    <col min="16" max="17" width="6.85546875" style="7"/>
    <col min="18" max="18" width="6.7109375" style="7"/>
    <col min="19" max="19" width="6.85546875" style="7"/>
    <col min="20" max="20" width="8.5703125" style="7"/>
    <col min="21" max="21" width="7.5703125" style="7"/>
    <col min="22" max="22" width="9" style="7"/>
    <col min="23" max="29" width="9.7109375" style="33"/>
    <col min="30" max="34" width="8.5703125" style="33"/>
    <col min="35" max="1026" width="8.5703125" style="7"/>
    <col min="1027" max="16384" width="9" style="7"/>
  </cols>
  <sheetData>
    <row r="1" spans="1:34" s="6" customFormat="1" x14ac:dyDescent="0.2">
      <c r="A1" s="32"/>
      <c r="B1" s="5"/>
      <c r="C1" s="29"/>
      <c r="D1" s="29"/>
      <c r="E1" s="29"/>
      <c r="F1" s="29"/>
      <c r="G1" s="29"/>
      <c r="H1" s="29"/>
      <c r="I1" s="29"/>
      <c r="J1" s="29"/>
      <c r="K1" s="245" t="s">
        <v>98</v>
      </c>
      <c r="L1" s="245"/>
      <c r="M1" s="245" t="s">
        <v>99</v>
      </c>
      <c r="N1" s="245"/>
      <c r="O1" s="245" t="s">
        <v>100</v>
      </c>
      <c r="P1" s="245"/>
      <c r="Q1" s="246" t="s">
        <v>101</v>
      </c>
      <c r="R1" s="246"/>
      <c r="S1" s="246"/>
      <c r="T1" s="246"/>
      <c r="U1" s="246"/>
      <c r="V1" s="56"/>
      <c r="W1" s="33" t="str">
        <f>U2</f>
        <v>Cokola profils</v>
      </c>
      <c r="X1" s="33"/>
      <c r="Y1" s="33"/>
      <c r="Z1" s="33" t="s">
        <v>377</v>
      </c>
      <c r="AA1" s="33"/>
      <c r="AB1" s="33"/>
      <c r="AC1" s="33" t="s">
        <v>378</v>
      </c>
      <c r="AD1" s="33"/>
      <c r="AE1" s="33"/>
      <c r="AF1" s="33" t="s">
        <v>379</v>
      </c>
      <c r="AG1" s="33"/>
      <c r="AH1" s="33"/>
    </row>
    <row r="2" spans="1:34" ht="45" x14ac:dyDescent="0.2">
      <c r="B2" s="249" t="s">
        <v>102</v>
      </c>
      <c r="C2" s="250" t="s">
        <v>103</v>
      </c>
      <c r="D2" s="250"/>
      <c r="E2" s="250"/>
      <c r="F2" s="250" t="s">
        <v>104</v>
      </c>
      <c r="G2" s="250"/>
      <c r="H2" s="250" t="s">
        <v>105</v>
      </c>
      <c r="I2" s="250"/>
      <c r="J2" s="250"/>
      <c r="K2" s="31"/>
      <c r="L2" s="31"/>
      <c r="M2" s="31" t="s">
        <v>106</v>
      </c>
      <c r="N2" s="31" t="s">
        <v>107</v>
      </c>
      <c r="O2" s="31" t="s">
        <v>107</v>
      </c>
      <c r="P2" s="31" t="s">
        <v>108</v>
      </c>
      <c r="Q2" s="247" t="s">
        <v>372</v>
      </c>
      <c r="R2" s="247" t="s">
        <v>373</v>
      </c>
      <c r="S2" s="247" t="s">
        <v>374</v>
      </c>
      <c r="T2" s="247" t="s">
        <v>375</v>
      </c>
      <c r="U2" s="248" t="s">
        <v>376</v>
      </c>
      <c r="V2" s="38" t="s">
        <v>333</v>
      </c>
      <c r="W2" s="34"/>
      <c r="AF2" s="7"/>
    </row>
    <row r="3" spans="1:34" ht="45" customHeight="1" x14ac:dyDescent="0.2">
      <c r="A3" s="7"/>
      <c r="B3" s="249"/>
      <c r="C3" s="8" t="s">
        <v>109</v>
      </c>
      <c r="D3" s="8" t="s">
        <v>110</v>
      </c>
      <c r="E3" s="31" t="s">
        <v>9</v>
      </c>
      <c r="F3" s="31" t="s">
        <v>111</v>
      </c>
      <c r="G3" s="31" t="s">
        <v>112</v>
      </c>
      <c r="H3" s="31" t="s">
        <v>113</v>
      </c>
      <c r="I3" s="8" t="s">
        <v>109</v>
      </c>
      <c r="J3" s="9" t="s">
        <v>110</v>
      </c>
      <c r="K3" s="31" t="s">
        <v>114</v>
      </c>
      <c r="L3" s="31" t="s">
        <v>115</v>
      </c>
      <c r="M3" s="10">
        <v>0.25</v>
      </c>
      <c r="N3" s="10">
        <v>0.3</v>
      </c>
      <c r="O3" s="31"/>
      <c r="P3" s="31"/>
      <c r="Q3" s="247"/>
      <c r="R3" s="247"/>
      <c r="S3" s="247"/>
      <c r="T3" s="247"/>
      <c r="U3" s="248"/>
      <c r="V3" s="38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x14ac:dyDescent="0.2">
      <c r="A4" s="7"/>
      <c r="B4" s="30" t="s">
        <v>302</v>
      </c>
      <c r="C4" s="11">
        <f t="shared" ref="C4:C16" si="0">E4-D4</f>
        <v>37</v>
      </c>
      <c r="D4" s="10">
        <v>3</v>
      </c>
      <c r="E4" s="10">
        <v>40</v>
      </c>
      <c r="F4" s="10">
        <v>2.33</v>
      </c>
      <c r="G4" s="10">
        <v>1.43</v>
      </c>
      <c r="H4" s="12">
        <f t="shared" ref="H4:H14" si="1">F4*G4</f>
        <v>3.3319000000000001</v>
      </c>
      <c r="I4" s="12">
        <f t="shared" ref="I4:I14" si="2">H4*C4</f>
        <v>123.2803</v>
      </c>
      <c r="J4" s="13">
        <f t="shared" ref="J4:J14" si="3">H4*D4</f>
        <v>9.9956999999999994</v>
      </c>
      <c r="K4" s="12">
        <f>(F4*2+G4*2)*E4</f>
        <v>300.79999999999995</v>
      </c>
      <c r="L4" s="12">
        <f>(F4*2+G4*2)*D4</f>
        <v>22.56</v>
      </c>
      <c r="M4" s="12">
        <f>K4*M3</f>
        <v>75.199999999999989</v>
      </c>
      <c r="N4" s="12">
        <f>L4*N3</f>
        <v>6.7679999999999998</v>
      </c>
      <c r="O4" s="12">
        <f>F4*D4</f>
        <v>6.99</v>
      </c>
      <c r="P4" s="12">
        <f>E4*F4*1.05</f>
        <v>97.860000000000014</v>
      </c>
      <c r="Q4" s="12">
        <f>E4*(F4+2*G4)</f>
        <v>207.59999999999997</v>
      </c>
      <c r="R4" s="12">
        <f t="shared" ref="R4:R14" si="4">Q4</f>
        <v>207.59999999999997</v>
      </c>
      <c r="S4" s="12">
        <f t="shared" ref="S4:S14" si="5">E4*F4</f>
        <v>93.2</v>
      </c>
      <c r="T4" s="12">
        <f>S4</f>
        <v>93.2</v>
      </c>
      <c r="U4" s="14"/>
      <c r="V4" s="38">
        <f>E4</f>
        <v>40</v>
      </c>
      <c r="W4" s="34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x14ac:dyDescent="0.2">
      <c r="A5" s="7"/>
      <c r="B5" s="30" t="s">
        <v>304</v>
      </c>
      <c r="C5" s="11">
        <f t="shared" si="0"/>
        <v>28</v>
      </c>
      <c r="D5" s="10">
        <v>2</v>
      </c>
      <c r="E5" s="10">
        <v>30</v>
      </c>
      <c r="F5" s="10">
        <v>1.5</v>
      </c>
      <c r="G5" s="10">
        <v>1.43</v>
      </c>
      <c r="H5" s="12">
        <f t="shared" si="1"/>
        <v>2.145</v>
      </c>
      <c r="I5" s="12">
        <f t="shared" si="2"/>
        <v>60.06</v>
      </c>
      <c r="J5" s="13">
        <f t="shared" si="3"/>
        <v>4.29</v>
      </c>
      <c r="K5" s="12">
        <f>(F5*2+G5*2)*E5</f>
        <v>175.79999999999998</v>
      </c>
      <c r="L5" s="12">
        <f>(F5*2+G5*2)*D5</f>
        <v>11.719999999999999</v>
      </c>
      <c r="M5" s="12">
        <f>K5*M3</f>
        <v>43.949999999999996</v>
      </c>
      <c r="N5" s="12">
        <f>L5*N3</f>
        <v>3.5159999999999996</v>
      </c>
      <c r="O5" s="12">
        <f>F5*D5</f>
        <v>3</v>
      </c>
      <c r="P5" s="12">
        <f>E5*F5*1.05</f>
        <v>47.25</v>
      </c>
      <c r="Q5" s="12">
        <f>E5*(F5+2*G5)</f>
        <v>130.79999999999998</v>
      </c>
      <c r="R5" s="12">
        <f t="shared" si="4"/>
        <v>130.79999999999998</v>
      </c>
      <c r="S5" s="12">
        <f t="shared" si="5"/>
        <v>45</v>
      </c>
      <c r="T5" s="12">
        <f>S5</f>
        <v>45</v>
      </c>
      <c r="U5" s="14"/>
      <c r="V5" s="38">
        <f>E5</f>
        <v>30</v>
      </c>
      <c r="W5" s="34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x14ac:dyDescent="0.2">
      <c r="A6" s="7"/>
      <c r="B6" s="30" t="s">
        <v>305</v>
      </c>
      <c r="C6" s="11">
        <f t="shared" si="0"/>
        <v>16</v>
      </c>
      <c r="D6" s="10">
        <v>4</v>
      </c>
      <c r="E6" s="10">
        <v>20</v>
      </c>
      <c r="F6" s="10">
        <v>1.53</v>
      </c>
      <c r="G6" s="10">
        <v>1.43</v>
      </c>
      <c r="H6" s="12">
        <f t="shared" si="1"/>
        <v>2.1879</v>
      </c>
      <c r="I6" s="12">
        <f t="shared" si="2"/>
        <v>35.006399999999999</v>
      </c>
      <c r="J6" s="13">
        <f t="shared" si="3"/>
        <v>8.7515999999999998</v>
      </c>
      <c r="K6" s="53">
        <f>(F6*2+G6)*E6</f>
        <v>89.800000000000011</v>
      </c>
      <c r="L6" s="53">
        <f>(F6*2+G6)*D6</f>
        <v>17.96</v>
      </c>
      <c r="M6" s="53">
        <f>K6*M3</f>
        <v>22.450000000000003</v>
      </c>
      <c r="N6" s="53">
        <f>L6*N3</f>
        <v>5.3879999999999999</v>
      </c>
      <c r="O6" s="53">
        <f>F6*D6</f>
        <v>6.12</v>
      </c>
      <c r="P6" s="53">
        <f>E6*F6*1.05</f>
        <v>32.130000000000003</v>
      </c>
      <c r="Q6" s="53">
        <f>E6*(F6+G6)</f>
        <v>59.2</v>
      </c>
      <c r="R6" s="53">
        <f t="shared" si="4"/>
        <v>59.2</v>
      </c>
      <c r="S6" s="53">
        <f t="shared" si="5"/>
        <v>30.6</v>
      </c>
      <c r="T6" s="53">
        <f>S6</f>
        <v>30.6</v>
      </c>
      <c r="U6" s="14"/>
      <c r="V6" s="38">
        <f>E6</f>
        <v>20</v>
      </c>
      <c r="W6" s="1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x14ac:dyDescent="0.2">
      <c r="A7" s="7"/>
      <c r="B7" s="30" t="s">
        <v>319</v>
      </c>
      <c r="C7" s="11">
        <f t="shared" si="0"/>
        <v>16</v>
      </c>
      <c r="D7" s="10">
        <f>D6</f>
        <v>4</v>
      </c>
      <c r="E7" s="10">
        <f>E6</f>
        <v>20</v>
      </c>
      <c r="F7" s="10">
        <v>0.75</v>
      </c>
      <c r="G7" s="10">
        <v>2.2000000000000002</v>
      </c>
      <c r="H7" s="12">
        <f t="shared" si="1"/>
        <v>1.6500000000000001</v>
      </c>
      <c r="I7" s="12">
        <f t="shared" si="2"/>
        <v>26.400000000000002</v>
      </c>
      <c r="J7" s="13">
        <f t="shared" si="3"/>
        <v>6.6000000000000005</v>
      </c>
      <c r="K7" s="53">
        <f>(F7*2+G7*2-G6)*E7</f>
        <v>89.4</v>
      </c>
      <c r="L7" s="53">
        <f>(F7*2+G7*2-G6)*D7</f>
        <v>17.880000000000003</v>
      </c>
      <c r="M7" s="53">
        <f>K7*M3</f>
        <v>22.35</v>
      </c>
      <c r="N7" s="53">
        <f>L7*N3</f>
        <v>5.3640000000000008</v>
      </c>
      <c r="O7" s="53"/>
      <c r="P7" s="53"/>
      <c r="Q7" s="53">
        <f>E7*(F7+2*G7-G6)</f>
        <v>74.400000000000006</v>
      </c>
      <c r="R7" s="53">
        <f t="shared" si="4"/>
        <v>74.400000000000006</v>
      </c>
      <c r="S7" s="53">
        <f t="shared" si="5"/>
        <v>15</v>
      </c>
      <c r="T7" s="53"/>
      <c r="U7" s="14"/>
      <c r="V7" s="38"/>
      <c r="W7" s="1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2">
      <c r="A8" s="7"/>
      <c r="B8" s="30" t="s">
        <v>306</v>
      </c>
      <c r="C8" s="11">
        <f t="shared" si="0"/>
        <v>18</v>
      </c>
      <c r="D8" s="10">
        <v>2</v>
      </c>
      <c r="E8" s="10">
        <v>20</v>
      </c>
      <c r="F8" s="10">
        <v>1.53</v>
      </c>
      <c r="G8" s="10">
        <v>1.43</v>
      </c>
      <c r="H8" s="12">
        <f t="shared" si="1"/>
        <v>2.1879</v>
      </c>
      <c r="I8" s="12">
        <f t="shared" si="2"/>
        <v>39.382199999999997</v>
      </c>
      <c r="J8" s="13">
        <f t="shared" si="3"/>
        <v>4.3757999999999999</v>
      </c>
      <c r="K8" s="53">
        <f>(F8*2+G8)*E8</f>
        <v>89.800000000000011</v>
      </c>
      <c r="L8" s="53">
        <f>(F8*2+G8)*D8</f>
        <v>8.98</v>
      </c>
      <c r="M8" s="53">
        <f>K8*M3</f>
        <v>22.450000000000003</v>
      </c>
      <c r="N8" s="53">
        <f>L8*N3</f>
        <v>2.694</v>
      </c>
      <c r="O8" s="53">
        <f>F8*D8</f>
        <v>3.06</v>
      </c>
      <c r="P8" s="53">
        <f>E8*F8*1.05</f>
        <v>32.130000000000003</v>
      </c>
      <c r="Q8" s="53">
        <f>E8*(F8+G8)</f>
        <v>59.2</v>
      </c>
      <c r="R8" s="53">
        <f t="shared" si="4"/>
        <v>59.2</v>
      </c>
      <c r="S8" s="53">
        <f t="shared" si="5"/>
        <v>30.6</v>
      </c>
      <c r="T8" s="53">
        <f>S8</f>
        <v>30.6</v>
      </c>
      <c r="U8" s="14"/>
      <c r="V8" s="38">
        <f t="shared" ref="V8:V10" si="6">E8</f>
        <v>20</v>
      </c>
      <c r="W8" s="1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7"/>
      <c r="B9" s="30" t="s">
        <v>310</v>
      </c>
      <c r="C9" s="11">
        <f t="shared" si="0"/>
        <v>18</v>
      </c>
      <c r="D9" s="10">
        <f>D8</f>
        <v>2</v>
      </c>
      <c r="E9" s="10">
        <f>E8</f>
        <v>20</v>
      </c>
      <c r="F9" s="10">
        <v>0.75</v>
      </c>
      <c r="G9" s="10">
        <v>2.2000000000000002</v>
      </c>
      <c r="H9" s="12">
        <f t="shared" si="1"/>
        <v>1.6500000000000001</v>
      </c>
      <c r="I9" s="12">
        <f t="shared" si="2"/>
        <v>29.700000000000003</v>
      </c>
      <c r="J9" s="13">
        <f t="shared" si="3"/>
        <v>3.3000000000000003</v>
      </c>
      <c r="K9" s="53">
        <f>(F9*2+G9*2-G8)*E9</f>
        <v>89.4</v>
      </c>
      <c r="L9" s="53">
        <f>(F9*2+G9*2-G8)*D9</f>
        <v>8.9400000000000013</v>
      </c>
      <c r="M9" s="53">
        <f>K9*M3</f>
        <v>22.35</v>
      </c>
      <c r="N9" s="53">
        <f>L9*N3</f>
        <v>2.6820000000000004</v>
      </c>
      <c r="O9" s="53"/>
      <c r="P9" s="53"/>
      <c r="Q9" s="53">
        <f>E9*(F9+2*G9-G8)</f>
        <v>74.400000000000006</v>
      </c>
      <c r="R9" s="53">
        <f t="shared" si="4"/>
        <v>74.400000000000006</v>
      </c>
      <c r="S9" s="53">
        <f t="shared" si="5"/>
        <v>15</v>
      </c>
      <c r="T9" s="53"/>
      <c r="U9" s="14"/>
      <c r="V9" s="38"/>
      <c r="W9" s="1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">
      <c r="A10" s="7"/>
      <c r="B10" s="30" t="s">
        <v>307</v>
      </c>
      <c r="C10" s="11">
        <f t="shared" si="0"/>
        <v>18</v>
      </c>
      <c r="D10" s="10">
        <v>0</v>
      </c>
      <c r="E10" s="10">
        <v>18</v>
      </c>
      <c r="F10" s="10">
        <v>2.4</v>
      </c>
      <c r="G10" s="10">
        <v>0.73</v>
      </c>
      <c r="H10" s="12">
        <f t="shared" si="1"/>
        <v>1.752</v>
      </c>
      <c r="I10" s="12">
        <f t="shared" si="2"/>
        <v>31.536000000000001</v>
      </c>
      <c r="J10" s="13">
        <f t="shared" si="3"/>
        <v>0</v>
      </c>
      <c r="K10" s="12">
        <f>(F10*2+G10*2)*E10</f>
        <v>112.67999999999999</v>
      </c>
      <c r="L10" s="12">
        <f>(F10*2+G10*2)*D10</f>
        <v>0</v>
      </c>
      <c r="M10" s="12">
        <f>K10*M3</f>
        <v>28.169999999999998</v>
      </c>
      <c r="N10" s="12">
        <f>L10*N3</f>
        <v>0</v>
      </c>
      <c r="O10" s="12">
        <f>F10*D10</f>
        <v>0</v>
      </c>
      <c r="P10" s="12">
        <f>E10*F10*1.05</f>
        <v>45.36</v>
      </c>
      <c r="Q10" s="12">
        <f t="shared" ref="Q10:Q14" si="7">E10*(F10+2*G10)</f>
        <v>69.48</v>
      </c>
      <c r="R10" s="12">
        <f t="shared" si="4"/>
        <v>69.48</v>
      </c>
      <c r="S10" s="12">
        <f t="shared" si="5"/>
        <v>43.199999999999996</v>
      </c>
      <c r="T10" s="12">
        <f t="shared" ref="T10:T14" si="8">S10</f>
        <v>43.199999999999996</v>
      </c>
      <c r="U10" s="14"/>
      <c r="V10" s="38">
        <f t="shared" si="6"/>
        <v>18</v>
      </c>
      <c r="W10" s="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x14ac:dyDescent="0.2">
      <c r="A11" s="7"/>
      <c r="B11" s="30" t="s">
        <v>308</v>
      </c>
      <c r="C11" s="11">
        <f t="shared" si="0"/>
        <v>20</v>
      </c>
      <c r="D11" s="10">
        <v>0</v>
      </c>
      <c r="E11" s="10">
        <v>20</v>
      </c>
      <c r="F11" s="10">
        <v>1.1000000000000001</v>
      </c>
      <c r="G11" s="10">
        <v>0.32</v>
      </c>
      <c r="H11" s="12">
        <f t="shared" si="1"/>
        <v>0.35200000000000004</v>
      </c>
      <c r="I11" s="12">
        <f t="shared" si="2"/>
        <v>7.0400000000000009</v>
      </c>
      <c r="J11" s="13">
        <f t="shared" si="3"/>
        <v>0</v>
      </c>
      <c r="K11" s="12">
        <f>(F11*2+G11*2)*E11</f>
        <v>56.800000000000004</v>
      </c>
      <c r="L11" s="12">
        <f>(F11*2+G11*2)*D11</f>
        <v>0</v>
      </c>
      <c r="M11" s="12">
        <f>K11*M3</f>
        <v>14.200000000000001</v>
      </c>
      <c r="N11" s="12">
        <f>L11*N3</f>
        <v>0</v>
      </c>
      <c r="O11" s="12">
        <f>F11*D11</f>
        <v>0</v>
      </c>
      <c r="P11" s="12">
        <f>E11*F11*1.05</f>
        <v>23.1</v>
      </c>
      <c r="Q11" s="12">
        <f t="shared" si="7"/>
        <v>34.800000000000004</v>
      </c>
      <c r="R11" s="12">
        <f t="shared" si="4"/>
        <v>34.800000000000004</v>
      </c>
      <c r="S11" s="12">
        <f t="shared" si="5"/>
        <v>22</v>
      </c>
      <c r="T11" s="12">
        <f t="shared" si="8"/>
        <v>22</v>
      </c>
      <c r="U11" s="14"/>
      <c r="V11" s="38"/>
      <c r="W11" s="1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2">
      <c r="A12" s="7"/>
      <c r="B12" s="30" t="s">
        <v>309</v>
      </c>
      <c r="C12" s="11">
        <f t="shared" si="0"/>
        <v>2</v>
      </c>
      <c r="D12" s="10">
        <v>0</v>
      </c>
      <c r="E12" s="10">
        <v>2</v>
      </c>
      <c r="F12" s="10">
        <v>1.22</v>
      </c>
      <c r="G12" s="10">
        <v>0.91500000000000004</v>
      </c>
      <c r="H12" s="12">
        <f t="shared" si="1"/>
        <v>1.1163000000000001</v>
      </c>
      <c r="I12" s="12">
        <f t="shared" si="2"/>
        <v>2.2326000000000001</v>
      </c>
      <c r="J12" s="13">
        <f t="shared" si="3"/>
        <v>0</v>
      </c>
      <c r="K12" s="12">
        <f>(F12*2+G12*2)*E12</f>
        <v>8.5399999999999991</v>
      </c>
      <c r="L12" s="12">
        <f>(F12*2+G12*2)*D12</f>
        <v>0</v>
      </c>
      <c r="M12" s="12">
        <f>K12*M3</f>
        <v>2.1349999999999998</v>
      </c>
      <c r="N12" s="12">
        <f>L12*N3</f>
        <v>0</v>
      </c>
      <c r="O12" s="12">
        <f>F12*D12</f>
        <v>0</v>
      </c>
      <c r="P12" s="12">
        <f>E12*F12*1.05</f>
        <v>2.5619999999999998</v>
      </c>
      <c r="Q12" s="12">
        <f t="shared" si="7"/>
        <v>6.1</v>
      </c>
      <c r="R12" s="12">
        <f t="shared" si="4"/>
        <v>6.1</v>
      </c>
      <c r="S12" s="12">
        <f t="shared" si="5"/>
        <v>2.44</v>
      </c>
      <c r="T12" s="12">
        <f t="shared" si="8"/>
        <v>2.44</v>
      </c>
      <c r="U12" s="14"/>
      <c r="V12" s="38"/>
      <c r="W12" s="1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">
      <c r="A13" s="7"/>
      <c r="B13" s="54" t="s">
        <v>177</v>
      </c>
      <c r="C13" s="11">
        <f t="shared" si="0"/>
        <v>2</v>
      </c>
      <c r="D13" s="10">
        <v>0</v>
      </c>
      <c r="E13" s="40">
        <v>2</v>
      </c>
      <c r="F13" s="10">
        <v>0.83499999999999996</v>
      </c>
      <c r="G13" s="10">
        <v>2.1</v>
      </c>
      <c r="H13" s="12">
        <f t="shared" si="1"/>
        <v>1.7535000000000001</v>
      </c>
      <c r="I13" s="12">
        <f t="shared" si="2"/>
        <v>3.5070000000000001</v>
      </c>
      <c r="J13" s="13">
        <f t="shared" si="3"/>
        <v>0</v>
      </c>
      <c r="K13" s="12">
        <f>(F13+G13*2)*E13</f>
        <v>10.07</v>
      </c>
      <c r="L13" s="12">
        <f>(F13+G13*2)*D13</f>
        <v>0</v>
      </c>
      <c r="M13" s="12">
        <f>K13*$M$3</f>
        <v>2.5175000000000001</v>
      </c>
      <c r="N13" s="12">
        <f t="shared" ref="N13:N14" si="9">L13*N4</f>
        <v>0</v>
      </c>
      <c r="O13" s="12"/>
      <c r="P13" s="12"/>
      <c r="Q13" s="12">
        <f t="shared" si="7"/>
        <v>10.07</v>
      </c>
      <c r="R13" s="12">
        <f t="shared" si="4"/>
        <v>10.07</v>
      </c>
      <c r="S13" s="12">
        <f t="shared" si="5"/>
        <v>1.67</v>
      </c>
      <c r="T13" s="12">
        <f t="shared" si="8"/>
        <v>1.67</v>
      </c>
      <c r="U13" s="14"/>
      <c r="V13" s="38"/>
      <c r="W13" s="1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22.5" x14ac:dyDescent="0.2">
      <c r="A14" s="7"/>
      <c r="B14" s="54" t="s">
        <v>178</v>
      </c>
      <c r="C14" s="11">
        <f t="shared" si="0"/>
        <v>2</v>
      </c>
      <c r="D14" s="10">
        <v>0</v>
      </c>
      <c r="E14" s="40">
        <v>2</v>
      </c>
      <c r="F14" s="10">
        <v>1.25</v>
      </c>
      <c r="G14" s="10">
        <v>2.1</v>
      </c>
      <c r="H14" s="12">
        <f t="shared" si="1"/>
        <v>2.625</v>
      </c>
      <c r="I14" s="12">
        <f t="shared" si="2"/>
        <v>5.25</v>
      </c>
      <c r="J14" s="13">
        <f t="shared" si="3"/>
        <v>0</v>
      </c>
      <c r="K14" s="12">
        <f>(F14+G14*2)*E14</f>
        <v>10.9</v>
      </c>
      <c r="L14" s="12">
        <f>(F14+G14*2)*D14</f>
        <v>0</v>
      </c>
      <c r="M14" s="12">
        <f>K14*$M$3</f>
        <v>2.7250000000000001</v>
      </c>
      <c r="N14" s="12">
        <f t="shared" si="9"/>
        <v>0</v>
      </c>
      <c r="O14" s="12"/>
      <c r="P14" s="12"/>
      <c r="Q14" s="12">
        <f t="shared" si="7"/>
        <v>10.9</v>
      </c>
      <c r="R14" s="12">
        <f t="shared" si="4"/>
        <v>10.9</v>
      </c>
      <c r="S14" s="12">
        <f t="shared" si="5"/>
        <v>2.5</v>
      </c>
      <c r="T14" s="12">
        <f t="shared" si="8"/>
        <v>2.5</v>
      </c>
      <c r="U14" s="15"/>
      <c r="V14" s="38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2">
      <c r="A15" s="7"/>
      <c r="B15" s="30" t="s">
        <v>313</v>
      </c>
      <c r="C15" s="11">
        <f t="shared" si="0"/>
        <v>0</v>
      </c>
      <c r="D15" s="55">
        <v>22</v>
      </c>
      <c r="E15" s="40">
        <v>22</v>
      </c>
      <c r="F15" s="10">
        <v>0.16</v>
      </c>
      <c r="G15" s="10">
        <v>0.16</v>
      </c>
      <c r="H15" s="12"/>
      <c r="I15" s="12"/>
      <c r="J15" s="1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  <c r="V15" s="38"/>
      <c r="X15" s="7"/>
      <c r="Y15" s="7"/>
      <c r="Z15" s="33" t="s">
        <v>381</v>
      </c>
      <c r="AA15" s="7"/>
      <c r="AB15" s="7"/>
      <c r="AC15" s="7" t="s">
        <v>380</v>
      </c>
      <c r="AD15" s="7"/>
      <c r="AE15" s="7"/>
      <c r="AF15" s="7"/>
      <c r="AG15" s="7"/>
      <c r="AH15" s="7"/>
    </row>
    <row r="16" spans="1:34" ht="33.75" x14ac:dyDescent="0.2">
      <c r="A16" s="7"/>
      <c r="B16" s="54" t="s">
        <v>314</v>
      </c>
      <c r="C16" s="11">
        <f t="shared" si="0"/>
        <v>0</v>
      </c>
      <c r="D16" s="10">
        <v>2</v>
      </c>
      <c r="E16" s="40">
        <v>2</v>
      </c>
      <c r="F16" s="10">
        <v>1.1000000000000001</v>
      </c>
      <c r="G16" s="10">
        <v>0.32</v>
      </c>
      <c r="H16" s="12"/>
      <c r="I16" s="12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39"/>
      <c r="V16" s="38"/>
      <c r="X16" s="7"/>
      <c r="Y16" s="7"/>
      <c r="AA16" s="7"/>
      <c r="AB16" s="7"/>
      <c r="AC16" s="7"/>
      <c r="AD16" s="7"/>
      <c r="AE16" s="7"/>
      <c r="AF16" s="7"/>
      <c r="AG16" s="7"/>
      <c r="AH16" s="7"/>
    </row>
    <row r="17" spans="1:34" x14ac:dyDescent="0.2">
      <c r="B17" s="16"/>
      <c r="C17" s="17"/>
      <c r="D17" s="18"/>
      <c r="E17" s="19">
        <f>SUM(E4:E16)</f>
        <v>218</v>
      </c>
      <c r="F17" s="18"/>
      <c r="G17" s="18"/>
      <c r="H17" s="18"/>
      <c r="I17" s="19"/>
      <c r="J17" s="19">
        <f t="shared" ref="J17:T17" si="10">SUM(J4:J16)</f>
        <v>37.313099999999999</v>
      </c>
      <c r="K17" s="19">
        <f t="shared" si="10"/>
        <v>1033.9899999999998</v>
      </c>
      <c r="L17" s="19">
        <f t="shared" si="10"/>
        <v>88.04</v>
      </c>
      <c r="M17" s="19">
        <f t="shared" si="10"/>
        <v>258.49749999999995</v>
      </c>
      <c r="N17" s="19">
        <f t="shared" si="10"/>
        <v>26.411999999999999</v>
      </c>
      <c r="O17" s="19">
        <f t="shared" si="10"/>
        <v>19.169999999999998</v>
      </c>
      <c r="P17" s="19">
        <f t="shared" si="10"/>
        <v>280.39200000000005</v>
      </c>
      <c r="Q17" s="19">
        <f t="shared" si="10"/>
        <v>736.95</v>
      </c>
      <c r="R17" s="19">
        <f t="shared" si="10"/>
        <v>736.95</v>
      </c>
      <c r="S17" s="19">
        <f t="shared" si="10"/>
        <v>301.20999999999998</v>
      </c>
      <c r="T17" s="19">
        <f t="shared" si="10"/>
        <v>271.20999999999998</v>
      </c>
      <c r="U17" s="20">
        <v>75.31</v>
      </c>
      <c r="V17" s="44">
        <f>SUM(V4:V16)</f>
        <v>128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2">
      <c r="B18" s="30" t="s">
        <v>315</v>
      </c>
      <c r="C18" s="11">
        <f>E18-D18</f>
        <v>0</v>
      </c>
      <c r="D18" s="10">
        <v>20</v>
      </c>
      <c r="E18" s="40">
        <f>D18</f>
        <v>20</v>
      </c>
      <c r="F18" s="10">
        <v>2.81</v>
      </c>
      <c r="G18" s="10">
        <v>1</v>
      </c>
      <c r="H18" s="12">
        <f>F18*G18</f>
        <v>2.81</v>
      </c>
      <c r="I18" s="12">
        <f>H18*C18</f>
        <v>0</v>
      </c>
      <c r="J18" s="13">
        <f>H18*D18</f>
        <v>56.2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44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2">
      <c r="B19" s="30" t="s">
        <v>316</v>
      </c>
      <c r="C19" s="11">
        <f>E19-D19</f>
        <v>0</v>
      </c>
      <c r="D19" s="10">
        <v>20</v>
      </c>
      <c r="E19" s="40">
        <f>D19</f>
        <v>20</v>
      </c>
      <c r="F19" s="10">
        <v>3.06</v>
      </c>
      <c r="G19" s="10">
        <v>1</v>
      </c>
      <c r="H19" s="12">
        <f>F19*G19</f>
        <v>3.06</v>
      </c>
      <c r="I19" s="12">
        <f>H19*C19</f>
        <v>0</v>
      </c>
      <c r="J19" s="13">
        <f>H19*D19</f>
        <v>61.2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4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">
      <c r="B20" s="41"/>
      <c r="C20" s="45"/>
      <c r="D20" s="46"/>
      <c r="E20" s="4">
        <f>SUM(E18:E19)</f>
        <v>40</v>
      </c>
      <c r="F20" s="46"/>
      <c r="G20" s="46"/>
      <c r="H20" s="48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4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2">
      <c r="B21" s="41"/>
      <c r="C21" s="45"/>
      <c r="D21" s="46"/>
      <c r="E21" s="47"/>
      <c r="F21" s="46"/>
      <c r="G21" s="46"/>
      <c r="H21" s="48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4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B22" s="41"/>
      <c r="C22" s="2"/>
      <c r="D22" s="42"/>
      <c r="E22" s="43"/>
      <c r="F22" s="42"/>
      <c r="G22" s="42"/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44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x14ac:dyDescent="0.2">
      <c r="B23" s="41"/>
      <c r="C23" s="2"/>
      <c r="D23" s="42"/>
      <c r="E23" s="43"/>
      <c r="F23" s="42"/>
      <c r="G23" s="42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4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2">
      <c r="A24" s="35"/>
      <c r="B24" s="21" t="s">
        <v>116</v>
      </c>
      <c r="E24" s="22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x14ac:dyDescent="0.2">
      <c r="A25" s="36" t="s">
        <v>117</v>
      </c>
      <c r="B25" s="23" t="s">
        <v>118</v>
      </c>
      <c r="C25" s="24"/>
      <c r="D25" s="23" t="s">
        <v>119</v>
      </c>
      <c r="E25" s="25" t="s">
        <v>261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x14ac:dyDescent="0.2">
      <c r="A26" s="36"/>
      <c r="B26" s="26" t="s">
        <v>120</v>
      </c>
      <c r="C26" s="24"/>
      <c r="D26" s="23"/>
      <c r="F26" s="25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45" x14ac:dyDescent="0.2">
      <c r="A27" s="37" t="s">
        <v>121</v>
      </c>
      <c r="B27" s="27" t="s">
        <v>382</v>
      </c>
      <c r="C27" s="52" t="s">
        <v>29</v>
      </c>
      <c r="D27" s="57">
        <v>570</v>
      </c>
      <c r="E27" s="244">
        <f>D27+D29+D30+D31+D35</f>
        <v>1004.5</v>
      </c>
      <c r="F27" s="25"/>
      <c r="G27" s="38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67.5" x14ac:dyDescent="0.2">
      <c r="A28" s="37" t="s">
        <v>293</v>
      </c>
      <c r="B28" s="27" t="s">
        <v>383</v>
      </c>
      <c r="C28" s="52" t="s">
        <v>29</v>
      </c>
      <c r="D28" s="57">
        <v>284</v>
      </c>
      <c r="E28" s="244"/>
      <c r="F28" s="25"/>
      <c r="G28" s="38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54.75" customHeight="1" x14ac:dyDescent="0.2">
      <c r="A29" s="50" t="s">
        <v>179</v>
      </c>
      <c r="B29" s="51" t="s">
        <v>384</v>
      </c>
      <c r="C29" s="52" t="s">
        <v>29</v>
      </c>
      <c r="D29" s="59">
        <v>155.9</v>
      </c>
      <c r="E29" s="244"/>
      <c r="F29" s="25"/>
      <c r="G29" s="38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47.25" customHeight="1" x14ac:dyDescent="0.2">
      <c r="A30" s="50" t="s">
        <v>180</v>
      </c>
      <c r="B30" s="51" t="s">
        <v>385</v>
      </c>
      <c r="C30" s="52" t="s">
        <v>29</v>
      </c>
      <c r="D30" s="59">
        <f>1.4*2.6*5*4</f>
        <v>72.8</v>
      </c>
      <c r="E30" s="244"/>
      <c r="F30" s="25"/>
      <c r="G30" s="38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45.75" customHeight="1" x14ac:dyDescent="0.2">
      <c r="A31" s="37" t="s">
        <v>181</v>
      </c>
      <c r="B31" s="27" t="s">
        <v>386</v>
      </c>
      <c r="C31" s="52" t="s">
        <v>29</v>
      </c>
      <c r="D31" s="60">
        <v>183.6</v>
      </c>
      <c r="E31" s="244"/>
      <c r="F31" s="25"/>
      <c r="G31" s="38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33.75" x14ac:dyDescent="0.2">
      <c r="A32" s="50" t="s">
        <v>182</v>
      </c>
      <c r="B32" s="51" t="s">
        <v>186</v>
      </c>
      <c r="C32" s="52" t="s">
        <v>29</v>
      </c>
      <c r="D32" s="58">
        <f>1.05*2.6*12*5</f>
        <v>163.80000000000001</v>
      </c>
      <c r="F32" s="25"/>
      <c r="G32" s="38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33.75" x14ac:dyDescent="0.2">
      <c r="A33" s="37" t="s">
        <v>183</v>
      </c>
      <c r="B33" s="27" t="s">
        <v>387</v>
      </c>
      <c r="C33" s="52" t="s">
        <v>29</v>
      </c>
      <c r="D33" s="49">
        <v>358.1</v>
      </c>
      <c r="F33" s="25"/>
      <c r="G33" s="25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56.25" x14ac:dyDescent="0.2">
      <c r="A34" s="37" t="s">
        <v>184</v>
      </c>
      <c r="B34" s="28" t="s">
        <v>388</v>
      </c>
      <c r="C34" s="52" t="s">
        <v>29</v>
      </c>
      <c r="D34" s="49">
        <v>405</v>
      </c>
      <c r="E34" s="24"/>
      <c r="F34" s="3"/>
      <c r="G34" s="3"/>
      <c r="H34" s="3"/>
      <c r="I34" s="3"/>
      <c r="J34" s="3"/>
      <c r="K34" s="3"/>
      <c r="L34" s="3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22.5" x14ac:dyDescent="0.2">
      <c r="B35" s="37" t="s">
        <v>389</v>
      </c>
      <c r="C35" s="52" t="s">
        <v>29</v>
      </c>
      <c r="D35" s="10">
        <v>22.2</v>
      </c>
      <c r="E35" s="24"/>
      <c r="F35" s="3"/>
      <c r="G35" s="3"/>
      <c r="H35" s="3"/>
      <c r="I35" s="3"/>
      <c r="J35" s="3"/>
      <c r="K35" s="3"/>
      <c r="L35" s="3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</sheetData>
  <mergeCells count="14">
    <mergeCell ref="B2:B3"/>
    <mergeCell ref="C2:E2"/>
    <mergeCell ref="F2:G2"/>
    <mergeCell ref="H2:J2"/>
    <mergeCell ref="Q2:Q3"/>
    <mergeCell ref="E27:E31"/>
    <mergeCell ref="K1:L1"/>
    <mergeCell ref="M1:N1"/>
    <mergeCell ref="O1:P1"/>
    <mergeCell ref="Q1:U1"/>
    <mergeCell ref="R2:R3"/>
    <mergeCell ref="S2:S3"/>
    <mergeCell ref="T2:T3"/>
    <mergeCell ref="U2:U3"/>
  </mergeCells>
  <pageMargins left="0" right="0" top="0.78740157480314965" bottom="0.39370078740157483" header="0.51181102362204722" footer="0.51181102362204722"/>
  <pageSetup paperSize="9" scale="80" firstPageNumber="0" orientation="landscape" r:id="rId1"/>
  <rowBreaks count="2" manualBreakCount="2">
    <brk id="24" max="16383" man="1"/>
    <brk id="51" max="16383" man="1"/>
  </rowBreaks>
  <colBreaks count="1" manualBreakCount="1">
    <brk id="22" max="1048575" man="1"/>
  </colBreaks>
  <ignoredErrors>
    <ignoredError sqref="S4 E17 H17:J17 S14 K7:L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72"/>
  <sheetViews>
    <sheetView view="pageBreakPreview" topLeftCell="A46" zoomScale="115" zoomScaleNormal="100" zoomScaleSheetLayoutView="115" workbookViewId="0">
      <selection activeCell="B58" sqref="B58:Q69"/>
    </sheetView>
  </sheetViews>
  <sheetFormatPr defaultColWidth="9" defaultRowHeight="11.25" x14ac:dyDescent="0.2"/>
  <cols>
    <col min="1" max="1" width="2.7109375" style="66" bestFit="1" customWidth="1"/>
    <col min="2" max="2" width="4.5703125" style="66"/>
    <col min="3" max="3" width="36.7109375" style="66"/>
    <col min="4" max="4" width="5.7109375" style="66" hidden="1" customWidth="1"/>
    <col min="5" max="6" width="4" style="203" hidden="1" customWidth="1"/>
    <col min="7" max="7" width="4.7109375" style="66" customWidth="1"/>
    <col min="8" max="8" width="8" style="66" customWidth="1"/>
    <col min="9" max="9" width="4" style="66" hidden="1" customWidth="1"/>
    <col min="10" max="10" width="4.5703125" style="66" customWidth="1"/>
    <col min="11" max="12" width="5.28515625" style="66" customWidth="1"/>
    <col min="13" max="13" width="4.85546875" style="66" customWidth="1"/>
    <col min="14" max="14" width="4.5703125" style="66" customWidth="1"/>
    <col min="15" max="15" width="7" style="66" customWidth="1"/>
    <col min="16" max="16" width="8.28515625" style="66" customWidth="1"/>
    <col min="17" max="17" width="9.140625" style="66" customWidth="1"/>
    <col min="18" max="18" width="9" style="66" customWidth="1"/>
    <col min="19" max="19" width="7.85546875" style="66" customWidth="1"/>
    <col min="20" max="20" width="9.42578125" style="66" customWidth="1"/>
    <col min="21" max="1013" width="8.5703125" style="66"/>
    <col min="1014" max="16384" width="9" style="66"/>
  </cols>
  <sheetData>
    <row r="1" spans="1:20" s="62" customFormat="1" x14ac:dyDescent="0.2">
      <c r="A1" s="237" t="s">
        <v>11</v>
      </c>
      <c r="B1" s="237"/>
      <c r="C1" s="237"/>
      <c r="D1" s="237"/>
      <c r="E1" s="237"/>
      <c r="F1" s="237"/>
      <c r="G1" s="237"/>
      <c r="H1" s="237"/>
      <c r="I1" s="237"/>
      <c r="J1" s="237"/>
      <c r="K1" s="61">
        <v>2</v>
      </c>
      <c r="L1" s="61"/>
      <c r="M1" s="61"/>
      <c r="N1" s="61"/>
      <c r="O1" s="61"/>
      <c r="P1" s="61"/>
      <c r="Q1" s="61"/>
      <c r="R1" s="61"/>
      <c r="S1" s="61"/>
      <c r="T1" s="61"/>
    </row>
    <row r="2" spans="1:20" x14ac:dyDescent="0.2">
      <c r="A2" s="63"/>
      <c r="B2" s="61"/>
      <c r="C2" s="64" t="s">
        <v>366</v>
      </c>
      <c r="D2" s="64"/>
      <c r="E2" s="65"/>
      <c r="F2" s="65"/>
      <c r="G2" s="61"/>
      <c r="H2" s="61"/>
      <c r="I2" s="61"/>
      <c r="J2" s="61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2">
      <c r="A3" s="63" t="str">
        <f>KPDV!A3</f>
        <v>Būves nosaukums: Daudzdzīvokļu dzīvojamās mājas fasādes vienkāršotā atjaunošana</v>
      </c>
      <c r="B3" s="67"/>
      <c r="C3" s="67"/>
      <c r="D3" s="67"/>
      <c r="E3" s="68"/>
      <c r="F3" s="68"/>
      <c r="G3" s="67"/>
      <c r="H3" s="67"/>
      <c r="I3" s="67"/>
      <c r="J3" s="67"/>
      <c r="K3" s="67"/>
      <c r="L3" s="67"/>
      <c r="M3" s="67"/>
      <c r="N3" s="67"/>
      <c r="O3" s="67"/>
      <c r="P3" s="68"/>
      <c r="Q3" s="68"/>
      <c r="R3" s="68"/>
      <c r="S3" s="68"/>
      <c r="T3" s="65"/>
    </row>
    <row r="4" spans="1:20" x14ac:dyDescent="0.2">
      <c r="A4" s="63" t="str">
        <f>KPDV!A4</f>
        <v>Objekta nosaukums: Dzīvojamas ēkas fasādes vienkāršota atjaunošana</v>
      </c>
      <c r="B4" s="67"/>
      <c r="C4" s="67"/>
      <c r="D4" s="67"/>
      <c r="E4" s="68"/>
      <c r="F4" s="68"/>
      <c r="G4" s="67"/>
      <c r="H4" s="67"/>
      <c r="I4" s="67"/>
      <c r="J4" s="67"/>
      <c r="K4" s="67"/>
      <c r="L4" s="65"/>
      <c r="M4" s="65"/>
      <c r="N4" s="68"/>
      <c r="O4" s="68"/>
      <c r="P4" s="68"/>
      <c r="Q4" s="68"/>
      <c r="R4" s="68"/>
      <c r="S4" s="68"/>
      <c r="T4" s="65"/>
    </row>
    <row r="5" spans="1:20" x14ac:dyDescent="0.2">
      <c r="A5" s="69" t="str">
        <f>KPDV!A5</f>
        <v>Objekta adrese: Eduarda Tisē ielā 50, Liepājā</v>
      </c>
      <c r="B5" s="65"/>
      <c r="C5" s="63"/>
      <c r="D5" s="63"/>
      <c r="E5" s="65"/>
      <c r="F5" s="65"/>
      <c r="G5" s="65"/>
      <c r="H5" s="67"/>
      <c r="I5" s="67"/>
      <c r="J5" s="65"/>
      <c r="K5" s="65"/>
      <c r="L5" s="65"/>
      <c r="M5" s="65"/>
      <c r="N5" s="68"/>
      <c r="O5" s="68"/>
      <c r="P5" s="68"/>
      <c r="Q5" s="68"/>
      <c r="R5" s="68"/>
      <c r="S5" s="68"/>
      <c r="T5" s="65"/>
    </row>
    <row r="6" spans="1:20" x14ac:dyDescent="0.2">
      <c r="A6" s="69" t="str">
        <f>KPDV!A6</f>
        <v>Pasūtījuma Nr.EA-15-17</v>
      </c>
      <c r="B6" s="65"/>
      <c r="C6" s="63"/>
      <c r="D6" s="63"/>
      <c r="E6" s="65"/>
      <c r="F6" s="65"/>
      <c r="G6" s="65"/>
      <c r="H6" s="65"/>
      <c r="I6" s="65"/>
      <c r="J6" s="65"/>
      <c r="K6" s="65"/>
      <c r="L6" s="65"/>
      <c r="M6" s="65"/>
      <c r="N6" s="68"/>
      <c r="O6" s="68"/>
      <c r="P6" s="68"/>
      <c r="Q6" s="68"/>
      <c r="R6" s="68"/>
      <c r="S6" s="68"/>
      <c r="T6" s="65"/>
    </row>
    <row r="7" spans="1:20" x14ac:dyDescent="0.2">
      <c r="A7" s="69" t="str">
        <f>KPDV!A7</f>
        <v>Pasūtītājs: SIA "Liepājas namu apsaimniekotājs"</v>
      </c>
      <c r="B7" s="65"/>
      <c r="C7" s="63"/>
      <c r="D7" s="63"/>
      <c r="E7" s="65"/>
      <c r="F7" s="65"/>
      <c r="G7" s="65"/>
      <c r="H7" s="65"/>
      <c r="I7" s="65"/>
      <c r="J7" s="65"/>
      <c r="K7" s="65"/>
      <c r="L7" s="65"/>
      <c r="M7" s="65"/>
      <c r="N7" s="68"/>
      <c r="O7" s="68"/>
      <c r="P7" s="68"/>
      <c r="Q7" s="68"/>
      <c r="R7" s="68"/>
      <c r="S7" s="68"/>
      <c r="T7" s="65"/>
    </row>
    <row r="8" spans="1:20" x14ac:dyDescent="0.2">
      <c r="A8" s="251" t="str">
        <f>AR!D8</f>
        <v>Tāme sastādīta .gada tirgus cenās, pamatojoties uz:</v>
      </c>
      <c r="B8" s="251"/>
      <c r="C8" s="251"/>
      <c r="D8" s="251"/>
      <c r="E8" s="251"/>
      <c r="F8" s="251"/>
      <c r="G8" s="251"/>
      <c r="H8" s="138" t="s">
        <v>318</v>
      </c>
      <c r="I8" s="65"/>
      <c r="J8" s="252" t="s">
        <v>13</v>
      </c>
      <c r="K8" s="252"/>
      <c r="L8" s="252"/>
      <c r="M8" s="252"/>
      <c r="N8" s="69"/>
      <c r="O8" s="69"/>
      <c r="P8" s="69"/>
      <c r="Q8" s="69" t="s">
        <v>48</v>
      </c>
      <c r="R8" s="69"/>
      <c r="S8" s="70">
        <f>T60</f>
        <v>0</v>
      </c>
      <c r="T8" s="71" t="s">
        <v>49</v>
      </c>
    </row>
    <row r="9" spans="1:20" x14ac:dyDescent="0.2">
      <c r="A9" s="63"/>
      <c r="B9" s="65"/>
      <c r="C9" s="63"/>
      <c r="D9" s="63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253" t="str">
        <f>KPDV!B10</f>
        <v>Tāme sastādīta .gada</v>
      </c>
      <c r="R9" s="253"/>
      <c r="S9" s="253"/>
      <c r="T9" s="253"/>
    </row>
    <row r="10" spans="1:20" x14ac:dyDescent="0.2">
      <c r="A10" s="254" t="s">
        <v>15</v>
      </c>
      <c r="B10" s="240" t="s">
        <v>16</v>
      </c>
      <c r="C10" s="241" t="s">
        <v>17</v>
      </c>
      <c r="D10" s="241"/>
      <c r="E10" s="241"/>
      <c r="F10" s="241"/>
      <c r="G10" s="242" t="s">
        <v>18</v>
      </c>
      <c r="H10" s="240" t="s">
        <v>19</v>
      </c>
      <c r="I10" s="72"/>
      <c r="J10" s="243" t="s">
        <v>20</v>
      </c>
      <c r="K10" s="243"/>
      <c r="L10" s="243"/>
      <c r="M10" s="243"/>
      <c r="N10" s="243"/>
      <c r="O10" s="243"/>
      <c r="P10" s="243" t="s">
        <v>21</v>
      </c>
      <c r="Q10" s="243"/>
      <c r="R10" s="243"/>
      <c r="S10" s="243"/>
      <c r="T10" s="243"/>
    </row>
    <row r="11" spans="1:20" ht="58.5" customHeight="1" x14ac:dyDescent="0.2">
      <c r="A11" s="254"/>
      <c r="B11" s="240"/>
      <c r="C11" s="241"/>
      <c r="D11" s="241"/>
      <c r="E11" s="241"/>
      <c r="F11" s="241"/>
      <c r="G11" s="242"/>
      <c r="H11" s="240"/>
      <c r="I11" s="72"/>
      <c r="J11" s="335" t="s">
        <v>403</v>
      </c>
      <c r="K11" s="336" t="s">
        <v>404</v>
      </c>
      <c r="L11" s="336" t="s">
        <v>405</v>
      </c>
      <c r="M11" s="336" t="s">
        <v>406</v>
      </c>
      <c r="N11" s="336" t="s">
        <v>407</v>
      </c>
      <c r="O11" s="337" t="s">
        <v>365</v>
      </c>
      <c r="P11" s="335" t="s">
        <v>22</v>
      </c>
      <c r="Q11" s="336" t="s">
        <v>405</v>
      </c>
      <c r="R11" s="336" t="s">
        <v>406</v>
      </c>
      <c r="S11" s="336" t="s">
        <v>407</v>
      </c>
      <c r="T11" s="337" t="s">
        <v>408</v>
      </c>
    </row>
    <row r="12" spans="1:20" x14ac:dyDescent="0.2">
      <c r="A12" s="73">
        <v>1</v>
      </c>
      <c r="B12" s="74">
        <f>A12+1</f>
        <v>2</v>
      </c>
      <c r="C12" s="87">
        <f>B12+1</f>
        <v>3</v>
      </c>
      <c r="D12" s="87"/>
      <c r="E12" s="87"/>
      <c r="F12" s="87"/>
      <c r="G12" s="74">
        <f>C12+1</f>
        <v>4</v>
      </c>
      <c r="H12" s="74">
        <f>G12+1</f>
        <v>5</v>
      </c>
      <c r="I12" s="74"/>
      <c r="J12" s="74">
        <f>H12+1</f>
        <v>6</v>
      </c>
      <c r="K12" s="74">
        <f t="shared" ref="K12:T12" si="0">J12+1</f>
        <v>7</v>
      </c>
      <c r="L12" s="74">
        <f t="shared" si="0"/>
        <v>8</v>
      </c>
      <c r="M12" s="74">
        <f t="shared" si="0"/>
        <v>9</v>
      </c>
      <c r="N12" s="74">
        <f t="shared" si="0"/>
        <v>10</v>
      </c>
      <c r="O12" s="74">
        <f t="shared" si="0"/>
        <v>11</v>
      </c>
      <c r="P12" s="74">
        <f t="shared" si="0"/>
        <v>12</v>
      </c>
      <c r="Q12" s="74">
        <f t="shared" si="0"/>
        <v>13</v>
      </c>
      <c r="R12" s="74">
        <f t="shared" si="0"/>
        <v>14</v>
      </c>
      <c r="S12" s="74">
        <f t="shared" si="0"/>
        <v>15</v>
      </c>
      <c r="T12" s="74">
        <f t="shared" si="0"/>
        <v>16</v>
      </c>
    </row>
    <row r="13" spans="1:20" x14ac:dyDescent="0.2">
      <c r="A13" s="78">
        <f>IF(COUNTBLANK(B13)=1," ",COUNTA(B13:B$13))</f>
        <v>1</v>
      </c>
      <c r="B13" s="79" t="s">
        <v>23</v>
      </c>
      <c r="C13" s="124" t="s">
        <v>320</v>
      </c>
      <c r="D13" s="124"/>
      <c r="E13" s="78"/>
      <c r="F13" s="78"/>
      <c r="G13" s="78" t="s">
        <v>29</v>
      </c>
      <c r="H13" s="81">
        <f>apjomi!J4+apjomi!J5+apjomi!J6+apjomi!J8+apjomi!J10+apjomi!J11+apjomi!J12</f>
        <v>27.4131</v>
      </c>
      <c r="I13" s="86"/>
      <c r="J13" s="196"/>
      <c r="K13" s="173"/>
      <c r="L13" s="196"/>
      <c r="M13" s="196"/>
      <c r="N13" s="196"/>
      <c r="O13" s="83"/>
      <c r="P13" s="84"/>
      <c r="Q13" s="84"/>
      <c r="R13" s="84"/>
      <c r="S13" s="84"/>
      <c r="T13" s="84"/>
    </row>
    <row r="14" spans="1:20" x14ac:dyDescent="0.2">
      <c r="A14" s="78">
        <f>IF(COUNTBLANK(B14)=1," ",COUNTA(B$13:B14))</f>
        <v>2</v>
      </c>
      <c r="B14" s="79" t="s">
        <v>23</v>
      </c>
      <c r="C14" s="124" t="s">
        <v>321</v>
      </c>
      <c r="D14" s="124"/>
      <c r="E14" s="78"/>
      <c r="F14" s="78"/>
      <c r="G14" s="78" t="s">
        <v>29</v>
      </c>
      <c r="H14" s="86">
        <f>apjomi!J7+apjomi!J9</f>
        <v>9.9</v>
      </c>
      <c r="I14" s="86"/>
      <c r="J14" s="196"/>
      <c r="K14" s="173"/>
      <c r="L14" s="196"/>
      <c r="M14" s="196"/>
      <c r="N14" s="196"/>
      <c r="O14" s="83"/>
      <c r="P14" s="84"/>
      <c r="Q14" s="84"/>
      <c r="R14" s="84"/>
      <c r="S14" s="84"/>
      <c r="T14" s="84"/>
    </row>
    <row r="15" spans="1:20" ht="33.75" x14ac:dyDescent="0.2">
      <c r="A15" s="78">
        <f>IF(COUNTBLANK(B15)=1," ",COUNTA(B$13:B15))</f>
        <v>3</v>
      </c>
      <c r="B15" s="79" t="s">
        <v>23</v>
      </c>
      <c r="C15" s="124" t="s">
        <v>322</v>
      </c>
      <c r="D15" s="124"/>
      <c r="E15" s="78"/>
      <c r="F15" s="78"/>
      <c r="G15" s="78" t="s">
        <v>29</v>
      </c>
      <c r="H15" s="86">
        <f>1.6*(3*3.06+2*2.81)</f>
        <v>23.680000000000003</v>
      </c>
      <c r="I15" s="86"/>
      <c r="J15" s="196"/>
      <c r="K15" s="173"/>
      <c r="L15" s="196"/>
      <c r="M15" s="196"/>
      <c r="N15" s="196"/>
      <c r="O15" s="83"/>
      <c r="P15" s="84"/>
      <c r="Q15" s="84"/>
      <c r="R15" s="84"/>
      <c r="S15" s="84"/>
      <c r="T15" s="84"/>
    </row>
    <row r="16" spans="1:20" ht="22.5" x14ac:dyDescent="0.2">
      <c r="A16" s="78">
        <f>IF(COUNTBLANK(B16)=1," ",COUNTA(B$13:B16))</f>
        <v>4</v>
      </c>
      <c r="B16" s="79" t="s">
        <v>23</v>
      </c>
      <c r="C16" s="124" t="s">
        <v>323</v>
      </c>
      <c r="D16" s="124"/>
      <c r="E16" s="78"/>
      <c r="F16" s="78"/>
      <c r="G16" s="78" t="s">
        <v>29</v>
      </c>
      <c r="H16" s="86">
        <f>1.6*(7*3.06+8*2.81)</f>
        <v>70.240000000000009</v>
      </c>
      <c r="I16" s="86"/>
      <c r="J16" s="196"/>
      <c r="K16" s="173"/>
      <c r="L16" s="196"/>
      <c r="M16" s="196"/>
      <c r="N16" s="196"/>
      <c r="O16" s="83"/>
      <c r="P16" s="84"/>
      <c r="Q16" s="84"/>
      <c r="R16" s="84"/>
      <c r="S16" s="84"/>
      <c r="T16" s="84"/>
    </row>
    <row r="17" spans="1:20" ht="22.5" x14ac:dyDescent="0.2">
      <c r="A17" s="78">
        <f>IF(COUNTBLANK(B17)=1," ",COUNTA(B$13:B17))</f>
        <v>5</v>
      </c>
      <c r="B17" s="79" t="s">
        <v>23</v>
      </c>
      <c r="C17" s="124" t="s">
        <v>324</v>
      </c>
      <c r="D17" s="124"/>
      <c r="E17" s="78"/>
      <c r="F17" s="78"/>
      <c r="G17" s="78" t="s">
        <v>29</v>
      </c>
      <c r="H17" s="86">
        <f>1.6*(7*3.06+8*2.81)</f>
        <v>70.240000000000009</v>
      </c>
      <c r="I17" s="86"/>
      <c r="J17" s="196"/>
      <c r="K17" s="173"/>
      <c r="L17" s="196"/>
      <c r="M17" s="196"/>
      <c r="N17" s="196"/>
      <c r="O17" s="83"/>
      <c r="P17" s="84"/>
      <c r="Q17" s="84"/>
      <c r="R17" s="84"/>
      <c r="S17" s="84"/>
      <c r="T17" s="84"/>
    </row>
    <row r="18" spans="1:20" x14ac:dyDescent="0.2">
      <c r="A18" s="78">
        <f>IF(COUNTBLANK(B18)=1," ",COUNTA(B$13:B18))</f>
        <v>6</v>
      </c>
      <c r="B18" s="79" t="s">
        <v>23</v>
      </c>
      <c r="C18" s="124" t="s">
        <v>50</v>
      </c>
      <c r="D18" s="124"/>
      <c r="E18" s="78"/>
      <c r="F18" s="78"/>
      <c r="G18" s="78" t="s">
        <v>25</v>
      </c>
      <c r="H18" s="86">
        <f>apjomi!P17</f>
        <v>280.39200000000005</v>
      </c>
      <c r="I18" s="86"/>
      <c r="J18" s="173"/>
      <c r="K18" s="173"/>
      <c r="L18" s="173"/>
      <c r="M18" s="173"/>
      <c r="N18" s="173"/>
      <c r="O18" s="83"/>
      <c r="P18" s="84"/>
      <c r="Q18" s="84"/>
      <c r="R18" s="84"/>
      <c r="S18" s="84"/>
      <c r="T18" s="84"/>
    </row>
    <row r="19" spans="1:20" x14ac:dyDescent="0.2">
      <c r="A19" s="78">
        <f>IF(COUNTBLANK(B19)=1," ",COUNTA(B$13:B19))</f>
        <v>7</v>
      </c>
      <c r="B19" s="79" t="s">
        <v>23</v>
      </c>
      <c r="C19" s="125" t="s">
        <v>260</v>
      </c>
      <c r="D19" s="125"/>
      <c r="E19" s="78"/>
      <c r="F19" s="78"/>
      <c r="G19" s="74" t="s">
        <v>25</v>
      </c>
      <c r="H19" s="192">
        <f>apjomi!P17</f>
        <v>280.39200000000005</v>
      </c>
      <c r="I19" s="81"/>
      <c r="J19" s="91"/>
      <c r="K19" s="173"/>
      <c r="L19" s="91"/>
      <c r="M19" s="91"/>
      <c r="N19" s="91"/>
      <c r="O19" s="83"/>
      <c r="P19" s="84"/>
      <c r="Q19" s="84"/>
      <c r="R19" s="84"/>
      <c r="S19" s="84"/>
      <c r="T19" s="84"/>
    </row>
    <row r="20" spans="1:20" ht="78.75" x14ac:dyDescent="0.2">
      <c r="A20" s="78" t="str">
        <f>IF(COUNTBLANK(B20)=1," ",COUNTA(B$13:B20))</f>
        <v xml:space="preserve"> </v>
      </c>
      <c r="B20" s="79"/>
      <c r="C20" s="124" t="s">
        <v>303</v>
      </c>
      <c r="D20" s="78" t="s">
        <v>29</v>
      </c>
      <c r="E20" s="78" t="s">
        <v>51</v>
      </c>
      <c r="F20" s="78" t="s">
        <v>52</v>
      </c>
      <c r="G20" s="78"/>
      <c r="H20" s="87"/>
      <c r="I20" s="86"/>
      <c r="J20" s="81"/>
      <c r="K20" s="81"/>
      <c r="L20" s="81"/>
      <c r="M20" s="81"/>
      <c r="N20" s="81"/>
      <c r="O20" s="83"/>
      <c r="P20" s="84"/>
      <c r="Q20" s="84"/>
      <c r="R20" s="84"/>
      <c r="S20" s="84"/>
      <c r="T20" s="84"/>
    </row>
    <row r="21" spans="1:20" x14ac:dyDescent="0.2">
      <c r="A21" s="78">
        <f>IF(COUNTBLANK(B21)=1," ",COUNTA(B$13:B21))</f>
        <v>8</v>
      </c>
      <c r="B21" s="79" t="s">
        <v>23</v>
      </c>
      <c r="C21" s="197" t="str">
        <f>apjomi!B4</f>
        <v>Logs L1; 2,33m×1,43m (L×h)</v>
      </c>
      <c r="D21" s="78">
        <f>ROUNDUP(E21*F21*H21,2)</f>
        <v>10</v>
      </c>
      <c r="E21" s="81">
        <f>apjomi!F4</f>
        <v>2.33</v>
      </c>
      <c r="F21" s="81">
        <f>apjomi!G4</f>
        <v>1.43</v>
      </c>
      <c r="G21" s="78" t="s">
        <v>27</v>
      </c>
      <c r="H21" s="142">
        <f>apjomi!D4</f>
        <v>3</v>
      </c>
      <c r="I21" s="78"/>
      <c r="J21" s="173"/>
      <c r="K21" s="173"/>
      <c r="L21" s="173"/>
      <c r="M21" s="173"/>
      <c r="N21" s="173"/>
      <c r="O21" s="83"/>
      <c r="P21" s="84"/>
      <c r="Q21" s="84"/>
      <c r="R21" s="84"/>
      <c r="S21" s="84"/>
      <c r="T21" s="84"/>
    </row>
    <row r="22" spans="1:20" x14ac:dyDescent="0.2">
      <c r="A22" s="78">
        <f>IF(COUNTBLANK(B22)=1," ",COUNTA(B$13:B22))</f>
        <v>9</v>
      </c>
      <c r="B22" s="79" t="s">
        <v>23</v>
      </c>
      <c r="C22" s="197" t="str">
        <f>apjomi!B5</f>
        <v>Logs L2; 1,5m×1,43m (L×h)</v>
      </c>
      <c r="D22" s="78">
        <f t="shared" ref="D22:D24" si="1">ROUNDUP(E22*F22*H22,2)</f>
        <v>4.29</v>
      </c>
      <c r="E22" s="81">
        <f>apjomi!F5</f>
        <v>1.5</v>
      </c>
      <c r="F22" s="81">
        <f>apjomi!G5</f>
        <v>1.43</v>
      </c>
      <c r="G22" s="78" t="s">
        <v>27</v>
      </c>
      <c r="H22" s="142">
        <f>apjomi!D5</f>
        <v>2</v>
      </c>
      <c r="I22" s="78"/>
      <c r="J22" s="173"/>
      <c r="K22" s="173"/>
      <c r="L22" s="173"/>
      <c r="M22" s="173"/>
      <c r="N22" s="173"/>
      <c r="O22" s="83"/>
      <c r="P22" s="84"/>
      <c r="Q22" s="84"/>
      <c r="R22" s="84"/>
      <c r="S22" s="84"/>
      <c r="T22" s="84"/>
    </row>
    <row r="23" spans="1:20" x14ac:dyDescent="0.2">
      <c r="A23" s="78">
        <f>IF(COUNTBLANK(B23)=1," ",COUNTA(B$13:B23))</f>
        <v>10</v>
      </c>
      <c r="B23" s="79" t="s">
        <v>23</v>
      </c>
      <c r="C23" s="197" t="str">
        <f>apjomi!B6</f>
        <v>Logs L3; 1,53m×1,43m (L×h)</v>
      </c>
      <c r="D23" s="78">
        <f t="shared" si="1"/>
        <v>8.76</v>
      </c>
      <c r="E23" s="81">
        <f>apjomi!F6</f>
        <v>1.53</v>
      </c>
      <c r="F23" s="81">
        <f>apjomi!G6</f>
        <v>1.43</v>
      </c>
      <c r="G23" s="78" t="s">
        <v>27</v>
      </c>
      <c r="H23" s="142">
        <f>apjomi!D6</f>
        <v>4</v>
      </c>
      <c r="I23" s="78"/>
      <c r="J23" s="173"/>
      <c r="K23" s="173"/>
      <c r="L23" s="173"/>
      <c r="M23" s="173"/>
      <c r="N23" s="173"/>
      <c r="O23" s="83"/>
      <c r="P23" s="84"/>
      <c r="Q23" s="84"/>
      <c r="R23" s="84"/>
      <c r="S23" s="84"/>
      <c r="T23" s="84"/>
    </row>
    <row r="24" spans="1:20" x14ac:dyDescent="0.2">
      <c r="A24" s="78">
        <f>IF(COUNTBLANK(B24)=1," ",COUNTA(B$13:B24))</f>
        <v>11</v>
      </c>
      <c r="B24" s="79" t="s">
        <v>23</v>
      </c>
      <c r="C24" s="197" t="str">
        <f>apjomi!B8</f>
        <v>Logs L4; 1,53m×1,43m (L×h)</v>
      </c>
      <c r="D24" s="78">
        <f t="shared" si="1"/>
        <v>4.38</v>
      </c>
      <c r="E24" s="81">
        <f>apjomi!F8</f>
        <v>1.53</v>
      </c>
      <c r="F24" s="81">
        <f>apjomi!G8</f>
        <v>1.43</v>
      </c>
      <c r="G24" s="78" t="s">
        <v>27</v>
      </c>
      <c r="H24" s="142">
        <f>apjomi!D8</f>
        <v>2</v>
      </c>
      <c r="I24" s="78"/>
      <c r="J24" s="173"/>
      <c r="K24" s="173"/>
      <c r="L24" s="173"/>
      <c r="M24" s="173"/>
      <c r="N24" s="173"/>
      <c r="O24" s="83"/>
      <c r="P24" s="84"/>
      <c r="Q24" s="84"/>
      <c r="R24" s="84"/>
      <c r="S24" s="84"/>
      <c r="T24" s="84"/>
    </row>
    <row r="25" spans="1:20" ht="72" customHeight="1" x14ac:dyDescent="0.2">
      <c r="A25" s="78" t="str">
        <f>IF(COUNTBLANK(B25)=1," ",COUNTA(B$13:B25))</f>
        <v xml:space="preserve"> </v>
      </c>
      <c r="B25" s="79"/>
      <c r="C25" s="124" t="s">
        <v>311</v>
      </c>
      <c r="D25" s="78"/>
      <c r="E25" s="81"/>
      <c r="F25" s="81"/>
      <c r="G25" s="78"/>
      <c r="H25" s="142"/>
      <c r="I25" s="78"/>
      <c r="J25" s="173"/>
      <c r="K25" s="173"/>
      <c r="L25" s="173"/>
      <c r="M25" s="173"/>
      <c r="N25" s="173"/>
      <c r="O25" s="83"/>
      <c r="P25" s="84"/>
      <c r="Q25" s="84"/>
      <c r="R25" s="84"/>
      <c r="S25" s="84"/>
      <c r="T25" s="84"/>
    </row>
    <row r="26" spans="1:20" x14ac:dyDescent="0.2">
      <c r="A26" s="78">
        <f>IF(COUNTBLANK(B26)=1," ",COUNTA(B$13:B26))</f>
        <v>12</v>
      </c>
      <c r="B26" s="79" t="s">
        <v>23</v>
      </c>
      <c r="C26" s="197" t="str">
        <f>apjomi!B7</f>
        <v>Lodžiju durvis: L3 durvis; 0,75m×2,2m (L×h)</v>
      </c>
      <c r="D26" s="78">
        <f>ROUNDUP(E26*F26*H26,2)</f>
        <v>6.6</v>
      </c>
      <c r="E26" s="81">
        <f>apjomi!F7</f>
        <v>0.75</v>
      </c>
      <c r="F26" s="81">
        <f>apjomi!G7</f>
        <v>2.2000000000000002</v>
      </c>
      <c r="G26" s="78" t="s">
        <v>27</v>
      </c>
      <c r="H26" s="142">
        <f>apjomi!D7</f>
        <v>4</v>
      </c>
      <c r="I26" s="78"/>
      <c r="J26" s="173"/>
      <c r="K26" s="173"/>
      <c r="L26" s="173"/>
      <c r="M26" s="173"/>
      <c r="N26" s="173"/>
      <c r="O26" s="83"/>
      <c r="P26" s="84"/>
      <c r="Q26" s="84"/>
      <c r="R26" s="84"/>
      <c r="S26" s="84"/>
      <c r="T26" s="84"/>
    </row>
    <row r="27" spans="1:20" x14ac:dyDescent="0.2">
      <c r="A27" s="78">
        <f>IF(COUNTBLANK(B27)=1," ",COUNTA(B$13:B27))</f>
        <v>13</v>
      </c>
      <c r="B27" s="79" t="s">
        <v>23</v>
      </c>
      <c r="C27" s="197" t="str">
        <f>apjomi!B9</f>
        <v>Lodžiju durvis: L4 durvis 0,75m×2,2m (L×h)</v>
      </c>
      <c r="D27" s="78">
        <f>ROUNDUP(E27*F27*H27,2)</f>
        <v>3.3</v>
      </c>
      <c r="E27" s="81">
        <f>apjomi!F9</f>
        <v>0.75</v>
      </c>
      <c r="F27" s="81">
        <f>apjomi!G9</f>
        <v>2.2000000000000002</v>
      </c>
      <c r="G27" s="78" t="s">
        <v>27</v>
      </c>
      <c r="H27" s="142">
        <f>apjomi!D9</f>
        <v>2</v>
      </c>
      <c r="I27" s="78"/>
      <c r="J27" s="173"/>
      <c r="K27" s="173"/>
      <c r="L27" s="173"/>
      <c r="M27" s="173"/>
      <c r="N27" s="173"/>
      <c r="O27" s="83"/>
      <c r="P27" s="84"/>
      <c r="Q27" s="84"/>
      <c r="R27" s="84"/>
      <c r="S27" s="84"/>
      <c r="T27" s="84"/>
    </row>
    <row r="28" spans="1:20" ht="22.5" x14ac:dyDescent="0.2">
      <c r="A28" s="78">
        <f>IF(COUNTBLANK(B28)=1," ",COUNTA(B$13:B28))</f>
        <v>14</v>
      </c>
      <c r="B28" s="79" t="s">
        <v>23</v>
      </c>
      <c r="C28" s="197" t="str">
        <f>apjomi!B15</f>
        <v>R1 cinkotas žalūzijas karstā cinkošana 60mikroni (0,16×0,16m)</v>
      </c>
      <c r="D28" s="78">
        <f>ROUNDUP(E28*F28*H28,2)</f>
        <v>0.57000000000000006</v>
      </c>
      <c r="E28" s="81">
        <f>apjomi!F15</f>
        <v>0.16</v>
      </c>
      <c r="F28" s="81">
        <f>apjomi!G15</f>
        <v>0.16</v>
      </c>
      <c r="G28" s="78" t="s">
        <v>27</v>
      </c>
      <c r="H28" s="142">
        <f>apjomi!D15</f>
        <v>22</v>
      </c>
      <c r="I28" s="78"/>
      <c r="J28" s="173"/>
      <c r="K28" s="173"/>
      <c r="L28" s="173"/>
      <c r="M28" s="173"/>
      <c r="N28" s="173"/>
      <c r="O28" s="83"/>
      <c r="P28" s="84"/>
      <c r="Q28" s="84"/>
      <c r="R28" s="84"/>
      <c r="S28" s="84"/>
      <c r="T28" s="84"/>
    </row>
    <row r="29" spans="1:20" ht="45" x14ac:dyDescent="0.2">
      <c r="A29" s="78">
        <f>IF(COUNTBLANK(B29)=1," ",COUNTA(B$13:B29))</f>
        <v>15</v>
      </c>
      <c r="B29" s="79" t="s">
        <v>23</v>
      </c>
      <c r="C29" s="197" t="str">
        <f>apjomi!B16</f>
        <v>R2 Esoši PVC rāmji pagrabstāvā. Vidusdaļā esošā pildiņa vietā iestrādāt ventilācijas cinkotu resti,  60mikroni. Izmērus precizēt dabā (1,1×0,32m)</v>
      </c>
      <c r="D29" s="78">
        <f>ROUNDUP(E29*F29*H29,2)</f>
        <v>0.71</v>
      </c>
      <c r="E29" s="81">
        <f>apjomi!F16</f>
        <v>1.1000000000000001</v>
      </c>
      <c r="F29" s="81">
        <f>apjomi!G16</f>
        <v>0.32</v>
      </c>
      <c r="G29" s="78" t="str">
        <f>G28</f>
        <v>gb</v>
      </c>
      <c r="H29" s="142">
        <f>apjomi!D16</f>
        <v>2</v>
      </c>
      <c r="I29" s="78"/>
      <c r="J29" s="173"/>
      <c r="K29" s="173"/>
      <c r="L29" s="173"/>
      <c r="M29" s="173"/>
      <c r="N29" s="173"/>
      <c r="O29" s="83"/>
      <c r="P29" s="84"/>
      <c r="Q29" s="84"/>
      <c r="R29" s="84"/>
      <c r="S29" s="84"/>
      <c r="T29" s="84"/>
    </row>
    <row r="30" spans="1:20" x14ac:dyDescent="0.2">
      <c r="A30" s="78">
        <f>IF(COUNTBLANK(B30)=1," ",COUNTA(B$13:B30))</f>
        <v>16</v>
      </c>
      <c r="B30" s="79" t="s">
        <v>23</v>
      </c>
      <c r="C30" s="198" t="s">
        <v>411</v>
      </c>
      <c r="D30" s="198"/>
      <c r="E30" s="81"/>
      <c r="F30" s="81"/>
      <c r="G30" s="78" t="s">
        <v>29</v>
      </c>
      <c r="H30" s="81">
        <f>apjomi!J4+apjomi!J5+apjomi!J6+apjomi!J8+apjomi!J10+apjomi!J11+apjomi!J12</f>
        <v>27.4131</v>
      </c>
      <c r="I30" s="81"/>
      <c r="J30" s="199"/>
      <c r="K30" s="173"/>
      <c r="L30" s="199"/>
      <c r="M30" s="199"/>
      <c r="N30" s="199"/>
      <c r="O30" s="83"/>
      <c r="P30" s="84"/>
      <c r="Q30" s="84"/>
      <c r="R30" s="84"/>
      <c r="S30" s="84"/>
      <c r="T30" s="84"/>
    </row>
    <row r="31" spans="1:20" x14ac:dyDescent="0.2">
      <c r="A31" s="78" t="str">
        <f>IF(COUNTBLANK(B31)=1," ",COUNTA(B$13:B31))</f>
        <v xml:space="preserve"> </v>
      </c>
      <c r="B31" s="78"/>
      <c r="C31" s="125" t="s">
        <v>53</v>
      </c>
      <c r="D31" s="125"/>
      <c r="E31" s="78"/>
      <c r="F31" s="78"/>
      <c r="G31" s="78" t="s">
        <v>27</v>
      </c>
      <c r="H31" s="81">
        <f>ROUNDUP(H30*I31,0)</f>
        <v>72</v>
      </c>
      <c r="I31" s="81">
        <v>2.6</v>
      </c>
      <c r="J31" s="199"/>
      <c r="K31" s="199"/>
      <c r="L31" s="199"/>
      <c r="M31" s="92"/>
      <c r="N31" s="199"/>
      <c r="O31" s="83"/>
      <c r="P31" s="84"/>
      <c r="Q31" s="84"/>
      <c r="R31" s="84"/>
      <c r="S31" s="84"/>
      <c r="T31" s="84"/>
    </row>
    <row r="32" spans="1:20" x14ac:dyDescent="0.2">
      <c r="A32" s="78" t="str">
        <f>IF(COUNTBLANK(B32)=1," ",COUNTA(B$13:B32))</f>
        <v xml:space="preserve"> </v>
      </c>
      <c r="B32" s="78"/>
      <c r="C32" s="198" t="s">
        <v>54</v>
      </c>
      <c r="D32" s="198"/>
      <c r="E32" s="81"/>
      <c r="F32" s="81"/>
      <c r="G32" s="81" t="s">
        <v>27</v>
      </c>
      <c r="H32" s="81">
        <f>ROUNDUP(H30*I32,0)</f>
        <v>55</v>
      </c>
      <c r="I32" s="81">
        <v>2</v>
      </c>
      <c r="J32" s="199"/>
      <c r="K32" s="199"/>
      <c r="L32" s="199"/>
      <c r="M32" s="92"/>
      <c r="N32" s="199"/>
      <c r="O32" s="83"/>
      <c r="P32" s="84"/>
      <c r="Q32" s="84"/>
      <c r="R32" s="84"/>
      <c r="S32" s="84"/>
      <c r="T32" s="84"/>
    </row>
    <row r="33" spans="1:20" x14ac:dyDescent="0.2">
      <c r="A33" s="78" t="str">
        <f>IF(COUNTBLANK(B33)=1," ",COUNTA(B$13:B33))</f>
        <v xml:space="preserve"> </v>
      </c>
      <c r="B33" s="78"/>
      <c r="C33" s="125" t="s">
        <v>410</v>
      </c>
      <c r="D33" s="125"/>
      <c r="E33" s="78"/>
      <c r="F33" s="78"/>
      <c r="G33" s="78" t="s">
        <v>37</v>
      </c>
      <c r="H33" s="81">
        <f>ROUNDUP(H30*I33,0)</f>
        <v>11</v>
      </c>
      <c r="I33" s="81">
        <v>0.4</v>
      </c>
      <c r="J33" s="199"/>
      <c r="K33" s="199"/>
      <c r="L33" s="199"/>
      <c r="M33" s="92"/>
      <c r="N33" s="199"/>
      <c r="O33" s="83"/>
      <c r="P33" s="84"/>
      <c r="Q33" s="84"/>
      <c r="R33" s="84"/>
      <c r="S33" s="84"/>
      <c r="T33" s="84"/>
    </row>
    <row r="34" spans="1:20" x14ac:dyDescent="0.2">
      <c r="A34" s="78" t="str">
        <f>IF(COUNTBLANK(B34)=1," ",COUNTA(B$13:B34))</f>
        <v xml:space="preserve"> </v>
      </c>
      <c r="B34" s="78"/>
      <c r="C34" s="125" t="s">
        <v>55</v>
      </c>
      <c r="D34" s="125"/>
      <c r="E34" s="78"/>
      <c r="F34" s="78"/>
      <c r="G34" s="78" t="s">
        <v>27</v>
      </c>
      <c r="H34" s="81">
        <f>ROUNDUP(H30*I34,0)</f>
        <v>69</v>
      </c>
      <c r="I34" s="81">
        <v>2.5</v>
      </c>
      <c r="J34" s="199"/>
      <c r="K34" s="199"/>
      <c r="L34" s="199"/>
      <c r="M34" s="92"/>
      <c r="N34" s="199"/>
      <c r="O34" s="83"/>
      <c r="P34" s="84"/>
      <c r="Q34" s="84"/>
      <c r="R34" s="84"/>
      <c r="S34" s="84"/>
      <c r="T34" s="84"/>
    </row>
    <row r="35" spans="1:20" x14ac:dyDescent="0.2">
      <c r="A35" s="78" t="str">
        <f>IF(COUNTBLANK(B35)=1," ",COUNTA(B$13:B35))</f>
        <v xml:space="preserve"> </v>
      </c>
      <c r="B35" s="78"/>
      <c r="C35" s="125" t="s">
        <v>409</v>
      </c>
      <c r="D35" s="125"/>
      <c r="E35" s="78"/>
      <c r="F35" s="78"/>
      <c r="G35" s="78" t="s">
        <v>37</v>
      </c>
      <c r="H35" s="81">
        <f>ROUNDUP(H30*I35,2)</f>
        <v>6.8599999999999994</v>
      </c>
      <c r="I35" s="81">
        <v>0.25</v>
      </c>
      <c r="J35" s="199"/>
      <c r="K35" s="199"/>
      <c r="L35" s="199"/>
      <c r="M35" s="92"/>
      <c r="N35" s="199"/>
      <c r="O35" s="83"/>
      <c r="P35" s="84"/>
      <c r="Q35" s="84"/>
      <c r="R35" s="84"/>
      <c r="S35" s="84"/>
      <c r="T35" s="84"/>
    </row>
    <row r="36" spans="1:20" x14ac:dyDescent="0.2">
      <c r="A36" s="78" t="str">
        <f>IF(COUNTBLANK(B36)=1," ",COUNTA(B$13:B36))</f>
        <v xml:space="preserve"> </v>
      </c>
      <c r="B36" s="78"/>
      <c r="C36" s="125" t="s">
        <v>56</v>
      </c>
      <c r="D36" s="125"/>
      <c r="E36" s="78"/>
      <c r="F36" s="78"/>
      <c r="G36" s="78" t="s">
        <v>25</v>
      </c>
      <c r="H36" s="81">
        <f>H30*I36</f>
        <v>17.544384000000001</v>
      </c>
      <c r="I36" s="81">
        <v>0.64</v>
      </c>
      <c r="J36" s="81"/>
      <c r="K36" s="81"/>
      <c r="L36" s="81"/>
      <c r="M36" s="81"/>
      <c r="N36" s="81"/>
      <c r="O36" s="83"/>
      <c r="P36" s="84"/>
      <c r="Q36" s="84"/>
      <c r="R36" s="84"/>
      <c r="S36" s="84"/>
      <c r="T36" s="84"/>
    </row>
    <row r="37" spans="1:20" ht="22.5" x14ac:dyDescent="0.2">
      <c r="A37" s="78">
        <f>IF(COUNTBLANK(B37)=1," ",COUNTA(B$13:B37))</f>
        <v>17</v>
      </c>
      <c r="B37" s="79" t="s">
        <v>23</v>
      </c>
      <c r="C37" s="198" t="s">
        <v>312</v>
      </c>
      <c r="D37" s="198"/>
      <c r="E37" s="81"/>
      <c r="F37" s="81"/>
      <c r="G37" s="78" t="s">
        <v>29</v>
      </c>
      <c r="H37" s="81">
        <f>apjomi!J7+apjomi!J9</f>
        <v>9.9</v>
      </c>
      <c r="I37" s="81"/>
      <c r="J37" s="81"/>
      <c r="K37" s="81"/>
      <c r="L37" s="81"/>
      <c r="M37" s="81"/>
      <c r="N37" s="81"/>
      <c r="O37" s="83"/>
      <c r="P37" s="84"/>
      <c r="Q37" s="84"/>
      <c r="R37" s="84"/>
      <c r="S37" s="84"/>
      <c r="T37" s="84"/>
    </row>
    <row r="38" spans="1:20" x14ac:dyDescent="0.2">
      <c r="A38" s="78" t="str">
        <f>IF(COUNTBLANK(B38)=1," ",COUNTA(B$13:B38))</f>
        <v xml:space="preserve"> </v>
      </c>
      <c r="B38" s="78"/>
      <c r="C38" s="125" t="s">
        <v>53</v>
      </c>
      <c r="D38" s="125"/>
      <c r="E38" s="78"/>
      <c r="F38" s="78"/>
      <c r="G38" s="78" t="s">
        <v>27</v>
      </c>
      <c r="H38" s="81">
        <f>ROUNDUP(H37*I38,0)</f>
        <v>26</v>
      </c>
      <c r="I38" s="81">
        <v>2.6</v>
      </c>
      <c r="J38" s="81"/>
      <c r="K38" s="81"/>
      <c r="L38" s="81"/>
      <c r="M38" s="81"/>
      <c r="N38" s="81"/>
      <c r="O38" s="83"/>
      <c r="P38" s="84"/>
      <c r="Q38" s="84"/>
      <c r="R38" s="84"/>
      <c r="S38" s="84"/>
      <c r="T38" s="84"/>
    </row>
    <row r="39" spans="1:20" x14ac:dyDescent="0.2">
      <c r="A39" s="78" t="str">
        <f>IF(COUNTBLANK(B39)=1," ",COUNTA(B$13:B39))</f>
        <v xml:space="preserve"> </v>
      </c>
      <c r="B39" s="78"/>
      <c r="C39" s="198" t="s">
        <v>54</v>
      </c>
      <c r="D39" s="198"/>
      <c r="E39" s="81"/>
      <c r="F39" s="81"/>
      <c r="G39" s="81" t="s">
        <v>27</v>
      </c>
      <c r="H39" s="81">
        <f>ROUNDUP(H37*I39,0)</f>
        <v>20</v>
      </c>
      <c r="I39" s="81">
        <v>2</v>
      </c>
      <c r="J39" s="81"/>
      <c r="K39" s="81"/>
      <c r="L39" s="81"/>
      <c r="M39" s="81"/>
      <c r="N39" s="81"/>
      <c r="O39" s="83"/>
      <c r="P39" s="84"/>
      <c r="Q39" s="84"/>
      <c r="R39" s="84"/>
      <c r="S39" s="84"/>
      <c r="T39" s="84"/>
    </row>
    <row r="40" spans="1:20" x14ac:dyDescent="0.2">
      <c r="A40" s="78" t="str">
        <f>IF(COUNTBLANK(B40)=1," ",COUNTA(B$13:B40))</f>
        <v xml:space="preserve"> </v>
      </c>
      <c r="B40" s="78"/>
      <c r="C40" s="125" t="s">
        <v>410</v>
      </c>
      <c r="D40" s="125"/>
      <c r="E40" s="78"/>
      <c r="F40" s="78"/>
      <c r="G40" s="78" t="s">
        <v>37</v>
      </c>
      <c r="H40" s="81">
        <f>ROUNDUP(H37*I40,0)</f>
        <v>4</v>
      </c>
      <c r="I40" s="81">
        <v>0.4</v>
      </c>
      <c r="J40" s="81"/>
      <c r="K40" s="81"/>
      <c r="L40" s="81"/>
      <c r="M40" s="81"/>
      <c r="N40" s="81"/>
      <c r="O40" s="83"/>
      <c r="P40" s="84"/>
      <c r="Q40" s="84"/>
      <c r="R40" s="84"/>
      <c r="S40" s="84"/>
      <c r="T40" s="84"/>
    </row>
    <row r="41" spans="1:20" x14ac:dyDescent="0.2">
      <c r="A41" s="78" t="str">
        <f>IF(COUNTBLANK(B41)=1," ",COUNTA(B$13:B41))</f>
        <v xml:space="preserve"> </v>
      </c>
      <c r="B41" s="78"/>
      <c r="C41" s="125" t="s">
        <v>55</v>
      </c>
      <c r="D41" s="125"/>
      <c r="E41" s="78"/>
      <c r="F41" s="78"/>
      <c r="G41" s="78" t="s">
        <v>27</v>
      </c>
      <c r="H41" s="81">
        <f>ROUNDUP(H37*I41,0)</f>
        <v>25</v>
      </c>
      <c r="I41" s="81">
        <v>2.5</v>
      </c>
      <c r="J41" s="81"/>
      <c r="K41" s="81"/>
      <c r="L41" s="81"/>
      <c r="M41" s="81"/>
      <c r="N41" s="81"/>
      <c r="O41" s="83"/>
      <c r="P41" s="84"/>
      <c r="Q41" s="84"/>
      <c r="R41" s="84"/>
      <c r="S41" s="84"/>
      <c r="T41" s="84"/>
    </row>
    <row r="42" spans="1:20" x14ac:dyDescent="0.2">
      <c r="A42" s="78" t="str">
        <f>IF(COUNTBLANK(B42)=1," ",COUNTA(B$13:B42))</f>
        <v xml:space="preserve"> </v>
      </c>
      <c r="B42" s="78"/>
      <c r="C42" s="125" t="s">
        <v>409</v>
      </c>
      <c r="D42" s="125"/>
      <c r="E42" s="78"/>
      <c r="F42" s="78"/>
      <c r="G42" s="78" t="s">
        <v>37</v>
      </c>
      <c r="H42" s="81">
        <f>ROUNDUP(H37*I42,2)</f>
        <v>2.48</v>
      </c>
      <c r="I42" s="81">
        <v>0.25</v>
      </c>
      <c r="J42" s="81"/>
      <c r="K42" s="81"/>
      <c r="L42" s="81"/>
      <c r="M42" s="81"/>
      <c r="N42" s="81"/>
      <c r="O42" s="83"/>
      <c r="P42" s="84"/>
      <c r="Q42" s="84"/>
      <c r="R42" s="84"/>
      <c r="S42" s="84"/>
      <c r="T42" s="84"/>
    </row>
    <row r="43" spans="1:20" ht="67.5" x14ac:dyDescent="0.2">
      <c r="A43" s="78">
        <f>IF(COUNTBLANK(B43)=1," ",COUNTA(B$13:B43))</f>
        <v>18</v>
      </c>
      <c r="B43" s="79" t="s">
        <v>23</v>
      </c>
      <c r="C43" s="124" t="s">
        <v>412</v>
      </c>
      <c r="D43" s="124"/>
      <c r="E43" s="78"/>
      <c r="F43" s="78"/>
      <c r="G43" s="78" t="s">
        <v>278</v>
      </c>
      <c r="H43" s="192">
        <v>95</v>
      </c>
      <c r="I43" s="78"/>
      <c r="J43" s="199"/>
      <c r="K43" s="173"/>
      <c r="L43" s="199"/>
      <c r="M43" s="199"/>
      <c r="N43" s="199"/>
      <c r="O43" s="83"/>
      <c r="P43" s="84"/>
      <c r="Q43" s="84"/>
      <c r="R43" s="84"/>
      <c r="S43" s="84"/>
      <c r="T43" s="84"/>
    </row>
    <row r="44" spans="1:20" x14ac:dyDescent="0.2">
      <c r="A44" s="78">
        <f>IF(COUNTBLANK(B44)=1," ",COUNTA(B$13:B44))</f>
        <v>19</v>
      </c>
      <c r="B44" s="79" t="s">
        <v>23</v>
      </c>
      <c r="C44" s="124" t="s">
        <v>162</v>
      </c>
      <c r="D44" s="124"/>
      <c r="E44" s="78"/>
      <c r="F44" s="78"/>
      <c r="G44" s="78" t="s">
        <v>278</v>
      </c>
      <c r="H44" s="192">
        <v>40</v>
      </c>
      <c r="I44" s="78"/>
      <c r="J44" s="199"/>
      <c r="K44" s="173"/>
      <c r="L44" s="199"/>
      <c r="M44" s="199"/>
      <c r="N44" s="199"/>
      <c r="O44" s="83"/>
      <c r="P44" s="84"/>
      <c r="Q44" s="84"/>
      <c r="R44" s="84"/>
      <c r="S44" s="84"/>
      <c r="T44" s="84"/>
    </row>
    <row r="45" spans="1:20" ht="90" x14ac:dyDescent="0.2">
      <c r="A45" s="78" t="str">
        <f>IF(COUNTBLANK(B45)=1," ",COUNTA(B$13:B45))</f>
        <v xml:space="preserve"> </v>
      </c>
      <c r="B45" s="79"/>
      <c r="C45" s="124" t="s">
        <v>413</v>
      </c>
      <c r="D45" s="197"/>
      <c r="E45" s="78"/>
      <c r="F45" s="78"/>
      <c r="G45" s="77"/>
      <c r="H45" s="77"/>
      <c r="I45" s="77"/>
      <c r="J45" s="77"/>
      <c r="K45" s="77"/>
      <c r="L45" s="77"/>
      <c r="M45" s="77"/>
      <c r="N45" s="77"/>
      <c r="O45" s="83"/>
      <c r="P45" s="84"/>
      <c r="Q45" s="84"/>
      <c r="R45" s="84"/>
      <c r="S45" s="84"/>
      <c r="T45" s="84"/>
    </row>
    <row r="46" spans="1:20" x14ac:dyDescent="0.2">
      <c r="A46" s="78">
        <f>IF(COUNTBLANK(B46)=1," ",COUNTA(B$13:B46))</f>
        <v>20</v>
      </c>
      <c r="B46" s="79" t="s">
        <v>23</v>
      </c>
      <c r="C46" s="197" t="str">
        <f>apjomi!B18</f>
        <v>LP1. Lodžijas margas pildiņš 2,81×1m (a×h)</v>
      </c>
      <c r="D46" s="78">
        <f>E46*F46*H46</f>
        <v>56.2</v>
      </c>
      <c r="E46" s="78">
        <f>apjomi!F18</f>
        <v>2.81</v>
      </c>
      <c r="F46" s="78">
        <f>apjomi!G18</f>
        <v>1</v>
      </c>
      <c r="G46" s="78" t="s">
        <v>27</v>
      </c>
      <c r="H46" s="192">
        <f>apjomi!D18</f>
        <v>20</v>
      </c>
      <c r="I46" s="78"/>
      <c r="J46" s="173"/>
      <c r="K46" s="173"/>
      <c r="L46" s="173"/>
      <c r="M46" s="173"/>
      <c r="N46" s="173"/>
      <c r="O46" s="83"/>
      <c r="P46" s="84"/>
      <c r="Q46" s="84"/>
      <c r="R46" s="84"/>
      <c r="S46" s="84"/>
      <c r="T46" s="84"/>
    </row>
    <row r="47" spans="1:20" x14ac:dyDescent="0.2">
      <c r="A47" s="78">
        <f>IF(COUNTBLANK(B47)=1," ",COUNTA(B$13:B47))</f>
        <v>21</v>
      </c>
      <c r="B47" s="79" t="s">
        <v>23</v>
      </c>
      <c r="C47" s="197" t="str">
        <f>apjomi!B19</f>
        <v>LP2. Lodžijas margas pildiņš 3,06×1m (a×h)</v>
      </c>
      <c r="D47" s="78">
        <f>E47*F47*H47</f>
        <v>61.2</v>
      </c>
      <c r="E47" s="81">
        <f>apjomi!H19</f>
        <v>3.06</v>
      </c>
      <c r="F47" s="78">
        <f>apjomi!G19</f>
        <v>1</v>
      </c>
      <c r="G47" s="78" t="s">
        <v>27</v>
      </c>
      <c r="H47" s="192">
        <f>apjomi!D19</f>
        <v>20</v>
      </c>
      <c r="I47" s="78"/>
      <c r="J47" s="173"/>
      <c r="K47" s="173"/>
      <c r="L47" s="173"/>
      <c r="M47" s="173"/>
      <c r="N47" s="173"/>
      <c r="O47" s="83"/>
      <c r="P47" s="84"/>
      <c r="Q47" s="84"/>
      <c r="R47" s="84"/>
      <c r="S47" s="84"/>
      <c r="T47" s="84"/>
    </row>
    <row r="48" spans="1:20" x14ac:dyDescent="0.2">
      <c r="A48" s="78">
        <f>IF(COUNTBLANK(B48)=1," ",COUNTA(B$13:B48))</f>
        <v>22</v>
      </c>
      <c r="B48" s="79" t="s">
        <v>23</v>
      </c>
      <c r="C48" s="124" t="s">
        <v>415</v>
      </c>
      <c r="D48" s="124"/>
      <c r="E48" s="78"/>
      <c r="F48" s="78"/>
      <c r="G48" s="78" t="s">
        <v>25</v>
      </c>
      <c r="H48" s="86">
        <f>apjomi!K17</f>
        <v>1033.9899999999998</v>
      </c>
      <c r="I48" s="78"/>
      <c r="J48" s="173"/>
      <c r="K48" s="173"/>
      <c r="L48" s="173"/>
      <c r="M48" s="173"/>
      <c r="N48" s="173"/>
      <c r="O48" s="83"/>
      <c r="P48" s="84"/>
      <c r="Q48" s="84"/>
      <c r="R48" s="84"/>
      <c r="S48" s="84"/>
      <c r="T48" s="84"/>
    </row>
    <row r="49" spans="1:20" x14ac:dyDescent="0.2">
      <c r="A49" s="78">
        <f>IF(COUNTBLANK(B49)=1," ",COUNTA(B$13:B49))</f>
        <v>23</v>
      </c>
      <c r="B49" s="79" t="s">
        <v>23</v>
      </c>
      <c r="C49" s="124" t="s">
        <v>414</v>
      </c>
      <c r="D49" s="124"/>
      <c r="E49" s="78"/>
      <c r="F49" s="78"/>
      <c r="G49" s="78" t="s">
        <v>25</v>
      </c>
      <c r="H49" s="86">
        <f>apjomi!L17</f>
        <v>88.04</v>
      </c>
      <c r="I49" s="78"/>
      <c r="J49" s="173"/>
      <c r="K49" s="173"/>
      <c r="L49" s="173"/>
      <c r="M49" s="173"/>
      <c r="N49" s="173"/>
      <c r="O49" s="83"/>
      <c r="P49" s="84"/>
      <c r="Q49" s="84"/>
      <c r="R49" s="84"/>
      <c r="S49" s="84"/>
      <c r="T49" s="84"/>
    </row>
    <row r="50" spans="1:20" ht="22.5" x14ac:dyDescent="0.2">
      <c r="A50" s="78">
        <f>IF(COUNTBLANK(B50)=1," ",COUNTA(B$13:B50))</f>
        <v>24</v>
      </c>
      <c r="B50" s="79" t="s">
        <v>23</v>
      </c>
      <c r="C50" s="124" t="s">
        <v>57</v>
      </c>
      <c r="D50" s="124"/>
      <c r="E50" s="78"/>
      <c r="F50" s="78"/>
      <c r="G50" s="78" t="s">
        <v>25</v>
      </c>
      <c r="H50" s="86">
        <f>apjomi!O17</f>
        <v>19.169999999999998</v>
      </c>
      <c r="I50" s="78"/>
      <c r="J50" s="196"/>
      <c r="K50" s="173"/>
      <c r="L50" s="196"/>
      <c r="M50" s="196"/>
      <c r="N50" s="196"/>
      <c r="O50" s="83"/>
      <c r="P50" s="84"/>
      <c r="Q50" s="84"/>
      <c r="R50" s="84"/>
      <c r="S50" s="84"/>
      <c r="T50" s="84"/>
    </row>
    <row r="51" spans="1:20" ht="22.5" x14ac:dyDescent="0.2">
      <c r="A51" s="78">
        <f>IF(COUNTBLANK(B51)=1," ",COUNTA(B$13:B51))</f>
        <v>25</v>
      </c>
      <c r="B51" s="79" t="s">
        <v>23</v>
      </c>
      <c r="C51" s="125" t="s">
        <v>58</v>
      </c>
      <c r="D51" s="124"/>
      <c r="E51" s="78"/>
      <c r="F51" s="78"/>
      <c r="G51" s="78" t="s">
        <v>29</v>
      </c>
      <c r="H51" s="86">
        <f>apjomi!N17</f>
        <v>26.411999999999999</v>
      </c>
      <c r="I51" s="193"/>
      <c r="J51" s="196"/>
      <c r="K51" s="173"/>
      <c r="L51" s="196"/>
      <c r="M51" s="196"/>
      <c r="N51" s="196"/>
      <c r="O51" s="83"/>
      <c r="P51" s="84"/>
      <c r="Q51" s="84"/>
      <c r="R51" s="84"/>
      <c r="S51" s="84"/>
      <c r="T51" s="84"/>
    </row>
    <row r="52" spans="1:20" x14ac:dyDescent="0.2">
      <c r="A52" s="78" t="str">
        <f>IF(COUNTBLANK(B52)=1," ",COUNTA(B$13:B52))</f>
        <v xml:space="preserve"> </v>
      </c>
      <c r="B52" s="79"/>
      <c r="C52" s="200" t="s">
        <v>417</v>
      </c>
      <c r="D52" s="124"/>
      <c r="E52" s="78"/>
      <c r="F52" s="78"/>
      <c r="G52" s="81" t="s">
        <v>25</v>
      </c>
      <c r="H52" s="81">
        <f>apjomi!L17</f>
        <v>88.04</v>
      </c>
      <c r="I52" s="81"/>
      <c r="J52" s="196"/>
      <c r="K52" s="196"/>
      <c r="L52" s="196"/>
      <c r="M52" s="196"/>
      <c r="N52" s="196"/>
      <c r="O52" s="83"/>
      <c r="P52" s="84"/>
      <c r="Q52" s="84"/>
      <c r="R52" s="84"/>
      <c r="S52" s="84"/>
      <c r="T52" s="84"/>
    </row>
    <row r="53" spans="1:20" x14ac:dyDescent="0.2">
      <c r="A53" s="78" t="str">
        <f>IF(COUNTBLANK(B53)=1," ",COUNTA(B$13:B53))</f>
        <v xml:space="preserve"> </v>
      </c>
      <c r="B53" s="79"/>
      <c r="C53" s="125" t="s">
        <v>416</v>
      </c>
      <c r="D53" s="124"/>
      <c r="E53" s="78"/>
      <c r="F53" s="78"/>
      <c r="G53" s="74" t="s">
        <v>29</v>
      </c>
      <c r="H53" s="81">
        <f>H51*I53</f>
        <v>29.0532</v>
      </c>
      <c r="I53" s="81">
        <v>1.1000000000000001</v>
      </c>
      <c r="J53" s="196"/>
      <c r="K53" s="196"/>
      <c r="L53" s="196"/>
      <c r="M53" s="196"/>
      <c r="N53" s="196"/>
      <c r="O53" s="83"/>
      <c r="P53" s="84"/>
      <c r="Q53" s="84"/>
      <c r="R53" s="84"/>
      <c r="S53" s="84"/>
      <c r="T53" s="84"/>
    </row>
    <row r="54" spans="1:20" x14ac:dyDescent="0.2">
      <c r="A54" s="78" t="str">
        <f>IF(COUNTBLANK(B54)=1," ",COUNTA(B$13:B54))</f>
        <v xml:space="preserve"> </v>
      </c>
      <c r="B54" s="79"/>
      <c r="C54" s="201" t="s">
        <v>371</v>
      </c>
      <c r="D54" s="124"/>
      <c r="E54" s="78"/>
      <c r="F54" s="78"/>
      <c r="G54" s="81" t="s">
        <v>36</v>
      </c>
      <c r="H54" s="81">
        <f>H51*I54</f>
        <v>132.06</v>
      </c>
      <c r="I54" s="81">
        <v>5</v>
      </c>
      <c r="J54" s="196"/>
      <c r="K54" s="196"/>
      <c r="L54" s="196"/>
      <c r="M54" s="196"/>
      <c r="N54" s="196"/>
      <c r="O54" s="83"/>
      <c r="P54" s="84"/>
      <c r="Q54" s="84"/>
      <c r="R54" s="84"/>
      <c r="S54" s="84"/>
      <c r="T54" s="84"/>
    </row>
    <row r="55" spans="1:20" x14ac:dyDescent="0.2">
      <c r="A55" s="78" t="str">
        <f>IF(COUNTBLANK(B55)=1," ",COUNTA(B$13:B55))</f>
        <v xml:space="preserve"> </v>
      </c>
      <c r="B55" s="76"/>
      <c r="C55" s="97" t="s">
        <v>276</v>
      </c>
      <c r="D55" s="202"/>
      <c r="E55" s="81"/>
      <c r="F55" s="81"/>
      <c r="G55" s="81" t="s">
        <v>36</v>
      </c>
      <c r="H55" s="81">
        <f>H51*I55</f>
        <v>15.847199999999999</v>
      </c>
      <c r="I55" s="81">
        <v>0.6</v>
      </c>
      <c r="J55" s="196"/>
      <c r="K55" s="196"/>
      <c r="L55" s="196"/>
      <c r="M55" s="196"/>
      <c r="N55" s="196"/>
      <c r="O55" s="83"/>
      <c r="P55" s="84"/>
      <c r="Q55" s="84"/>
      <c r="R55" s="84"/>
      <c r="S55" s="84"/>
      <c r="T55" s="84"/>
    </row>
    <row r="56" spans="1:20" x14ac:dyDescent="0.2">
      <c r="A56" s="78" t="str">
        <f>IF(COUNTBLANK(B56)=1," ",COUNTA(B$13:B56))</f>
        <v xml:space="preserve"> </v>
      </c>
      <c r="B56" s="76"/>
      <c r="C56" s="201" t="s">
        <v>418</v>
      </c>
      <c r="D56" s="202"/>
      <c r="E56" s="81"/>
      <c r="F56" s="81"/>
      <c r="G56" s="81" t="s">
        <v>36</v>
      </c>
      <c r="H56" s="81">
        <f>H51*I56</f>
        <v>7.9235999999999995</v>
      </c>
      <c r="I56" s="81">
        <v>0.3</v>
      </c>
      <c r="J56" s="196"/>
      <c r="K56" s="196"/>
      <c r="L56" s="196"/>
      <c r="M56" s="196"/>
      <c r="N56" s="196"/>
      <c r="O56" s="83"/>
      <c r="P56" s="84"/>
      <c r="Q56" s="84"/>
      <c r="R56" s="84"/>
      <c r="S56" s="84"/>
      <c r="T56" s="84"/>
    </row>
    <row r="57" spans="1:20" x14ac:dyDescent="0.2">
      <c r="A57" s="78" t="str">
        <f>IF(COUNTBLANK(B57)=1," ",COUNTA(B$13:B57))</f>
        <v xml:space="preserve"> </v>
      </c>
      <c r="B57" s="76"/>
      <c r="C57" s="198" t="s">
        <v>43</v>
      </c>
      <c r="D57" s="202"/>
      <c r="E57" s="81"/>
      <c r="F57" s="81"/>
      <c r="G57" s="81" t="s">
        <v>27</v>
      </c>
      <c r="H57" s="81">
        <f>ROUNDUP(H51*I57,0)</f>
        <v>3</v>
      </c>
      <c r="I57" s="81">
        <v>0.1</v>
      </c>
      <c r="J57" s="196"/>
      <c r="K57" s="196"/>
      <c r="L57" s="196"/>
      <c r="M57" s="196"/>
      <c r="N57" s="196"/>
      <c r="O57" s="83"/>
      <c r="P57" s="84"/>
      <c r="Q57" s="84"/>
      <c r="R57" s="84"/>
      <c r="S57" s="84"/>
      <c r="T57" s="84"/>
    </row>
    <row r="58" spans="1:20" ht="22.5" x14ac:dyDescent="0.2">
      <c r="A58" s="68"/>
      <c r="B58" s="69"/>
      <c r="C58" s="318" t="s">
        <v>156</v>
      </c>
      <c r="D58" s="319"/>
      <c r="E58" s="320"/>
      <c r="F58" s="320"/>
      <c r="G58" s="321"/>
      <c r="H58" s="321"/>
      <c r="I58" s="321"/>
      <c r="J58" s="321"/>
      <c r="K58" s="321"/>
      <c r="L58" s="69"/>
      <c r="M58" s="322"/>
      <c r="N58" s="322"/>
      <c r="O58" s="322"/>
      <c r="P58" s="322"/>
      <c r="Q58" s="322"/>
      <c r="R58" s="105"/>
      <c r="S58" s="105"/>
      <c r="T58" s="105"/>
    </row>
    <row r="59" spans="1:20" x14ac:dyDescent="0.2">
      <c r="A59" s="68"/>
      <c r="B59" s="69"/>
      <c r="C59" s="323"/>
      <c r="D59" s="323"/>
      <c r="E59" s="323"/>
      <c r="F59" s="323"/>
      <c r="G59" s="323"/>
      <c r="H59" s="323"/>
      <c r="I59" s="69"/>
      <c r="J59" s="69"/>
      <c r="K59" s="69"/>
      <c r="L59" s="69"/>
      <c r="M59" s="69"/>
      <c r="N59" s="69"/>
      <c r="O59" s="69"/>
      <c r="P59" s="69"/>
      <c r="Q59" s="69"/>
      <c r="R59" s="128"/>
      <c r="S59" s="128"/>
      <c r="T59" s="128"/>
    </row>
    <row r="60" spans="1:20" x14ac:dyDescent="0.2">
      <c r="A60" s="69"/>
      <c r="B60" s="69"/>
      <c r="C60" s="324" t="str">
        <f>[2]KPDV!$B$31</f>
        <v>Sastādīja:</v>
      </c>
      <c r="D60" s="325"/>
      <c r="E60" s="326"/>
      <c r="F60" s="326"/>
      <c r="G60" s="323"/>
      <c r="H60" s="323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</row>
    <row r="61" spans="1:20" x14ac:dyDescent="0.2">
      <c r="A61" s="69"/>
      <c r="B61" s="69"/>
      <c r="C61" s="324" t="str">
        <f>[2]KPDV!$B$32</f>
        <v>Tāme sastādīta</v>
      </c>
      <c r="D61" s="327"/>
      <c r="E61" s="314"/>
      <c r="F61" s="314"/>
      <c r="G61" s="323"/>
      <c r="H61" s="323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1:20" x14ac:dyDescent="0.2">
      <c r="A62" s="69"/>
      <c r="B62" s="69"/>
      <c r="C62" s="324"/>
      <c r="D62" s="327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23"/>
      <c r="P62" s="323"/>
      <c r="Q62" s="69"/>
      <c r="R62" s="65"/>
      <c r="S62" s="65"/>
      <c r="T62" s="65"/>
    </row>
    <row r="63" spans="1:20" x14ac:dyDescent="0.2">
      <c r="A63" s="69"/>
      <c r="B63" s="69"/>
      <c r="C63" s="324" t="str">
        <f>[2]KPDV!$B$34</f>
        <v>Pārbaudīja:</v>
      </c>
      <c r="D63" s="325"/>
      <c r="E63" s="326"/>
      <c r="F63" s="326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69"/>
      <c r="R63" s="65"/>
      <c r="S63" s="65"/>
      <c r="T63" s="65"/>
    </row>
    <row r="64" spans="1:20" x14ac:dyDescent="0.2">
      <c r="A64" s="69"/>
      <c r="B64" s="69"/>
      <c r="C64" s="324" t="str">
        <f>[2]KPDV!$B$35</f>
        <v>Sertifikāta Nr.:</v>
      </c>
      <c r="D64" s="325"/>
      <c r="E64" s="328"/>
      <c r="F64" s="328"/>
      <c r="G64" s="327"/>
      <c r="H64" s="327"/>
      <c r="I64" s="327"/>
      <c r="J64" s="327"/>
      <c r="K64" s="327"/>
      <c r="L64" s="327"/>
      <c r="M64" s="329"/>
      <c r="N64" s="327"/>
      <c r="O64" s="329"/>
      <c r="P64" s="327"/>
      <c r="Q64" s="69"/>
      <c r="R64" s="65"/>
      <c r="S64" s="65"/>
      <c r="T64" s="65"/>
    </row>
    <row r="65" spans="1:20" x14ac:dyDescent="0.2">
      <c r="A65" s="69"/>
      <c r="B65" s="69"/>
      <c r="C65" s="69"/>
      <c r="D65" s="69"/>
      <c r="E65" s="69"/>
      <c r="F65" s="69"/>
      <c r="G65" s="69"/>
      <c r="H65" s="69"/>
      <c r="I65" s="134"/>
      <c r="J65" s="135"/>
      <c r="K65" s="135"/>
      <c r="L65" s="69"/>
      <c r="M65" s="69"/>
      <c r="N65" s="69"/>
      <c r="O65" s="135"/>
      <c r="P65" s="135"/>
      <c r="Q65" s="69"/>
      <c r="R65" s="65"/>
      <c r="S65" s="65"/>
      <c r="T65" s="65"/>
    </row>
    <row r="66" spans="1:20" ht="12.75" x14ac:dyDescent="0.2">
      <c r="A66" s="69"/>
      <c r="B66" s="330" t="s">
        <v>400</v>
      </c>
      <c r="C66" s="331"/>
      <c r="D66" s="332"/>
      <c r="E66" s="332"/>
      <c r="F66" s="332"/>
      <c r="G66" s="333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65"/>
      <c r="S66" s="65"/>
      <c r="T66" s="65"/>
    </row>
    <row r="67" spans="1:20" ht="11.25" customHeight="1" x14ac:dyDescent="0.2">
      <c r="A67" s="69"/>
      <c r="B67" s="334" t="s">
        <v>401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</row>
    <row r="68" spans="1:20" ht="11.25" customHeight="1" x14ac:dyDescent="0.2">
      <c r="A68" s="69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</row>
    <row r="69" spans="1:20" ht="30.75" customHeight="1" x14ac:dyDescent="0.2">
      <c r="A69" s="69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</row>
    <row r="70" spans="1:20" x14ac:dyDescent="0.2">
      <c r="A70" s="69"/>
      <c r="B70" s="69"/>
      <c r="C70" s="69"/>
      <c r="D70" s="69"/>
      <c r="E70" s="69"/>
      <c r="F70" s="66"/>
    </row>
    <row r="71" spans="1:20" x14ac:dyDescent="0.2">
      <c r="A71" s="69"/>
      <c r="B71" s="69"/>
      <c r="C71" s="69"/>
      <c r="D71" s="69"/>
      <c r="E71" s="69"/>
      <c r="F71" s="66"/>
    </row>
    <row r="72" spans="1:20" x14ac:dyDescent="0.2">
      <c r="A72" s="69"/>
      <c r="B72" s="69"/>
      <c r="C72" s="69"/>
      <c r="D72" s="69"/>
      <c r="E72" s="69"/>
      <c r="F72" s="66"/>
    </row>
  </sheetData>
  <autoFilter ref="A12:ALY59" xr:uid="{00000000-0009-0000-0000-000003000000}"/>
  <mergeCells count="12">
    <mergeCell ref="B67:Q69"/>
    <mergeCell ref="A1:J1"/>
    <mergeCell ref="A8:G8"/>
    <mergeCell ref="J8:M8"/>
    <mergeCell ref="Q9:T9"/>
    <mergeCell ref="A10:A11"/>
    <mergeCell ref="B10:B11"/>
    <mergeCell ref="C10:F11"/>
    <mergeCell ref="G10:G11"/>
    <mergeCell ref="H10:H11"/>
    <mergeCell ref="J10:O10"/>
    <mergeCell ref="P10:T10"/>
  </mergeCells>
  <pageMargins left="0.7" right="0.7" top="0.75" bottom="0.75" header="0.3" footer="0.3"/>
  <pageSetup paperSize="9" scale="99" firstPageNumber="0" fitToHeight="0" orientation="landscape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39"/>
  <sheetViews>
    <sheetView view="pageBreakPreview" topLeftCell="A4" zoomScaleNormal="85" zoomScaleSheetLayoutView="100" zoomScalePageLayoutView="115" workbookViewId="0">
      <selection activeCell="B26" sqref="B26:Q37"/>
    </sheetView>
  </sheetViews>
  <sheetFormatPr defaultColWidth="9" defaultRowHeight="11.25" x14ac:dyDescent="0.2"/>
  <cols>
    <col min="1" max="1" width="4.28515625" style="66" bestFit="1" customWidth="1"/>
    <col min="2" max="2" width="9.5703125" style="66" customWidth="1"/>
    <col min="3" max="3" width="42.5703125" style="104" bestFit="1" customWidth="1"/>
    <col min="4" max="4" width="5.28515625" style="66" bestFit="1" customWidth="1"/>
    <col min="5" max="5" width="6.5703125" style="66" bestFit="1" customWidth="1"/>
    <col min="6" max="6" width="4.7109375" style="66" hidden="1" customWidth="1"/>
    <col min="7" max="12" width="6.140625" style="66" customWidth="1"/>
    <col min="13" max="13" width="8" style="66" customWidth="1"/>
    <col min="14" max="14" width="10.140625" style="66" customWidth="1"/>
    <col min="15" max="17" width="8" style="66" customWidth="1"/>
    <col min="18" max="1015" width="8.140625" style="66"/>
    <col min="1016" max="16384" width="9" style="66"/>
  </cols>
  <sheetData>
    <row r="1" spans="1:17" s="61" customFormat="1" x14ac:dyDescent="0.25">
      <c r="A1" s="235" t="s">
        <v>11</v>
      </c>
      <c r="B1" s="235"/>
      <c r="C1" s="235"/>
      <c r="D1" s="235"/>
      <c r="E1" s="235"/>
      <c r="F1" s="235"/>
      <c r="G1" s="235"/>
      <c r="H1" s="171">
        <f>KPDV!A15</f>
        <v>3</v>
      </c>
      <c r="I1" s="108"/>
      <c r="J1" s="108"/>
      <c r="K1" s="108"/>
      <c r="L1" s="108"/>
    </row>
    <row r="2" spans="1:17" s="63" customFormat="1" x14ac:dyDescent="0.25">
      <c r="A2" s="109"/>
      <c r="B2" s="109"/>
      <c r="C2" s="109" t="s">
        <v>59</v>
      </c>
      <c r="D2" s="109"/>
      <c r="E2" s="109"/>
      <c r="F2" s="109"/>
      <c r="G2" s="109"/>
      <c r="H2" s="172"/>
      <c r="I2" s="109"/>
      <c r="J2" s="109"/>
      <c r="K2" s="109"/>
      <c r="L2" s="109"/>
    </row>
    <row r="3" spans="1:17" s="63" customFormat="1" x14ac:dyDescent="0.25">
      <c r="A3" s="63" t="str">
        <f>KPDV!A3</f>
        <v>Būves nosaukums: Daudzdzīvokļu dzīvojamās mājas fasādes vienkāršotā atjaunošana</v>
      </c>
    </row>
    <row r="4" spans="1:17" s="63" customFormat="1" x14ac:dyDescent="0.25">
      <c r="A4" s="63" t="str">
        <f>KPDV!A4</f>
        <v>Objekta nosaukums: Dzīvojamas ēkas fasādes vienkāršota atjaunošana</v>
      </c>
    </row>
    <row r="5" spans="1:17" x14ac:dyDescent="0.2">
      <c r="A5" s="69" t="str">
        <f>KPDV!A5</f>
        <v>Objekta adrese: Eduarda Tisē ielā 50, Liepājā</v>
      </c>
      <c r="B5" s="69"/>
      <c r="C5" s="6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A6" s="69" t="str">
        <f>KPDV!A6</f>
        <v>Pasūtījuma Nr.EA-15-17</v>
      </c>
      <c r="B6" s="69"/>
      <c r="C6" s="6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x14ac:dyDescent="0.2">
      <c r="A7" s="69" t="str">
        <f>KPDV!A7</f>
        <v>Pasūtītājs: SIA "Liepājas namu apsaimniekotājs"</v>
      </c>
      <c r="B7" s="69"/>
      <c r="C7" s="6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x14ac:dyDescent="0.2">
      <c r="A8" s="69"/>
      <c r="B8" s="69"/>
      <c r="C8" s="61" t="str">
        <f>AR!D8</f>
        <v>Tāme sastādīta .gada tirgus cenās, pamatojoties uz:</v>
      </c>
      <c r="D8" s="69" t="str">
        <f>AR!E8</f>
        <v>AR un BK</v>
      </c>
      <c r="F8" s="69"/>
      <c r="G8" s="69" t="str">
        <f>AR!G8</f>
        <v>daļas rasējumiem</v>
      </c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x14ac:dyDescent="0.2">
      <c r="A9" s="239" t="str">
        <f>AR!A9</f>
        <v>Tāmes izmaksas euro: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113">
        <f>Q27</f>
        <v>0</v>
      </c>
    </row>
    <row r="10" spans="1:17" s="69" customForma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1" t="str">
        <f>KPDV!B10</f>
        <v>Tāme sastādīta .gada</v>
      </c>
    </row>
    <row r="11" spans="1:17" s="63" customFormat="1" ht="10.15" customHeight="1" x14ac:dyDescent="0.25">
      <c r="A11" s="240" t="s">
        <v>15</v>
      </c>
      <c r="B11" s="240" t="s">
        <v>16</v>
      </c>
      <c r="C11" s="241" t="s">
        <v>17</v>
      </c>
      <c r="D11" s="242" t="s">
        <v>18</v>
      </c>
      <c r="E11" s="240" t="s">
        <v>19</v>
      </c>
      <c r="F11" s="72"/>
      <c r="G11" s="243" t="s">
        <v>20</v>
      </c>
      <c r="H11" s="243"/>
      <c r="I11" s="243"/>
      <c r="J11" s="243"/>
      <c r="K11" s="243"/>
      <c r="L11" s="243"/>
      <c r="M11" s="243" t="s">
        <v>21</v>
      </c>
      <c r="N11" s="243"/>
      <c r="O11" s="243"/>
      <c r="P11" s="243"/>
      <c r="Q11" s="243"/>
    </row>
    <row r="12" spans="1:17" ht="69" x14ac:dyDescent="0.2">
      <c r="A12" s="240"/>
      <c r="B12" s="240"/>
      <c r="C12" s="241"/>
      <c r="D12" s="242"/>
      <c r="E12" s="240"/>
      <c r="F12" s="72"/>
      <c r="G12" s="335" t="s">
        <v>403</v>
      </c>
      <c r="H12" s="336" t="s">
        <v>404</v>
      </c>
      <c r="I12" s="336" t="s">
        <v>405</v>
      </c>
      <c r="J12" s="336" t="s">
        <v>406</v>
      </c>
      <c r="K12" s="336" t="s">
        <v>407</v>
      </c>
      <c r="L12" s="337" t="s">
        <v>365</v>
      </c>
      <c r="M12" s="335" t="s">
        <v>22</v>
      </c>
      <c r="N12" s="336" t="s">
        <v>405</v>
      </c>
      <c r="O12" s="336" t="s">
        <v>406</v>
      </c>
      <c r="P12" s="336" t="s">
        <v>407</v>
      </c>
      <c r="Q12" s="337" t="s">
        <v>408</v>
      </c>
    </row>
    <row r="13" spans="1:17" x14ac:dyDescent="0.2">
      <c r="A13" s="74">
        <v>1</v>
      </c>
      <c r="B13" s="74">
        <f>A13+1</f>
        <v>2</v>
      </c>
      <c r="C13" s="87">
        <f>B13+1</f>
        <v>3</v>
      </c>
      <c r="D13" s="74">
        <f>C13+1</f>
        <v>4</v>
      </c>
      <c r="E13" s="74">
        <f>D13+1</f>
        <v>5</v>
      </c>
      <c r="F13" s="74"/>
      <c r="G13" s="74">
        <f>E13+1</f>
        <v>6</v>
      </c>
      <c r="H13" s="74">
        <f t="shared" ref="H13:Q13" si="0">G13+1</f>
        <v>7</v>
      </c>
      <c r="I13" s="74">
        <f t="shared" si="0"/>
        <v>8</v>
      </c>
      <c r="J13" s="74">
        <f t="shared" si="0"/>
        <v>9</v>
      </c>
      <c r="K13" s="74">
        <f t="shared" si="0"/>
        <v>10</v>
      </c>
      <c r="L13" s="74">
        <f t="shared" si="0"/>
        <v>11</v>
      </c>
      <c r="M13" s="74">
        <f t="shared" si="0"/>
        <v>12</v>
      </c>
      <c r="N13" s="74">
        <f t="shared" si="0"/>
        <v>13</v>
      </c>
      <c r="O13" s="74">
        <f t="shared" si="0"/>
        <v>14</v>
      </c>
      <c r="P13" s="74">
        <f t="shared" si="0"/>
        <v>15</v>
      </c>
      <c r="Q13" s="74">
        <f t="shared" si="0"/>
        <v>16</v>
      </c>
    </row>
    <row r="14" spans="1:17" x14ac:dyDescent="0.2">
      <c r="A14" s="78">
        <f>IF(COUNTBLANK(B14)=1," ",COUNTA(B$14:B14))</f>
        <v>1</v>
      </c>
      <c r="B14" s="79" t="s">
        <v>23</v>
      </c>
      <c r="C14" s="124" t="s">
        <v>60</v>
      </c>
      <c r="D14" s="74" t="s">
        <v>61</v>
      </c>
      <c r="E14" s="192">
        <f>E21*0.02</f>
        <v>7.1620000000000008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s="69" customFormat="1" ht="22.5" x14ac:dyDescent="0.25">
      <c r="A15" s="78">
        <f>IF(COUNTBLANK(B15)=1," ",COUNTA(B$14:B15))</f>
        <v>2</v>
      </c>
      <c r="B15" s="79" t="s">
        <v>23</v>
      </c>
      <c r="C15" s="125" t="s">
        <v>327</v>
      </c>
      <c r="D15" s="86" t="s">
        <v>25</v>
      </c>
      <c r="E15" s="86">
        <v>47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s="69" customFormat="1" ht="20.85" customHeight="1" x14ac:dyDescent="0.25">
      <c r="A16" s="78">
        <f>IF(COUNTBLANK(B16)=1," ",COUNTA(B$14:B16))</f>
        <v>3</v>
      </c>
      <c r="B16" s="79" t="s">
        <v>23</v>
      </c>
      <c r="C16" s="125" t="s">
        <v>62</v>
      </c>
      <c r="D16" s="78" t="s">
        <v>278</v>
      </c>
      <c r="E16" s="86">
        <v>50</v>
      </c>
      <c r="F16" s="78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s="69" customFormat="1" ht="20.85" customHeight="1" x14ac:dyDescent="0.25">
      <c r="A17" s="78">
        <f>IF(COUNTBLANK(B17)=1," ",COUNTA(B$14:B17))</f>
        <v>4</v>
      </c>
      <c r="B17" s="79" t="s">
        <v>23</v>
      </c>
      <c r="C17" s="125" t="s">
        <v>325</v>
      </c>
      <c r="D17" s="78" t="s">
        <v>278</v>
      </c>
      <c r="E17" s="86">
        <v>12</v>
      </c>
      <c r="F17" s="78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s="69" customFormat="1" ht="20.85" customHeight="1" x14ac:dyDescent="0.25">
      <c r="A18" s="78">
        <f>IF(COUNTBLANK(B18)=1," ",COUNTA(B$14:B18))</f>
        <v>5</v>
      </c>
      <c r="B18" s="79" t="s">
        <v>23</v>
      </c>
      <c r="C18" s="125" t="s">
        <v>326</v>
      </c>
      <c r="D18" s="78" t="s">
        <v>25</v>
      </c>
      <c r="E18" s="86">
        <v>3.6</v>
      </c>
      <c r="F18" s="7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s="64" customFormat="1" ht="22.5" x14ac:dyDescent="0.25">
      <c r="A19" s="78">
        <f>IF(COUNTBLANK(B19)=1," ",COUNTA(B$14:B19))</f>
        <v>6</v>
      </c>
      <c r="B19" s="79" t="s">
        <v>23</v>
      </c>
      <c r="C19" s="124" t="s">
        <v>63</v>
      </c>
      <c r="D19" s="78" t="s">
        <v>29</v>
      </c>
      <c r="E19" s="86">
        <f>apjomi!D33</f>
        <v>358.1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s="69" customFormat="1" x14ac:dyDescent="0.25">
      <c r="A20" s="78" t="str">
        <f>IF(COUNTBLANK(B20)=1," ",COUNTA(B$14:B20))</f>
        <v xml:space="preserve"> </v>
      </c>
      <c r="B20" s="78"/>
      <c r="C20" s="194" t="s">
        <v>370</v>
      </c>
      <c r="D20" s="78" t="s">
        <v>36</v>
      </c>
      <c r="E20" s="81">
        <f>E19*F20</f>
        <v>89.525000000000006</v>
      </c>
      <c r="F20" s="81">
        <v>0.25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s="64" customFormat="1" ht="34.35" customHeight="1" x14ac:dyDescent="0.25">
      <c r="A21" s="78">
        <f>IF(COUNTBLANK(B21)=1," ",COUNTA(B$14:B21))</f>
        <v>7</v>
      </c>
      <c r="B21" s="124" t="str">
        <f>apjomi!A33</f>
        <v>P1 Pagraba pārseguma siltinājums</v>
      </c>
      <c r="C21" s="124" t="str">
        <f>apjomi!B33</f>
        <v>Esošs grīdas sastāvs, ~b=80mm; Esošais dz-betona pārsegums, ~b=220mm; Līmjava; Akmensvates lamele 0,037 W/m²K, b=150mm; Ūdensizsturīgs krāsojums, b=2mm</v>
      </c>
      <c r="D21" s="78" t="s">
        <v>29</v>
      </c>
      <c r="E21" s="86">
        <f>apjomi!D33</f>
        <v>358.1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s="69" customFormat="1" x14ac:dyDescent="0.25">
      <c r="A22" s="78" t="str">
        <f>IF(COUNTBLANK(B22)=1," ",COUNTA(B$14:B22))</f>
        <v xml:space="preserve"> </v>
      </c>
      <c r="B22" s="78"/>
      <c r="C22" s="124" t="s">
        <v>64</v>
      </c>
      <c r="D22" s="78" t="s">
        <v>29</v>
      </c>
      <c r="E22" s="81">
        <f>E21*F22</f>
        <v>376.00500000000005</v>
      </c>
      <c r="F22" s="81">
        <v>1.05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">
      <c r="A23" s="78" t="str">
        <f>IF(COUNTBLANK(B23)=1," ",COUNTA(B$14:B23))</f>
        <v xml:space="preserve"> </v>
      </c>
      <c r="B23" s="78"/>
      <c r="C23" s="194" t="s">
        <v>371</v>
      </c>
      <c r="D23" s="78" t="s">
        <v>36</v>
      </c>
      <c r="E23" s="81">
        <f>E21*F23</f>
        <v>1611.45</v>
      </c>
      <c r="F23" s="81">
        <v>4.5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s="69" customFormat="1" x14ac:dyDescent="0.25">
      <c r="A24" s="78">
        <f>IF(COUNTBLANK(B24)=1," ",COUNTA(B$14:B24))</f>
        <v>8</v>
      </c>
      <c r="B24" s="79" t="s">
        <v>23</v>
      </c>
      <c r="C24" s="124" t="s">
        <v>328</v>
      </c>
      <c r="D24" s="74" t="s">
        <v>61</v>
      </c>
      <c r="E24" s="86">
        <f>E14</f>
        <v>7.1620000000000008</v>
      </c>
      <c r="F24" s="81"/>
      <c r="G24" s="81"/>
      <c r="H24" s="81"/>
      <c r="I24" s="195"/>
      <c r="J24" s="78"/>
      <c r="K24" s="81"/>
      <c r="L24" s="81"/>
      <c r="M24" s="81"/>
      <c r="N24" s="81"/>
      <c r="O24" s="81"/>
      <c r="P24" s="81"/>
      <c r="Q24" s="81"/>
    </row>
    <row r="25" spans="1:17" x14ac:dyDescent="0.2">
      <c r="A25" s="78" t="str">
        <f>IF(COUNTBLANK(B25)=1," ",COUNTA(B$14:B25))</f>
        <v xml:space="preserve"> </v>
      </c>
      <c r="B25" s="79"/>
      <c r="C25" s="124" t="s">
        <v>47</v>
      </c>
      <c r="D25" s="78" t="s">
        <v>27</v>
      </c>
      <c r="E25" s="81">
        <f>ROUNDUP(E24/10,0)</f>
        <v>1</v>
      </c>
      <c r="F25" s="81">
        <v>0.14285714285714299</v>
      </c>
      <c r="G25" s="81"/>
      <c r="H25" s="81"/>
      <c r="I25" s="195"/>
      <c r="J25" s="78"/>
      <c r="K25" s="81"/>
      <c r="L25" s="81"/>
      <c r="M25" s="81"/>
      <c r="N25" s="81"/>
      <c r="O25" s="81"/>
      <c r="P25" s="81"/>
      <c r="Q25" s="81"/>
    </row>
    <row r="26" spans="1:17" s="69" customFormat="1" ht="22.5" x14ac:dyDescent="0.25">
      <c r="A26" s="68"/>
      <c r="C26" s="318" t="s">
        <v>156</v>
      </c>
      <c r="D26" s="319"/>
      <c r="E26" s="320"/>
      <c r="F26" s="320"/>
      <c r="G26" s="321"/>
      <c r="H26" s="321"/>
      <c r="I26" s="321"/>
      <c r="J26" s="321"/>
      <c r="K26" s="321"/>
      <c r="M26" s="322"/>
      <c r="N26" s="322"/>
      <c r="O26" s="322"/>
      <c r="P26" s="322"/>
      <c r="Q26" s="322"/>
    </row>
    <row r="27" spans="1:17" x14ac:dyDescent="0.2">
      <c r="A27" s="106" t="str">
        <f>IF(COUNTBLANK(L27)=1," ",COUNTA($L$15:L27))</f>
        <v xml:space="preserve"> </v>
      </c>
      <c r="B27" s="69"/>
      <c r="C27" s="323"/>
      <c r="D27" s="323"/>
      <c r="E27" s="323"/>
      <c r="F27" s="323"/>
      <c r="G27" s="323"/>
      <c r="H27" s="323"/>
      <c r="I27" s="69"/>
      <c r="J27" s="69"/>
      <c r="K27" s="69"/>
      <c r="L27" s="69"/>
      <c r="M27" s="69"/>
      <c r="N27" s="69"/>
      <c r="O27" s="69"/>
      <c r="P27" s="69"/>
      <c r="Q27" s="69"/>
    </row>
    <row r="28" spans="1:17" x14ac:dyDescent="0.2">
      <c r="A28" s="69"/>
      <c r="B28" s="69"/>
      <c r="C28" s="324" t="str">
        <f>[2]KPDV!$B$31</f>
        <v>Sastādīja:</v>
      </c>
      <c r="D28" s="325"/>
      <c r="E28" s="326"/>
      <c r="F28" s="326"/>
      <c r="G28" s="323"/>
      <c r="H28" s="323"/>
      <c r="I28" s="69"/>
      <c r="J28" s="69"/>
      <c r="K28" s="69"/>
      <c r="L28" s="69"/>
      <c r="M28" s="69"/>
      <c r="N28" s="69"/>
      <c r="O28" s="69"/>
      <c r="P28" s="69"/>
      <c r="Q28" s="69"/>
    </row>
    <row r="29" spans="1:17" x14ac:dyDescent="0.2">
      <c r="A29" s="69"/>
      <c r="B29" s="69"/>
      <c r="C29" s="324" t="str">
        <f>[2]KPDV!$B$32</f>
        <v>Tāme sastādīta</v>
      </c>
      <c r="D29" s="327"/>
      <c r="E29" s="314"/>
      <c r="F29" s="314"/>
      <c r="G29" s="323"/>
      <c r="H29" s="323"/>
      <c r="I29" s="69"/>
      <c r="J29" s="69"/>
      <c r="K29" s="69"/>
      <c r="L29" s="69"/>
      <c r="M29" s="69"/>
      <c r="N29" s="69"/>
      <c r="O29" s="69"/>
      <c r="P29" s="69"/>
      <c r="Q29" s="69"/>
    </row>
    <row r="30" spans="1:17" x14ac:dyDescent="0.2">
      <c r="A30" s="69"/>
      <c r="B30" s="69"/>
      <c r="C30" s="324"/>
      <c r="D30" s="327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69"/>
    </row>
    <row r="31" spans="1:17" x14ac:dyDescent="0.2">
      <c r="A31" s="69"/>
      <c r="B31" s="69"/>
      <c r="C31" s="324" t="str">
        <f>[2]KPDV!$B$34</f>
        <v>Pārbaudīja:</v>
      </c>
      <c r="D31" s="325"/>
      <c r="E31" s="326"/>
      <c r="F31" s="326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69"/>
    </row>
    <row r="32" spans="1:17" x14ac:dyDescent="0.2">
      <c r="A32" s="69"/>
      <c r="B32" s="69"/>
      <c r="C32" s="324" t="str">
        <f>[2]KPDV!$B$35</f>
        <v>Sertifikāta Nr.:</v>
      </c>
      <c r="D32" s="325"/>
      <c r="E32" s="328"/>
      <c r="F32" s="328"/>
      <c r="G32" s="327"/>
      <c r="H32" s="327"/>
      <c r="I32" s="327"/>
      <c r="J32" s="327"/>
      <c r="K32" s="327"/>
      <c r="L32" s="327"/>
      <c r="M32" s="329"/>
      <c r="N32" s="327"/>
      <c r="O32" s="329"/>
      <c r="P32" s="327"/>
      <c r="Q32" s="69"/>
    </row>
    <row r="33" spans="1:17" x14ac:dyDescent="0.2">
      <c r="A33" s="69"/>
      <c r="B33" s="69"/>
      <c r="C33" s="69"/>
      <c r="D33" s="69"/>
      <c r="E33" s="69"/>
      <c r="F33" s="69"/>
      <c r="G33" s="69"/>
      <c r="H33" s="69"/>
      <c r="I33" s="134"/>
      <c r="J33" s="135"/>
      <c r="K33" s="135"/>
      <c r="L33" s="69"/>
      <c r="M33" s="69"/>
      <c r="N33" s="69"/>
      <c r="O33" s="135"/>
      <c r="P33" s="135"/>
      <c r="Q33" s="69"/>
    </row>
    <row r="34" spans="1:17" ht="12.75" x14ac:dyDescent="0.2">
      <c r="A34" s="69"/>
      <c r="B34" s="330" t="s">
        <v>400</v>
      </c>
      <c r="C34" s="331"/>
      <c r="D34" s="332"/>
      <c r="E34" s="332"/>
      <c r="F34" s="332"/>
      <c r="G34" s="333"/>
      <c r="H34" s="332"/>
      <c r="I34" s="332"/>
      <c r="J34" s="332"/>
      <c r="K34" s="332"/>
      <c r="L34" s="332"/>
      <c r="M34" s="332"/>
      <c r="N34" s="332"/>
      <c r="O34" s="332"/>
      <c r="P34" s="332"/>
      <c r="Q34" s="332"/>
    </row>
    <row r="35" spans="1:17" x14ac:dyDescent="0.2">
      <c r="A35" s="69"/>
      <c r="B35" s="334" t="s">
        <v>401</v>
      </c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</row>
    <row r="36" spans="1:17" x14ac:dyDescent="0.2">
      <c r="A36" s="69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</row>
    <row r="37" spans="1:17" ht="24.75" customHeight="1" x14ac:dyDescent="0.2">
      <c r="A37" s="69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</row>
    <row r="38" spans="1:17" x14ac:dyDescent="0.2">
      <c r="A38" s="69"/>
      <c r="B38" s="69"/>
      <c r="C38" s="69"/>
      <c r="D38" s="69"/>
      <c r="E38" s="69"/>
    </row>
    <row r="39" spans="1:17" x14ac:dyDescent="0.2">
      <c r="A39" s="69"/>
      <c r="B39" s="69"/>
      <c r="C39" s="69"/>
      <c r="D39" s="69"/>
      <c r="E39" s="69"/>
    </row>
  </sheetData>
  <mergeCells count="10">
    <mergeCell ref="B35:Q37"/>
    <mergeCell ref="A1:G1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.7" right="0.7" top="0.75" bottom="0.75" header="0.3" footer="0.3"/>
  <pageSetup paperSize="9" scale="89" firstPageNumber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Q59"/>
  <sheetViews>
    <sheetView view="pageBreakPreview" topLeftCell="A28" zoomScaleNormal="115" zoomScaleSheetLayoutView="100" workbookViewId="0">
      <selection activeCell="B45" sqref="B45:Q56"/>
    </sheetView>
  </sheetViews>
  <sheetFormatPr defaultColWidth="9" defaultRowHeight="11.25" x14ac:dyDescent="0.2"/>
  <cols>
    <col min="1" max="1" width="4.140625" style="66"/>
    <col min="2" max="2" width="8.42578125" style="66" customWidth="1"/>
    <col min="3" max="3" width="41.28515625" style="104"/>
    <col min="4" max="4" width="6.140625" style="66"/>
    <col min="5" max="5" width="6.42578125" style="66"/>
    <col min="6" max="6" width="9" style="66" hidden="1" customWidth="1"/>
    <col min="7" max="17" width="9" style="66" customWidth="1"/>
    <col min="18" max="1020" width="8.140625" style="66"/>
    <col min="1021" max="16384" width="9" style="66"/>
  </cols>
  <sheetData>
    <row r="1" spans="1:17" s="61" customFormat="1" x14ac:dyDescent="0.25">
      <c r="B1" s="108"/>
      <c r="C1" s="108"/>
      <c r="D1" s="108"/>
      <c r="E1" s="108"/>
      <c r="F1" s="108"/>
      <c r="G1" s="108" t="s">
        <v>11</v>
      </c>
      <c r="H1" s="171">
        <f>KPDV!A16</f>
        <v>4</v>
      </c>
      <c r="I1" s="108"/>
      <c r="J1" s="108"/>
      <c r="K1" s="108"/>
      <c r="L1" s="108"/>
    </row>
    <row r="2" spans="1:17" s="63" customFormat="1" x14ac:dyDescent="0.25">
      <c r="A2" s="109"/>
      <c r="B2" s="109"/>
      <c r="C2" s="109" t="s">
        <v>65</v>
      </c>
      <c r="D2" s="109"/>
      <c r="E2" s="109"/>
      <c r="F2" s="109"/>
      <c r="G2" s="109"/>
      <c r="H2" s="172"/>
      <c r="I2" s="109"/>
      <c r="J2" s="109"/>
      <c r="K2" s="109"/>
      <c r="L2" s="109"/>
    </row>
    <row r="3" spans="1:17" s="63" customFormat="1" x14ac:dyDescent="0.25">
      <c r="A3" s="63" t="str">
        <f>KPDV!A3</f>
        <v>Būves nosaukums: Daudzdzīvokļu dzīvojamās mājas fasādes vienkāršotā atjaunošana</v>
      </c>
    </row>
    <row r="4" spans="1:17" s="63" customFormat="1" x14ac:dyDescent="0.25">
      <c r="A4" s="63" t="str">
        <f>KPDV!A4</f>
        <v>Objekta nosaukums: Dzīvojamas ēkas fasādes vienkāršota atjaunošana</v>
      </c>
    </row>
    <row r="5" spans="1:17" x14ac:dyDescent="0.2">
      <c r="A5" s="69" t="str">
        <f>KPDV!A5</f>
        <v>Objekta adrese: Eduarda Tisē ielā 50, Liepājā</v>
      </c>
      <c r="B5" s="69"/>
      <c r="C5" s="6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A6" s="69" t="str">
        <f>KPDV!A6</f>
        <v>Pasūtījuma Nr.EA-15-17</v>
      </c>
      <c r="B6" s="69"/>
      <c r="C6" s="6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x14ac:dyDescent="0.2">
      <c r="A7" s="69" t="str">
        <f>KPDV!A7</f>
        <v>Pasūtītājs: SIA "Liepājas namu apsaimniekotājs"</v>
      </c>
      <c r="B7" s="69"/>
      <c r="C7" s="6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x14ac:dyDescent="0.2">
      <c r="A8" s="69"/>
      <c r="B8" s="69"/>
      <c r="C8" s="61" t="str">
        <f>AR!D8</f>
        <v>Tāme sastādīta .gada tirgus cenās, pamatojoties uz:</v>
      </c>
      <c r="D8" s="64" t="s">
        <v>318</v>
      </c>
      <c r="F8" s="69"/>
      <c r="G8" s="69" t="str">
        <f>AR!G8</f>
        <v>daļas rasējumiem</v>
      </c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7" x14ac:dyDescent="0.2">
      <c r="A9" s="239" t="str">
        <f>pagrabs!A9</f>
        <v>Tāmes izmaksas euro: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113">
        <f>Q46</f>
        <v>0</v>
      </c>
    </row>
    <row r="10" spans="1:17" s="69" customForma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1" t="str">
        <f>KPDV!B10</f>
        <v>Tāme sastādīta .gada</v>
      </c>
    </row>
    <row r="11" spans="1:17" s="63" customFormat="1" ht="10.15" customHeight="1" x14ac:dyDescent="0.25">
      <c r="A11" s="240" t="s">
        <v>15</v>
      </c>
      <c r="B11" s="240" t="s">
        <v>16</v>
      </c>
      <c r="C11" s="241" t="s">
        <v>17</v>
      </c>
      <c r="D11" s="242" t="s">
        <v>18</v>
      </c>
      <c r="E11" s="240" t="s">
        <v>19</v>
      </c>
      <c r="F11" s="72"/>
      <c r="G11" s="243" t="s">
        <v>20</v>
      </c>
      <c r="H11" s="243"/>
      <c r="I11" s="243"/>
      <c r="J11" s="243"/>
      <c r="K11" s="243"/>
      <c r="L11" s="243"/>
      <c r="M11" s="243" t="s">
        <v>21</v>
      </c>
      <c r="N11" s="243"/>
      <c r="O11" s="243"/>
      <c r="P11" s="243"/>
      <c r="Q11" s="243"/>
    </row>
    <row r="12" spans="1:17" ht="55.5" x14ac:dyDescent="0.2">
      <c r="A12" s="240"/>
      <c r="B12" s="240"/>
      <c r="C12" s="241"/>
      <c r="D12" s="242"/>
      <c r="E12" s="240"/>
      <c r="F12" s="72"/>
      <c r="G12" s="335" t="s">
        <v>403</v>
      </c>
      <c r="H12" s="336" t="s">
        <v>404</v>
      </c>
      <c r="I12" s="336" t="s">
        <v>405</v>
      </c>
      <c r="J12" s="336" t="s">
        <v>406</v>
      </c>
      <c r="K12" s="336" t="s">
        <v>407</v>
      </c>
      <c r="L12" s="337" t="s">
        <v>365</v>
      </c>
      <c r="M12" s="335" t="s">
        <v>22</v>
      </c>
      <c r="N12" s="336" t="s">
        <v>405</v>
      </c>
      <c r="O12" s="336" t="s">
        <v>406</v>
      </c>
      <c r="P12" s="336" t="s">
        <v>407</v>
      </c>
      <c r="Q12" s="337" t="s">
        <v>408</v>
      </c>
    </row>
    <row r="13" spans="1:17" x14ac:dyDescent="0.2">
      <c r="A13" s="74">
        <v>1</v>
      </c>
      <c r="B13" s="74">
        <f>A13+1</f>
        <v>2</v>
      </c>
      <c r="C13" s="87">
        <f>B13+1</f>
        <v>3</v>
      </c>
      <c r="D13" s="74">
        <f>C13+1</f>
        <v>4</v>
      </c>
      <c r="E13" s="74">
        <f>D13+1</f>
        <v>5</v>
      </c>
      <c r="F13" s="74"/>
      <c r="G13" s="74">
        <f>E13+1</f>
        <v>6</v>
      </c>
      <c r="H13" s="74">
        <f t="shared" ref="H13:Q13" si="0">G13+1</f>
        <v>7</v>
      </c>
      <c r="I13" s="74">
        <f t="shared" si="0"/>
        <v>8</v>
      </c>
      <c r="J13" s="74">
        <f t="shared" si="0"/>
        <v>9</v>
      </c>
      <c r="K13" s="74">
        <f t="shared" si="0"/>
        <v>10</v>
      </c>
      <c r="L13" s="74">
        <f t="shared" si="0"/>
        <v>11</v>
      </c>
      <c r="M13" s="74">
        <f t="shared" si="0"/>
        <v>12</v>
      </c>
      <c r="N13" s="74">
        <f t="shared" si="0"/>
        <v>13</v>
      </c>
      <c r="O13" s="74">
        <f t="shared" si="0"/>
        <v>14</v>
      </c>
      <c r="P13" s="74">
        <f t="shared" si="0"/>
        <v>15</v>
      </c>
      <c r="Q13" s="74">
        <f t="shared" si="0"/>
        <v>16</v>
      </c>
    </row>
    <row r="14" spans="1:17" x14ac:dyDescent="0.2">
      <c r="A14" s="78">
        <f>IF(COUNTBLANK(B14)=1," ",COUNTA(B$14:B14))</f>
        <v>1</v>
      </c>
      <c r="B14" s="79" t="s">
        <v>23</v>
      </c>
      <c r="C14" s="124" t="s">
        <v>329</v>
      </c>
      <c r="D14" s="78" t="s">
        <v>29</v>
      </c>
      <c r="E14" s="78">
        <v>91.4</v>
      </c>
      <c r="F14" s="78"/>
      <c r="G14" s="173"/>
      <c r="H14" s="82"/>
      <c r="I14" s="173"/>
      <c r="J14" s="173"/>
      <c r="K14" s="173"/>
      <c r="L14" s="83"/>
      <c r="M14" s="84"/>
      <c r="N14" s="84"/>
      <c r="O14" s="84"/>
      <c r="P14" s="84"/>
      <c r="Q14" s="84"/>
    </row>
    <row r="15" spans="1:17" x14ac:dyDescent="0.2">
      <c r="A15" s="78">
        <f>IF(COUNTBLANK(B15)=1," ",COUNTA(B$14:B15))</f>
        <v>2</v>
      </c>
      <c r="B15" s="79" t="s">
        <v>23</v>
      </c>
      <c r="C15" s="124" t="s">
        <v>66</v>
      </c>
      <c r="D15" s="78" t="s">
        <v>29</v>
      </c>
      <c r="E15" s="86">
        <v>139</v>
      </c>
      <c r="F15" s="74"/>
      <c r="G15" s="173"/>
      <c r="H15" s="82"/>
      <c r="I15" s="173"/>
      <c r="J15" s="173"/>
      <c r="K15" s="173"/>
      <c r="L15" s="83"/>
      <c r="M15" s="84"/>
      <c r="N15" s="84"/>
      <c r="O15" s="84"/>
      <c r="P15" s="84"/>
      <c r="Q15" s="84"/>
    </row>
    <row r="16" spans="1:17" x14ac:dyDescent="0.2">
      <c r="A16" s="78">
        <f>IF(COUNTBLANK(B16)=1," ",COUNTA(B$14:B16))</f>
        <v>3</v>
      </c>
      <c r="B16" s="79" t="s">
        <v>23</v>
      </c>
      <c r="C16" s="124" t="s">
        <v>163</v>
      </c>
      <c r="D16" s="78" t="s">
        <v>61</v>
      </c>
      <c r="E16" s="86">
        <f>111*1*1.2</f>
        <v>133.19999999999999</v>
      </c>
      <c r="F16" s="74"/>
      <c r="G16" s="81"/>
      <c r="H16" s="82"/>
      <c r="I16" s="81"/>
      <c r="J16" s="81"/>
      <c r="K16" s="81"/>
      <c r="L16" s="83"/>
      <c r="M16" s="84"/>
      <c r="N16" s="84"/>
      <c r="O16" s="84"/>
      <c r="P16" s="84"/>
      <c r="Q16" s="84"/>
    </row>
    <row r="17" spans="1:17" ht="22.5" x14ac:dyDescent="0.2">
      <c r="A17" s="78">
        <f>IF(COUNTBLANK(B17)=1," ",COUNTA(B$14:B17))</f>
        <v>4</v>
      </c>
      <c r="B17" s="79" t="s">
        <v>23</v>
      </c>
      <c r="C17" s="124" t="s">
        <v>164</v>
      </c>
      <c r="D17" s="78" t="s">
        <v>61</v>
      </c>
      <c r="E17" s="86">
        <f>E16</f>
        <v>133.19999999999999</v>
      </c>
      <c r="F17" s="74"/>
      <c r="G17" s="81"/>
      <c r="H17" s="82"/>
      <c r="I17" s="81"/>
      <c r="J17" s="81"/>
      <c r="K17" s="81"/>
      <c r="L17" s="83"/>
      <c r="M17" s="84"/>
      <c r="N17" s="84"/>
      <c r="O17" s="84"/>
      <c r="P17" s="84"/>
      <c r="Q17" s="84"/>
    </row>
    <row r="18" spans="1:17" s="64" customFormat="1" ht="22.5" x14ac:dyDescent="0.25">
      <c r="A18" s="78">
        <f>IF(COUNTBLANK(B18)=1," ",COUNTA(B$14:B18))</f>
        <v>5</v>
      </c>
      <c r="B18" s="79" t="s">
        <v>23</v>
      </c>
      <c r="C18" s="124" t="s">
        <v>330</v>
      </c>
      <c r="D18" s="78" t="s">
        <v>29</v>
      </c>
      <c r="E18" s="86">
        <v>254</v>
      </c>
      <c r="F18" s="81"/>
      <c r="G18" s="174"/>
      <c r="H18" s="82"/>
      <c r="I18" s="174"/>
      <c r="J18" s="174"/>
      <c r="K18" s="174"/>
      <c r="L18" s="83"/>
      <c r="M18" s="84"/>
      <c r="N18" s="84"/>
      <c r="O18" s="84"/>
      <c r="P18" s="84"/>
      <c r="Q18" s="84"/>
    </row>
    <row r="19" spans="1:17" s="69" customFormat="1" ht="12.75" x14ac:dyDescent="0.2">
      <c r="A19" s="78" t="str">
        <f>IF(COUNTBLANK(B19)=1," ",COUNTA(B$14:B19))</f>
        <v xml:space="preserve"> </v>
      </c>
      <c r="B19" s="78"/>
      <c r="C19" s="125" t="s">
        <v>155</v>
      </c>
      <c r="D19" s="78" t="s">
        <v>36</v>
      </c>
      <c r="E19" s="81">
        <f>E18*F19</f>
        <v>127</v>
      </c>
      <c r="F19" s="81">
        <v>0.5</v>
      </c>
      <c r="G19" s="175"/>
      <c r="H19" s="175"/>
      <c r="I19" s="175"/>
      <c r="J19" s="77"/>
      <c r="K19" s="175"/>
      <c r="L19" s="83"/>
      <c r="M19" s="84"/>
      <c r="N19" s="84"/>
      <c r="O19" s="84"/>
      <c r="P19" s="84"/>
      <c r="Q19" s="84"/>
    </row>
    <row r="20" spans="1:17" s="68" customFormat="1" ht="22.5" x14ac:dyDescent="0.25">
      <c r="A20" s="78">
        <f>IF(COUNTBLANK(B20)=1," ",COUNTA(B$14:B20))</f>
        <v>6</v>
      </c>
      <c r="B20" s="79" t="s">
        <v>23</v>
      </c>
      <c r="C20" s="124" t="s">
        <v>419</v>
      </c>
      <c r="D20" s="78" t="s">
        <v>29</v>
      </c>
      <c r="E20" s="86">
        <f>E18</f>
        <v>254</v>
      </c>
      <c r="F20" s="81"/>
      <c r="G20" s="81"/>
      <c r="H20" s="82"/>
      <c r="I20" s="81"/>
      <c r="J20" s="81"/>
      <c r="K20" s="81"/>
      <c r="L20" s="83"/>
      <c r="M20" s="84"/>
      <c r="N20" s="84"/>
      <c r="O20" s="84"/>
      <c r="P20" s="84"/>
      <c r="Q20" s="84"/>
    </row>
    <row r="21" spans="1:17" x14ac:dyDescent="0.2">
      <c r="A21" s="78" t="str">
        <f>IF(COUNTBLANK(B21)=1," ",COUNTA(B$14:B21))</f>
        <v xml:space="preserve"> </v>
      </c>
      <c r="B21" s="78"/>
      <c r="C21" s="125" t="s">
        <v>420</v>
      </c>
      <c r="D21" s="81" t="s">
        <v>36</v>
      </c>
      <c r="E21" s="81">
        <f>E20*F21</f>
        <v>254</v>
      </c>
      <c r="F21" s="81">
        <v>1</v>
      </c>
      <c r="G21" s="81"/>
      <c r="H21" s="81"/>
      <c r="I21" s="81"/>
      <c r="J21" s="81"/>
      <c r="K21" s="81"/>
      <c r="L21" s="83"/>
      <c r="M21" s="84"/>
      <c r="N21" s="84"/>
      <c r="O21" s="84"/>
      <c r="P21" s="84"/>
      <c r="Q21" s="84"/>
    </row>
    <row r="22" spans="1:17" s="176" customFormat="1" ht="92.25" customHeight="1" x14ac:dyDescent="0.25">
      <c r="A22" s="78">
        <f>IF(COUNTBLANK(B22)=1," ",COUNTA(B$14:B22))</f>
        <v>7</v>
      </c>
      <c r="B22" s="124" t="str">
        <f>apjomi!A28</f>
        <v>S2 Pamatu sienas siltinājums, siltinājums starp asīm "D-B" un "B-D"</v>
      </c>
      <c r="C22" s="124" t="str">
        <f>apjomi!B28</f>
        <v>Apmetuma sistēma virs siltinājuma (AS-1), b=7mm; Grunts; putupolistirols λ=0,031W/m²K,b=120mm ; Līmjava; Vertikālā hidroizolācija; Grunts; Esošais panelis, b=320*mm</v>
      </c>
      <c r="D22" s="78" t="s">
        <v>29</v>
      </c>
      <c r="E22" s="86">
        <f>apjomi!D28*F22</f>
        <v>312.40000000000003</v>
      </c>
      <c r="F22" s="78">
        <v>1.1000000000000001</v>
      </c>
      <c r="G22" s="173"/>
      <c r="H22" s="82"/>
      <c r="I22" s="81"/>
      <c r="J22" s="81"/>
      <c r="K22" s="82"/>
      <c r="L22" s="83"/>
      <c r="M22" s="84"/>
      <c r="N22" s="84"/>
      <c r="O22" s="84"/>
      <c r="P22" s="84"/>
      <c r="Q22" s="84"/>
    </row>
    <row r="23" spans="1:17" s="68" customFormat="1" x14ac:dyDescent="0.25">
      <c r="A23" s="78" t="str">
        <f>IF(COUNTBLANK(B23)=1," ",COUNTA(B$14:B23))</f>
        <v xml:space="preserve"> </v>
      </c>
      <c r="B23" s="78"/>
      <c r="C23" s="124" t="s">
        <v>421</v>
      </c>
      <c r="D23" s="78" t="s">
        <v>41</v>
      </c>
      <c r="E23" s="81">
        <f>E22*F23</f>
        <v>328.02000000000004</v>
      </c>
      <c r="F23" s="78">
        <v>1.05</v>
      </c>
      <c r="G23" s="177"/>
      <c r="H23" s="177"/>
      <c r="I23" s="177"/>
      <c r="J23" s="177"/>
      <c r="K23" s="177"/>
      <c r="L23" s="83"/>
      <c r="M23" s="84"/>
      <c r="N23" s="84"/>
      <c r="O23" s="84"/>
      <c r="P23" s="84"/>
      <c r="Q23" s="84"/>
    </row>
    <row r="24" spans="1:17" x14ac:dyDescent="0.2">
      <c r="A24" s="78" t="str">
        <f>IF(COUNTBLANK(B24)=1," ",COUNTA(B$14:B24))</f>
        <v xml:space="preserve"> </v>
      </c>
      <c r="B24" s="78"/>
      <c r="C24" s="124" t="s">
        <v>371</v>
      </c>
      <c r="D24" s="78" t="s">
        <v>36</v>
      </c>
      <c r="E24" s="81">
        <f>E22*F24</f>
        <v>1562.0000000000002</v>
      </c>
      <c r="F24" s="81">
        <v>5</v>
      </c>
      <c r="G24" s="177"/>
      <c r="H24" s="177"/>
      <c r="I24" s="177"/>
      <c r="J24" s="177"/>
      <c r="K24" s="177"/>
      <c r="L24" s="83"/>
      <c r="M24" s="84"/>
      <c r="N24" s="84"/>
      <c r="O24" s="84"/>
      <c r="P24" s="84"/>
      <c r="Q24" s="84"/>
    </row>
    <row r="25" spans="1:17" x14ac:dyDescent="0.2">
      <c r="A25" s="78" t="str">
        <f>IF(COUNTBLANK(B25)=1," ",COUNTA(B$14:B25))</f>
        <v xml:space="preserve"> </v>
      </c>
      <c r="B25" s="78"/>
      <c r="C25" s="124" t="s">
        <v>422</v>
      </c>
      <c r="D25" s="78" t="s">
        <v>27</v>
      </c>
      <c r="E25" s="81">
        <f>ROUNDUP((E22-103.8)*F25,0)</f>
        <v>1043</v>
      </c>
      <c r="F25" s="81">
        <v>5</v>
      </c>
      <c r="G25" s="81"/>
      <c r="H25" s="81"/>
      <c r="I25" s="78"/>
      <c r="J25" s="81"/>
      <c r="K25" s="81"/>
      <c r="L25" s="83"/>
      <c r="M25" s="84"/>
      <c r="N25" s="84"/>
      <c r="O25" s="84"/>
      <c r="P25" s="84"/>
      <c r="Q25" s="84"/>
    </row>
    <row r="26" spans="1:17" ht="45" x14ac:dyDescent="0.2">
      <c r="A26" s="78">
        <f>IF(COUNTBLANK(B26)=1," ",COUNTA(B$14:B26))</f>
        <v>8</v>
      </c>
      <c r="B26" s="79" t="s">
        <v>23</v>
      </c>
      <c r="C26" s="178" t="s">
        <v>423</v>
      </c>
      <c r="D26" s="78" t="s">
        <v>29</v>
      </c>
      <c r="E26" s="81">
        <f>116.3*F26</f>
        <v>122.11500000000001</v>
      </c>
      <c r="F26" s="81">
        <v>1.05</v>
      </c>
      <c r="G26" s="81"/>
      <c r="H26" s="82"/>
      <c r="I26" s="81"/>
      <c r="J26" s="81"/>
      <c r="K26" s="81"/>
      <c r="L26" s="83"/>
      <c r="M26" s="84"/>
      <c r="N26" s="84"/>
      <c r="O26" s="84"/>
      <c r="P26" s="84"/>
      <c r="Q26" s="84"/>
    </row>
    <row r="27" spans="1:17" x14ac:dyDescent="0.2">
      <c r="A27" s="78" t="str">
        <f>IF(COUNTBLANK(B27)=1," ",COUNTA(B$14:B27))</f>
        <v xml:space="preserve"> </v>
      </c>
      <c r="B27" s="78"/>
      <c r="C27" s="179" t="s">
        <v>370</v>
      </c>
      <c r="D27" s="78" t="s">
        <v>36</v>
      </c>
      <c r="E27" s="81">
        <f>ROUNDUP(E26*F27,2)</f>
        <v>36.64</v>
      </c>
      <c r="F27" s="81">
        <v>0.3</v>
      </c>
      <c r="G27" s="81"/>
      <c r="H27" s="81"/>
      <c r="I27" s="81"/>
      <c r="J27" s="81"/>
      <c r="K27" s="81"/>
      <c r="L27" s="83"/>
      <c r="M27" s="84"/>
      <c r="N27" s="84"/>
      <c r="O27" s="84"/>
      <c r="P27" s="84"/>
      <c r="Q27" s="84"/>
    </row>
    <row r="28" spans="1:17" x14ac:dyDescent="0.2">
      <c r="A28" s="78" t="str">
        <f>IF(COUNTBLANK(B28)=1," ",COUNTA(B$14:B28))</f>
        <v xml:space="preserve"> </v>
      </c>
      <c r="B28" s="78"/>
      <c r="C28" s="179" t="s">
        <v>371</v>
      </c>
      <c r="D28" s="78" t="s">
        <v>36</v>
      </c>
      <c r="E28" s="81">
        <f>ROUNDUP(E26*F28,2)</f>
        <v>1221.1500000000001</v>
      </c>
      <c r="F28" s="81">
        <v>10</v>
      </c>
      <c r="G28" s="81"/>
      <c r="H28" s="81"/>
      <c r="I28" s="81"/>
      <c r="J28" s="81"/>
      <c r="K28" s="81"/>
      <c r="L28" s="83"/>
      <c r="M28" s="84"/>
      <c r="N28" s="84"/>
      <c r="O28" s="84"/>
      <c r="P28" s="84"/>
      <c r="Q28" s="84"/>
    </row>
    <row r="29" spans="1:17" x14ac:dyDescent="0.2">
      <c r="A29" s="78" t="str">
        <f>IF(COUNTBLANK(B29)=1," ",COUNTA(B$14:B29))</f>
        <v xml:space="preserve"> </v>
      </c>
      <c r="B29" s="78"/>
      <c r="C29" s="125" t="s">
        <v>424</v>
      </c>
      <c r="D29" s="78" t="s">
        <v>29</v>
      </c>
      <c r="E29" s="81">
        <f>E26*F29</f>
        <v>268.65300000000002</v>
      </c>
      <c r="F29" s="81">
        <v>2.2000000000000002</v>
      </c>
      <c r="G29" s="81"/>
      <c r="H29" s="81"/>
      <c r="I29" s="81"/>
      <c r="J29" s="81"/>
      <c r="K29" s="81"/>
      <c r="L29" s="83"/>
      <c r="M29" s="84"/>
      <c r="N29" s="84"/>
      <c r="O29" s="84"/>
      <c r="P29" s="84"/>
      <c r="Q29" s="84"/>
    </row>
    <row r="30" spans="1:17" x14ac:dyDescent="0.2">
      <c r="A30" s="78" t="str">
        <f>IF(COUNTBLANK(B30)=1," ",COUNTA(B$14:B30))</f>
        <v xml:space="preserve"> </v>
      </c>
      <c r="B30" s="78"/>
      <c r="C30" s="179" t="s">
        <v>426</v>
      </c>
      <c r="D30" s="78" t="s">
        <v>36</v>
      </c>
      <c r="E30" s="81">
        <f>ROUNDUP(E26*F30,2)</f>
        <v>451.83</v>
      </c>
      <c r="F30" s="81">
        <v>3.7</v>
      </c>
      <c r="G30" s="81"/>
      <c r="H30" s="81"/>
      <c r="I30" s="81"/>
      <c r="J30" s="81"/>
      <c r="K30" s="81"/>
      <c r="L30" s="83"/>
      <c r="M30" s="84"/>
      <c r="N30" s="84"/>
      <c r="O30" s="84"/>
      <c r="P30" s="84"/>
      <c r="Q30" s="84"/>
    </row>
    <row r="31" spans="1:17" x14ac:dyDescent="0.2">
      <c r="A31" s="78" t="str">
        <f>IF(COUNTBLANK(B31)=1," ",COUNTA(B$14:B37))</f>
        <v xml:space="preserve"> </v>
      </c>
      <c r="B31" s="78"/>
      <c r="C31" s="125" t="s">
        <v>39</v>
      </c>
      <c r="D31" s="78" t="s">
        <v>278</v>
      </c>
      <c r="E31" s="81">
        <f>ROUNDUP(E26*F31,0)</f>
        <v>11</v>
      </c>
      <c r="F31" s="81">
        <v>0.09</v>
      </c>
      <c r="G31" s="81"/>
      <c r="H31" s="81"/>
      <c r="I31" s="81"/>
      <c r="J31" s="81"/>
      <c r="K31" s="81"/>
      <c r="L31" s="83"/>
      <c r="M31" s="84"/>
      <c r="N31" s="84"/>
      <c r="O31" s="84"/>
      <c r="P31" s="84"/>
      <c r="Q31" s="84"/>
    </row>
    <row r="32" spans="1:17" ht="45" x14ac:dyDescent="0.2">
      <c r="A32" s="78">
        <f>IF(COUNTBLANK(B32)=1," ",COUNTA(B$14:B32))</f>
        <v>9</v>
      </c>
      <c r="B32" s="79" t="s">
        <v>23</v>
      </c>
      <c r="C32" s="180" t="s">
        <v>425</v>
      </c>
      <c r="D32" s="78" t="s">
        <v>29</v>
      </c>
      <c r="E32" s="81">
        <f>31.3*F32</f>
        <v>32.865000000000002</v>
      </c>
      <c r="F32" s="81">
        <v>1.05</v>
      </c>
      <c r="G32" s="81"/>
      <c r="H32" s="82"/>
      <c r="I32" s="81"/>
      <c r="J32" s="81"/>
      <c r="K32" s="81"/>
      <c r="L32" s="83"/>
      <c r="M32" s="84"/>
      <c r="N32" s="84"/>
      <c r="O32" s="84"/>
      <c r="P32" s="84"/>
      <c r="Q32" s="84"/>
    </row>
    <row r="33" spans="1:17" x14ac:dyDescent="0.2">
      <c r="A33" s="78" t="str">
        <f>IF(COUNTBLANK(B33)=1," ",COUNTA(B$14:B33))</f>
        <v xml:space="preserve"> </v>
      </c>
      <c r="B33" s="78"/>
      <c r="C33" s="179" t="s">
        <v>370</v>
      </c>
      <c r="D33" s="78" t="s">
        <v>36</v>
      </c>
      <c r="E33" s="81">
        <f>ROUNDUP(E32*F33,2)</f>
        <v>9.86</v>
      </c>
      <c r="F33" s="81">
        <v>0.3</v>
      </c>
      <c r="G33" s="81"/>
      <c r="H33" s="81"/>
      <c r="I33" s="81"/>
      <c r="J33" s="81"/>
      <c r="K33" s="81"/>
      <c r="L33" s="83"/>
      <c r="M33" s="84"/>
      <c r="N33" s="84"/>
      <c r="O33" s="84"/>
      <c r="P33" s="84"/>
      <c r="Q33" s="84"/>
    </row>
    <row r="34" spans="1:17" x14ac:dyDescent="0.2">
      <c r="A34" s="78" t="str">
        <f>IF(COUNTBLANK(B34)=1," ",COUNTA(B$14:B34))</f>
        <v xml:space="preserve"> </v>
      </c>
      <c r="B34" s="78"/>
      <c r="C34" s="179" t="s">
        <v>371</v>
      </c>
      <c r="D34" s="78" t="s">
        <v>36</v>
      </c>
      <c r="E34" s="81">
        <f>ROUNDUP(E32*F34,2)</f>
        <v>164.32999999999998</v>
      </c>
      <c r="F34" s="81">
        <v>5</v>
      </c>
      <c r="G34" s="81"/>
      <c r="H34" s="81"/>
      <c r="I34" s="81"/>
      <c r="J34" s="81"/>
      <c r="K34" s="81"/>
      <c r="L34" s="83"/>
      <c r="M34" s="84"/>
      <c r="N34" s="84"/>
      <c r="O34" s="84"/>
      <c r="P34" s="84"/>
      <c r="Q34" s="84"/>
    </row>
    <row r="35" spans="1:17" x14ac:dyDescent="0.2">
      <c r="A35" s="78" t="str">
        <f>IF(COUNTBLANK(B35)=1," ",COUNTA(B$14:B35))</f>
        <v xml:space="preserve"> </v>
      </c>
      <c r="B35" s="78"/>
      <c r="C35" s="125" t="s">
        <v>332</v>
      </c>
      <c r="D35" s="78" t="s">
        <v>29</v>
      </c>
      <c r="E35" s="81">
        <f>E32*F35</f>
        <v>36.151500000000006</v>
      </c>
      <c r="F35" s="81">
        <v>1.1000000000000001</v>
      </c>
      <c r="G35" s="81"/>
      <c r="H35" s="81"/>
      <c r="I35" s="81"/>
      <c r="J35" s="81"/>
      <c r="K35" s="81"/>
      <c r="L35" s="83"/>
      <c r="M35" s="84"/>
      <c r="N35" s="84"/>
      <c r="O35" s="84"/>
      <c r="P35" s="84"/>
      <c r="Q35" s="84"/>
    </row>
    <row r="36" spans="1:17" x14ac:dyDescent="0.2">
      <c r="A36" s="78" t="str">
        <f>IF(COUNTBLANK(B36)=1," ",COUNTA(B$14:B36))</f>
        <v xml:space="preserve"> </v>
      </c>
      <c r="B36" s="78"/>
      <c r="C36" s="178" t="s">
        <v>426</v>
      </c>
      <c r="D36" s="78" t="s">
        <v>36</v>
      </c>
      <c r="E36" s="81">
        <f>ROUNDUP(E32*F36,2)</f>
        <v>121.61</v>
      </c>
      <c r="F36" s="81">
        <v>3.7</v>
      </c>
      <c r="G36" s="81"/>
      <c r="H36" s="81"/>
      <c r="I36" s="81"/>
      <c r="J36" s="81"/>
      <c r="K36" s="81"/>
      <c r="L36" s="83"/>
      <c r="M36" s="84"/>
      <c r="N36" s="84"/>
      <c r="O36" s="84"/>
      <c r="P36" s="84"/>
      <c r="Q36" s="84"/>
    </row>
    <row r="37" spans="1:17" x14ac:dyDescent="0.2">
      <c r="A37" s="78" t="str">
        <f>IF(COUNTBLANK(B37)=1," ",COUNTA(B$14:B37))</f>
        <v xml:space="preserve"> </v>
      </c>
      <c r="B37" s="78"/>
      <c r="C37" s="125" t="s">
        <v>39</v>
      </c>
      <c r="D37" s="78" t="s">
        <v>278</v>
      </c>
      <c r="E37" s="81">
        <f>ROUNDUP(E32*F37,0)</f>
        <v>3</v>
      </c>
      <c r="F37" s="81">
        <v>0.09</v>
      </c>
      <c r="G37" s="81"/>
      <c r="H37" s="81"/>
      <c r="I37" s="81"/>
      <c r="J37" s="81"/>
      <c r="K37" s="81"/>
      <c r="L37" s="83"/>
      <c r="M37" s="84"/>
      <c r="N37" s="84"/>
      <c r="O37" s="84"/>
      <c r="P37" s="84"/>
      <c r="Q37" s="84"/>
    </row>
    <row r="38" spans="1:17" ht="22.5" x14ac:dyDescent="0.2">
      <c r="A38" s="78">
        <f>IF(COUNTBLANK(B38)=1," ",COUNTA(B$14:B38))</f>
        <v>10</v>
      </c>
      <c r="B38" s="79" t="s">
        <v>23</v>
      </c>
      <c r="C38" s="124" t="s">
        <v>67</v>
      </c>
      <c r="D38" s="78" t="s">
        <v>29</v>
      </c>
      <c r="E38" s="86">
        <f>122.8*0.375</f>
        <v>46.05</v>
      </c>
      <c r="F38" s="81"/>
      <c r="G38" s="81"/>
      <c r="H38" s="82"/>
      <c r="I38" s="81"/>
      <c r="J38" s="81"/>
      <c r="K38" s="81"/>
      <c r="L38" s="83"/>
      <c r="M38" s="84"/>
      <c r="N38" s="84"/>
      <c r="O38" s="84"/>
      <c r="P38" s="84"/>
      <c r="Q38" s="84"/>
    </row>
    <row r="39" spans="1:17" x14ac:dyDescent="0.2">
      <c r="A39" s="78" t="str">
        <f>IF(COUNTBLANK(B39)=1," ",COUNTA(B$14:B39))</f>
        <v xml:space="preserve"> </v>
      </c>
      <c r="B39" s="78"/>
      <c r="C39" s="124" t="s">
        <v>427</v>
      </c>
      <c r="D39" s="78" t="s">
        <v>36</v>
      </c>
      <c r="E39" s="81">
        <f>E38*F39</f>
        <v>161.17499999999998</v>
      </c>
      <c r="F39" s="81">
        <v>3.5</v>
      </c>
      <c r="G39" s="81"/>
      <c r="H39" s="81"/>
      <c r="I39" s="81"/>
      <c r="J39" s="81"/>
      <c r="K39" s="81"/>
      <c r="L39" s="83"/>
      <c r="M39" s="84"/>
      <c r="N39" s="84"/>
      <c r="O39" s="84"/>
      <c r="P39" s="84"/>
      <c r="Q39" s="84"/>
    </row>
    <row r="40" spans="1:17" ht="22.5" x14ac:dyDescent="0.2">
      <c r="A40" s="78">
        <f>IF(COUNTBLANK(B40)=1," ",COUNTA(B$14:B40))</f>
        <v>11</v>
      </c>
      <c r="B40" s="79" t="s">
        <v>23</v>
      </c>
      <c r="C40" s="124" t="s">
        <v>264</v>
      </c>
      <c r="D40" s="81" t="s">
        <v>29</v>
      </c>
      <c r="E40" s="78">
        <v>76.3</v>
      </c>
      <c r="F40" s="78"/>
      <c r="G40" s="81"/>
      <c r="H40" s="82"/>
      <c r="I40" s="81"/>
      <c r="J40" s="81"/>
      <c r="K40" s="173"/>
      <c r="L40" s="83"/>
      <c r="M40" s="84"/>
      <c r="N40" s="84"/>
      <c r="O40" s="84"/>
      <c r="P40" s="84"/>
      <c r="Q40" s="84"/>
    </row>
    <row r="41" spans="1:17" s="69" customFormat="1" x14ac:dyDescent="0.25">
      <c r="A41" s="78" t="str">
        <f>IF(COUNTBLANK(B41)=1," ",COUNTA(B$14:B41))</f>
        <v xml:space="preserve"> </v>
      </c>
      <c r="B41" s="181"/>
      <c r="C41" s="124" t="s">
        <v>265</v>
      </c>
      <c r="D41" s="81" t="s">
        <v>61</v>
      </c>
      <c r="E41" s="81">
        <f>ROUNDUP(E40*F41,2)</f>
        <v>8.02</v>
      </c>
      <c r="F41" s="81">
        <v>0.105</v>
      </c>
      <c r="G41" s="81"/>
      <c r="H41" s="81"/>
      <c r="I41" s="140"/>
      <c r="J41" s="81"/>
      <c r="K41" s="173"/>
      <c r="L41" s="83"/>
      <c r="M41" s="84"/>
      <c r="N41" s="84"/>
      <c r="O41" s="84"/>
      <c r="P41" s="84"/>
      <c r="Q41" s="84"/>
    </row>
    <row r="42" spans="1:17" s="69" customFormat="1" x14ac:dyDescent="0.2">
      <c r="A42" s="78" t="str">
        <f>IF(COUNTBLANK(B42)=1," ",COUNTA(B$14:B42))</f>
        <v xml:space="preserve"> </v>
      </c>
      <c r="B42" s="182"/>
      <c r="C42" s="97" t="s">
        <v>279</v>
      </c>
      <c r="D42" s="85" t="s">
        <v>61</v>
      </c>
      <c r="E42" s="81">
        <f>ROUNDUP(E40*F42,2)</f>
        <v>8.02</v>
      </c>
      <c r="F42" s="81">
        <v>0.105</v>
      </c>
      <c r="G42" s="81"/>
      <c r="H42" s="82"/>
      <c r="I42" s="140"/>
      <c r="J42" s="81"/>
      <c r="K42" s="173"/>
      <c r="L42" s="83"/>
      <c r="M42" s="84"/>
      <c r="N42" s="84"/>
      <c r="O42" s="84"/>
      <c r="P42" s="84"/>
      <c r="Q42" s="84"/>
    </row>
    <row r="43" spans="1:17" s="69" customFormat="1" x14ac:dyDescent="0.25">
      <c r="A43" s="78"/>
      <c r="B43" s="181"/>
      <c r="C43" s="125" t="s">
        <v>280</v>
      </c>
      <c r="D43" s="81" t="s">
        <v>29</v>
      </c>
      <c r="E43" s="81">
        <f>E40*F43</f>
        <v>80.114999999999995</v>
      </c>
      <c r="F43" s="81">
        <v>1.05</v>
      </c>
      <c r="G43" s="81"/>
      <c r="H43" s="82"/>
      <c r="I43" s="140"/>
      <c r="J43" s="81"/>
      <c r="K43" s="173"/>
      <c r="L43" s="83"/>
      <c r="M43" s="84"/>
      <c r="N43" s="84"/>
      <c r="O43" s="84"/>
      <c r="P43" s="84"/>
      <c r="Q43" s="84"/>
    </row>
    <row r="44" spans="1:17" s="69" customFormat="1" ht="33.75" x14ac:dyDescent="0.25">
      <c r="A44" s="183">
        <f>IF(COUNTBLANK(B44)=1," ",COUNTA(B$14:B44))</f>
        <v>12</v>
      </c>
      <c r="B44" s="184" t="s">
        <v>23</v>
      </c>
      <c r="C44" s="185" t="s">
        <v>331</v>
      </c>
      <c r="D44" s="81" t="s">
        <v>29</v>
      </c>
      <c r="E44" s="186">
        <f>19.8*F44</f>
        <v>20.790000000000003</v>
      </c>
      <c r="F44" s="186">
        <v>1.05</v>
      </c>
      <c r="G44" s="186"/>
      <c r="H44" s="187"/>
      <c r="I44" s="188"/>
      <c r="J44" s="186"/>
      <c r="K44" s="189"/>
      <c r="L44" s="190"/>
      <c r="M44" s="191"/>
      <c r="N44" s="191"/>
      <c r="O44" s="191"/>
      <c r="P44" s="191"/>
      <c r="Q44" s="191"/>
    </row>
    <row r="45" spans="1:17" ht="22.5" x14ac:dyDescent="0.2">
      <c r="A45" s="68"/>
      <c r="B45" s="69"/>
      <c r="C45" s="318" t="s">
        <v>156</v>
      </c>
      <c r="D45" s="319"/>
      <c r="E45" s="320"/>
      <c r="F45" s="320"/>
      <c r="G45" s="321"/>
      <c r="H45" s="321"/>
      <c r="I45" s="321"/>
      <c r="J45" s="321"/>
      <c r="K45" s="321"/>
      <c r="L45" s="69"/>
      <c r="M45" s="322"/>
      <c r="N45" s="322"/>
      <c r="O45" s="322"/>
      <c r="P45" s="322"/>
      <c r="Q45" s="322"/>
    </row>
    <row r="46" spans="1:17" x14ac:dyDescent="0.2">
      <c r="A46" s="68"/>
      <c r="B46" s="69"/>
      <c r="C46" s="323"/>
      <c r="D46" s="323"/>
      <c r="E46" s="323"/>
      <c r="F46" s="323"/>
      <c r="G46" s="323"/>
      <c r="H46" s="323"/>
      <c r="I46" s="69"/>
      <c r="J46" s="69"/>
      <c r="K46" s="69"/>
      <c r="L46" s="69"/>
      <c r="M46" s="69"/>
      <c r="N46" s="69"/>
      <c r="O46" s="69"/>
      <c r="P46" s="69"/>
      <c r="Q46" s="69"/>
    </row>
    <row r="47" spans="1:17" x14ac:dyDescent="0.2">
      <c r="A47" s="69"/>
      <c r="B47" s="69"/>
      <c r="C47" s="324" t="str">
        <f>[2]KPDV!$B$31</f>
        <v>Sastādīja:</v>
      </c>
      <c r="D47" s="325"/>
      <c r="E47" s="326"/>
      <c r="F47" s="326"/>
      <c r="G47" s="323"/>
      <c r="H47" s="323"/>
      <c r="I47" s="69"/>
      <c r="J47" s="69"/>
      <c r="K47" s="69"/>
      <c r="L47" s="69"/>
      <c r="M47" s="69"/>
      <c r="N47" s="69"/>
      <c r="O47" s="69"/>
      <c r="P47" s="69"/>
      <c r="Q47" s="69"/>
    </row>
    <row r="48" spans="1:17" x14ac:dyDescent="0.2">
      <c r="A48" s="69"/>
      <c r="B48" s="69"/>
      <c r="C48" s="324" t="str">
        <f>[2]KPDV!$B$32</f>
        <v>Tāme sastādīta</v>
      </c>
      <c r="D48" s="327"/>
      <c r="E48" s="314"/>
      <c r="F48" s="314"/>
      <c r="G48" s="323"/>
      <c r="H48" s="323"/>
      <c r="I48" s="69"/>
      <c r="J48" s="69"/>
      <c r="K48" s="69"/>
      <c r="L48" s="69"/>
      <c r="M48" s="69"/>
      <c r="N48" s="69"/>
      <c r="O48" s="69"/>
      <c r="P48" s="69"/>
      <c r="Q48" s="69"/>
    </row>
    <row r="49" spans="1:17" x14ac:dyDescent="0.2">
      <c r="A49" s="69"/>
      <c r="B49" s="69"/>
      <c r="C49" s="324"/>
      <c r="D49" s="327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69"/>
    </row>
    <row r="50" spans="1:17" x14ac:dyDescent="0.2">
      <c r="A50" s="69"/>
      <c r="B50" s="69"/>
      <c r="C50" s="324" t="str">
        <f>[2]KPDV!$B$34</f>
        <v>Pārbaudīja:</v>
      </c>
      <c r="D50" s="325"/>
      <c r="E50" s="326"/>
      <c r="F50" s="326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69"/>
    </row>
    <row r="51" spans="1:17" x14ac:dyDescent="0.2">
      <c r="A51" s="69"/>
      <c r="B51" s="69"/>
      <c r="C51" s="324" t="str">
        <f>[2]KPDV!$B$35</f>
        <v>Sertifikāta Nr.:</v>
      </c>
      <c r="D51" s="325"/>
      <c r="E51" s="328"/>
      <c r="F51" s="328"/>
      <c r="G51" s="327"/>
      <c r="H51" s="327"/>
      <c r="I51" s="327"/>
      <c r="J51" s="327"/>
      <c r="K51" s="327"/>
      <c r="L51" s="327"/>
      <c r="M51" s="329"/>
      <c r="N51" s="327"/>
      <c r="O51" s="329"/>
      <c r="P51" s="327"/>
      <c r="Q51" s="69"/>
    </row>
    <row r="52" spans="1:17" x14ac:dyDescent="0.2">
      <c r="A52" s="69"/>
      <c r="B52" s="69"/>
      <c r="C52" s="69"/>
      <c r="D52" s="69"/>
      <c r="E52" s="69"/>
      <c r="F52" s="69"/>
      <c r="G52" s="69"/>
      <c r="H52" s="69"/>
      <c r="I52" s="134"/>
      <c r="J52" s="135"/>
      <c r="K52" s="135"/>
      <c r="L52" s="69"/>
      <c r="M52" s="69"/>
      <c r="N52" s="69"/>
      <c r="O52" s="135"/>
      <c r="P52" s="135"/>
      <c r="Q52" s="69"/>
    </row>
    <row r="53" spans="1:17" ht="12.75" x14ac:dyDescent="0.2">
      <c r="A53" s="69"/>
      <c r="B53" s="330" t="s">
        <v>400</v>
      </c>
      <c r="C53" s="331"/>
      <c r="D53" s="332"/>
      <c r="E53" s="332"/>
      <c r="F53" s="332"/>
      <c r="G53" s="333"/>
      <c r="H53" s="332"/>
      <c r="I53" s="332"/>
      <c r="J53" s="332"/>
      <c r="K53" s="332"/>
      <c r="L53" s="332"/>
      <c r="M53" s="332"/>
      <c r="N53" s="332"/>
      <c r="O53" s="332"/>
      <c r="P53" s="332"/>
      <c r="Q53" s="332"/>
    </row>
    <row r="54" spans="1:17" x14ac:dyDescent="0.2">
      <c r="A54" s="69"/>
      <c r="B54" s="334" t="s">
        <v>401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x14ac:dyDescent="0.2">
      <c r="A55" s="69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ht="21" customHeight="1" x14ac:dyDescent="0.2">
      <c r="A56" s="69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x14ac:dyDescent="0.2">
      <c r="A57" s="69"/>
      <c r="B57" s="69"/>
      <c r="C57" s="69"/>
      <c r="D57" s="69"/>
      <c r="E57" s="69"/>
    </row>
    <row r="58" spans="1:17" x14ac:dyDescent="0.2">
      <c r="A58" s="69"/>
      <c r="B58" s="69"/>
      <c r="C58" s="69"/>
      <c r="D58" s="69"/>
      <c r="E58" s="69"/>
    </row>
    <row r="59" spans="1:17" x14ac:dyDescent="0.2">
      <c r="A59" s="69"/>
      <c r="B59" s="69"/>
      <c r="C59" s="69"/>
      <c r="D59" s="69"/>
      <c r="E59" s="69"/>
    </row>
  </sheetData>
  <autoFilter ref="A13:AMF43" xr:uid="{00000000-0009-0000-0000-000005000000}"/>
  <mergeCells count="9">
    <mergeCell ref="B54:Q56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78740157480314965" bottom="0.39370078740157483" header="0.51181102362204722" footer="0.51181102362204722"/>
  <pageSetup paperSize="9" scale="87" firstPageNumber="0" fitToHeight="0" orientation="landscape" r:id="rId1"/>
  <rowBreaks count="1" manualBreakCount="1">
    <brk id="2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IH51"/>
  <sheetViews>
    <sheetView view="pageBreakPreview" topLeftCell="A22" zoomScaleNormal="115" zoomScaleSheetLayoutView="100" workbookViewId="0">
      <selection activeCell="B38" sqref="B38:Q49"/>
    </sheetView>
  </sheetViews>
  <sheetFormatPr defaultColWidth="9" defaultRowHeight="11.25" x14ac:dyDescent="0.2"/>
  <cols>
    <col min="1" max="1" width="2.7109375" style="66" bestFit="1" customWidth="1"/>
    <col min="2" max="2" width="4.5703125" style="66"/>
    <col min="3" max="3" width="49.42578125" style="159" customWidth="1"/>
    <col min="4" max="4" width="5.140625" style="66" customWidth="1"/>
    <col min="5" max="5" width="6.85546875" style="66" bestFit="1" customWidth="1"/>
    <col min="6" max="6" width="4.28515625" style="66" hidden="1" customWidth="1"/>
    <col min="7" max="8" width="6" style="66" customWidth="1"/>
    <col min="9" max="9" width="6.7109375" style="66" customWidth="1"/>
    <col min="10" max="11" width="6" style="66" customWidth="1"/>
    <col min="12" max="12" width="7.140625" style="66" customWidth="1"/>
    <col min="13" max="14" width="7.85546875" style="66" customWidth="1"/>
    <col min="15" max="15" width="8.28515625" style="66" customWidth="1"/>
    <col min="16" max="16" width="7.85546875" style="66" customWidth="1"/>
    <col min="17" max="17" width="8.7109375" style="66" customWidth="1"/>
    <col min="18" max="1011" width="8.5703125" style="66"/>
    <col min="1012" max="16384" width="9" style="66"/>
  </cols>
  <sheetData>
    <row r="1" spans="1:17" s="62" customFormat="1" x14ac:dyDescent="0.2">
      <c r="A1" s="237" t="s">
        <v>11</v>
      </c>
      <c r="B1" s="237"/>
      <c r="C1" s="237"/>
      <c r="D1" s="237"/>
      <c r="E1" s="237"/>
      <c r="F1" s="237"/>
      <c r="G1" s="237"/>
      <c r="H1" s="61">
        <f>KPDV!A17</f>
        <v>5</v>
      </c>
      <c r="I1" s="61"/>
      <c r="J1" s="61"/>
      <c r="K1" s="61"/>
      <c r="L1" s="61"/>
      <c r="M1" s="61"/>
      <c r="N1" s="61"/>
      <c r="O1" s="61"/>
      <c r="P1" s="61"/>
      <c r="Q1" s="61"/>
    </row>
    <row r="2" spans="1:17" x14ac:dyDescent="0.2">
      <c r="A2" s="63"/>
      <c r="B2" s="61"/>
      <c r="C2" s="109" t="s">
        <v>266</v>
      </c>
      <c r="D2" s="61"/>
      <c r="E2" s="61"/>
      <c r="F2" s="61"/>
      <c r="G2" s="61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">
      <c r="A3" s="63" t="str">
        <f>KPDV!A3</f>
        <v>Būves nosaukums: Daudzdzīvokļu dzīvojamās mājas fasādes vienkāršotā atjaunošana</v>
      </c>
      <c r="B3" s="67"/>
      <c r="C3" s="110"/>
      <c r="D3" s="67"/>
      <c r="E3" s="67"/>
      <c r="F3" s="67"/>
      <c r="G3" s="67"/>
      <c r="H3" s="67"/>
      <c r="I3" s="67"/>
      <c r="J3" s="67"/>
      <c r="K3" s="67"/>
      <c r="L3" s="67"/>
      <c r="M3" s="68"/>
      <c r="N3" s="68"/>
      <c r="O3" s="68"/>
      <c r="P3" s="68"/>
      <c r="Q3" s="65"/>
    </row>
    <row r="4" spans="1:17" x14ac:dyDescent="0.2">
      <c r="A4" s="63" t="str">
        <f>KPDV!A4</f>
        <v>Objekta nosaukums: Dzīvojamas ēkas fasādes vienkāršota atjaunošana</v>
      </c>
      <c r="B4" s="67"/>
      <c r="C4" s="110"/>
      <c r="D4" s="67"/>
      <c r="E4" s="67"/>
      <c r="F4" s="67"/>
      <c r="G4" s="67"/>
      <c r="H4" s="67"/>
      <c r="I4" s="65"/>
      <c r="J4" s="65"/>
      <c r="K4" s="68"/>
      <c r="L4" s="68"/>
      <c r="M4" s="68"/>
      <c r="N4" s="68"/>
      <c r="O4" s="68"/>
      <c r="P4" s="68"/>
      <c r="Q4" s="65"/>
    </row>
    <row r="5" spans="1:17" x14ac:dyDescent="0.2">
      <c r="A5" s="69" t="str">
        <f>KPDV!A5</f>
        <v>Objekta adrese: Eduarda Tisē ielā 50, Liepājā</v>
      </c>
      <c r="B5" s="65"/>
      <c r="C5" s="63"/>
      <c r="D5" s="65"/>
      <c r="E5" s="67"/>
      <c r="F5" s="67"/>
      <c r="G5" s="65"/>
      <c r="H5" s="65"/>
      <c r="I5" s="65"/>
      <c r="J5" s="65"/>
      <c r="K5" s="68"/>
      <c r="L5" s="68"/>
      <c r="M5" s="68"/>
      <c r="N5" s="68"/>
      <c r="O5" s="68"/>
      <c r="P5" s="68"/>
      <c r="Q5" s="65"/>
    </row>
    <row r="6" spans="1:17" x14ac:dyDescent="0.2">
      <c r="A6" s="69" t="str">
        <f>KPDV!A6</f>
        <v>Pasūtījuma Nr.EA-15-17</v>
      </c>
      <c r="B6" s="65"/>
      <c r="C6" s="63"/>
      <c r="D6" s="65"/>
      <c r="E6" s="65"/>
      <c r="F6" s="65"/>
      <c r="G6" s="65"/>
      <c r="H6" s="65"/>
      <c r="I6" s="65"/>
      <c r="J6" s="65"/>
      <c r="K6" s="68"/>
      <c r="L6" s="68"/>
      <c r="M6" s="68"/>
      <c r="N6" s="68"/>
      <c r="O6" s="68"/>
      <c r="P6" s="68"/>
      <c r="Q6" s="65"/>
    </row>
    <row r="7" spans="1:17" x14ac:dyDescent="0.2">
      <c r="A7" s="69" t="str">
        <f>KPDV!A7</f>
        <v>Pasūtītājs: SIA "Liepājas namu apsaimniekotājs"</v>
      </c>
      <c r="B7" s="65"/>
      <c r="C7" s="63"/>
      <c r="D7" s="65"/>
      <c r="E7" s="65"/>
      <c r="F7" s="65"/>
      <c r="G7" s="65"/>
      <c r="H7" s="65"/>
      <c r="I7" s="65"/>
      <c r="J7" s="65"/>
      <c r="K7" s="68"/>
      <c r="L7" s="68"/>
      <c r="M7" s="68"/>
      <c r="N7" s="68"/>
      <c r="O7" s="68"/>
      <c r="P7" s="68"/>
      <c r="Q7" s="65"/>
    </row>
    <row r="8" spans="1:17" x14ac:dyDescent="0.2">
      <c r="A8" s="251" t="str">
        <f>AR!D8</f>
        <v>Tāme sastādīta .gada tirgus cenās, pamatojoties uz:</v>
      </c>
      <c r="B8" s="251"/>
      <c r="C8" s="251"/>
      <c r="D8" s="251"/>
      <c r="E8" s="65" t="s">
        <v>297</v>
      </c>
      <c r="F8" s="65"/>
      <c r="G8" s="252" t="s">
        <v>13</v>
      </c>
      <c r="H8" s="252"/>
      <c r="I8" s="252"/>
      <c r="J8" s="252"/>
      <c r="K8" s="69"/>
      <c r="L8" s="69"/>
      <c r="M8" s="69"/>
      <c r="N8" s="69" t="s">
        <v>48</v>
      </c>
      <c r="O8" s="69"/>
      <c r="P8" s="70">
        <f>Q38</f>
        <v>0</v>
      </c>
      <c r="Q8" s="71" t="s">
        <v>49</v>
      </c>
    </row>
    <row r="9" spans="1:17" ht="10.5" customHeight="1" x14ac:dyDescent="0.2">
      <c r="A9" s="63"/>
      <c r="B9" s="65"/>
      <c r="C9" s="63"/>
      <c r="D9" s="65"/>
      <c r="E9" s="65"/>
      <c r="F9" s="65"/>
      <c r="G9" s="65"/>
      <c r="H9" s="65"/>
      <c r="I9" s="65"/>
      <c r="J9" s="65"/>
      <c r="K9" s="65"/>
      <c r="L9" s="65"/>
      <c r="M9" s="65"/>
      <c r="N9" s="253" t="str">
        <f>KPDV!B10</f>
        <v>Tāme sastādīta .gada</v>
      </c>
      <c r="O9" s="253"/>
      <c r="P9" s="253"/>
      <c r="Q9" s="253"/>
    </row>
    <row r="10" spans="1:17" ht="10.5" customHeight="1" x14ac:dyDescent="0.2">
      <c r="A10" s="254" t="s">
        <v>15</v>
      </c>
      <c r="B10" s="240" t="s">
        <v>16</v>
      </c>
      <c r="C10" s="255" t="s">
        <v>17</v>
      </c>
      <c r="D10" s="242" t="s">
        <v>18</v>
      </c>
      <c r="E10" s="240" t="s">
        <v>19</v>
      </c>
      <c r="F10" s="72"/>
      <c r="G10" s="243" t="s">
        <v>20</v>
      </c>
      <c r="H10" s="243"/>
      <c r="I10" s="243"/>
      <c r="J10" s="243"/>
      <c r="K10" s="243"/>
      <c r="L10" s="243"/>
      <c r="M10" s="243" t="s">
        <v>21</v>
      </c>
      <c r="N10" s="243"/>
      <c r="O10" s="243"/>
      <c r="P10" s="243"/>
      <c r="Q10" s="243"/>
    </row>
    <row r="11" spans="1:17" ht="69" x14ac:dyDescent="0.2">
      <c r="A11" s="254"/>
      <c r="B11" s="240"/>
      <c r="C11" s="255"/>
      <c r="D11" s="242"/>
      <c r="E11" s="240"/>
      <c r="F11" s="72"/>
      <c r="G11" s="335" t="s">
        <v>403</v>
      </c>
      <c r="H11" s="336" t="s">
        <v>404</v>
      </c>
      <c r="I11" s="336" t="s">
        <v>405</v>
      </c>
      <c r="J11" s="336" t="s">
        <v>406</v>
      </c>
      <c r="K11" s="336" t="s">
        <v>407</v>
      </c>
      <c r="L11" s="337" t="s">
        <v>365</v>
      </c>
      <c r="M11" s="335" t="s">
        <v>22</v>
      </c>
      <c r="N11" s="336" t="s">
        <v>405</v>
      </c>
      <c r="O11" s="336" t="s">
        <v>406</v>
      </c>
      <c r="P11" s="336" t="s">
        <v>407</v>
      </c>
      <c r="Q11" s="337" t="s">
        <v>408</v>
      </c>
    </row>
    <row r="12" spans="1:17" x14ac:dyDescent="0.2">
      <c r="A12" s="73">
        <v>1</v>
      </c>
      <c r="B12" s="74">
        <f>A12+1</f>
        <v>2</v>
      </c>
      <c r="C12" s="87">
        <f>B12+1</f>
        <v>3</v>
      </c>
      <c r="D12" s="74">
        <f>C12+1</f>
        <v>4</v>
      </c>
      <c r="E12" s="74">
        <f>D12+1</f>
        <v>5</v>
      </c>
      <c r="F12" s="74"/>
      <c r="G12" s="74">
        <f>E12+1</f>
        <v>6</v>
      </c>
      <c r="H12" s="74">
        <f t="shared" ref="H12:Q12" si="0">G12+1</f>
        <v>7</v>
      </c>
      <c r="I12" s="74">
        <f t="shared" si="0"/>
        <v>8</v>
      </c>
      <c r="J12" s="74">
        <f t="shared" si="0"/>
        <v>9</v>
      </c>
      <c r="K12" s="74">
        <f t="shared" si="0"/>
        <v>10</v>
      </c>
      <c r="L12" s="74">
        <f t="shared" si="0"/>
        <v>11</v>
      </c>
      <c r="M12" s="74">
        <f t="shared" si="0"/>
        <v>12</v>
      </c>
      <c r="N12" s="74">
        <f t="shared" si="0"/>
        <v>13</v>
      </c>
      <c r="O12" s="74">
        <f t="shared" si="0"/>
        <v>14</v>
      </c>
      <c r="P12" s="74">
        <f t="shared" si="0"/>
        <v>15</v>
      </c>
      <c r="Q12" s="74">
        <f t="shared" si="0"/>
        <v>16</v>
      </c>
    </row>
    <row r="13" spans="1:17" ht="45" x14ac:dyDescent="0.2">
      <c r="A13" s="73"/>
      <c r="B13" s="74"/>
      <c r="C13" s="87" t="s">
        <v>298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x14ac:dyDescent="0.2">
      <c r="A14" s="78">
        <f>IF(COUNTBLANK(B14)=1," ",COUNTA(B$14:B14))</f>
        <v>1</v>
      </c>
      <c r="B14" s="99" t="s">
        <v>23</v>
      </c>
      <c r="C14" s="80" t="s">
        <v>299</v>
      </c>
      <c r="D14" s="85" t="s">
        <v>27</v>
      </c>
      <c r="E14" s="98">
        <v>40</v>
      </c>
      <c r="F14" s="155"/>
      <c r="G14" s="81"/>
      <c r="H14" s="82"/>
      <c r="I14" s="81"/>
      <c r="J14" s="81"/>
      <c r="K14" s="81"/>
      <c r="L14" s="83"/>
      <c r="M14" s="84"/>
      <c r="N14" s="84"/>
      <c r="O14" s="84"/>
      <c r="P14" s="84"/>
      <c r="Q14" s="84"/>
    </row>
    <row r="15" spans="1:17" ht="22.5" x14ac:dyDescent="0.2">
      <c r="A15" s="78" t="str">
        <f>IF(COUNTBLANK(B15)=1," ",COUNTA(B$14:B15))</f>
        <v xml:space="preserve"> </v>
      </c>
      <c r="B15" s="160"/>
      <c r="C15" s="80" t="s">
        <v>234</v>
      </c>
      <c r="D15" s="155" t="s">
        <v>36</v>
      </c>
      <c r="E15" s="157">
        <v>41.34</v>
      </c>
      <c r="F15" s="157"/>
      <c r="G15" s="161"/>
      <c r="H15" s="157"/>
      <c r="I15" s="77"/>
      <c r="J15" s="77"/>
      <c r="K15" s="77"/>
      <c r="L15" s="83"/>
      <c r="M15" s="84"/>
      <c r="N15" s="84"/>
      <c r="O15" s="84"/>
      <c r="P15" s="84"/>
      <c r="Q15" s="84"/>
    </row>
    <row r="16" spans="1:17" x14ac:dyDescent="0.2">
      <c r="A16" s="78" t="str">
        <f>IF(COUNTBLANK(B16)=1," ",COUNTA(B$14:B16))</f>
        <v xml:space="preserve"> </v>
      </c>
      <c r="B16" s="162"/>
      <c r="C16" s="80" t="s">
        <v>235</v>
      </c>
      <c r="D16" s="85" t="s">
        <v>27</v>
      </c>
      <c r="E16" s="98">
        <v>80</v>
      </c>
      <c r="F16" s="157"/>
      <c r="G16" s="161"/>
      <c r="H16" s="157"/>
      <c r="I16" s="77"/>
      <c r="J16" s="77"/>
      <c r="K16" s="77"/>
      <c r="L16" s="83"/>
      <c r="M16" s="84"/>
      <c r="N16" s="84"/>
      <c r="O16" s="84"/>
      <c r="P16" s="84"/>
      <c r="Q16" s="84"/>
    </row>
    <row r="17" spans="1:242" ht="33.75" x14ac:dyDescent="0.2">
      <c r="A17" s="78" t="str">
        <f>IF(COUNTBLANK(B17)=1," ",COUNTA(B$14:B17))</f>
        <v xml:space="preserve"> </v>
      </c>
      <c r="B17" s="162"/>
      <c r="C17" s="80" t="s">
        <v>236</v>
      </c>
      <c r="D17" s="155" t="s">
        <v>36</v>
      </c>
      <c r="E17" s="157">
        <v>46.8</v>
      </c>
      <c r="F17" s="161"/>
      <c r="G17" s="157"/>
      <c r="H17" s="157"/>
      <c r="I17" s="77"/>
      <c r="J17" s="77"/>
      <c r="K17" s="77"/>
      <c r="L17" s="83"/>
      <c r="M17" s="84"/>
      <c r="N17" s="84"/>
      <c r="O17" s="84"/>
      <c r="P17" s="84"/>
      <c r="Q17" s="84"/>
    </row>
    <row r="18" spans="1:242" x14ac:dyDescent="0.2">
      <c r="A18" s="78" t="str">
        <f>IF(COUNTBLANK(B18)=1," ",COUNTA(B$14:B18))</f>
        <v xml:space="preserve"> </v>
      </c>
      <c r="B18" s="163"/>
      <c r="C18" s="80" t="s">
        <v>428</v>
      </c>
      <c r="D18" s="85" t="s">
        <v>27</v>
      </c>
      <c r="E18" s="98">
        <v>25</v>
      </c>
      <c r="F18" s="161"/>
      <c r="G18" s="157"/>
      <c r="H18" s="157"/>
      <c r="I18" s="77"/>
      <c r="J18" s="77"/>
      <c r="K18" s="77"/>
      <c r="L18" s="83"/>
      <c r="M18" s="84"/>
      <c r="N18" s="84"/>
      <c r="O18" s="84"/>
      <c r="P18" s="84"/>
      <c r="Q18" s="84"/>
    </row>
    <row r="19" spans="1:242" ht="33.75" x14ac:dyDescent="0.2">
      <c r="A19" s="78" t="str">
        <f>IF(COUNTBLANK(B19)=1," ",COUNTA(B$14:B19))</f>
        <v xml:space="preserve"> </v>
      </c>
      <c r="B19" s="163"/>
      <c r="C19" s="80" t="s">
        <v>237</v>
      </c>
      <c r="D19" s="155" t="s">
        <v>36</v>
      </c>
      <c r="E19" s="157">
        <v>37.049999999999997</v>
      </c>
      <c r="F19" s="157"/>
      <c r="G19" s="156"/>
      <c r="H19" s="157"/>
      <c r="I19" s="77"/>
      <c r="J19" s="77"/>
      <c r="K19" s="77"/>
      <c r="L19" s="83"/>
      <c r="M19" s="84"/>
      <c r="N19" s="84"/>
      <c r="O19" s="84"/>
      <c r="P19" s="84"/>
      <c r="Q19" s="84"/>
    </row>
    <row r="20" spans="1:242" x14ac:dyDescent="0.2">
      <c r="A20" s="78" t="str">
        <f>IF(COUNTBLANK(B20)=1," ",COUNTA(B$14:B20))</f>
        <v xml:space="preserve"> </v>
      </c>
      <c r="B20" s="163"/>
      <c r="C20" s="80" t="s">
        <v>428</v>
      </c>
      <c r="D20" s="85" t="s">
        <v>27</v>
      </c>
      <c r="E20" s="98">
        <v>30</v>
      </c>
      <c r="F20" s="157"/>
      <c r="G20" s="156"/>
      <c r="H20" s="157"/>
      <c r="I20" s="77"/>
      <c r="J20" s="77"/>
      <c r="K20" s="77"/>
      <c r="L20" s="83"/>
      <c r="M20" s="84"/>
      <c r="N20" s="84"/>
      <c r="O20" s="84"/>
      <c r="P20" s="84"/>
      <c r="Q20" s="84"/>
    </row>
    <row r="21" spans="1:242" s="69" customFormat="1" x14ac:dyDescent="0.2">
      <c r="A21" s="78" t="str">
        <f>IF(COUNTBLANK(B21)=1," ",COUNTA($B$13:B21))</f>
        <v xml:space="preserve"> </v>
      </c>
      <c r="B21" s="163"/>
      <c r="C21" s="80" t="s">
        <v>238</v>
      </c>
      <c r="D21" s="85" t="s">
        <v>29</v>
      </c>
      <c r="E21" s="98">
        <v>5</v>
      </c>
      <c r="F21" s="92"/>
      <c r="G21" s="92"/>
      <c r="H21" s="82"/>
      <c r="I21" s="92"/>
      <c r="J21" s="91"/>
      <c r="K21" s="92"/>
      <c r="L21" s="83"/>
      <c r="M21" s="84"/>
      <c r="N21" s="84"/>
      <c r="O21" s="84"/>
      <c r="P21" s="84"/>
      <c r="Q21" s="84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</row>
    <row r="22" spans="1:242" s="69" customFormat="1" ht="22.5" x14ac:dyDescent="0.2">
      <c r="A22" s="78">
        <f>IF(COUNTBLANK(B22)=1," ",COUNTA($B$13:B22))</f>
        <v>2</v>
      </c>
      <c r="B22" s="99" t="s">
        <v>23</v>
      </c>
      <c r="C22" s="80" t="s">
        <v>300</v>
      </c>
      <c r="D22" s="85"/>
      <c r="E22" s="98"/>
      <c r="F22" s="92"/>
      <c r="G22" s="92"/>
      <c r="H22" s="92"/>
      <c r="I22" s="92"/>
      <c r="J22" s="92"/>
      <c r="K22" s="92"/>
      <c r="L22" s="83"/>
      <c r="M22" s="84"/>
      <c r="N22" s="84"/>
      <c r="O22" s="84"/>
      <c r="P22" s="84"/>
      <c r="Q22" s="84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</row>
    <row r="23" spans="1:242" ht="56.25" x14ac:dyDescent="0.2">
      <c r="A23" s="78" t="str">
        <f>IF(COUNTBLANK(B23)=1," ",COUNTA(B$14:B23))</f>
        <v xml:space="preserve"> </v>
      </c>
      <c r="B23" s="164"/>
      <c r="C23" s="80" t="s">
        <v>429</v>
      </c>
      <c r="D23" s="155" t="s">
        <v>29</v>
      </c>
      <c r="E23" s="157">
        <f>12.8+41.31+117.45</f>
        <v>171.56</v>
      </c>
      <c r="F23" s="157"/>
      <c r="G23" s="81"/>
      <c r="H23" s="82"/>
      <c r="I23" s="81"/>
      <c r="J23" s="81"/>
      <c r="K23" s="81"/>
      <c r="L23" s="83"/>
      <c r="M23" s="84"/>
      <c r="N23" s="84"/>
      <c r="O23" s="84"/>
      <c r="P23" s="84"/>
      <c r="Q23" s="84"/>
    </row>
    <row r="24" spans="1:242" ht="22.5" x14ac:dyDescent="0.2">
      <c r="A24" s="78" t="str">
        <f>IF(COUNTBLANK(B24)=1," ",COUNTA(B$14:B24))</f>
        <v xml:space="preserve"> </v>
      </c>
      <c r="B24" s="163"/>
      <c r="C24" s="80" t="s">
        <v>239</v>
      </c>
      <c r="D24" s="155" t="s">
        <v>25</v>
      </c>
      <c r="E24" s="157">
        <v>117.6</v>
      </c>
      <c r="F24" s="161"/>
      <c r="G24" s="156"/>
      <c r="H24" s="157"/>
      <c r="I24" s="77"/>
      <c r="J24" s="77"/>
      <c r="K24" s="77"/>
      <c r="L24" s="83"/>
      <c r="M24" s="84"/>
      <c r="N24" s="84"/>
      <c r="O24" s="84"/>
      <c r="P24" s="84"/>
      <c r="Q24" s="84"/>
    </row>
    <row r="25" spans="1:242" ht="45" x14ac:dyDescent="0.2">
      <c r="A25" s="78" t="str">
        <f>IF(COUNTBLANK(B25)=1," ",COUNTA(B$14:B25))</f>
        <v xml:space="preserve"> </v>
      </c>
      <c r="B25" s="163"/>
      <c r="C25" s="80" t="s">
        <v>240</v>
      </c>
      <c r="D25" s="155" t="s">
        <v>25</v>
      </c>
      <c r="E25" s="157">
        <v>720.8</v>
      </c>
      <c r="F25" s="157"/>
      <c r="G25" s="156"/>
      <c r="H25" s="157"/>
      <c r="I25" s="77"/>
      <c r="J25" s="77"/>
      <c r="K25" s="77"/>
      <c r="L25" s="83"/>
      <c r="M25" s="84"/>
      <c r="N25" s="84"/>
      <c r="O25" s="84"/>
      <c r="P25" s="84"/>
      <c r="Q25" s="84"/>
    </row>
    <row r="26" spans="1:242" ht="22.5" x14ac:dyDescent="0.2">
      <c r="A26" s="78" t="str">
        <f>IF(COUNTBLANK(B26)=1," ",COUNTA(B$14:B26))</f>
        <v xml:space="preserve"> </v>
      </c>
      <c r="B26" s="163"/>
      <c r="C26" s="80" t="s">
        <v>241</v>
      </c>
      <c r="D26" s="85" t="s">
        <v>25</v>
      </c>
      <c r="E26" s="98">
        <v>128</v>
      </c>
      <c r="F26" s="157"/>
      <c r="G26" s="156"/>
      <c r="H26" s="94"/>
      <c r="I26" s="77"/>
      <c r="J26" s="77"/>
      <c r="K26" s="77"/>
      <c r="L26" s="83"/>
      <c r="M26" s="84"/>
      <c r="N26" s="84"/>
      <c r="O26" s="84"/>
      <c r="P26" s="84"/>
      <c r="Q26" s="84"/>
    </row>
    <row r="27" spans="1:242" ht="22.5" x14ac:dyDescent="0.2">
      <c r="A27" s="78" t="str">
        <f>IF(COUNTBLANK(B27)=1," ",COUNTA(B$14:B27))</f>
        <v xml:space="preserve"> </v>
      </c>
      <c r="B27" s="163"/>
      <c r="C27" s="80" t="s">
        <v>242</v>
      </c>
      <c r="D27" s="85" t="s">
        <v>36</v>
      </c>
      <c r="E27" s="165">
        <f>0.004*0.04*51.2*7800</f>
        <v>63.897600000000011</v>
      </c>
      <c r="F27" s="161"/>
      <c r="G27" s="157"/>
      <c r="H27" s="157"/>
      <c r="I27" s="77"/>
      <c r="J27" s="77"/>
      <c r="K27" s="77"/>
      <c r="L27" s="83"/>
      <c r="M27" s="84"/>
      <c r="N27" s="84"/>
      <c r="O27" s="84"/>
      <c r="P27" s="84"/>
      <c r="Q27" s="84"/>
    </row>
    <row r="28" spans="1:242" ht="22.5" x14ac:dyDescent="0.2">
      <c r="A28" s="78" t="str">
        <f>IF(COUNTBLANK(B28)=1," ",COUNTA(B$14:B28))</f>
        <v xml:space="preserve"> </v>
      </c>
      <c r="B28" s="163"/>
      <c r="C28" s="80" t="s">
        <v>243</v>
      </c>
      <c r="D28" s="85" t="s">
        <v>29</v>
      </c>
      <c r="E28" s="98">
        <f>0.3*128</f>
        <v>38.4</v>
      </c>
      <c r="F28" s="161"/>
      <c r="G28" s="94"/>
      <c r="H28" s="94"/>
      <c r="I28" s="77"/>
      <c r="J28" s="77"/>
      <c r="K28" s="77"/>
      <c r="L28" s="83"/>
      <c r="M28" s="84"/>
      <c r="N28" s="84"/>
      <c r="O28" s="84"/>
      <c r="P28" s="84"/>
      <c r="Q28" s="84"/>
    </row>
    <row r="29" spans="1:242" s="69" customFormat="1" x14ac:dyDescent="0.2">
      <c r="A29" s="78" t="str">
        <f>IF(COUNTBLANK(B29)=1," ",COUNTA(B$14:B29))</f>
        <v xml:space="preserve"> </v>
      </c>
      <c r="B29" s="163"/>
      <c r="C29" s="80" t="s">
        <v>244</v>
      </c>
      <c r="D29" s="85" t="s">
        <v>25</v>
      </c>
      <c r="E29" s="98">
        <v>128</v>
      </c>
      <c r="F29" s="92"/>
      <c r="G29" s="92"/>
      <c r="H29" s="82"/>
      <c r="I29" s="92"/>
      <c r="J29" s="91"/>
      <c r="K29" s="92"/>
      <c r="L29" s="83"/>
      <c r="M29" s="84"/>
      <c r="N29" s="84"/>
      <c r="O29" s="84"/>
      <c r="P29" s="84"/>
      <c r="Q29" s="84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</row>
    <row r="30" spans="1:242" s="69" customFormat="1" x14ac:dyDescent="0.2">
      <c r="A30" s="78" t="str">
        <f>IF(COUNTBLANK(B30)=1," ",COUNTA(B$14:B30))</f>
        <v xml:space="preserve"> </v>
      </c>
      <c r="B30" s="163"/>
      <c r="C30" s="80" t="s">
        <v>430</v>
      </c>
      <c r="D30" s="85" t="s">
        <v>25</v>
      </c>
      <c r="E30" s="98">
        <v>117.6</v>
      </c>
      <c r="F30" s="92"/>
      <c r="G30" s="92"/>
      <c r="H30" s="92"/>
      <c r="I30" s="92"/>
      <c r="J30" s="92"/>
      <c r="K30" s="92"/>
      <c r="L30" s="83"/>
      <c r="M30" s="84"/>
      <c r="N30" s="84"/>
      <c r="O30" s="84"/>
      <c r="P30" s="84"/>
      <c r="Q30" s="84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</row>
    <row r="31" spans="1:242" x14ac:dyDescent="0.2">
      <c r="A31" s="78" t="str">
        <f>IF(COUNTBLANK(B31)=1," ",COUNTA(B$14:B31))</f>
        <v xml:space="preserve"> </v>
      </c>
      <c r="B31" s="166"/>
      <c r="C31" s="80" t="s">
        <v>245</v>
      </c>
      <c r="D31" s="85"/>
      <c r="E31" s="98"/>
      <c r="F31" s="157"/>
      <c r="G31" s="92"/>
      <c r="H31" s="82"/>
      <c r="I31" s="92"/>
      <c r="J31" s="91"/>
      <c r="K31" s="92"/>
      <c r="L31" s="83"/>
      <c r="M31" s="84"/>
      <c r="N31" s="84"/>
      <c r="O31" s="84"/>
      <c r="P31" s="84"/>
      <c r="Q31" s="84"/>
    </row>
    <row r="32" spans="1:242" ht="22.5" x14ac:dyDescent="0.2">
      <c r="A32" s="78">
        <f>IF(COUNTBLANK(B32)=1," ",COUNTA(B$14:B32))</f>
        <v>3</v>
      </c>
      <c r="B32" s="99" t="s">
        <v>23</v>
      </c>
      <c r="C32" s="80" t="s">
        <v>301</v>
      </c>
      <c r="D32" s="85" t="s">
        <v>27</v>
      </c>
      <c r="E32" s="98">
        <v>40</v>
      </c>
      <c r="F32" s="157"/>
      <c r="G32" s="157"/>
      <c r="H32" s="167"/>
      <c r="I32" s="77"/>
      <c r="J32" s="77"/>
      <c r="K32" s="77"/>
      <c r="L32" s="83"/>
      <c r="M32" s="84"/>
      <c r="N32" s="84"/>
      <c r="O32" s="84"/>
      <c r="P32" s="84"/>
      <c r="Q32" s="84"/>
    </row>
    <row r="33" spans="1:242" ht="22.5" x14ac:dyDescent="0.2">
      <c r="A33" s="78" t="str">
        <f>IF(COUNTBLANK(B33)=1," ",COUNTA(B$14:B33))</f>
        <v xml:space="preserve"> </v>
      </c>
      <c r="B33" s="158"/>
      <c r="C33" s="80" t="s">
        <v>234</v>
      </c>
      <c r="D33" s="155" t="s">
        <v>36</v>
      </c>
      <c r="E33" s="157">
        <v>41.34</v>
      </c>
      <c r="F33" s="157"/>
      <c r="G33" s="81"/>
      <c r="H33" s="82"/>
      <c r="I33" s="81"/>
      <c r="J33" s="81"/>
      <c r="K33" s="81"/>
      <c r="L33" s="83"/>
      <c r="M33" s="84"/>
      <c r="N33" s="84"/>
      <c r="O33" s="84"/>
      <c r="P33" s="84"/>
      <c r="Q33" s="84"/>
    </row>
    <row r="34" spans="1:242" x14ac:dyDescent="0.2">
      <c r="A34" s="78" t="str">
        <f>IF(COUNTBLANK(B34)=1," ",COUNTA(B$14:B34))</f>
        <v xml:space="preserve"> </v>
      </c>
      <c r="B34" s="158"/>
      <c r="C34" s="80" t="s">
        <v>235</v>
      </c>
      <c r="D34" s="85" t="s">
        <v>27</v>
      </c>
      <c r="E34" s="98">
        <v>80</v>
      </c>
      <c r="F34" s="161"/>
      <c r="G34" s="168"/>
      <c r="H34" s="169"/>
      <c r="I34" s="77"/>
      <c r="J34" s="77"/>
      <c r="K34" s="77"/>
      <c r="L34" s="83"/>
      <c r="M34" s="84"/>
      <c r="N34" s="84"/>
      <c r="O34" s="84"/>
      <c r="P34" s="84"/>
      <c r="Q34" s="84"/>
    </row>
    <row r="35" spans="1:242" x14ac:dyDescent="0.2">
      <c r="A35" s="78" t="str">
        <f>IF(COUNTBLANK(B35)=1," ",COUNTA(B$14:B35))</f>
        <v xml:space="preserve"> </v>
      </c>
      <c r="B35" s="158"/>
      <c r="C35" s="80" t="s">
        <v>238</v>
      </c>
      <c r="D35" s="85" t="s">
        <v>29</v>
      </c>
      <c r="E35" s="98">
        <v>1.8</v>
      </c>
      <c r="F35" s="157"/>
      <c r="G35" s="168"/>
      <c r="H35" s="169"/>
      <c r="I35" s="77"/>
      <c r="J35" s="77"/>
      <c r="K35" s="77"/>
      <c r="L35" s="83"/>
      <c r="M35" s="84"/>
      <c r="N35" s="84"/>
      <c r="O35" s="84"/>
      <c r="P35" s="84"/>
      <c r="Q35" s="84"/>
    </row>
    <row r="36" spans="1:242" s="69" customFormat="1" ht="22.5" x14ac:dyDescent="0.2">
      <c r="A36" s="78" t="str">
        <f>IF(COUNTBLANK(B36)=1," ",COUNTA($B$13:B36))</f>
        <v xml:space="preserve"> </v>
      </c>
      <c r="B36" s="158"/>
      <c r="C36" s="80" t="s">
        <v>246</v>
      </c>
      <c r="D36" s="155" t="s">
        <v>25</v>
      </c>
      <c r="E36" s="157">
        <v>117.6</v>
      </c>
      <c r="F36" s="92"/>
      <c r="G36" s="92"/>
      <c r="H36" s="82"/>
      <c r="I36" s="92"/>
      <c r="J36" s="91"/>
      <c r="K36" s="92"/>
      <c r="L36" s="83"/>
      <c r="M36" s="84"/>
      <c r="N36" s="84"/>
      <c r="O36" s="84"/>
      <c r="P36" s="84"/>
      <c r="Q36" s="84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</row>
    <row r="37" spans="1:242" s="69" customFormat="1" ht="33.75" x14ac:dyDescent="0.2">
      <c r="A37" s="78" t="str">
        <f>IF(COUNTBLANK(B37)=1," ",COUNTA($B$13:B37))</f>
        <v xml:space="preserve"> </v>
      </c>
      <c r="B37" s="170"/>
      <c r="C37" s="80" t="s">
        <v>247</v>
      </c>
      <c r="D37" s="155" t="s">
        <v>25</v>
      </c>
      <c r="E37" s="157">
        <v>491.2</v>
      </c>
      <c r="F37" s="92"/>
      <c r="G37" s="92"/>
      <c r="H37" s="92"/>
      <c r="I37" s="92"/>
      <c r="J37" s="92"/>
      <c r="K37" s="92"/>
      <c r="L37" s="83"/>
      <c r="M37" s="84"/>
      <c r="N37" s="84"/>
      <c r="O37" s="84"/>
      <c r="P37" s="84"/>
      <c r="Q37" s="84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</row>
    <row r="38" spans="1:242" x14ac:dyDescent="0.2">
      <c r="B38" s="69"/>
      <c r="C38" s="318" t="s">
        <v>156</v>
      </c>
      <c r="D38" s="319"/>
      <c r="E38" s="320"/>
      <c r="F38" s="320"/>
      <c r="G38" s="321"/>
      <c r="H38" s="321"/>
      <c r="I38" s="321"/>
      <c r="J38" s="321"/>
      <c r="K38" s="321"/>
      <c r="L38" s="69"/>
      <c r="M38" s="322"/>
      <c r="N38" s="322"/>
      <c r="O38" s="322"/>
      <c r="P38" s="322"/>
      <c r="Q38" s="322"/>
    </row>
    <row r="39" spans="1:242" x14ac:dyDescent="0.2">
      <c r="A39" s="69"/>
      <c r="B39" s="69"/>
      <c r="C39" s="323"/>
      <c r="D39" s="323"/>
      <c r="E39" s="323"/>
      <c r="F39" s="323"/>
      <c r="G39" s="323"/>
      <c r="H39" s="323"/>
      <c r="I39" s="69"/>
      <c r="J39" s="69"/>
      <c r="K39" s="69"/>
      <c r="L39" s="69"/>
      <c r="M39" s="69"/>
      <c r="N39" s="69"/>
      <c r="O39" s="69"/>
      <c r="P39" s="69"/>
      <c r="Q39" s="69"/>
    </row>
    <row r="40" spans="1:242" x14ac:dyDescent="0.2">
      <c r="A40" s="69"/>
      <c r="B40" s="69"/>
      <c r="C40" s="324" t="str">
        <f>[2]KPDV!$B$31</f>
        <v>Sastādīja:</v>
      </c>
      <c r="D40" s="325"/>
      <c r="E40" s="326"/>
      <c r="F40" s="326"/>
      <c r="G40" s="323"/>
      <c r="H40" s="323"/>
      <c r="I40" s="69"/>
      <c r="J40" s="69"/>
      <c r="K40" s="69"/>
      <c r="L40" s="69"/>
      <c r="M40" s="69"/>
      <c r="N40" s="69"/>
      <c r="O40" s="69"/>
      <c r="P40" s="69"/>
      <c r="Q40" s="69"/>
    </row>
    <row r="41" spans="1:242" x14ac:dyDescent="0.2">
      <c r="A41" s="69"/>
      <c r="B41" s="69"/>
      <c r="C41" s="324" t="str">
        <f>[2]KPDV!$B$32</f>
        <v>Tāme sastādīta</v>
      </c>
      <c r="D41" s="327"/>
      <c r="E41" s="314"/>
      <c r="F41" s="314"/>
      <c r="G41" s="323"/>
      <c r="H41" s="323"/>
      <c r="I41" s="69"/>
      <c r="J41" s="69"/>
      <c r="K41" s="69"/>
      <c r="L41" s="69"/>
      <c r="M41" s="69"/>
      <c r="N41" s="69"/>
      <c r="O41" s="69"/>
      <c r="P41" s="69"/>
      <c r="Q41" s="69"/>
    </row>
    <row r="42" spans="1:242" x14ac:dyDescent="0.2">
      <c r="A42" s="69"/>
      <c r="B42" s="69"/>
      <c r="C42" s="324"/>
      <c r="D42" s="327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69"/>
    </row>
    <row r="43" spans="1:242" x14ac:dyDescent="0.2">
      <c r="A43" s="69"/>
      <c r="B43" s="69"/>
      <c r="C43" s="324" t="str">
        <f>[2]KPDV!$B$34</f>
        <v>Pārbaudīja:</v>
      </c>
      <c r="D43" s="325"/>
      <c r="E43" s="326"/>
      <c r="F43" s="326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69"/>
    </row>
    <row r="44" spans="1:242" x14ac:dyDescent="0.2">
      <c r="A44" s="69"/>
      <c r="B44" s="69"/>
      <c r="C44" s="324" t="str">
        <f>[2]KPDV!$B$35</f>
        <v>Sertifikāta Nr.:</v>
      </c>
      <c r="D44" s="325"/>
      <c r="E44" s="328"/>
      <c r="F44" s="328"/>
      <c r="G44" s="327"/>
      <c r="H44" s="327"/>
      <c r="I44" s="327"/>
      <c r="J44" s="327"/>
      <c r="K44" s="327"/>
      <c r="L44" s="327"/>
      <c r="M44" s="329"/>
      <c r="N44" s="327"/>
      <c r="O44" s="329"/>
      <c r="P44" s="327"/>
      <c r="Q44" s="69"/>
    </row>
    <row r="45" spans="1:242" x14ac:dyDescent="0.2">
      <c r="A45" s="69"/>
      <c r="B45" s="69"/>
      <c r="C45" s="69"/>
      <c r="D45" s="69"/>
      <c r="E45" s="69"/>
      <c r="F45" s="69"/>
      <c r="G45" s="69"/>
      <c r="H45" s="69"/>
      <c r="I45" s="134"/>
      <c r="J45" s="135"/>
      <c r="K45" s="135"/>
      <c r="L45" s="69"/>
      <c r="M45" s="69"/>
      <c r="N45" s="69"/>
      <c r="O45" s="135"/>
      <c r="P45" s="135"/>
      <c r="Q45" s="69"/>
    </row>
    <row r="46" spans="1:242" ht="12.75" x14ac:dyDescent="0.2">
      <c r="A46" s="69"/>
      <c r="B46" s="330" t="s">
        <v>400</v>
      </c>
      <c r="C46" s="331"/>
      <c r="D46" s="332"/>
      <c r="E46" s="332"/>
      <c r="F46" s="332"/>
      <c r="G46" s="333"/>
      <c r="H46" s="332"/>
      <c r="I46" s="332"/>
      <c r="J46" s="332"/>
      <c r="K46" s="332"/>
      <c r="L46" s="332"/>
      <c r="M46" s="332"/>
      <c r="N46" s="332"/>
      <c r="O46" s="332"/>
      <c r="P46" s="332"/>
      <c r="Q46" s="332"/>
    </row>
    <row r="47" spans="1:242" x14ac:dyDescent="0.2">
      <c r="A47" s="69"/>
      <c r="B47" s="334" t="s">
        <v>401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</row>
    <row r="48" spans="1:242" x14ac:dyDescent="0.2">
      <c r="A48" s="69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</row>
    <row r="49" spans="1:17" x14ac:dyDescent="0.2">
      <c r="A49" s="69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</row>
    <row r="50" spans="1:17" x14ac:dyDescent="0.2">
      <c r="A50" s="69"/>
      <c r="B50" s="69"/>
      <c r="C50" s="69"/>
      <c r="D50" s="69"/>
      <c r="E50" s="69"/>
    </row>
    <row r="51" spans="1:17" x14ac:dyDescent="0.2">
      <c r="A51" s="69"/>
      <c r="B51" s="69"/>
      <c r="C51" s="69"/>
      <c r="D51" s="69"/>
      <c r="E51" s="69"/>
    </row>
  </sheetData>
  <autoFilter ref="A12:WVM38" xr:uid="{00000000-0009-0000-0000-000006000000}"/>
  <mergeCells count="12">
    <mergeCell ref="B47:Q49"/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.7" right="0.7" top="0.75" bottom="0.75" header="0.3" footer="0.3"/>
  <pageSetup paperSize="9" scale="89" firstPageNumber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I117"/>
  <sheetViews>
    <sheetView view="pageBreakPreview" topLeftCell="A88" zoomScaleNormal="115" zoomScaleSheetLayoutView="100" workbookViewId="0">
      <selection activeCell="B103" sqref="B103:Q114"/>
    </sheetView>
  </sheetViews>
  <sheetFormatPr defaultColWidth="9" defaultRowHeight="11.25" x14ac:dyDescent="0.2"/>
  <cols>
    <col min="1" max="1" width="5" style="66" customWidth="1"/>
    <col min="2" max="2" width="4.5703125" style="66"/>
    <col min="3" max="3" width="44.28515625" style="66" customWidth="1"/>
    <col min="4" max="4" width="3.5703125" style="66"/>
    <col min="5" max="5" width="6.7109375" style="66" customWidth="1"/>
    <col min="6" max="6" width="4.7109375" style="66" hidden="1" customWidth="1"/>
    <col min="7" max="15" width="9" style="66" customWidth="1"/>
    <col min="16" max="16" width="9.140625" style="66" customWidth="1"/>
    <col min="17" max="17" width="9" style="66" customWidth="1"/>
    <col min="18" max="1012" width="8.5703125" style="66"/>
    <col min="1013" max="16384" width="9" style="66"/>
  </cols>
  <sheetData>
    <row r="1" spans="1:17" s="62" customFormat="1" x14ac:dyDescent="0.2">
      <c r="A1" s="237" t="s">
        <v>11</v>
      </c>
      <c r="B1" s="237"/>
      <c r="C1" s="237"/>
      <c r="D1" s="237"/>
      <c r="E1" s="237"/>
      <c r="F1" s="237"/>
      <c r="G1" s="237"/>
      <c r="H1" s="61">
        <f>KPDV!A18</f>
        <v>6</v>
      </c>
      <c r="I1" s="61"/>
      <c r="J1" s="61"/>
      <c r="K1" s="61"/>
      <c r="L1" s="61"/>
      <c r="M1" s="61"/>
      <c r="N1" s="61"/>
      <c r="O1" s="61"/>
      <c r="P1" s="61"/>
      <c r="Q1" s="61"/>
    </row>
    <row r="2" spans="1:17" x14ac:dyDescent="0.2">
      <c r="A2" s="63"/>
      <c r="B2" s="61"/>
      <c r="C2" s="64" t="s">
        <v>68</v>
      </c>
      <c r="D2" s="61"/>
      <c r="E2" s="61"/>
      <c r="F2" s="61"/>
      <c r="G2" s="61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">
      <c r="A3" s="63" t="str">
        <f>KPDV!A3</f>
        <v>Būves nosaukums: Daudzdzīvokļu dzīvojamās mājas fasādes vienkāršotā atjaunošana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68"/>
      <c r="O3" s="68"/>
      <c r="P3" s="68"/>
      <c r="Q3" s="65"/>
    </row>
    <row r="4" spans="1:17" x14ac:dyDescent="0.2">
      <c r="A4" s="63" t="str">
        <f>KPDV!A4</f>
        <v>Objekta nosaukums: Dzīvojamas ēkas fasādes vienkāršota atjaunošana</v>
      </c>
      <c r="B4" s="67"/>
      <c r="C4" s="67"/>
      <c r="D4" s="67"/>
      <c r="E4" s="67"/>
      <c r="F4" s="67"/>
      <c r="G4" s="67"/>
      <c r="H4" s="67"/>
      <c r="I4" s="65"/>
      <c r="J4" s="65"/>
      <c r="K4" s="68"/>
      <c r="L4" s="68"/>
      <c r="M4" s="68"/>
      <c r="N4" s="68"/>
      <c r="O4" s="68"/>
      <c r="P4" s="68"/>
      <c r="Q4" s="65"/>
    </row>
    <row r="5" spans="1:17" x14ac:dyDescent="0.2">
      <c r="A5" s="69" t="str">
        <f>KPDV!A5</f>
        <v>Objekta adrese: Eduarda Tisē ielā 50, Liepājā</v>
      </c>
      <c r="B5" s="65"/>
      <c r="C5" s="69"/>
      <c r="D5" s="65"/>
      <c r="E5" s="67"/>
      <c r="F5" s="67"/>
      <c r="G5" s="65"/>
      <c r="H5" s="65"/>
      <c r="I5" s="65"/>
      <c r="J5" s="65"/>
      <c r="K5" s="68"/>
      <c r="L5" s="68"/>
      <c r="M5" s="68"/>
      <c r="N5" s="68"/>
      <c r="O5" s="68"/>
      <c r="P5" s="68"/>
      <c r="Q5" s="65"/>
    </row>
    <row r="6" spans="1:17" x14ac:dyDescent="0.2">
      <c r="A6" s="69" t="str">
        <f>KPDV!A6</f>
        <v>Pasūtījuma Nr.EA-15-17</v>
      </c>
      <c r="B6" s="65"/>
      <c r="C6" s="69"/>
      <c r="D6" s="65"/>
      <c r="E6" s="65"/>
      <c r="F6" s="65"/>
      <c r="G6" s="65"/>
      <c r="H6" s="65"/>
      <c r="I6" s="65"/>
      <c r="J6" s="65"/>
      <c r="K6" s="68"/>
      <c r="L6" s="68"/>
      <c r="M6" s="68"/>
      <c r="N6" s="68"/>
      <c r="O6" s="68"/>
      <c r="P6" s="68"/>
      <c r="Q6" s="65"/>
    </row>
    <row r="7" spans="1:17" x14ac:dyDescent="0.2">
      <c r="A7" s="69" t="str">
        <f>KPDV!A7</f>
        <v>Pasūtītājs: SIA "Liepājas namu apsaimniekotājs"</v>
      </c>
      <c r="B7" s="65"/>
      <c r="C7" s="69"/>
      <c r="D7" s="65"/>
      <c r="E7" s="65"/>
      <c r="F7" s="65"/>
      <c r="G7" s="65"/>
      <c r="H7" s="65"/>
      <c r="I7" s="65"/>
      <c r="J7" s="65"/>
      <c r="K7" s="68"/>
      <c r="L7" s="68"/>
      <c r="M7" s="68"/>
      <c r="N7" s="68"/>
      <c r="O7" s="68"/>
      <c r="P7" s="68"/>
      <c r="Q7" s="65"/>
    </row>
    <row r="8" spans="1:17" x14ac:dyDescent="0.2">
      <c r="A8" s="251" t="str">
        <f>AR!D8</f>
        <v>Tāme sastādīta .gada tirgus cenās, pamatojoties uz:</v>
      </c>
      <c r="B8" s="251"/>
      <c r="C8" s="251"/>
      <c r="D8" s="251"/>
      <c r="E8" s="65" t="s">
        <v>268</v>
      </c>
      <c r="F8" s="65"/>
      <c r="G8" s="252" t="s">
        <v>13</v>
      </c>
      <c r="H8" s="252"/>
      <c r="I8" s="252"/>
      <c r="J8" s="252"/>
      <c r="K8" s="69"/>
      <c r="L8" s="69"/>
      <c r="M8" s="69"/>
      <c r="N8" s="69" t="s">
        <v>48</v>
      </c>
      <c r="O8" s="69"/>
      <c r="P8" s="70">
        <f>Q104</f>
        <v>0</v>
      </c>
      <c r="Q8" s="71" t="s">
        <v>49</v>
      </c>
    </row>
    <row r="9" spans="1:17" x14ac:dyDescent="0.2">
      <c r="A9" s="63"/>
      <c r="B9" s="65"/>
      <c r="C9" s="69"/>
      <c r="D9" s="65"/>
      <c r="E9" s="65"/>
      <c r="F9" s="65"/>
      <c r="G9" s="65"/>
      <c r="H9" s="65"/>
      <c r="I9" s="65"/>
      <c r="J9" s="65"/>
      <c r="K9" s="65"/>
      <c r="L9" s="65"/>
      <c r="M9" s="65"/>
      <c r="N9" s="253" t="str">
        <f>KPDV!B10</f>
        <v>Tāme sastādīta .gada</v>
      </c>
      <c r="O9" s="253"/>
      <c r="P9" s="253"/>
      <c r="Q9" s="253"/>
    </row>
    <row r="10" spans="1:17" x14ac:dyDescent="0.2">
      <c r="A10" s="254" t="s">
        <v>15</v>
      </c>
      <c r="B10" s="240" t="s">
        <v>16</v>
      </c>
      <c r="C10" s="241" t="s">
        <v>17</v>
      </c>
      <c r="D10" s="242" t="s">
        <v>18</v>
      </c>
      <c r="E10" s="240" t="s">
        <v>19</v>
      </c>
      <c r="F10" s="72"/>
      <c r="G10" s="243" t="s">
        <v>20</v>
      </c>
      <c r="H10" s="243"/>
      <c r="I10" s="243"/>
      <c r="J10" s="243"/>
      <c r="K10" s="243"/>
      <c r="L10" s="243"/>
      <c r="M10" s="243" t="s">
        <v>21</v>
      </c>
      <c r="N10" s="243"/>
      <c r="O10" s="243"/>
      <c r="P10" s="243"/>
      <c r="Q10" s="243"/>
    </row>
    <row r="11" spans="1:17" ht="55.5" x14ac:dyDescent="0.2">
      <c r="A11" s="254"/>
      <c r="B11" s="240"/>
      <c r="C11" s="241"/>
      <c r="D11" s="242"/>
      <c r="E11" s="240"/>
      <c r="F11" s="72"/>
      <c r="G11" s="335" t="s">
        <v>403</v>
      </c>
      <c r="H11" s="336" t="s">
        <v>404</v>
      </c>
      <c r="I11" s="336" t="s">
        <v>405</v>
      </c>
      <c r="J11" s="336" t="s">
        <v>406</v>
      </c>
      <c r="K11" s="336" t="s">
        <v>407</v>
      </c>
      <c r="L11" s="337" t="s">
        <v>365</v>
      </c>
      <c r="M11" s="335" t="s">
        <v>22</v>
      </c>
      <c r="N11" s="336" t="s">
        <v>405</v>
      </c>
      <c r="O11" s="336" t="s">
        <v>406</v>
      </c>
      <c r="P11" s="336" t="s">
        <v>407</v>
      </c>
      <c r="Q11" s="337" t="s">
        <v>408</v>
      </c>
    </row>
    <row r="12" spans="1:17" x14ac:dyDescent="0.2">
      <c r="A12" s="73">
        <v>1</v>
      </c>
      <c r="B12" s="74">
        <f>A12+1</f>
        <v>2</v>
      </c>
      <c r="C12" s="75">
        <f>B12+1</f>
        <v>3</v>
      </c>
      <c r="D12" s="74">
        <f>C12+1</f>
        <v>4</v>
      </c>
      <c r="E12" s="74">
        <f>D12+1</f>
        <v>5</v>
      </c>
      <c r="F12" s="74"/>
      <c r="G12" s="74">
        <f>E12+1</f>
        <v>6</v>
      </c>
      <c r="H12" s="74">
        <f t="shared" ref="H12:Q12" si="0">G12+1</f>
        <v>7</v>
      </c>
      <c r="I12" s="74">
        <f t="shared" si="0"/>
        <v>8</v>
      </c>
      <c r="J12" s="74">
        <f t="shared" si="0"/>
        <v>9</v>
      </c>
      <c r="K12" s="74">
        <f t="shared" si="0"/>
        <v>10</v>
      </c>
      <c r="L12" s="74">
        <f t="shared" si="0"/>
        <v>11</v>
      </c>
      <c r="M12" s="74">
        <f t="shared" si="0"/>
        <v>12</v>
      </c>
      <c r="N12" s="74">
        <f t="shared" si="0"/>
        <v>13</v>
      </c>
      <c r="O12" s="74">
        <f t="shared" si="0"/>
        <v>14</v>
      </c>
      <c r="P12" s="74">
        <f t="shared" si="0"/>
        <v>15</v>
      </c>
      <c r="Q12" s="74">
        <f t="shared" si="0"/>
        <v>16</v>
      </c>
    </row>
    <row r="13" spans="1:17" x14ac:dyDescent="0.2">
      <c r="A13" s="74"/>
      <c r="B13" s="74"/>
      <c r="C13" s="76" t="s">
        <v>187</v>
      </c>
      <c r="D13" s="76"/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33.75" x14ac:dyDescent="0.2">
      <c r="A14" s="78">
        <f>IF(COUNTBLANK(B14)=1," ",COUNTA(B$14:B14))</f>
        <v>1</v>
      </c>
      <c r="B14" s="79" t="s">
        <v>232</v>
      </c>
      <c r="C14" s="80" t="s">
        <v>188</v>
      </c>
      <c r="D14" s="78" t="s">
        <v>29</v>
      </c>
      <c r="E14" s="78">
        <v>441</v>
      </c>
      <c r="F14" s="80"/>
      <c r="G14" s="81"/>
      <c r="H14" s="82"/>
      <c r="I14" s="81"/>
      <c r="J14" s="81"/>
      <c r="K14" s="81"/>
      <c r="L14" s="83"/>
      <c r="M14" s="84"/>
      <c r="N14" s="84"/>
      <c r="O14" s="84"/>
      <c r="P14" s="84"/>
      <c r="Q14" s="84"/>
    </row>
    <row r="15" spans="1:17" ht="33.75" x14ac:dyDescent="0.2">
      <c r="A15" s="78">
        <f>IF(COUNTBLANK(B15)=1," ",COUNTA(B$14:B15))</f>
        <v>2</v>
      </c>
      <c r="B15" s="78">
        <v>2</v>
      </c>
      <c r="C15" s="80" t="s">
        <v>189</v>
      </c>
      <c r="D15" s="78" t="s">
        <v>29</v>
      </c>
      <c r="E15" s="78">
        <v>10.5</v>
      </c>
      <c r="F15" s="80"/>
      <c r="G15" s="81"/>
      <c r="H15" s="82"/>
      <c r="I15" s="81"/>
      <c r="J15" s="81"/>
      <c r="K15" s="81"/>
      <c r="L15" s="83"/>
      <c r="M15" s="84"/>
      <c r="N15" s="84"/>
      <c r="O15" s="84"/>
      <c r="P15" s="84"/>
      <c r="Q15" s="84"/>
    </row>
    <row r="16" spans="1:17" ht="22.5" x14ac:dyDescent="0.2">
      <c r="A16" s="78">
        <f>IF(COUNTBLANK(B16)=1," ",COUNTA(B$14:B16))</f>
        <v>3</v>
      </c>
      <c r="B16" s="78">
        <v>3</v>
      </c>
      <c r="C16" s="80" t="s">
        <v>190</v>
      </c>
      <c r="D16" s="85" t="s">
        <v>29</v>
      </c>
      <c r="E16" s="78">
        <v>2.8</v>
      </c>
      <c r="F16" s="80"/>
      <c r="G16" s="81"/>
      <c r="H16" s="82"/>
      <c r="I16" s="81"/>
      <c r="J16" s="81"/>
      <c r="K16" s="81"/>
      <c r="L16" s="83"/>
      <c r="M16" s="84"/>
      <c r="N16" s="84"/>
      <c r="O16" s="84"/>
      <c r="P16" s="84"/>
      <c r="Q16" s="84"/>
    </row>
    <row r="17" spans="1:17" ht="22.5" x14ac:dyDescent="0.2">
      <c r="A17" s="78">
        <f>IF(COUNTBLANK(B17)=1," ",COUNTA(B$14:B17))</f>
        <v>4</v>
      </c>
      <c r="B17" s="78">
        <v>4</v>
      </c>
      <c r="C17" s="80" t="s">
        <v>191</v>
      </c>
      <c r="D17" s="85" t="s">
        <v>29</v>
      </c>
      <c r="E17" s="78">
        <v>61</v>
      </c>
      <c r="F17" s="80"/>
      <c r="G17" s="81"/>
      <c r="H17" s="82"/>
      <c r="I17" s="81"/>
      <c r="J17" s="81"/>
      <c r="K17" s="81"/>
      <c r="L17" s="83"/>
      <c r="M17" s="84"/>
      <c r="N17" s="84"/>
      <c r="O17" s="84"/>
      <c r="P17" s="84"/>
      <c r="Q17" s="84"/>
    </row>
    <row r="18" spans="1:17" ht="33.75" x14ac:dyDescent="0.2">
      <c r="A18" s="78">
        <f>IF(COUNTBLANK(B18)=1," ",COUNTA(B$14:B18))</f>
        <v>5</v>
      </c>
      <c r="B18" s="78">
        <v>5</v>
      </c>
      <c r="C18" s="80" t="s">
        <v>192</v>
      </c>
      <c r="D18" s="85" t="s">
        <v>29</v>
      </c>
      <c r="E18" s="78">
        <v>29.64</v>
      </c>
      <c r="F18" s="80"/>
      <c r="G18" s="81"/>
      <c r="H18" s="82"/>
      <c r="I18" s="81"/>
      <c r="J18" s="81"/>
      <c r="K18" s="81"/>
      <c r="L18" s="83"/>
      <c r="M18" s="84"/>
      <c r="N18" s="84"/>
      <c r="O18" s="84"/>
      <c r="P18" s="84"/>
      <c r="Q18" s="84"/>
    </row>
    <row r="19" spans="1:17" x14ac:dyDescent="0.2">
      <c r="A19" s="78">
        <f>IF(COUNTBLANK(B19)=1," ",COUNTA(B$14:B19))</f>
        <v>6</v>
      </c>
      <c r="B19" s="78">
        <v>6</v>
      </c>
      <c r="C19" s="80" t="s">
        <v>193</v>
      </c>
      <c r="D19" s="85" t="s">
        <v>29</v>
      </c>
      <c r="E19" s="78">
        <v>4.5999999999999996</v>
      </c>
      <c r="F19" s="80"/>
      <c r="G19" s="81"/>
      <c r="H19" s="82"/>
      <c r="I19" s="81"/>
      <c r="J19" s="81"/>
      <c r="K19" s="81"/>
      <c r="L19" s="83"/>
      <c r="M19" s="84"/>
      <c r="N19" s="84"/>
      <c r="O19" s="84"/>
      <c r="P19" s="84"/>
      <c r="Q19" s="84"/>
    </row>
    <row r="20" spans="1:17" ht="22.5" x14ac:dyDescent="0.2">
      <c r="A20" s="78">
        <f>IF(COUNTBLANK(B20)=1," ",COUNTA(B$14:B20))</f>
        <v>7</v>
      </c>
      <c r="B20" s="78">
        <v>7</v>
      </c>
      <c r="C20" s="80" t="s">
        <v>194</v>
      </c>
      <c r="D20" s="85" t="s">
        <v>29</v>
      </c>
      <c r="E20" s="78">
        <v>7.7</v>
      </c>
      <c r="F20" s="80"/>
      <c r="G20" s="81"/>
      <c r="H20" s="82"/>
      <c r="I20" s="81"/>
      <c r="J20" s="81"/>
      <c r="K20" s="81"/>
      <c r="L20" s="83"/>
      <c r="M20" s="84"/>
      <c r="N20" s="84"/>
      <c r="O20" s="84"/>
      <c r="P20" s="84"/>
      <c r="Q20" s="84"/>
    </row>
    <row r="21" spans="1:17" ht="33.75" x14ac:dyDescent="0.2">
      <c r="A21" s="78">
        <f>IF(COUNTBLANK(B21)=1," ",COUNTA(B$14:B21))</f>
        <v>8</v>
      </c>
      <c r="B21" s="78">
        <v>8</v>
      </c>
      <c r="C21" s="80" t="s">
        <v>233</v>
      </c>
      <c r="D21" s="86" t="s">
        <v>29</v>
      </c>
      <c r="E21" s="86">
        <v>424</v>
      </c>
      <c r="F21" s="80"/>
      <c r="G21" s="81"/>
      <c r="H21" s="82"/>
      <c r="I21" s="81"/>
      <c r="J21" s="81"/>
      <c r="K21" s="81"/>
      <c r="L21" s="83"/>
      <c r="M21" s="84"/>
      <c r="N21" s="84"/>
      <c r="O21" s="84"/>
      <c r="P21" s="84"/>
      <c r="Q21" s="84"/>
    </row>
    <row r="22" spans="1:17" ht="22.5" x14ac:dyDescent="0.2">
      <c r="A22" s="78">
        <f>IF(COUNTBLANK(B22)=1," ",COUNTA(B$14:B22))</f>
        <v>9</v>
      </c>
      <c r="B22" s="78">
        <v>9</v>
      </c>
      <c r="C22" s="80" t="s">
        <v>195</v>
      </c>
      <c r="D22" s="85" t="s">
        <v>25</v>
      </c>
      <c r="E22" s="87">
        <v>110</v>
      </c>
      <c r="F22" s="80"/>
      <c r="G22" s="81"/>
      <c r="H22" s="82"/>
      <c r="I22" s="81"/>
      <c r="J22" s="81"/>
      <c r="K22" s="81"/>
      <c r="L22" s="83"/>
      <c r="M22" s="84"/>
      <c r="N22" s="84"/>
      <c r="O22" s="84"/>
      <c r="P22" s="84"/>
      <c r="Q22" s="84"/>
    </row>
    <row r="23" spans="1:17" ht="25.5" customHeight="1" x14ac:dyDescent="0.2">
      <c r="A23" s="80"/>
      <c r="B23" s="88"/>
      <c r="C23" s="88" t="s">
        <v>275</v>
      </c>
      <c r="D23" s="88"/>
      <c r="E23" s="88"/>
      <c r="F23" s="88"/>
      <c r="G23" s="88"/>
      <c r="H23" s="88"/>
      <c r="I23" s="88"/>
      <c r="J23" s="88"/>
      <c r="K23" s="88"/>
      <c r="L23" s="83"/>
      <c r="M23" s="84"/>
      <c r="N23" s="84"/>
      <c r="O23" s="84"/>
      <c r="P23" s="84"/>
      <c r="Q23" s="84"/>
    </row>
    <row r="24" spans="1:17" s="69" customFormat="1" ht="22.5" x14ac:dyDescent="0.2">
      <c r="A24" s="78">
        <f>IF(COUNTBLANK(B24)=1," ",COUNTA(B$14:B24))</f>
        <v>10</v>
      </c>
      <c r="B24" s="89" t="s">
        <v>23</v>
      </c>
      <c r="C24" s="80" t="s">
        <v>196</v>
      </c>
      <c r="D24" s="85" t="s">
        <v>29</v>
      </c>
      <c r="E24" s="90">
        <v>424</v>
      </c>
      <c r="F24" s="78"/>
      <c r="G24" s="81"/>
      <c r="H24" s="82"/>
      <c r="I24" s="81"/>
      <c r="J24" s="91"/>
      <c r="K24" s="81"/>
      <c r="L24" s="83"/>
      <c r="M24" s="84"/>
      <c r="N24" s="84"/>
      <c r="O24" s="84"/>
      <c r="P24" s="84"/>
      <c r="Q24" s="84"/>
    </row>
    <row r="25" spans="1:17" s="69" customFormat="1" x14ac:dyDescent="0.25">
      <c r="A25" s="78" t="str">
        <f>IF(COUNTBLANK(B25)=1," ",COUNTA(B$14:B25))</f>
        <v xml:space="preserve"> </v>
      </c>
      <c r="B25" s="89"/>
      <c r="C25" s="78" t="s">
        <v>282</v>
      </c>
      <c r="D25" s="78" t="s">
        <v>61</v>
      </c>
      <c r="E25" s="81">
        <f>ROUNDUP(E24*F25,2)</f>
        <v>12.72</v>
      </c>
      <c r="F25" s="78">
        <v>0.03</v>
      </c>
      <c r="G25" s="78"/>
      <c r="H25" s="78"/>
      <c r="I25" s="78"/>
      <c r="J25" s="78"/>
      <c r="K25" s="78"/>
      <c r="L25" s="83"/>
      <c r="M25" s="84"/>
      <c r="N25" s="84"/>
      <c r="O25" s="84"/>
      <c r="P25" s="84"/>
      <c r="Q25" s="84"/>
    </row>
    <row r="26" spans="1:17" ht="45" x14ac:dyDescent="0.2">
      <c r="A26" s="78">
        <f>IF(COUNTBLANK(B26)=1," ",COUNTA(B$14:B26))</f>
        <v>11</v>
      </c>
      <c r="B26" s="85">
        <v>11</v>
      </c>
      <c r="C26" s="80" t="s">
        <v>431</v>
      </c>
      <c r="D26" s="78" t="s">
        <v>29</v>
      </c>
      <c r="E26" s="78">
        <v>466</v>
      </c>
      <c r="F26" s="80"/>
      <c r="G26" s="92"/>
      <c r="H26" s="82"/>
      <c r="I26" s="92"/>
      <c r="J26" s="92"/>
      <c r="K26" s="92"/>
      <c r="L26" s="83"/>
      <c r="M26" s="84"/>
      <c r="N26" s="84"/>
      <c r="O26" s="84"/>
      <c r="P26" s="84"/>
      <c r="Q26" s="84"/>
    </row>
    <row r="27" spans="1:17" ht="33.75" x14ac:dyDescent="0.2">
      <c r="A27" s="78">
        <f>IF(COUNTBLANK(B27)=1," ",COUNTA(B$14:B27))</f>
        <v>12</v>
      </c>
      <c r="B27" s="85">
        <v>12</v>
      </c>
      <c r="C27" s="80" t="s">
        <v>432</v>
      </c>
      <c r="D27" s="85" t="s">
        <v>61</v>
      </c>
      <c r="E27" s="90">
        <v>81</v>
      </c>
      <c r="F27" s="80"/>
      <c r="G27" s="81"/>
      <c r="H27" s="82"/>
      <c r="I27" s="81"/>
      <c r="J27" s="91"/>
      <c r="K27" s="81"/>
      <c r="L27" s="83"/>
      <c r="M27" s="84"/>
      <c r="N27" s="84"/>
      <c r="O27" s="84"/>
      <c r="P27" s="84"/>
      <c r="Q27" s="84"/>
    </row>
    <row r="28" spans="1:17" ht="22.5" x14ac:dyDescent="0.2">
      <c r="A28" s="78">
        <f>IF(COUNTBLANK(B28)=1," ",COUNTA(B$14:B28))</f>
        <v>13</v>
      </c>
      <c r="B28" s="85">
        <v>13</v>
      </c>
      <c r="C28" s="80" t="s">
        <v>433</v>
      </c>
      <c r="D28" s="85" t="s">
        <v>61</v>
      </c>
      <c r="E28" s="90">
        <f>406*0.03</f>
        <v>12.18</v>
      </c>
      <c r="F28" s="80"/>
      <c r="G28" s="81"/>
      <c r="H28" s="82"/>
      <c r="I28" s="81"/>
      <c r="J28" s="91"/>
      <c r="K28" s="81"/>
      <c r="L28" s="83"/>
      <c r="M28" s="84"/>
      <c r="N28" s="84"/>
      <c r="O28" s="84"/>
      <c r="P28" s="84"/>
      <c r="Q28" s="84"/>
    </row>
    <row r="29" spans="1:17" ht="33.75" x14ac:dyDescent="0.2">
      <c r="A29" s="78">
        <f>IF(COUNTBLANK(B29)=1," ",COUNTA(B$14:B29))</f>
        <v>14</v>
      </c>
      <c r="B29" s="85">
        <v>14</v>
      </c>
      <c r="C29" s="80" t="s">
        <v>197</v>
      </c>
      <c r="D29" s="78" t="s">
        <v>61</v>
      </c>
      <c r="E29" s="78">
        <v>0.86</v>
      </c>
      <c r="F29" s="80"/>
      <c r="G29" s="81"/>
      <c r="H29" s="82"/>
      <c r="I29" s="81"/>
      <c r="J29" s="91"/>
      <c r="K29" s="81"/>
      <c r="L29" s="83"/>
      <c r="M29" s="84"/>
      <c r="N29" s="84"/>
      <c r="O29" s="84"/>
      <c r="P29" s="84"/>
      <c r="Q29" s="84"/>
    </row>
    <row r="30" spans="1:17" ht="22.5" x14ac:dyDescent="0.2">
      <c r="A30" s="78">
        <f>IF(COUNTBLANK(B30)=1," ",COUNTA(B$14:B30))</f>
        <v>15</v>
      </c>
      <c r="B30" s="85">
        <v>15</v>
      </c>
      <c r="C30" s="80" t="s">
        <v>434</v>
      </c>
      <c r="D30" s="85" t="s">
        <v>61</v>
      </c>
      <c r="E30" s="90">
        <f>0.1*0.5*38.25</f>
        <v>1.9125000000000001</v>
      </c>
      <c r="F30" s="80"/>
      <c r="G30" s="81"/>
      <c r="H30" s="82"/>
      <c r="I30" s="81"/>
      <c r="J30" s="91"/>
      <c r="K30" s="81"/>
      <c r="L30" s="83"/>
      <c r="M30" s="84"/>
      <c r="N30" s="84"/>
      <c r="O30" s="84"/>
      <c r="P30" s="84"/>
      <c r="Q30" s="84"/>
    </row>
    <row r="31" spans="1:17" ht="22.5" x14ac:dyDescent="0.2">
      <c r="A31" s="78">
        <f>IF(COUNTBLANK(B31)=1," ",COUNTA(B$14:B31))</f>
        <v>16</v>
      </c>
      <c r="B31" s="85">
        <v>16</v>
      </c>
      <c r="C31" s="80" t="s">
        <v>435</v>
      </c>
      <c r="D31" s="85" t="s">
        <v>61</v>
      </c>
      <c r="E31" s="90">
        <f>0.04*0.5*38.25</f>
        <v>0.76500000000000001</v>
      </c>
      <c r="F31" s="80"/>
      <c r="G31" s="81"/>
      <c r="H31" s="82"/>
      <c r="I31" s="81"/>
      <c r="J31" s="91"/>
      <c r="K31" s="81"/>
      <c r="L31" s="83"/>
      <c r="M31" s="84"/>
      <c r="N31" s="84"/>
      <c r="O31" s="84"/>
      <c r="P31" s="84"/>
      <c r="Q31" s="84"/>
    </row>
    <row r="32" spans="1:17" ht="67.5" x14ac:dyDescent="0.2">
      <c r="A32" s="78">
        <f>IF(COUNTBLANK(B32)=1," ",COUNTA(B$14:B32))</f>
        <v>17</v>
      </c>
      <c r="B32" s="85">
        <v>17</v>
      </c>
      <c r="C32" s="80" t="s">
        <v>436</v>
      </c>
      <c r="D32" s="78" t="s">
        <v>29</v>
      </c>
      <c r="E32" s="78">
        <v>432</v>
      </c>
      <c r="F32" s="80"/>
      <c r="G32" s="81"/>
      <c r="H32" s="82"/>
      <c r="I32" s="81"/>
      <c r="J32" s="91"/>
      <c r="K32" s="81"/>
      <c r="L32" s="83"/>
      <c r="M32" s="84"/>
      <c r="N32" s="84"/>
      <c r="O32" s="84"/>
      <c r="P32" s="84"/>
      <c r="Q32" s="84"/>
    </row>
    <row r="33" spans="1:17" ht="67.5" x14ac:dyDescent="0.2">
      <c r="A33" s="78">
        <f>IF(COUNTBLANK(B33)=1," ",COUNTA(B$14:B33))</f>
        <v>18</v>
      </c>
      <c r="B33" s="85">
        <v>18</v>
      </c>
      <c r="C33" s="80" t="s">
        <v>437</v>
      </c>
      <c r="D33" s="78" t="s">
        <v>29</v>
      </c>
      <c r="E33" s="81">
        <f>1.05*101.5</f>
        <v>106.575</v>
      </c>
      <c r="F33" s="80"/>
      <c r="G33" s="81"/>
      <c r="H33" s="82"/>
      <c r="I33" s="81"/>
      <c r="J33" s="91"/>
      <c r="K33" s="81"/>
      <c r="L33" s="83"/>
      <c r="M33" s="84"/>
      <c r="N33" s="84"/>
      <c r="O33" s="84"/>
      <c r="P33" s="84"/>
      <c r="Q33" s="84"/>
    </row>
    <row r="34" spans="1:17" ht="67.5" x14ac:dyDescent="0.2">
      <c r="A34" s="78">
        <f>IF(COUNTBLANK(B34)=1," ",COUNTA(B$14:B34))</f>
        <v>19</v>
      </c>
      <c r="B34" s="85">
        <v>19</v>
      </c>
      <c r="C34" s="80" t="s">
        <v>438</v>
      </c>
      <c r="D34" s="78" t="s">
        <v>29</v>
      </c>
      <c r="E34" s="78">
        <v>28.1</v>
      </c>
      <c r="F34" s="80"/>
      <c r="G34" s="81"/>
      <c r="H34" s="82"/>
      <c r="I34" s="81"/>
      <c r="J34" s="91"/>
      <c r="K34" s="81"/>
      <c r="L34" s="83"/>
      <c r="M34" s="84"/>
      <c r="N34" s="84"/>
      <c r="O34" s="84"/>
      <c r="P34" s="84"/>
      <c r="Q34" s="84"/>
    </row>
    <row r="35" spans="1:17" ht="22.5" x14ac:dyDescent="0.2">
      <c r="A35" s="78">
        <f>IF(COUNTBLANK(B35)=1," ",COUNTA(B$14:B35))</f>
        <v>20</v>
      </c>
      <c r="B35" s="93" t="s">
        <v>198</v>
      </c>
      <c r="C35" s="80" t="s">
        <v>439</v>
      </c>
      <c r="D35" s="85" t="s">
        <v>27</v>
      </c>
      <c r="E35" s="94">
        <v>2</v>
      </c>
      <c r="F35" s="80"/>
      <c r="G35" s="81"/>
      <c r="H35" s="82"/>
      <c r="I35" s="81"/>
      <c r="J35" s="91"/>
      <c r="K35" s="81"/>
      <c r="L35" s="83"/>
      <c r="M35" s="84"/>
      <c r="N35" s="84"/>
      <c r="O35" s="84"/>
      <c r="P35" s="84"/>
      <c r="Q35" s="84"/>
    </row>
    <row r="36" spans="1:17" ht="22.5" x14ac:dyDescent="0.2">
      <c r="A36" s="78">
        <f>IF(COUNTBLANK(B36)=1," ",COUNTA(B$14:B36))</f>
        <v>21</v>
      </c>
      <c r="B36" s="85">
        <v>21</v>
      </c>
      <c r="C36" s="80" t="s">
        <v>123</v>
      </c>
      <c r="D36" s="85" t="s">
        <v>27</v>
      </c>
      <c r="E36" s="94">
        <v>2</v>
      </c>
      <c r="F36" s="80"/>
      <c r="G36" s="81"/>
      <c r="H36" s="82"/>
      <c r="I36" s="81"/>
      <c r="J36" s="91"/>
      <c r="K36" s="81"/>
      <c r="L36" s="83"/>
      <c r="M36" s="84"/>
      <c r="N36" s="84"/>
      <c r="O36" s="84"/>
      <c r="P36" s="84"/>
      <c r="Q36" s="84"/>
    </row>
    <row r="37" spans="1:17" ht="67.5" x14ac:dyDescent="0.2">
      <c r="A37" s="78">
        <f>IF(COUNTBLANK(B37)=1," ",COUNTA(B$14:B37))</f>
        <v>22</v>
      </c>
      <c r="B37" s="85">
        <v>22</v>
      </c>
      <c r="C37" s="80" t="s">
        <v>440</v>
      </c>
      <c r="D37" s="85" t="s">
        <v>29</v>
      </c>
      <c r="E37" s="90">
        <v>54.1</v>
      </c>
      <c r="F37" s="80"/>
      <c r="G37" s="81"/>
      <c r="H37" s="82"/>
      <c r="I37" s="81"/>
      <c r="J37" s="91"/>
      <c r="K37" s="81"/>
      <c r="L37" s="83"/>
      <c r="M37" s="84"/>
      <c r="N37" s="84"/>
      <c r="O37" s="84"/>
      <c r="P37" s="84"/>
      <c r="Q37" s="84"/>
    </row>
    <row r="38" spans="1:17" ht="22.5" x14ac:dyDescent="0.2">
      <c r="A38" s="78">
        <f>IF(COUNTBLANK(B38)=1," ",COUNTA(B$14:B38))</f>
        <v>23</v>
      </c>
      <c r="B38" s="93" t="s">
        <v>199</v>
      </c>
      <c r="C38" s="80" t="s">
        <v>441</v>
      </c>
      <c r="D38" s="85" t="s">
        <v>27</v>
      </c>
      <c r="E38" s="94">
        <v>6</v>
      </c>
      <c r="F38" s="80"/>
      <c r="G38" s="81"/>
      <c r="H38" s="82"/>
      <c r="I38" s="81"/>
      <c r="J38" s="91"/>
      <c r="K38" s="81"/>
      <c r="L38" s="83"/>
      <c r="M38" s="84"/>
      <c r="N38" s="84"/>
      <c r="O38" s="84"/>
      <c r="P38" s="84"/>
      <c r="Q38" s="84"/>
    </row>
    <row r="39" spans="1:17" ht="22.5" x14ac:dyDescent="0.2">
      <c r="A39" s="78">
        <f>IF(COUNTBLANK(B39)=1," ",COUNTA(B$14:B39))</f>
        <v>24</v>
      </c>
      <c r="B39" s="93" t="s">
        <v>200</v>
      </c>
      <c r="C39" s="80" t="s">
        <v>442</v>
      </c>
      <c r="D39" s="85" t="s">
        <v>29</v>
      </c>
      <c r="E39" s="90">
        <v>1.2</v>
      </c>
      <c r="F39" s="80"/>
      <c r="G39" s="81"/>
      <c r="H39" s="82"/>
      <c r="I39" s="81"/>
      <c r="J39" s="91"/>
      <c r="K39" s="81"/>
      <c r="L39" s="83"/>
      <c r="M39" s="84"/>
      <c r="N39" s="84"/>
      <c r="O39" s="84"/>
      <c r="P39" s="84"/>
      <c r="Q39" s="84"/>
    </row>
    <row r="40" spans="1:17" ht="22.5" x14ac:dyDescent="0.2">
      <c r="A40" s="78">
        <f>IF(COUNTBLANK(B40)=1," ",COUNTA(B$14:B40))</f>
        <v>25</v>
      </c>
      <c r="B40" s="93" t="s">
        <v>201</v>
      </c>
      <c r="C40" s="80" t="s">
        <v>124</v>
      </c>
      <c r="D40" s="95" t="s">
        <v>278</v>
      </c>
      <c r="E40" s="96">
        <v>1</v>
      </c>
      <c r="F40" s="77"/>
      <c r="G40" s="81"/>
      <c r="H40" s="82"/>
      <c r="I40" s="81"/>
      <c r="J40" s="91"/>
      <c r="K40" s="81"/>
      <c r="L40" s="83"/>
      <c r="M40" s="84"/>
      <c r="N40" s="84"/>
      <c r="O40" s="84"/>
      <c r="P40" s="84"/>
      <c r="Q40" s="84"/>
    </row>
    <row r="41" spans="1:17" ht="22.5" x14ac:dyDescent="0.2">
      <c r="A41" s="78" t="str">
        <f>IF(COUNTBLANK(B41)=1," ",COUNTA(B$14:B41))</f>
        <v xml:space="preserve"> </v>
      </c>
      <c r="B41" s="85"/>
      <c r="C41" s="80" t="s">
        <v>294</v>
      </c>
      <c r="D41" s="85" t="s">
        <v>27</v>
      </c>
      <c r="E41" s="94">
        <v>1354</v>
      </c>
      <c r="F41" s="80"/>
      <c r="G41" s="80"/>
      <c r="H41" s="77"/>
      <c r="I41" s="77"/>
      <c r="J41" s="77"/>
      <c r="K41" s="77"/>
      <c r="L41" s="83"/>
      <c r="M41" s="84"/>
      <c r="N41" s="84"/>
      <c r="O41" s="84"/>
      <c r="P41" s="84"/>
      <c r="Q41" s="84"/>
    </row>
    <row r="42" spans="1:17" x14ac:dyDescent="0.2">
      <c r="A42" s="78">
        <f>IF(COUNTBLANK(B42)=1," ",COUNTA(B$14:B42))</f>
        <v>26</v>
      </c>
      <c r="B42" s="85">
        <v>26</v>
      </c>
      <c r="C42" s="80" t="s">
        <v>443</v>
      </c>
      <c r="D42" s="85" t="s">
        <v>25</v>
      </c>
      <c r="E42" s="94">
        <v>89</v>
      </c>
      <c r="F42" s="80"/>
      <c r="G42" s="80"/>
      <c r="H42" s="77"/>
      <c r="I42" s="77"/>
      <c r="J42" s="77"/>
      <c r="K42" s="77"/>
      <c r="L42" s="83"/>
      <c r="M42" s="84"/>
      <c r="N42" s="84"/>
      <c r="O42" s="84"/>
      <c r="P42" s="84"/>
      <c r="Q42" s="84"/>
    </row>
    <row r="43" spans="1:17" ht="22.5" x14ac:dyDescent="0.2">
      <c r="A43" s="78">
        <f>IF(COUNTBLANK(B43)=1," ",COUNTA(B$14:B43))</f>
        <v>27</v>
      </c>
      <c r="B43" s="85">
        <v>27</v>
      </c>
      <c r="C43" s="97" t="s">
        <v>202</v>
      </c>
      <c r="D43" s="85" t="s">
        <v>27</v>
      </c>
      <c r="E43" s="94">
        <v>120</v>
      </c>
      <c r="F43" s="80"/>
      <c r="G43" s="80"/>
      <c r="H43" s="77"/>
      <c r="I43" s="77"/>
      <c r="J43" s="77"/>
      <c r="K43" s="77"/>
      <c r="L43" s="83"/>
      <c r="M43" s="84"/>
      <c r="N43" s="84"/>
      <c r="O43" s="84"/>
      <c r="P43" s="84"/>
      <c r="Q43" s="84"/>
    </row>
    <row r="44" spans="1:17" ht="33.75" x14ac:dyDescent="0.2">
      <c r="A44" s="78">
        <f>IF(COUNTBLANK(B44)=1," ",COUNTA(B$14:B44))</f>
        <v>28</v>
      </c>
      <c r="B44" s="85">
        <v>28</v>
      </c>
      <c r="C44" s="80" t="s">
        <v>203</v>
      </c>
      <c r="D44" s="78" t="s">
        <v>27</v>
      </c>
      <c r="E44" s="78">
        <v>120</v>
      </c>
      <c r="F44" s="80"/>
      <c r="G44" s="80"/>
      <c r="H44" s="77"/>
      <c r="I44" s="77"/>
      <c r="J44" s="77"/>
      <c r="K44" s="77"/>
      <c r="L44" s="83"/>
      <c r="M44" s="84"/>
      <c r="N44" s="84"/>
      <c r="O44" s="84"/>
      <c r="P44" s="84"/>
      <c r="Q44" s="84"/>
    </row>
    <row r="45" spans="1:17" x14ac:dyDescent="0.2">
      <c r="A45" s="78" t="str">
        <f>IF(COUNTBLANK(B45)=1," ",COUNTA(B$14:B45))</f>
        <v xml:space="preserve"> </v>
      </c>
      <c r="B45" s="85"/>
      <c r="C45" s="76" t="s">
        <v>267</v>
      </c>
      <c r="D45" s="85"/>
      <c r="E45" s="90"/>
      <c r="F45" s="80"/>
      <c r="G45" s="80"/>
      <c r="H45" s="77"/>
      <c r="I45" s="77"/>
      <c r="J45" s="77"/>
      <c r="K45" s="77"/>
      <c r="L45" s="83"/>
      <c r="M45" s="84"/>
      <c r="N45" s="84"/>
      <c r="O45" s="84"/>
      <c r="P45" s="84"/>
      <c r="Q45" s="84"/>
    </row>
    <row r="46" spans="1:17" ht="22.5" x14ac:dyDescent="0.2">
      <c r="A46" s="78">
        <f>IF(COUNTBLANK(B46)=1," ",COUNTA(B$14:B46))</f>
        <v>29</v>
      </c>
      <c r="B46" s="85">
        <v>1</v>
      </c>
      <c r="C46" s="80" t="s">
        <v>204</v>
      </c>
      <c r="D46" s="85" t="s">
        <v>27</v>
      </c>
      <c r="E46" s="94">
        <v>2</v>
      </c>
      <c r="F46" s="80"/>
      <c r="G46" s="81"/>
      <c r="H46" s="82"/>
      <c r="I46" s="81"/>
      <c r="J46" s="91"/>
      <c r="K46" s="81"/>
      <c r="L46" s="83"/>
      <c r="M46" s="84"/>
      <c r="N46" s="84"/>
      <c r="O46" s="84"/>
      <c r="P46" s="84"/>
      <c r="Q46" s="84"/>
    </row>
    <row r="47" spans="1:17" ht="22.5" x14ac:dyDescent="0.2">
      <c r="A47" s="78" t="str">
        <f>IF(COUNTBLANK(B47)=1," ",COUNTA(B$14:B47))</f>
        <v xml:space="preserve"> </v>
      </c>
      <c r="B47" s="85"/>
      <c r="C47" s="80" t="s">
        <v>125</v>
      </c>
      <c r="D47" s="85" t="s">
        <v>29</v>
      </c>
      <c r="E47" s="90">
        <v>6.9</v>
      </c>
      <c r="F47" s="80"/>
      <c r="G47" s="80"/>
      <c r="H47" s="77"/>
      <c r="I47" s="77"/>
      <c r="J47" s="77"/>
      <c r="K47" s="77"/>
      <c r="L47" s="83"/>
      <c r="M47" s="84"/>
      <c r="N47" s="84"/>
      <c r="O47" s="84"/>
      <c r="P47" s="84"/>
      <c r="Q47" s="84"/>
    </row>
    <row r="48" spans="1:17" ht="33.75" x14ac:dyDescent="0.2">
      <c r="A48" s="78" t="str">
        <f>IF(COUNTBLANK(B48)=1," ",COUNTA(B$14:B48))</f>
        <v xml:space="preserve"> </v>
      </c>
      <c r="B48" s="85"/>
      <c r="C48" s="80" t="s">
        <v>291</v>
      </c>
      <c r="D48" s="85" t="s">
        <v>27</v>
      </c>
      <c r="E48" s="94">
        <v>2</v>
      </c>
      <c r="F48" s="80"/>
      <c r="G48" s="80"/>
      <c r="H48" s="77"/>
      <c r="I48" s="77"/>
      <c r="J48" s="77"/>
      <c r="K48" s="77"/>
      <c r="L48" s="83"/>
      <c r="M48" s="84"/>
      <c r="N48" s="84"/>
      <c r="O48" s="84"/>
      <c r="P48" s="84"/>
      <c r="Q48" s="84"/>
    </row>
    <row r="49" spans="1:243" x14ac:dyDescent="0.2">
      <c r="A49" s="78" t="str">
        <f>IF(COUNTBLANK(B49)=1," ",COUNTA(B$14:B49))</f>
        <v xml:space="preserve"> </v>
      </c>
      <c r="B49" s="85"/>
      <c r="C49" s="80" t="s">
        <v>205</v>
      </c>
      <c r="D49" s="85" t="s">
        <v>25</v>
      </c>
      <c r="E49" s="90">
        <v>5.0999999999999996</v>
      </c>
      <c r="F49" s="80"/>
      <c r="G49" s="80"/>
      <c r="H49" s="77"/>
      <c r="I49" s="77"/>
      <c r="J49" s="77"/>
      <c r="K49" s="77"/>
      <c r="L49" s="83"/>
      <c r="M49" s="84"/>
      <c r="N49" s="84"/>
      <c r="O49" s="84"/>
      <c r="P49" s="84"/>
      <c r="Q49" s="84"/>
    </row>
    <row r="50" spans="1:243" ht="22.5" x14ac:dyDescent="0.2">
      <c r="A50" s="78">
        <f>IF(COUNTBLANK(B50)=1," ",COUNTA(B$14:B50))</f>
        <v>30</v>
      </c>
      <c r="B50" s="85">
        <v>2</v>
      </c>
      <c r="C50" s="80" t="s">
        <v>206</v>
      </c>
      <c r="D50" s="85" t="s">
        <v>27</v>
      </c>
      <c r="E50" s="85">
        <v>6</v>
      </c>
      <c r="F50" s="80"/>
      <c r="G50" s="81"/>
      <c r="H50" s="82"/>
      <c r="I50" s="81"/>
      <c r="J50" s="91"/>
      <c r="K50" s="81"/>
      <c r="L50" s="83"/>
      <c r="M50" s="84"/>
      <c r="N50" s="84"/>
      <c r="O50" s="84"/>
      <c r="P50" s="84"/>
      <c r="Q50" s="84"/>
    </row>
    <row r="51" spans="1:243" ht="33.75" x14ac:dyDescent="0.2">
      <c r="A51" s="78" t="str">
        <f>IF(COUNTBLANK(B51)=1," ",COUNTA(B$14:B51))</f>
        <v xml:space="preserve"> </v>
      </c>
      <c r="B51" s="85"/>
      <c r="C51" s="80" t="s">
        <v>444</v>
      </c>
      <c r="D51" s="85" t="s">
        <v>29</v>
      </c>
      <c r="E51" s="90">
        <v>40</v>
      </c>
      <c r="F51" s="80"/>
      <c r="G51" s="80"/>
      <c r="H51" s="77"/>
      <c r="I51" s="77"/>
      <c r="J51" s="77"/>
      <c r="K51" s="77"/>
      <c r="L51" s="83"/>
      <c r="M51" s="84"/>
      <c r="N51" s="84"/>
      <c r="O51" s="84"/>
      <c r="P51" s="84"/>
      <c r="Q51" s="84"/>
    </row>
    <row r="52" spans="1:243" ht="22.5" x14ac:dyDescent="0.2">
      <c r="A52" s="78" t="str">
        <f>IF(COUNTBLANK(B52)=1," ",COUNTA(B$14:B52))</f>
        <v xml:space="preserve"> </v>
      </c>
      <c r="B52" s="85"/>
      <c r="C52" s="80" t="s">
        <v>207</v>
      </c>
      <c r="D52" s="85" t="s">
        <v>29</v>
      </c>
      <c r="E52" s="98">
        <v>8.64</v>
      </c>
      <c r="F52" s="80"/>
      <c r="G52" s="80"/>
      <c r="H52" s="77"/>
      <c r="I52" s="77"/>
      <c r="J52" s="77"/>
      <c r="K52" s="77"/>
      <c r="L52" s="83"/>
      <c r="M52" s="84"/>
      <c r="N52" s="84"/>
      <c r="O52" s="84"/>
      <c r="P52" s="84"/>
      <c r="Q52" s="84"/>
    </row>
    <row r="53" spans="1:243" ht="33.75" x14ac:dyDescent="0.2">
      <c r="A53" s="78" t="str">
        <f>IF(COUNTBLANK(B53)=1," ",COUNTA(B$14:B53))</f>
        <v xml:space="preserve"> </v>
      </c>
      <c r="B53" s="85"/>
      <c r="C53" s="80" t="s">
        <v>445</v>
      </c>
      <c r="D53" s="85" t="s">
        <v>36</v>
      </c>
      <c r="E53" s="90">
        <f>0.004*0.04*7800*31.92</f>
        <v>39.83616</v>
      </c>
      <c r="F53" s="80"/>
      <c r="G53" s="80"/>
      <c r="H53" s="77"/>
      <c r="I53" s="77"/>
      <c r="J53" s="77"/>
      <c r="K53" s="77"/>
      <c r="L53" s="83"/>
      <c r="M53" s="84"/>
      <c r="N53" s="84"/>
      <c r="O53" s="84"/>
      <c r="P53" s="84"/>
      <c r="Q53" s="84"/>
    </row>
    <row r="54" spans="1:243" s="69" customFormat="1" x14ac:dyDescent="0.2">
      <c r="A54" s="78">
        <f>IF(COUNTBLANK(B54)=1," ",COUNTA($B$13:B54))</f>
        <v>31</v>
      </c>
      <c r="B54" s="89" t="s">
        <v>23</v>
      </c>
      <c r="C54" s="80" t="s">
        <v>238</v>
      </c>
      <c r="D54" s="85" t="s">
        <v>29</v>
      </c>
      <c r="E54" s="98">
        <v>2.8</v>
      </c>
      <c r="F54" s="92"/>
      <c r="G54" s="92"/>
      <c r="H54" s="82"/>
      <c r="I54" s="92"/>
      <c r="J54" s="91"/>
      <c r="K54" s="92"/>
      <c r="L54" s="83"/>
      <c r="M54" s="84"/>
      <c r="N54" s="84"/>
      <c r="O54" s="84"/>
      <c r="P54" s="84"/>
      <c r="Q54" s="84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</row>
    <row r="55" spans="1:243" s="69" customFormat="1" x14ac:dyDescent="0.25">
      <c r="A55" s="78" t="str">
        <f>IF(COUNTBLANK(B55)=1," ",COUNTA($B$13:B55))</f>
        <v xml:space="preserve"> </v>
      </c>
      <c r="B55" s="99"/>
      <c r="C55" s="101" t="s">
        <v>281</v>
      </c>
      <c r="D55" s="99" t="s">
        <v>36</v>
      </c>
      <c r="E55" s="81">
        <f>ROUNDUP(E54*F55,2)</f>
        <v>1.1200000000000001</v>
      </c>
      <c r="F55" s="92">
        <v>0.4</v>
      </c>
      <c r="G55" s="92"/>
      <c r="H55" s="92"/>
      <c r="I55" s="92"/>
      <c r="J55" s="92"/>
      <c r="K55" s="92"/>
      <c r="L55" s="83"/>
      <c r="M55" s="84"/>
      <c r="N55" s="84"/>
      <c r="O55" s="84"/>
      <c r="P55" s="84"/>
      <c r="Q55" s="84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</row>
    <row r="56" spans="1:243" ht="33.75" x14ac:dyDescent="0.2">
      <c r="A56" s="78" t="str">
        <f>IF(COUNTBLANK(B56)=1," ",COUNTA(B$14:B56))</f>
        <v xml:space="preserve"> </v>
      </c>
      <c r="B56" s="85"/>
      <c r="C56" s="80" t="s">
        <v>208</v>
      </c>
      <c r="D56" s="85" t="s">
        <v>29</v>
      </c>
      <c r="E56" s="90">
        <v>16.8</v>
      </c>
      <c r="F56" s="80"/>
      <c r="G56" s="80"/>
      <c r="H56" s="77"/>
      <c r="I56" s="77"/>
      <c r="J56" s="77"/>
      <c r="K56" s="77"/>
      <c r="L56" s="83"/>
      <c r="M56" s="84"/>
      <c r="N56" s="84"/>
      <c r="O56" s="84"/>
      <c r="P56" s="84"/>
      <c r="Q56" s="84"/>
    </row>
    <row r="57" spans="1:243" ht="33.75" x14ac:dyDescent="0.2">
      <c r="A57" s="78">
        <f>IF(COUNTBLANK(B57)=1," ",COUNTA(B$14:B57))</f>
        <v>32</v>
      </c>
      <c r="B57" s="85" t="s">
        <v>209</v>
      </c>
      <c r="C57" s="80" t="s">
        <v>210</v>
      </c>
      <c r="D57" s="85" t="s">
        <v>29</v>
      </c>
      <c r="E57" s="90">
        <v>7</v>
      </c>
      <c r="F57" s="80"/>
      <c r="G57" s="80"/>
      <c r="H57" s="77"/>
      <c r="I57" s="77"/>
      <c r="J57" s="77"/>
      <c r="K57" s="77"/>
      <c r="L57" s="83"/>
      <c r="M57" s="84"/>
      <c r="N57" s="84"/>
      <c r="O57" s="84"/>
      <c r="P57" s="84"/>
      <c r="Q57" s="84"/>
    </row>
    <row r="58" spans="1:243" ht="22.5" x14ac:dyDescent="0.2">
      <c r="A58" s="78" t="str">
        <f>IF(COUNTBLANK(B58)=1," ",COUNTA(B$14:B58))</f>
        <v xml:space="preserve"> </v>
      </c>
      <c r="B58" s="85"/>
      <c r="C58" s="80" t="s">
        <v>211</v>
      </c>
      <c r="D58" s="85" t="s">
        <v>25</v>
      </c>
      <c r="E58" s="90">
        <v>34.799999999999997</v>
      </c>
      <c r="F58" s="80"/>
      <c r="G58" s="80"/>
      <c r="H58" s="77"/>
      <c r="I58" s="77"/>
      <c r="J58" s="77"/>
      <c r="K58" s="77"/>
      <c r="L58" s="83"/>
      <c r="M58" s="84"/>
      <c r="N58" s="84"/>
      <c r="O58" s="84"/>
      <c r="P58" s="84"/>
      <c r="Q58" s="84"/>
    </row>
    <row r="59" spans="1:243" ht="22.5" x14ac:dyDescent="0.2">
      <c r="A59" s="78" t="str">
        <f>IF(COUNTBLANK(B59)=1," ",COUNTA(B$14:B59))</f>
        <v xml:space="preserve"> </v>
      </c>
      <c r="B59" s="85"/>
      <c r="C59" s="80" t="s">
        <v>128</v>
      </c>
      <c r="D59" s="85"/>
      <c r="E59" s="90"/>
      <c r="F59" s="80"/>
      <c r="G59" s="80"/>
      <c r="H59" s="77"/>
      <c r="I59" s="77"/>
      <c r="J59" s="77"/>
      <c r="K59" s="77"/>
      <c r="L59" s="83"/>
      <c r="M59" s="84"/>
      <c r="N59" s="84"/>
      <c r="O59" s="84"/>
      <c r="P59" s="84"/>
      <c r="Q59" s="84"/>
    </row>
    <row r="60" spans="1:243" ht="22.5" x14ac:dyDescent="0.2">
      <c r="A60" s="78">
        <f>IF(COUNTBLANK(B60)=1," ",COUNTA(B$14:B60))</f>
        <v>33</v>
      </c>
      <c r="B60" s="85">
        <v>3</v>
      </c>
      <c r="C60" s="80" t="s">
        <v>212</v>
      </c>
      <c r="D60" s="85"/>
      <c r="E60" s="98"/>
      <c r="F60" s="80"/>
      <c r="G60" s="80"/>
      <c r="H60" s="77"/>
      <c r="I60" s="77"/>
      <c r="J60" s="77"/>
      <c r="K60" s="77"/>
      <c r="L60" s="83"/>
      <c r="M60" s="84"/>
      <c r="N60" s="84"/>
      <c r="O60" s="84"/>
      <c r="P60" s="84"/>
      <c r="Q60" s="84"/>
    </row>
    <row r="61" spans="1:243" s="69" customFormat="1" ht="22.5" x14ac:dyDescent="0.2">
      <c r="A61" s="78">
        <f>IF(COUNTBLANK(B61)=1," ",COUNTA(B$14:B61))</f>
        <v>34</v>
      </c>
      <c r="B61" s="89" t="s">
        <v>23</v>
      </c>
      <c r="C61" s="80" t="s">
        <v>213</v>
      </c>
      <c r="D61" s="85" t="s">
        <v>29</v>
      </c>
      <c r="E61" s="90">
        <f>0.3*101.5</f>
        <v>30.45</v>
      </c>
      <c r="F61" s="78"/>
      <c r="G61" s="81"/>
      <c r="H61" s="82"/>
      <c r="I61" s="81"/>
      <c r="J61" s="91"/>
      <c r="K61" s="81"/>
      <c r="L61" s="83"/>
      <c r="M61" s="84"/>
      <c r="N61" s="84"/>
      <c r="O61" s="84"/>
      <c r="P61" s="84"/>
      <c r="Q61" s="84"/>
    </row>
    <row r="62" spans="1:243" s="69" customFormat="1" x14ac:dyDescent="0.25">
      <c r="A62" s="78" t="str">
        <f>IF(COUNTBLANK(B62)=1," ",COUNTA(B$14:B62))</f>
        <v xml:space="preserve"> </v>
      </c>
      <c r="B62" s="89"/>
      <c r="C62" s="78" t="s">
        <v>282</v>
      </c>
      <c r="D62" s="78" t="s">
        <v>61</v>
      </c>
      <c r="E62" s="81">
        <f>ROUNDUP(E61*F62,2)</f>
        <v>0.61</v>
      </c>
      <c r="F62" s="78">
        <v>0.02</v>
      </c>
      <c r="G62" s="78"/>
      <c r="H62" s="78"/>
      <c r="I62" s="78"/>
      <c r="J62" s="78"/>
      <c r="K62" s="78"/>
      <c r="L62" s="83"/>
      <c r="M62" s="84"/>
      <c r="N62" s="84"/>
      <c r="O62" s="84"/>
      <c r="P62" s="84"/>
      <c r="Q62" s="84"/>
    </row>
    <row r="63" spans="1:243" s="102" customFormat="1" ht="22.5" x14ac:dyDescent="0.2">
      <c r="A63" s="78">
        <f>IF(COUNTBLANK(B63)=1," ",COUNTA(B$14:B63))</f>
        <v>35</v>
      </c>
      <c r="B63" s="89" t="s">
        <v>23</v>
      </c>
      <c r="C63" s="80" t="s">
        <v>446</v>
      </c>
      <c r="D63" s="85" t="s">
        <v>61</v>
      </c>
      <c r="E63" s="90">
        <f>0.3*0.2*101.5</f>
        <v>6.09</v>
      </c>
      <c r="F63" s="92"/>
      <c r="G63" s="92"/>
      <c r="H63" s="82"/>
      <c r="I63" s="92"/>
      <c r="J63" s="91"/>
      <c r="K63" s="92"/>
      <c r="L63" s="83"/>
      <c r="M63" s="84"/>
      <c r="N63" s="84"/>
      <c r="O63" s="84"/>
      <c r="P63" s="84"/>
      <c r="Q63" s="84"/>
    </row>
    <row r="64" spans="1:243" s="102" customFormat="1" x14ac:dyDescent="0.25">
      <c r="A64" s="78" t="str">
        <f>IF(COUNTBLANK(B64)=1," ",COUNTA(B$14:B64))</f>
        <v xml:space="preserve"> </v>
      </c>
      <c r="B64" s="89"/>
      <c r="C64" s="99" t="s">
        <v>283</v>
      </c>
      <c r="D64" s="78" t="s">
        <v>61</v>
      </c>
      <c r="E64" s="81">
        <f>ROUNDUP(E63*F64,2)</f>
        <v>0.92</v>
      </c>
      <c r="F64" s="92">
        <v>0.15</v>
      </c>
      <c r="G64" s="92"/>
      <c r="H64" s="92"/>
      <c r="I64" s="92"/>
      <c r="J64" s="92"/>
      <c r="K64" s="92"/>
      <c r="L64" s="83"/>
      <c r="M64" s="84"/>
      <c r="N64" s="84"/>
      <c r="O64" s="84"/>
      <c r="P64" s="84"/>
      <c r="Q64" s="84"/>
    </row>
    <row r="65" spans="1:243" s="103" customFormat="1" x14ac:dyDescent="0.25">
      <c r="A65" s="78" t="str">
        <f>IF(COUNTBLANK(B65)=1," ",COUNTA(B$14:B65))</f>
        <v xml:space="preserve"> </v>
      </c>
      <c r="B65" s="89"/>
      <c r="C65" s="99" t="s">
        <v>284</v>
      </c>
      <c r="D65" s="78" t="s">
        <v>61</v>
      </c>
      <c r="E65" s="81">
        <f>ROUNDUP(E63*F65,2)</f>
        <v>5.67</v>
      </c>
      <c r="F65" s="92">
        <v>0.93</v>
      </c>
      <c r="G65" s="92"/>
      <c r="H65" s="92"/>
      <c r="I65" s="92"/>
      <c r="J65" s="92"/>
      <c r="K65" s="92"/>
      <c r="L65" s="83"/>
      <c r="M65" s="84"/>
      <c r="N65" s="84"/>
      <c r="O65" s="84"/>
      <c r="P65" s="84"/>
      <c r="Q65" s="84"/>
    </row>
    <row r="66" spans="1:243" s="100" customFormat="1" x14ac:dyDescent="0.25">
      <c r="A66" s="78" t="str">
        <f>IF(COUNTBLANK(B66)=1," ",COUNTA(B$14:B66))</f>
        <v xml:space="preserve"> </v>
      </c>
      <c r="B66" s="89"/>
      <c r="C66" s="99" t="s">
        <v>39</v>
      </c>
      <c r="D66" s="99" t="s">
        <v>278</v>
      </c>
      <c r="E66" s="81">
        <f>ROUNDUP(E63*F66,0)</f>
        <v>4</v>
      </c>
      <c r="F66" s="92">
        <v>0.5</v>
      </c>
      <c r="G66" s="92"/>
      <c r="H66" s="92"/>
      <c r="I66" s="92"/>
      <c r="J66" s="92"/>
      <c r="K66" s="92"/>
      <c r="L66" s="83"/>
      <c r="M66" s="84"/>
      <c r="N66" s="84"/>
      <c r="O66" s="84"/>
      <c r="P66" s="84"/>
      <c r="Q66" s="84"/>
    </row>
    <row r="67" spans="1:243" ht="22.5" x14ac:dyDescent="0.2">
      <c r="A67" s="78" t="str">
        <f>IF(COUNTBLANK(B67)=1," ",COUNTA(B$14:B67))</f>
        <v xml:space="preserve"> </v>
      </c>
      <c r="B67" s="85"/>
      <c r="C67" s="80" t="s">
        <v>126</v>
      </c>
      <c r="D67" s="85" t="s">
        <v>27</v>
      </c>
      <c r="E67" s="94">
        <f>101.5/0.6</f>
        <v>169.16666666666669</v>
      </c>
      <c r="F67" s="80"/>
      <c r="G67" s="80"/>
      <c r="H67" s="77"/>
      <c r="I67" s="77"/>
      <c r="J67" s="77"/>
      <c r="K67" s="77"/>
      <c r="L67" s="83"/>
      <c r="M67" s="84"/>
      <c r="N67" s="84"/>
      <c r="O67" s="84"/>
      <c r="P67" s="84"/>
      <c r="Q67" s="84"/>
    </row>
    <row r="68" spans="1:243" s="69" customFormat="1" ht="22.5" x14ac:dyDescent="0.2">
      <c r="A68" s="78">
        <f>IF(COUNTBLANK(B68)=1," ",COUNTA(B$14:B68))</f>
        <v>36</v>
      </c>
      <c r="B68" s="89" t="s">
        <v>23</v>
      </c>
      <c r="C68" s="80" t="s">
        <v>127</v>
      </c>
      <c r="D68" s="85" t="s">
        <v>29</v>
      </c>
      <c r="E68" s="90">
        <f>0.3*101.5</f>
        <v>30.45</v>
      </c>
      <c r="F68" s="78"/>
      <c r="G68" s="81"/>
      <c r="H68" s="82"/>
      <c r="I68" s="81"/>
      <c r="J68" s="91"/>
      <c r="K68" s="81"/>
      <c r="L68" s="83"/>
      <c r="M68" s="84"/>
      <c r="N68" s="84"/>
      <c r="O68" s="84"/>
      <c r="P68" s="84"/>
      <c r="Q68" s="84"/>
    </row>
    <row r="69" spans="1:243" s="69" customFormat="1" x14ac:dyDescent="0.25">
      <c r="A69" s="78" t="str">
        <f>IF(COUNTBLANK(B69)=1," ",COUNTA(B$14:B69))</f>
        <v xml:space="preserve"> </v>
      </c>
      <c r="B69" s="89"/>
      <c r="C69" s="78" t="s">
        <v>282</v>
      </c>
      <c r="D69" s="78" t="s">
        <v>61</v>
      </c>
      <c r="E69" s="81">
        <f>ROUNDUP(E68*F69,2)</f>
        <v>0.61</v>
      </c>
      <c r="F69" s="78">
        <v>0.02</v>
      </c>
      <c r="G69" s="78"/>
      <c r="H69" s="78"/>
      <c r="I69" s="78"/>
      <c r="J69" s="78"/>
      <c r="K69" s="78"/>
      <c r="L69" s="83"/>
      <c r="M69" s="84"/>
      <c r="N69" s="84"/>
      <c r="O69" s="84"/>
      <c r="P69" s="84"/>
      <c r="Q69" s="84"/>
    </row>
    <row r="70" spans="1:243" ht="22.5" x14ac:dyDescent="0.2">
      <c r="A70" s="78">
        <f>IF(COUNTBLANK(B70)=1," ",COUNTA(B$14:B70))</f>
        <v>37</v>
      </c>
      <c r="B70" s="85">
        <v>4</v>
      </c>
      <c r="C70" s="80" t="s">
        <v>214</v>
      </c>
      <c r="D70" s="95" t="s">
        <v>278</v>
      </c>
      <c r="E70" s="96">
        <v>1</v>
      </c>
      <c r="F70" s="77"/>
      <c r="G70" s="81"/>
      <c r="H70" s="82"/>
      <c r="I70" s="81"/>
      <c r="J70" s="91"/>
      <c r="K70" s="81"/>
      <c r="L70" s="83"/>
      <c r="M70" s="84"/>
      <c r="N70" s="84"/>
      <c r="O70" s="84"/>
      <c r="P70" s="84"/>
      <c r="Q70" s="84"/>
    </row>
    <row r="71" spans="1:243" ht="22.5" x14ac:dyDescent="0.2">
      <c r="A71" s="78" t="str">
        <f>IF(COUNTBLANK(B71)=1," ",COUNTA(B$14:B71))</f>
        <v xml:space="preserve"> </v>
      </c>
      <c r="B71" s="85"/>
      <c r="C71" s="80" t="s">
        <v>215</v>
      </c>
      <c r="D71" s="85" t="s">
        <v>61</v>
      </c>
      <c r="E71" s="98">
        <f>0.05*0.05*0.52*83</f>
        <v>0.10790000000000004</v>
      </c>
      <c r="F71" s="80"/>
      <c r="G71" s="80"/>
      <c r="H71" s="77"/>
      <c r="I71" s="77"/>
      <c r="J71" s="77"/>
      <c r="K71" s="77"/>
      <c r="L71" s="83"/>
      <c r="M71" s="84"/>
      <c r="N71" s="84"/>
      <c r="O71" s="84"/>
      <c r="P71" s="84"/>
      <c r="Q71" s="84"/>
    </row>
    <row r="72" spans="1:243" x14ac:dyDescent="0.2">
      <c r="A72" s="78" t="str">
        <f>IF(COUNTBLANK(B72)=1," ",COUNTA(B$14:B72))</f>
        <v xml:space="preserve"> </v>
      </c>
      <c r="B72" s="85"/>
      <c r="C72" s="80" t="s">
        <v>216</v>
      </c>
      <c r="D72" s="85" t="s">
        <v>27</v>
      </c>
      <c r="E72" s="94">
        <f>83*2</f>
        <v>166</v>
      </c>
      <c r="F72" s="80"/>
      <c r="G72" s="80"/>
      <c r="H72" s="77"/>
      <c r="I72" s="77"/>
      <c r="J72" s="77"/>
      <c r="K72" s="77"/>
      <c r="L72" s="83"/>
      <c r="M72" s="84"/>
      <c r="N72" s="84"/>
      <c r="O72" s="84"/>
      <c r="P72" s="84"/>
      <c r="Q72" s="84"/>
    </row>
    <row r="73" spans="1:243" ht="22.5" x14ac:dyDescent="0.2">
      <c r="A73" s="78" t="str">
        <f>IF(COUNTBLANK(B73)=1," ",COUNTA(B$14:B73))</f>
        <v xml:space="preserve"> </v>
      </c>
      <c r="B73" s="85"/>
      <c r="C73" s="80" t="s">
        <v>447</v>
      </c>
      <c r="D73" s="85" t="s">
        <v>61</v>
      </c>
      <c r="E73" s="98">
        <f>0.3*0.05*49.8+0.52*0.05*49.8</f>
        <v>2.0417999999999998</v>
      </c>
      <c r="F73" s="80"/>
      <c r="G73" s="80"/>
      <c r="H73" s="77"/>
      <c r="I73" s="77"/>
      <c r="J73" s="77"/>
      <c r="K73" s="77"/>
      <c r="L73" s="83"/>
      <c r="M73" s="84"/>
      <c r="N73" s="84"/>
      <c r="O73" s="84"/>
      <c r="P73" s="84"/>
      <c r="Q73" s="84"/>
    </row>
    <row r="74" spans="1:243" ht="22.5" x14ac:dyDescent="0.2">
      <c r="A74" s="78" t="str">
        <f>IF(COUNTBLANK(B74)=1," ",COUNTA(B$14:B74))</f>
        <v xml:space="preserve"> </v>
      </c>
      <c r="B74" s="85"/>
      <c r="C74" s="80" t="s">
        <v>217</v>
      </c>
      <c r="D74" s="85" t="s">
        <v>29</v>
      </c>
      <c r="E74" s="90">
        <f>0.52*48.9</f>
        <v>25.428000000000001</v>
      </c>
      <c r="F74" s="80"/>
      <c r="G74" s="80"/>
      <c r="H74" s="77"/>
      <c r="I74" s="77"/>
      <c r="J74" s="77"/>
      <c r="K74" s="77"/>
      <c r="L74" s="83"/>
      <c r="M74" s="84"/>
      <c r="N74" s="84"/>
      <c r="O74" s="84"/>
      <c r="P74" s="84"/>
      <c r="Q74" s="84"/>
    </row>
    <row r="75" spans="1:243" ht="22.5" x14ac:dyDescent="0.2">
      <c r="A75" s="78" t="str">
        <f>IF(COUNTBLANK(B75)=1," ",COUNTA(B$14:B75))</f>
        <v xml:space="preserve"> </v>
      </c>
      <c r="B75" s="85"/>
      <c r="C75" s="80" t="s">
        <v>218</v>
      </c>
      <c r="D75" s="85" t="s">
        <v>36</v>
      </c>
      <c r="E75" s="90">
        <f>0.004*0.04*68.1*7800</f>
        <v>84.988799999999998</v>
      </c>
      <c r="F75" s="80"/>
      <c r="G75" s="80"/>
      <c r="H75" s="77"/>
      <c r="I75" s="77"/>
      <c r="J75" s="77"/>
      <c r="K75" s="77"/>
      <c r="L75" s="83"/>
      <c r="M75" s="84"/>
      <c r="N75" s="84"/>
      <c r="O75" s="84"/>
      <c r="P75" s="84"/>
      <c r="Q75" s="84"/>
    </row>
    <row r="76" spans="1:243" s="69" customFormat="1" x14ac:dyDescent="0.2">
      <c r="A76" s="78">
        <f>IF(COUNTBLANK(B76)=1," ",COUNTA($B$13:B76))</f>
        <v>38</v>
      </c>
      <c r="B76" s="89" t="s">
        <v>23</v>
      </c>
      <c r="C76" s="80" t="s">
        <v>238</v>
      </c>
      <c r="D76" s="85" t="s">
        <v>29</v>
      </c>
      <c r="E76" s="98">
        <v>6</v>
      </c>
      <c r="F76" s="92"/>
      <c r="G76" s="92"/>
      <c r="H76" s="82"/>
      <c r="I76" s="92"/>
      <c r="J76" s="91"/>
      <c r="K76" s="92"/>
      <c r="L76" s="83"/>
      <c r="M76" s="84"/>
      <c r="N76" s="84"/>
      <c r="O76" s="84"/>
      <c r="P76" s="84"/>
      <c r="Q76" s="84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</row>
    <row r="77" spans="1:243" s="69" customFormat="1" x14ac:dyDescent="0.25">
      <c r="A77" s="78" t="str">
        <f>IF(COUNTBLANK(B77)=1," ",COUNTA($B$13:B77))</f>
        <v xml:space="preserve"> </v>
      </c>
      <c r="B77" s="99"/>
      <c r="C77" s="101" t="s">
        <v>281</v>
      </c>
      <c r="D77" s="99" t="s">
        <v>36</v>
      </c>
      <c r="E77" s="81">
        <f>ROUNDUP(E76*F77,2)</f>
        <v>2.4</v>
      </c>
      <c r="F77" s="92">
        <v>0.4</v>
      </c>
      <c r="G77" s="92"/>
      <c r="H77" s="92"/>
      <c r="I77" s="92"/>
      <c r="J77" s="92"/>
      <c r="K77" s="92"/>
      <c r="L77" s="83"/>
      <c r="M77" s="84"/>
      <c r="N77" s="84"/>
      <c r="O77" s="84"/>
      <c r="P77" s="84"/>
      <c r="Q77" s="84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</row>
    <row r="78" spans="1:243" ht="22.5" x14ac:dyDescent="0.2">
      <c r="A78" s="78" t="str">
        <f>IF(COUNTBLANK(B78)=1," ",COUNTA(B$14:B78))</f>
        <v xml:space="preserve"> </v>
      </c>
      <c r="B78" s="85"/>
      <c r="C78" s="80" t="s">
        <v>219</v>
      </c>
      <c r="D78" s="85" t="s">
        <v>29</v>
      </c>
      <c r="E78" s="90">
        <f>0.62*49.8</f>
        <v>30.875999999999998</v>
      </c>
      <c r="F78" s="80"/>
      <c r="G78" s="80"/>
      <c r="H78" s="77"/>
      <c r="I78" s="77"/>
      <c r="J78" s="77"/>
      <c r="K78" s="77"/>
      <c r="L78" s="83"/>
      <c r="M78" s="84"/>
      <c r="N78" s="84"/>
      <c r="O78" s="84"/>
      <c r="P78" s="84"/>
      <c r="Q78" s="84"/>
    </row>
    <row r="79" spans="1:243" ht="22.5" x14ac:dyDescent="0.2">
      <c r="A79" s="78">
        <f>IF(COUNTBLANK(B79)=1," ",COUNTA(B$14:B79))</f>
        <v>39</v>
      </c>
      <c r="B79" s="85">
        <v>5</v>
      </c>
      <c r="C79" s="80" t="s">
        <v>220</v>
      </c>
      <c r="D79" s="95" t="s">
        <v>278</v>
      </c>
      <c r="E79" s="96">
        <v>1</v>
      </c>
      <c r="F79" s="77"/>
      <c r="G79" s="81"/>
      <c r="H79" s="82"/>
      <c r="I79" s="81"/>
      <c r="J79" s="91"/>
      <c r="K79" s="81"/>
      <c r="L79" s="83"/>
      <c r="M79" s="84"/>
      <c r="N79" s="84"/>
      <c r="O79" s="84"/>
      <c r="P79" s="84"/>
      <c r="Q79" s="84"/>
    </row>
    <row r="80" spans="1:243" ht="22.5" x14ac:dyDescent="0.2">
      <c r="A80" s="78" t="str">
        <f>IF(COUNTBLANK(B80)=1," ",COUNTA(B$14:B80))</f>
        <v xml:space="preserve"> </v>
      </c>
      <c r="B80" s="85"/>
      <c r="C80" s="80" t="s">
        <v>221</v>
      </c>
      <c r="D80" s="85" t="s">
        <v>61</v>
      </c>
      <c r="E80" s="98">
        <f>0.05*0.05*0.55*65</f>
        <v>8.9375000000000024E-2</v>
      </c>
      <c r="F80" s="80"/>
      <c r="G80" s="80"/>
      <c r="H80" s="77"/>
      <c r="I80" s="77"/>
      <c r="J80" s="77"/>
      <c r="K80" s="77"/>
      <c r="L80" s="83"/>
      <c r="M80" s="84"/>
      <c r="N80" s="84"/>
      <c r="O80" s="84"/>
      <c r="P80" s="84"/>
      <c r="Q80" s="84"/>
    </row>
    <row r="81" spans="1:243" x14ac:dyDescent="0.2">
      <c r="A81" s="78" t="str">
        <f>IF(COUNTBLANK(B81)=1," ",COUNTA(B$14:B81))</f>
        <v xml:space="preserve"> </v>
      </c>
      <c r="B81" s="85"/>
      <c r="C81" s="80" t="s">
        <v>216</v>
      </c>
      <c r="D81" s="85" t="s">
        <v>27</v>
      </c>
      <c r="E81" s="94">
        <f>65*2</f>
        <v>130</v>
      </c>
      <c r="F81" s="80"/>
      <c r="G81" s="80"/>
      <c r="H81" s="77"/>
      <c r="I81" s="77"/>
      <c r="J81" s="77"/>
      <c r="K81" s="77"/>
      <c r="L81" s="83"/>
      <c r="M81" s="84"/>
      <c r="N81" s="84"/>
      <c r="O81" s="84"/>
      <c r="P81" s="84"/>
      <c r="Q81" s="84"/>
    </row>
    <row r="82" spans="1:243" ht="22.5" x14ac:dyDescent="0.2">
      <c r="A82" s="78" t="str">
        <f>IF(COUNTBLANK(B82)=1," ",COUNTA(B$14:B82))</f>
        <v xml:space="preserve"> </v>
      </c>
      <c r="B82" s="85"/>
      <c r="C82" s="80" t="s">
        <v>448</v>
      </c>
      <c r="D82" s="85" t="s">
        <v>61</v>
      </c>
      <c r="E82" s="98">
        <f>0.85*0.05*39.2</f>
        <v>1.6660000000000001</v>
      </c>
      <c r="F82" s="80"/>
      <c r="G82" s="80"/>
      <c r="H82" s="77"/>
      <c r="I82" s="77"/>
      <c r="J82" s="77"/>
      <c r="K82" s="77"/>
      <c r="L82" s="83"/>
      <c r="M82" s="84"/>
      <c r="N82" s="84"/>
      <c r="O82" s="84"/>
      <c r="P82" s="84"/>
      <c r="Q82" s="84"/>
    </row>
    <row r="83" spans="1:243" ht="22.5" x14ac:dyDescent="0.2">
      <c r="A83" s="78" t="str">
        <f>IF(COUNTBLANK(B83)=1," ",COUNTA(B$14:B83))</f>
        <v xml:space="preserve"> </v>
      </c>
      <c r="B83" s="85"/>
      <c r="C83" s="80" t="s">
        <v>222</v>
      </c>
      <c r="D83" s="85" t="s">
        <v>29</v>
      </c>
      <c r="E83" s="90">
        <f>0.55*39.2</f>
        <v>21.560000000000002</v>
      </c>
      <c r="F83" s="80"/>
      <c r="G83" s="80"/>
      <c r="H83" s="77"/>
      <c r="I83" s="77"/>
      <c r="J83" s="77"/>
      <c r="K83" s="77"/>
      <c r="L83" s="83"/>
      <c r="M83" s="84"/>
      <c r="N83" s="84"/>
      <c r="O83" s="84"/>
      <c r="P83" s="84"/>
      <c r="Q83" s="84"/>
    </row>
    <row r="84" spans="1:243" ht="22.5" x14ac:dyDescent="0.2">
      <c r="A84" s="78" t="str">
        <f>IF(COUNTBLANK(B84)=1," ",COUNTA(B$14:B84))</f>
        <v xml:space="preserve"> </v>
      </c>
      <c r="B84" s="85"/>
      <c r="C84" s="80" t="s">
        <v>223</v>
      </c>
      <c r="D84" s="85" t="s">
        <v>36</v>
      </c>
      <c r="E84" s="90">
        <f>0.004*0.04*55.3*7800</f>
        <v>69.014399999999995</v>
      </c>
      <c r="F84" s="80"/>
      <c r="G84" s="80"/>
      <c r="H84" s="77"/>
      <c r="I84" s="77"/>
      <c r="J84" s="77"/>
      <c r="K84" s="77"/>
      <c r="L84" s="83"/>
      <c r="M84" s="84"/>
      <c r="N84" s="84"/>
      <c r="O84" s="84"/>
      <c r="P84" s="84"/>
      <c r="Q84" s="84"/>
    </row>
    <row r="85" spans="1:243" s="69" customFormat="1" x14ac:dyDescent="0.2">
      <c r="A85" s="78">
        <f>IF(COUNTBLANK(B85)=1," ",COUNTA($B$13:B85))</f>
        <v>40</v>
      </c>
      <c r="B85" s="89" t="s">
        <v>23</v>
      </c>
      <c r="C85" s="80" t="s">
        <v>238</v>
      </c>
      <c r="D85" s="85" t="s">
        <v>29</v>
      </c>
      <c r="E85" s="98">
        <v>4.9000000000000004</v>
      </c>
      <c r="F85" s="92"/>
      <c r="G85" s="92"/>
      <c r="H85" s="82"/>
      <c r="I85" s="92"/>
      <c r="J85" s="91"/>
      <c r="K85" s="92"/>
      <c r="L85" s="83"/>
      <c r="M85" s="84"/>
      <c r="N85" s="84"/>
      <c r="O85" s="84"/>
      <c r="P85" s="84"/>
      <c r="Q85" s="84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</row>
    <row r="86" spans="1:243" s="69" customFormat="1" x14ac:dyDescent="0.25">
      <c r="A86" s="78" t="str">
        <f>IF(COUNTBLANK(B86)=1," ",COUNTA($B$13:B86))</f>
        <v xml:space="preserve"> </v>
      </c>
      <c r="B86" s="99"/>
      <c r="C86" s="101" t="s">
        <v>281</v>
      </c>
      <c r="D86" s="99" t="s">
        <v>36</v>
      </c>
      <c r="E86" s="81">
        <f>ROUNDUP(E85*F86,2)</f>
        <v>1.96</v>
      </c>
      <c r="F86" s="92">
        <v>0.4</v>
      </c>
      <c r="G86" s="92"/>
      <c r="H86" s="92"/>
      <c r="I86" s="92"/>
      <c r="J86" s="92"/>
      <c r="K86" s="92"/>
      <c r="L86" s="83"/>
      <c r="M86" s="84"/>
      <c r="N86" s="84"/>
      <c r="O86" s="84"/>
      <c r="P86" s="84"/>
      <c r="Q86" s="84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</row>
    <row r="87" spans="1:243" ht="22.5" x14ac:dyDescent="0.2">
      <c r="A87" s="78" t="str">
        <f>IF(COUNTBLANK(B87)=1," ",COUNTA(B$14:B87))</f>
        <v xml:space="preserve"> </v>
      </c>
      <c r="B87" s="85"/>
      <c r="C87" s="80" t="s">
        <v>449</v>
      </c>
      <c r="D87" s="85" t="s">
        <v>29</v>
      </c>
      <c r="E87" s="90">
        <v>37.200000000000003</v>
      </c>
      <c r="F87" s="80"/>
      <c r="G87" s="80"/>
      <c r="H87" s="77"/>
      <c r="I87" s="77"/>
      <c r="J87" s="77"/>
      <c r="K87" s="77"/>
      <c r="L87" s="83"/>
      <c r="M87" s="84"/>
      <c r="N87" s="84"/>
      <c r="O87" s="84"/>
      <c r="P87" s="84"/>
      <c r="Q87" s="84"/>
    </row>
    <row r="88" spans="1:243" ht="22.5" x14ac:dyDescent="0.2">
      <c r="A88" s="78">
        <f>IF(COUNTBLANK(B88)=1," ",COUNTA(B$14:B88))</f>
        <v>41</v>
      </c>
      <c r="B88" s="85">
        <v>6</v>
      </c>
      <c r="C88" s="80" t="s">
        <v>224</v>
      </c>
      <c r="D88" s="95" t="s">
        <v>278</v>
      </c>
      <c r="E88" s="96">
        <v>1</v>
      </c>
      <c r="F88" s="77"/>
      <c r="G88" s="81"/>
      <c r="H88" s="82"/>
      <c r="I88" s="81"/>
      <c r="J88" s="91"/>
      <c r="K88" s="81"/>
      <c r="L88" s="83"/>
      <c r="M88" s="84"/>
      <c r="N88" s="84"/>
      <c r="O88" s="84"/>
      <c r="P88" s="84"/>
      <c r="Q88" s="84"/>
    </row>
    <row r="89" spans="1:243" ht="22.5" x14ac:dyDescent="0.2">
      <c r="A89" s="78" t="str">
        <f>IF(COUNTBLANK(B89)=1," ",COUNTA(B$14:B89))</f>
        <v xml:space="preserve"> </v>
      </c>
      <c r="B89" s="85"/>
      <c r="C89" s="80" t="s">
        <v>225</v>
      </c>
      <c r="D89" s="85" t="s">
        <v>61</v>
      </c>
      <c r="E89" s="98">
        <f>0.05*0.05*7.7</f>
        <v>1.9250000000000003E-2</v>
      </c>
      <c r="F89" s="80"/>
      <c r="G89" s="80"/>
      <c r="H89" s="77"/>
      <c r="I89" s="77"/>
      <c r="J89" s="77"/>
      <c r="K89" s="77"/>
      <c r="L89" s="83"/>
      <c r="M89" s="84"/>
      <c r="N89" s="84"/>
      <c r="O89" s="84"/>
      <c r="P89" s="84"/>
      <c r="Q89" s="84"/>
    </row>
    <row r="90" spans="1:243" x14ac:dyDescent="0.2">
      <c r="A90" s="78" t="str">
        <f>IF(COUNTBLANK(B90)=1," ",COUNTA(B$14:B90))</f>
        <v xml:space="preserve"> </v>
      </c>
      <c r="B90" s="85"/>
      <c r="C90" s="80" t="s">
        <v>450</v>
      </c>
      <c r="D90" s="85" t="s">
        <v>27</v>
      </c>
      <c r="E90" s="94">
        <f>22*2</f>
        <v>44</v>
      </c>
      <c r="F90" s="80"/>
      <c r="G90" s="80"/>
      <c r="H90" s="77"/>
      <c r="I90" s="77"/>
      <c r="J90" s="77"/>
      <c r="K90" s="77"/>
      <c r="L90" s="83"/>
      <c r="M90" s="84"/>
      <c r="N90" s="84"/>
      <c r="O90" s="84"/>
      <c r="P90" s="84"/>
      <c r="Q90" s="84"/>
    </row>
    <row r="91" spans="1:243" ht="22.5" x14ac:dyDescent="0.2">
      <c r="A91" s="78" t="str">
        <f>IF(COUNTBLANK(B91)=1," ",COUNTA(B$14:B91))</f>
        <v xml:space="preserve"> </v>
      </c>
      <c r="B91" s="85"/>
      <c r="C91" s="80" t="s">
        <v>451</v>
      </c>
      <c r="D91" s="85" t="s">
        <v>61</v>
      </c>
      <c r="E91" s="98">
        <f>0.65*0.05*12.6</f>
        <v>0.40949999999999998</v>
      </c>
      <c r="F91" s="80"/>
      <c r="G91" s="80"/>
      <c r="H91" s="77"/>
      <c r="I91" s="77"/>
      <c r="J91" s="77"/>
      <c r="K91" s="77"/>
      <c r="L91" s="83"/>
      <c r="M91" s="84"/>
      <c r="N91" s="84"/>
      <c r="O91" s="84"/>
      <c r="P91" s="84"/>
      <c r="Q91" s="84"/>
    </row>
    <row r="92" spans="1:243" ht="22.5" x14ac:dyDescent="0.2">
      <c r="A92" s="78" t="str">
        <f>IF(COUNTBLANK(B92)=1," ",COUNTA(B$14:B92))</f>
        <v xml:space="preserve"> </v>
      </c>
      <c r="B92" s="85"/>
      <c r="C92" s="80" t="s">
        <v>452</v>
      </c>
      <c r="D92" s="85" t="s">
        <v>29</v>
      </c>
      <c r="E92" s="90">
        <f>0.35*12.6</f>
        <v>4.4099999999999993</v>
      </c>
      <c r="F92" s="80"/>
      <c r="G92" s="80"/>
      <c r="H92" s="77"/>
      <c r="I92" s="77"/>
      <c r="J92" s="77"/>
      <c r="K92" s="77"/>
      <c r="L92" s="83"/>
      <c r="M92" s="84"/>
      <c r="N92" s="84"/>
      <c r="O92" s="84"/>
      <c r="P92" s="84"/>
      <c r="Q92" s="84"/>
    </row>
    <row r="93" spans="1:243" ht="22.5" x14ac:dyDescent="0.2">
      <c r="A93" s="78" t="str">
        <f>IF(COUNTBLANK(B93)=1," ",COUNTA(B$14:B93))</f>
        <v xml:space="preserve"> </v>
      </c>
      <c r="B93" s="85"/>
      <c r="C93" s="80" t="s">
        <v>226</v>
      </c>
      <c r="D93" s="85" t="s">
        <v>36</v>
      </c>
      <c r="E93" s="90">
        <f>0.004*0.04*0.5*22*7800</f>
        <v>13.728</v>
      </c>
      <c r="F93" s="80"/>
      <c r="G93" s="80"/>
      <c r="H93" s="77"/>
      <c r="I93" s="77"/>
      <c r="J93" s="77"/>
      <c r="K93" s="77"/>
      <c r="L93" s="83"/>
      <c r="M93" s="84"/>
      <c r="N93" s="84"/>
      <c r="O93" s="84"/>
      <c r="P93" s="84"/>
      <c r="Q93" s="84"/>
    </row>
    <row r="94" spans="1:243" s="69" customFormat="1" x14ac:dyDescent="0.2">
      <c r="A94" s="78">
        <f>IF(COUNTBLANK(B94)=1," ",COUNTA($B$13:B94))</f>
        <v>42</v>
      </c>
      <c r="B94" s="89" t="s">
        <v>23</v>
      </c>
      <c r="C94" s="80" t="s">
        <v>238</v>
      </c>
      <c r="D94" s="85" t="s">
        <v>29</v>
      </c>
      <c r="E94" s="98">
        <v>1</v>
      </c>
      <c r="F94" s="92"/>
      <c r="G94" s="92"/>
      <c r="H94" s="82"/>
      <c r="I94" s="92"/>
      <c r="J94" s="91"/>
      <c r="K94" s="92"/>
      <c r="L94" s="83"/>
      <c r="M94" s="84"/>
      <c r="N94" s="84"/>
      <c r="O94" s="84"/>
      <c r="P94" s="84"/>
      <c r="Q94" s="84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</row>
    <row r="95" spans="1:243" s="69" customFormat="1" x14ac:dyDescent="0.25">
      <c r="A95" s="78" t="str">
        <f>IF(COUNTBLANK(B95)=1," ",COUNTA($B$13:B95))</f>
        <v xml:space="preserve"> </v>
      </c>
      <c r="B95" s="99"/>
      <c r="C95" s="101" t="s">
        <v>281</v>
      </c>
      <c r="D95" s="99" t="s">
        <v>36</v>
      </c>
      <c r="E95" s="81">
        <f>ROUNDUP(E94*F95,2)</f>
        <v>0.4</v>
      </c>
      <c r="F95" s="92">
        <v>0.4</v>
      </c>
      <c r="G95" s="92"/>
      <c r="H95" s="92"/>
      <c r="I95" s="92"/>
      <c r="J95" s="92"/>
      <c r="K95" s="92"/>
      <c r="L95" s="83"/>
      <c r="M95" s="84"/>
      <c r="N95" s="84"/>
      <c r="O95" s="84"/>
      <c r="P95" s="84"/>
      <c r="Q95" s="84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</row>
    <row r="96" spans="1:243" ht="22.5" x14ac:dyDescent="0.2">
      <c r="A96" s="78" t="str">
        <f>IF(COUNTBLANK(B96)=1," ",COUNTA(B$14:B96))</f>
        <v xml:space="preserve"> </v>
      </c>
      <c r="B96" s="85"/>
      <c r="C96" s="80" t="s">
        <v>449</v>
      </c>
      <c r="D96" s="85" t="s">
        <v>29</v>
      </c>
      <c r="E96" s="90">
        <v>8.1999999999999993</v>
      </c>
      <c r="F96" s="80"/>
      <c r="G96" s="80"/>
      <c r="H96" s="77"/>
      <c r="I96" s="77"/>
      <c r="J96" s="77"/>
      <c r="K96" s="77"/>
      <c r="L96" s="83"/>
      <c r="M96" s="84"/>
      <c r="N96" s="84"/>
      <c r="O96" s="84"/>
      <c r="P96" s="84"/>
      <c r="Q96" s="84"/>
    </row>
    <row r="97" spans="1:17" ht="22.5" x14ac:dyDescent="0.2">
      <c r="A97" s="78" t="str">
        <f>IF(COUNTBLANK(B97)=1," ",COUNTA(B$14:B97))</f>
        <v xml:space="preserve"> </v>
      </c>
      <c r="B97" s="85"/>
      <c r="C97" s="80" t="s">
        <v>227</v>
      </c>
      <c r="D97" s="85" t="s">
        <v>25</v>
      </c>
      <c r="E97" s="90">
        <v>12.6</v>
      </c>
      <c r="F97" s="80"/>
      <c r="G97" s="92"/>
      <c r="H97" s="82"/>
      <c r="I97" s="92"/>
      <c r="J97" s="91"/>
      <c r="K97" s="92"/>
      <c r="L97" s="83"/>
      <c r="M97" s="84"/>
      <c r="N97" s="84"/>
      <c r="O97" s="84"/>
      <c r="P97" s="84"/>
      <c r="Q97" s="84"/>
    </row>
    <row r="98" spans="1:17" x14ac:dyDescent="0.2">
      <c r="A98" s="78" t="str">
        <f>IF(COUNTBLANK(B98)=1," ",COUNTA(B$14:B98))</f>
        <v xml:space="preserve"> </v>
      </c>
      <c r="B98" s="85"/>
      <c r="C98" s="80" t="s">
        <v>228</v>
      </c>
      <c r="D98" s="85" t="s">
        <v>25</v>
      </c>
      <c r="E98" s="90">
        <v>12.6</v>
      </c>
      <c r="F98" s="80"/>
      <c r="G98" s="80"/>
      <c r="H98" s="77"/>
      <c r="I98" s="77"/>
      <c r="J98" s="77"/>
      <c r="K98" s="77"/>
      <c r="L98" s="83"/>
      <c r="M98" s="84"/>
      <c r="N98" s="84"/>
      <c r="O98" s="84"/>
      <c r="P98" s="84"/>
      <c r="Q98" s="84"/>
    </row>
    <row r="99" spans="1:17" x14ac:dyDescent="0.2">
      <c r="A99" s="78">
        <f>IF(COUNTBLANK(B99)=1," ",COUNTA(B$14:B99))</f>
        <v>43</v>
      </c>
      <c r="B99" s="85">
        <v>7</v>
      </c>
      <c r="C99" s="80" t="s">
        <v>229</v>
      </c>
      <c r="D99" s="95" t="s">
        <v>278</v>
      </c>
      <c r="E99" s="96">
        <v>1</v>
      </c>
      <c r="F99" s="77"/>
      <c r="G99" s="81"/>
      <c r="H99" s="82"/>
      <c r="I99" s="81"/>
      <c r="J99" s="91"/>
      <c r="K99" s="81"/>
      <c r="L99" s="83"/>
      <c r="M99" s="84"/>
      <c r="N99" s="84"/>
      <c r="O99" s="84"/>
      <c r="P99" s="84"/>
      <c r="Q99" s="84"/>
    </row>
    <row r="100" spans="1:17" ht="22.5" x14ac:dyDescent="0.2">
      <c r="A100" s="78" t="str">
        <f>IF(COUNTBLANK(B100)=1," ",COUNTA(B$14:B100))</f>
        <v xml:space="preserve"> </v>
      </c>
      <c r="B100" s="85"/>
      <c r="C100" s="80" t="s">
        <v>453</v>
      </c>
      <c r="D100" s="85" t="s">
        <v>27</v>
      </c>
      <c r="E100" s="90">
        <v>8</v>
      </c>
      <c r="F100" s="80"/>
      <c r="G100" s="80"/>
      <c r="H100" s="77"/>
      <c r="I100" s="77"/>
      <c r="J100" s="77"/>
      <c r="K100" s="77"/>
      <c r="L100" s="83"/>
      <c r="M100" s="84"/>
      <c r="N100" s="84"/>
      <c r="O100" s="84"/>
      <c r="P100" s="84"/>
      <c r="Q100" s="84"/>
    </row>
    <row r="101" spans="1:17" ht="22.5" x14ac:dyDescent="0.2">
      <c r="A101" s="78" t="str">
        <f>IF(COUNTBLANK(B101)=1," ",COUNTA(B$14:B101))</f>
        <v xml:space="preserve"> </v>
      </c>
      <c r="B101" s="85"/>
      <c r="C101" s="80" t="s">
        <v>230</v>
      </c>
      <c r="D101" s="85" t="s">
        <v>29</v>
      </c>
      <c r="E101" s="90">
        <v>1.3</v>
      </c>
      <c r="F101" s="80"/>
      <c r="G101" s="80"/>
      <c r="H101" s="77"/>
      <c r="I101" s="77"/>
      <c r="J101" s="77"/>
      <c r="K101" s="77"/>
      <c r="L101" s="83"/>
      <c r="M101" s="84"/>
      <c r="N101" s="84"/>
      <c r="O101" s="84"/>
      <c r="P101" s="84"/>
      <c r="Q101" s="84"/>
    </row>
    <row r="102" spans="1:17" ht="22.5" x14ac:dyDescent="0.2">
      <c r="A102" s="78" t="str">
        <f>IF(COUNTBLANK(B102)=1," ",COUNTA(B$14:B102))</f>
        <v xml:space="preserve"> </v>
      </c>
      <c r="B102" s="85"/>
      <c r="C102" s="80" t="s">
        <v>231</v>
      </c>
      <c r="D102" s="85" t="s">
        <v>25</v>
      </c>
      <c r="E102" s="90">
        <v>2.5</v>
      </c>
      <c r="F102" s="80"/>
      <c r="G102" s="80"/>
      <c r="H102" s="77"/>
      <c r="I102" s="77"/>
      <c r="J102" s="77"/>
      <c r="K102" s="77"/>
      <c r="L102" s="83"/>
      <c r="M102" s="84"/>
      <c r="N102" s="84"/>
      <c r="O102" s="84"/>
      <c r="P102" s="84"/>
      <c r="Q102" s="84"/>
    </row>
    <row r="103" spans="1:17" ht="22.5" x14ac:dyDescent="0.2">
      <c r="A103" s="68"/>
      <c r="B103" s="69"/>
      <c r="C103" s="318" t="s">
        <v>156</v>
      </c>
      <c r="D103" s="319"/>
      <c r="E103" s="320"/>
      <c r="F103" s="320"/>
      <c r="G103" s="321"/>
      <c r="H103" s="321"/>
      <c r="I103" s="321"/>
      <c r="J103" s="321"/>
      <c r="K103" s="321"/>
      <c r="L103" s="69"/>
      <c r="M103" s="322"/>
      <c r="N103" s="322"/>
      <c r="O103" s="322"/>
      <c r="P103" s="322"/>
      <c r="Q103" s="322"/>
    </row>
    <row r="104" spans="1:17" x14ac:dyDescent="0.2">
      <c r="A104" s="68"/>
      <c r="B104" s="69"/>
      <c r="C104" s="323"/>
      <c r="D104" s="323"/>
      <c r="E104" s="323"/>
      <c r="F104" s="323"/>
      <c r="G104" s="323"/>
      <c r="H104" s="323"/>
      <c r="I104" s="69"/>
      <c r="J104" s="69"/>
      <c r="K104" s="69"/>
      <c r="L104" s="69"/>
      <c r="M104" s="69"/>
      <c r="N104" s="69"/>
      <c r="O104" s="69"/>
      <c r="P104" s="69"/>
      <c r="Q104" s="69"/>
    </row>
    <row r="105" spans="1:17" x14ac:dyDescent="0.2">
      <c r="A105" s="69"/>
      <c r="B105" s="69"/>
      <c r="C105" s="324" t="str">
        <f>[2]KPDV!$B$31</f>
        <v>Sastādīja:</v>
      </c>
      <c r="D105" s="325"/>
      <c r="E105" s="326"/>
      <c r="F105" s="326"/>
      <c r="G105" s="323"/>
      <c r="H105" s="323"/>
      <c r="I105" s="69"/>
      <c r="J105" s="69"/>
      <c r="K105" s="69"/>
      <c r="L105" s="69"/>
      <c r="M105" s="69"/>
      <c r="N105" s="69"/>
      <c r="O105" s="69"/>
      <c r="P105" s="69"/>
      <c r="Q105" s="69"/>
    </row>
    <row r="106" spans="1:17" x14ac:dyDescent="0.2">
      <c r="A106" s="69"/>
      <c r="B106" s="69"/>
      <c r="C106" s="324" t="str">
        <f>[2]KPDV!$B$32</f>
        <v>Tāme sastādīta</v>
      </c>
      <c r="D106" s="327"/>
      <c r="E106" s="314"/>
      <c r="F106" s="314"/>
      <c r="G106" s="323"/>
      <c r="H106" s="323"/>
      <c r="I106" s="69"/>
      <c r="J106" s="69"/>
      <c r="K106" s="69"/>
      <c r="L106" s="69"/>
      <c r="M106" s="69"/>
      <c r="N106" s="69"/>
      <c r="O106" s="69"/>
      <c r="P106" s="69"/>
      <c r="Q106" s="69"/>
    </row>
    <row r="107" spans="1:17" x14ac:dyDescent="0.2">
      <c r="A107" s="69"/>
      <c r="B107" s="69"/>
      <c r="C107" s="324"/>
      <c r="D107" s="327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69"/>
    </row>
    <row r="108" spans="1:17" x14ac:dyDescent="0.2">
      <c r="A108" s="69"/>
      <c r="B108" s="69"/>
      <c r="C108" s="324" t="str">
        <f>[2]KPDV!$B$34</f>
        <v>Pārbaudīja:</v>
      </c>
      <c r="D108" s="325"/>
      <c r="E108" s="326"/>
      <c r="F108" s="326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69"/>
    </row>
    <row r="109" spans="1:17" x14ac:dyDescent="0.2">
      <c r="A109" s="69"/>
      <c r="B109" s="69"/>
      <c r="C109" s="324" t="str">
        <f>[2]KPDV!$B$35</f>
        <v>Sertifikāta Nr.:</v>
      </c>
      <c r="D109" s="325"/>
      <c r="E109" s="328"/>
      <c r="F109" s="328"/>
      <c r="G109" s="327"/>
      <c r="H109" s="327"/>
      <c r="I109" s="327"/>
      <c r="J109" s="327"/>
      <c r="K109" s="327"/>
      <c r="L109" s="327"/>
      <c r="M109" s="329"/>
      <c r="N109" s="327"/>
      <c r="O109" s="329"/>
      <c r="P109" s="327"/>
      <c r="Q109" s="69"/>
    </row>
    <row r="110" spans="1:17" x14ac:dyDescent="0.2">
      <c r="A110" s="69"/>
      <c r="B110" s="69"/>
      <c r="C110" s="69"/>
      <c r="D110" s="69"/>
      <c r="E110" s="69"/>
      <c r="F110" s="69"/>
      <c r="G110" s="69"/>
      <c r="H110" s="69"/>
      <c r="I110" s="134"/>
      <c r="J110" s="135"/>
      <c r="K110" s="135"/>
      <c r="L110" s="69"/>
      <c r="M110" s="69"/>
      <c r="N110" s="69"/>
      <c r="O110" s="135"/>
      <c r="P110" s="135"/>
      <c r="Q110" s="69"/>
    </row>
    <row r="111" spans="1:17" ht="12.75" x14ac:dyDescent="0.2">
      <c r="A111" s="69"/>
      <c r="B111" s="330" t="s">
        <v>400</v>
      </c>
      <c r="C111" s="331"/>
      <c r="D111" s="332"/>
      <c r="E111" s="332"/>
      <c r="F111" s="332"/>
      <c r="G111" s="333"/>
      <c r="H111" s="332"/>
      <c r="I111" s="332"/>
      <c r="J111" s="332"/>
      <c r="K111" s="332"/>
      <c r="L111" s="332"/>
      <c r="M111" s="332"/>
      <c r="N111" s="332"/>
      <c r="O111" s="332"/>
      <c r="P111" s="332"/>
      <c r="Q111" s="332"/>
    </row>
    <row r="112" spans="1:17" x14ac:dyDescent="0.2">
      <c r="A112" s="69"/>
      <c r="B112" s="334" t="s">
        <v>401</v>
      </c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</row>
    <row r="113" spans="1:17" x14ac:dyDescent="0.2">
      <c r="A113" s="69"/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</row>
    <row r="114" spans="1:17" x14ac:dyDescent="0.2">
      <c r="A114" s="69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</row>
    <row r="115" spans="1:17" x14ac:dyDescent="0.2">
      <c r="A115" s="69"/>
      <c r="B115" s="69"/>
      <c r="C115" s="69"/>
      <c r="D115" s="69"/>
      <c r="E115" s="69"/>
    </row>
    <row r="116" spans="1:17" x14ac:dyDescent="0.2">
      <c r="A116" s="69"/>
      <c r="B116" s="69"/>
      <c r="C116" s="69"/>
      <c r="D116" s="69"/>
      <c r="E116" s="69"/>
    </row>
    <row r="117" spans="1:17" x14ac:dyDescent="0.2">
      <c r="A117" s="69"/>
      <c r="B117" s="69"/>
      <c r="C117" s="69"/>
      <c r="D117" s="69"/>
      <c r="E117" s="69"/>
    </row>
  </sheetData>
  <mergeCells count="12">
    <mergeCell ref="B112:Q114"/>
    <mergeCell ref="A1:G1"/>
    <mergeCell ref="A8:D8"/>
    <mergeCell ref="G8:J8"/>
    <mergeCell ref="N9:Q9"/>
    <mergeCell ref="A10:A11"/>
    <mergeCell ref="B10:B11"/>
    <mergeCell ref="C10:C11"/>
    <mergeCell ref="D10:D11"/>
    <mergeCell ref="E10:E11"/>
    <mergeCell ref="G10:L10"/>
    <mergeCell ref="M10:Q10"/>
  </mergeCells>
  <pageMargins left="0.7" right="0.7" top="0.75" bottom="0.75" header="0.3" footer="0.3"/>
  <pageSetup paperSize="9" scale="8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29</vt:i4>
      </vt:variant>
    </vt:vector>
  </HeadingPairs>
  <TitlesOfParts>
    <vt:vector size="41" baseType="lpstr">
      <vt:lpstr>k</vt:lpstr>
      <vt:lpstr>KPDV</vt:lpstr>
      <vt:lpstr>AR</vt:lpstr>
      <vt:lpstr>apjomi</vt:lpstr>
      <vt:lpstr>Logi</vt:lpstr>
      <vt:lpstr>pagrabs</vt:lpstr>
      <vt:lpstr>cokols</vt:lpstr>
      <vt:lpstr>BK</vt:lpstr>
      <vt:lpstr>jumts</vt:lpstr>
      <vt:lpstr>ieejas</vt:lpstr>
      <vt:lpstr>AVK</vt:lpstr>
      <vt:lpstr>GA</vt:lpstr>
      <vt:lpstr>AR!_FilterDatabase_0</vt:lpstr>
      <vt:lpstr>dat</vt:lpstr>
      <vt:lpstr>apjomi!Drukas_apgabals</vt:lpstr>
      <vt:lpstr>AR!Drukas_apgabals</vt:lpstr>
      <vt:lpstr>BK!Drukas_apgabals</vt:lpstr>
      <vt:lpstr>cokols!Drukas_apgabals</vt:lpstr>
      <vt:lpstr>GA!Drukas_apgabals</vt:lpstr>
      <vt:lpstr>ieejas!Drukas_apgabals</vt:lpstr>
      <vt:lpstr>jumts!Drukas_apgabals</vt:lpstr>
      <vt:lpstr>KPDV!Drukas_apgabals</vt:lpstr>
      <vt:lpstr>AR!Drukāt_virsrakstus</vt:lpstr>
      <vt:lpstr>AVK!Drukāt_virsrakstus</vt:lpstr>
      <vt:lpstr>BK!Drukāt_virsrakstus</vt:lpstr>
      <vt:lpstr>cokols!Drukāt_virsrakstus</vt:lpstr>
      <vt:lpstr>GA!Drukāt_virsrakstus</vt:lpstr>
      <vt:lpstr>ieejas!Drukāt_virsrakstus</vt:lpstr>
      <vt:lpstr>jumts!Drukāt_virsrakstus</vt:lpstr>
      <vt:lpstr>Logi!Drukāt_virsrakstus</vt:lpstr>
      <vt:lpstr>pagrabs!Drukāt_virsrakstus</vt:lpstr>
      <vt:lpstr>cokols!Excel_BuiltIn__FilterDatabase</vt:lpstr>
      <vt:lpstr>pagrabs!Excel_BuiltIn__FilterDatabase</vt:lpstr>
      <vt:lpstr>AR!Print_Area_0</vt:lpstr>
      <vt:lpstr>AVK!Print_Area_0</vt:lpstr>
      <vt:lpstr>BK!Print_Area_0</vt:lpstr>
      <vt:lpstr>cokols!Print_Area_0</vt:lpstr>
      <vt:lpstr>ieejas!Print_Area_0</vt:lpstr>
      <vt:lpstr>jumts!Print_Area_0</vt:lpstr>
      <vt:lpstr>KPDV!Print_Area_0</vt:lpstr>
      <vt:lpstr>pagrabs!Print_Area_0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Sandijs-I7</dc:creator>
  <cp:lastModifiedBy>Prezenta</cp:lastModifiedBy>
  <cp:revision>2</cp:revision>
  <cp:lastPrinted>2019-03-22T12:41:25Z</cp:lastPrinted>
  <dcterms:created xsi:type="dcterms:W3CDTF">2017-01-03T16:46:03Z</dcterms:created>
  <dcterms:modified xsi:type="dcterms:W3CDTF">2019-05-27T07:00:53Z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