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39_E_Tise_60_2\"/>
    </mc:Choice>
  </mc:AlternateContent>
  <xr:revisionPtr revIDLastSave="0" documentId="13_ncr:1_{2B207032-FDA3-4A11-9CE8-2722037FBFC2}" xr6:coauthVersionLast="43" xr6:coauthVersionMax="43" xr10:uidLastSave="{00000000-0000-0000-0000-000000000000}"/>
  <bookViews>
    <workbookView xWindow="1245" yWindow="795" windowWidth="23865" windowHeight="14610" tabRatio="713" activeTab="2" xr2:uid="{00000000-000D-0000-FFFF-FFFF00000000}"/>
  </bookViews>
  <sheets>
    <sheet name="K" sheetId="15" r:id="rId1"/>
    <sheet name="KPDV" sheetId="1" r:id="rId2"/>
    <sheet name="AR " sheetId="2" r:id="rId3"/>
    <sheet name="logi" sheetId="3" r:id="rId4"/>
    <sheet name="lodzijas" sheetId="14" r:id="rId5"/>
    <sheet name="C" sheetId="4" r:id="rId6"/>
    <sheet name="IM" sheetId="5" r:id="rId7"/>
    <sheet name="PS" sheetId="6" r:id="rId8"/>
    <sheet name="apjomi" sheetId="10" state="hidden" r:id="rId9"/>
    <sheet name="BS" sheetId="7" r:id="rId10"/>
    <sheet name="Jumts" sheetId="8" r:id="rId11"/>
    <sheet name="5 stava jumts" sheetId="9" r:id="rId12"/>
    <sheet name="AVK" sheetId="11" r:id="rId13"/>
    <sheet name="Zibens" sheetId="13" r:id="rId14"/>
  </sheets>
  <definedNames>
    <definedName name="_xlnm.Print_Area" localSheetId="2">'AR '!$A$1:$Q$84</definedName>
    <definedName name="_xlnm.Print_Area" localSheetId="12">AVK!$A$1:$Q$171</definedName>
    <definedName name="_xlnm.Print_Area" localSheetId="7">PS!$A$1:$Q$19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2" l="1"/>
  <c r="C16" i="6" l="1"/>
  <c r="A44" i="4" l="1"/>
  <c r="B18" i="1"/>
  <c r="A12" i="1"/>
  <c r="A5" i="15" l="1"/>
  <c r="A6" i="15"/>
  <c r="A7" i="15"/>
  <c r="A4" i="15"/>
  <c r="A34" i="14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L51" i="14" l="1"/>
  <c r="A51" i="14" l="1"/>
  <c r="B12" i="14"/>
  <c r="C12" i="14" s="1"/>
  <c r="D12" i="14" s="1"/>
  <c r="E12" i="14" s="1"/>
  <c r="F12" i="14" s="1"/>
  <c r="G12" i="14" s="1"/>
  <c r="H12" i="14" s="1"/>
  <c r="I12" i="14" s="1"/>
  <c r="J12" i="14" s="1"/>
  <c r="K12" i="14" s="1"/>
  <c r="L12" i="14" s="1"/>
  <c r="M12" i="14" s="1"/>
  <c r="N12" i="14" s="1"/>
  <c r="O12" i="14" s="1"/>
  <c r="P12" i="14" s="1"/>
  <c r="A5" i="14"/>
  <c r="E46" i="2" l="1"/>
  <c r="E44" i="2"/>
  <c r="E31" i="2"/>
  <c r="B31" i="2"/>
  <c r="C31" i="2"/>
  <c r="N51" i="14" l="1"/>
  <c r="B12" i="13"/>
  <c r="C12" i="13" s="1"/>
  <c r="D12" i="13" s="1"/>
  <c r="E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Q12" i="13" s="1"/>
  <c r="Q48" i="10"/>
  <c r="Q47" i="10"/>
  <c r="Q46" i="10"/>
  <c r="N45" i="10"/>
  <c r="P45" i="10" s="1"/>
  <c r="Q45" i="10" s="1"/>
  <c r="N44" i="10"/>
  <c r="P44" i="10" s="1"/>
  <c r="Q44" i="10" s="1"/>
  <c r="N43" i="10"/>
  <c r="P43" i="10" s="1"/>
  <c r="Q43" i="10" s="1"/>
  <c r="N42" i="10"/>
  <c r="P42" i="10" s="1"/>
  <c r="Q42" i="10" s="1"/>
  <c r="N40" i="10"/>
  <c r="P40" i="10" s="1"/>
  <c r="Q40" i="10" s="1"/>
  <c r="C40" i="10"/>
  <c r="C42" i="10" s="1"/>
  <c r="C43" i="10" s="1"/>
  <c r="C44" i="10" s="1"/>
  <c r="N39" i="10"/>
  <c r="P39" i="10" s="1"/>
  <c r="Q39" i="10" s="1"/>
  <c r="H39" i="10"/>
  <c r="H40" i="10" s="1"/>
  <c r="H42" i="10" s="1"/>
  <c r="H43" i="10" s="1"/>
  <c r="H44" i="10" s="1"/>
  <c r="H45" i="10" s="1"/>
  <c r="H46" i="10" s="1"/>
  <c r="H47" i="10" s="1"/>
  <c r="N38" i="10"/>
  <c r="P38" i="10" s="1"/>
  <c r="Q38" i="10" s="1"/>
  <c r="N37" i="10"/>
  <c r="P37" i="10" s="1"/>
  <c r="Q37" i="10" s="1"/>
  <c r="D36" i="10"/>
  <c r="E22" i="4" s="1"/>
  <c r="E25" i="4" s="1"/>
  <c r="F35" i="10"/>
  <c r="G34" i="10"/>
  <c r="F34" i="10"/>
  <c r="D32" i="10"/>
  <c r="F27" i="10"/>
  <c r="N26" i="10"/>
  <c r="P26" i="10" s="1"/>
  <c r="M26" i="10"/>
  <c r="O26" i="10" s="1"/>
  <c r="I26" i="10"/>
  <c r="C26" i="10"/>
  <c r="N25" i="10"/>
  <c r="P25" i="10" s="1"/>
  <c r="M25" i="10"/>
  <c r="O25" i="10" s="1"/>
  <c r="I25" i="10"/>
  <c r="K25" i="10" s="1"/>
  <c r="E35" i="3" s="1"/>
  <c r="C25" i="10"/>
  <c r="U24" i="10"/>
  <c r="V24" i="10" s="1"/>
  <c r="S24" i="10"/>
  <c r="T24" i="10" s="1"/>
  <c r="N24" i="10"/>
  <c r="P24" i="10" s="1"/>
  <c r="M24" i="10"/>
  <c r="O24" i="10" s="1"/>
  <c r="I24" i="10"/>
  <c r="K24" i="10" s="1"/>
  <c r="E34" i="3" s="1"/>
  <c r="C24" i="10"/>
  <c r="U23" i="10"/>
  <c r="V23" i="10" s="1"/>
  <c r="S23" i="10"/>
  <c r="T23" i="10" s="1"/>
  <c r="N23" i="10"/>
  <c r="P23" i="10" s="1"/>
  <c r="M23" i="10"/>
  <c r="O23" i="10" s="1"/>
  <c r="I23" i="10"/>
  <c r="K23" i="10" s="1"/>
  <c r="E33" i="3" s="1"/>
  <c r="C23" i="10"/>
  <c r="U22" i="10"/>
  <c r="V22" i="10" s="1"/>
  <c r="S22" i="10"/>
  <c r="T22" i="10" s="1"/>
  <c r="N22" i="10"/>
  <c r="P22" i="10" s="1"/>
  <c r="M22" i="10"/>
  <c r="O22" i="10" s="1"/>
  <c r="I22" i="10"/>
  <c r="C22" i="10"/>
  <c r="U21" i="10"/>
  <c r="V21" i="10" s="1"/>
  <c r="S21" i="10"/>
  <c r="T21" i="10" s="1"/>
  <c r="N21" i="10"/>
  <c r="P21" i="10" s="1"/>
  <c r="M21" i="10"/>
  <c r="O21" i="10" s="1"/>
  <c r="I21" i="10"/>
  <c r="C21" i="10"/>
  <c r="U20" i="10"/>
  <c r="V20" i="10" s="1"/>
  <c r="S20" i="10"/>
  <c r="T20" i="10" s="1"/>
  <c r="N20" i="10"/>
  <c r="M20" i="10"/>
  <c r="O20" i="10" s="1"/>
  <c r="I20" i="10"/>
  <c r="C20" i="10"/>
  <c r="U19" i="10"/>
  <c r="V19" i="10" s="1"/>
  <c r="S19" i="10"/>
  <c r="T19" i="10" s="1"/>
  <c r="Q19" i="10"/>
  <c r="N19" i="10"/>
  <c r="M19" i="10"/>
  <c r="O19" i="10" s="1"/>
  <c r="I19" i="10"/>
  <c r="K19" i="10" s="1"/>
  <c r="E30" i="3" s="1"/>
  <c r="C19" i="10"/>
  <c r="U18" i="10"/>
  <c r="V18" i="10" s="1"/>
  <c r="S18" i="10"/>
  <c r="T18" i="10" s="1"/>
  <c r="Q18" i="10"/>
  <c r="N18" i="10"/>
  <c r="M18" i="10"/>
  <c r="O18" i="10" s="1"/>
  <c r="I18" i="10"/>
  <c r="K18" i="10" s="1"/>
  <c r="C18" i="10"/>
  <c r="U17" i="10"/>
  <c r="V17" i="10" s="1"/>
  <c r="S17" i="10"/>
  <c r="T17" i="10" s="1"/>
  <c r="R17" i="10"/>
  <c r="Q17" i="10"/>
  <c r="N17" i="10"/>
  <c r="P17" i="10" s="1"/>
  <c r="M17" i="10"/>
  <c r="O17" i="10" s="1"/>
  <c r="I17" i="10"/>
  <c r="K17" i="10" s="1"/>
  <c r="C17" i="10"/>
  <c r="U16" i="10"/>
  <c r="V16" i="10" s="1"/>
  <c r="S16" i="10"/>
  <c r="T16" i="10" s="1"/>
  <c r="R16" i="10"/>
  <c r="Q16" i="10"/>
  <c r="N16" i="10"/>
  <c r="P16" i="10" s="1"/>
  <c r="M16" i="10"/>
  <c r="O16" i="10" s="1"/>
  <c r="I16" i="10"/>
  <c r="K16" i="10" s="1"/>
  <c r="C16" i="10"/>
  <c r="U15" i="10"/>
  <c r="V15" i="10" s="1"/>
  <c r="S15" i="10"/>
  <c r="T15" i="10" s="1"/>
  <c r="R15" i="10"/>
  <c r="Q15" i="10"/>
  <c r="N15" i="10"/>
  <c r="P15" i="10" s="1"/>
  <c r="M15" i="10"/>
  <c r="O15" i="10" s="1"/>
  <c r="I15" i="10"/>
  <c r="C15" i="10"/>
  <c r="U14" i="10"/>
  <c r="V14" i="10" s="1"/>
  <c r="S14" i="10"/>
  <c r="T14" i="10" s="1"/>
  <c r="R14" i="10"/>
  <c r="Q14" i="10"/>
  <c r="N14" i="10"/>
  <c r="P14" i="10" s="1"/>
  <c r="M14" i="10"/>
  <c r="O14" i="10" s="1"/>
  <c r="I14" i="10"/>
  <c r="K14" i="10" s="1"/>
  <c r="C14" i="10"/>
  <c r="U13" i="10"/>
  <c r="V13" i="10" s="1"/>
  <c r="S13" i="10"/>
  <c r="T13" i="10" s="1"/>
  <c r="R13" i="10"/>
  <c r="Q13" i="10"/>
  <c r="N13" i="10"/>
  <c r="P13" i="10" s="1"/>
  <c r="M13" i="10"/>
  <c r="O13" i="10" s="1"/>
  <c r="I13" i="10"/>
  <c r="K13" i="10" s="1"/>
  <c r="C13" i="10"/>
  <c r="U12" i="10"/>
  <c r="V12" i="10" s="1"/>
  <c r="S12" i="10"/>
  <c r="T12" i="10" s="1"/>
  <c r="R12" i="10"/>
  <c r="Q12" i="10"/>
  <c r="N12" i="10"/>
  <c r="P12" i="10" s="1"/>
  <c r="M12" i="10"/>
  <c r="O12" i="10" s="1"/>
  <c r="I12" i="10"/>
  <c r="C12" i="10"/>
  <c r="U11" i="10"/>
  <c r="V11" i="10" s="1"/>
  <c r="S11" i="10"/>
  <c r="T11" i="10" s="1"/>
  <c r="R11" i="10"/>
  <c r="Q11" i="10"/>
  <c r="N11" i="10"/>
  <c r="P11" i="10" s="1"/>
  <c r="M11" i="10"/>
  <c r="O11" i="10" s="1"/>
  <c r="I11" i="10"/>
  <c r="K11" i="10" s="1"/>
  <c r="C11" i="10"/>
  <c r="U10" i="10"/>
  <c r="V10" i="10" s="1"/>
  <c r="S10" i="10"/>
  <c r="T10" i="10" s="1"/>
  <c r="R10" i="10"/>
  <c r="Q10" i="10"/>
  <c r="N10" i="10"/>
  <c r="P10" i="10" s="1"/>
  <c r="M10" i="10"/>
  <c r="O10" i="10" s="1"/>
  <c r="I10" i="10"/>
  <c r="K10" i="10" s="1"/>
  <c r="C10" i="10"/>
  <c r="U9" i="10"/>
  <c r="V9" i="10" s="1"/>
  <c r="S9" i="10"/>
  <c r="T9" i="10" s="1"/>
  <c r="R9" i="10"/>
  <c r="Q9" i="10"/>
  <c r="N9" i="10"/>
  <c r="P9" i="10" s="1"/>
  <c r="M9" i="10"/>
  <c r="O9" i="10" s="1"/>
  <c r="I9" i="10"/>
  <c r="K9" i="10" s="1"/>
  <c r="C9" i="10"/>
  <c r="U8" i="10"/>
  <c r="V8" i="10" s="1"/>
  <c r="S8" i="10"/>
  <c r="T8" i="10" s="1"/>
  <c r="R8" i="10"/>
  <c r="Q8" i="10"/>
  <c r="N8" i="10"/>
  <c r="P8" i="10" s="1"/>
  <c r="M8" i="10"/>
  <c r="O8" i="10" s="1"/>
  <c r="I8" i="10"/>
  <c r="K8" i="10" s="1"/>
  <c r="C8" i="10"/>
  <c r="U7" i="10"/>
  <c r="V7" i="10" s="1"/>
  <c r="S7" i="10"/>
  <c r="T7" i="10" s="1"/>
  <c r="R7" i="10"/>
  <c r="Q7" i="10"/>
  <c r="N7" i="10"/>
  <c r="P7" i="10" s="1"/>
  <c r="M7" i="10"/>
  <c r="O7" i="10" s="1"/>
  <c r="I7" i="10"/>
  <c r="C7" i="10"/>
  <c r="U6" i="10"/>
  <c r="V6" i="10" s="1"/>
  <c r="S6" i="10"/>
  <c r="T6" i="10" s="1"/>
  <c r="R6" i="10"/>
  <c r="Q6" i="10"/>
  <c r="N6" i="10"/>
  <c r="P6" i="10" s="1"/>
  <c r="M6" i="10"/>
  <c r="O6" i="10" s="1"/>
  <c r="K6" i="10"/>
  <c r="I6" i="10"/>
  <c r="C6" i="10"/>
  <c r="J6" i="10" s="1"/>
  <c r="U5" i="10"/>
  <c r="V5" i="10" s="1"/>
  <c r="S5" i="10"/>
  <c r="T5" i="10" s="1"/>
  <c r="R5" i="10"/>
  <c r="Q5" i="10"/>
  <c r="N5" i="10"/>
  <c r="P5" i="10" s="1"/>
  <c r="M5" i="10"/>
  <c r="O5" i="10" s="1"/>
  <c r="I5" i="10"/>
  <c r="K5" i="10" s="1"/>
  <c r="C5" i="10"/>
  <c r="U4" i="10"/>
  <c r="V4" i="10" s="1"/>
  <c r="S4" i="10"/>
  <c r="T4" i="10" s="1"/>
  <c r="R4" i="10"/>
  <c r="Q4" i="10"/>
  <c r="N4" i="10"/>
  <c r="P4" i="10" s="1"/>
  <c r="M4" i="10"/>
  <c r="O4" i="10" s="1"/>
  <c r="I4" i="10"/>
  <c r="K4" i="10" s="1"/>
  <c r="C4" i="10"/>
  <c r="U3" i="10"/>
  <c r="V3" i="10" s="1"/>
  <c r="S3" i="10"/>
  <c r="T3" i="10" s="1"/>
  <c r="R3" i="10"/>
  <c r="Q3" i="10"/>
  <c r="N3" i="10"/>
  <c r="P3" i="10" s="1"/>
  <c r="M3" i="10"/>
  <c r="O3" i="10" s="1"/>
  <c r="I3" i="10"/>
  <c r="C3" i="10"/>
  <c r="K2" i="10"/>
  <c r="J2" i="10"/>
  <c r="A40" i="9"/>
  <c r="A39" i="9"/>
  <c r="E38" i="9"/>
  <c r="A38" i="9"/>
  <c r="A37" i="9"/>
  <c r="E36" i="9"/>
  <c r="A36" i="9"/>
  <c r="A35" i="9"/>
  <c r="A34" i="9"/>
  <c r="A33" i="9"/>
  <c r="A32" i="9"/>
  <c r="A31" i="9"/>
  <c r="E30" i="9"/>
  <c r="A30" i="9"/>
  <c r="A29" i="9"/>
  <c r="A28" i="9"/>
  <c r="A27" i="9"/>
  <c r="A26" i="9"/>
  <c r="A25" i="9"/>
  <c r="A24" i="9"/>
  <c r="A23" i="9"/>
  <c r="E22" i="9"/>
  <c r="E25" i="9" s="1"/>
  <c r="A22" i="9"/>
  <c r="A21" i="9"/>
  <c r="A20" i="9"/>
  <c r="A19" i="9"/>
  <c r="A18" i="9"/>
  <c r="A17" i="9"/>
  <c r="A16" i="9"/>
  <c r="E15" i="9"/>
  <c r="E18" i="9" s="1"/>
  <c r="A15" i="9"/>
  <c r="A14" i="9"/>
  <c r="A13" i="9"/>
  <c r="B12" i="9"/>
  <c r="C12" i="9" s="1"/>
  <c r="D12" i="9" s="1"/>
  <c r="E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A6" i="9"/>
  <c r="A5" i="9"/>
  <c r="A4" i="9"/>
  <c r="A3" i="9"/>
  <c r="A85" i="8"/>
  <c r="E84" i="8"/>
  <c r="A84" i="8"/>
  <c r="E83" i="8"/>
  <c r="A83" i="8"/>
  <c r="A82" i="8"/>
  <c r="A81" i="8"/>
  <c r="A80" i="8"/>
  <c r="A79" i="8"/>
  <c r="A78" i="8"/>
  <c r="A77" i="8"/>
  <c r="A76" i="8"/>
  <c r="A75" i="8"/>
  <c r="A74" i="8"/>
  <c r="E73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E60" i="8"/>
  <c r="A60" i="8"/>
  <c r="A59" i="8"/>
  <c r="A58" i="8"/>
  <c r="A57" i="8"/>
  <c r="A56" i="8"/>
  <c r="A55" i="8"/>
  <c r="A54" i="8"/>
  <c r="E53" i="8"/>
  <c r="A53" i="8"/>
  <c r="E52" i="8"/>
  <c r="E61" i="8" s="1"/>
  <c r="A52" i="8"/>
  <c r="A51" i="8"/>
  <c r="E50" i="8"/>
  <c r="A50" i="8"/>
  <c r="A49" i="8"/>
  <c r="A48" i="8"/>
  <c r="A47" i="8"/>
  <c r="E46" i="8"/>
  <c r="A46" i="8"/>
  <c r="A45" i="8"/>
  <c r="A44" i="8"/>
  <c r="A43" i="8"/>
  <c r="A42" i="8"/>
  <c r="A41" i="8"/>
  <c r="A40" i="8"/>
  <c r="A39" i="8"/>
  <c r="A38" i="8"/>
  <c r="E37" i="8"/>
  <c r="A37" i="8"/>
  <c r="A36" i="8"/>
  <c r="A35" i="8"/>
  <c r="A34" i="8"/>
  <c r="E33" i="8"/>
  <c r="A33" i="8"/>
  <c r="A32" i="8"/>
  <c r="E31" i="8"/>
  <c r="A31" i="8"/>
  <c r="E30" i="8"/>
  <c r="A30" i="8"/>
  <c r="A29" i="8"/>
  <c r="E28" i="8"/>
  <c r="A28" i="8"/>
  <c r="E35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E14" i="8"/>
  <c r="E18" i="8" s="1"/>
  <c r="A14" i="8"/>
  <c r="A13" i="8"/>
  <c r="B12" i="8"/>
  <c r="C12" i="8" s="1"/>
  <c r="D12" i="8" s="1"/>
  <c r="E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A6" i="8"/>
  <c r="A5" i="8"/>
  <c r="A4" i="8"/>
  <c r="A3" i="8"/>
  <c r="A26" i="7"/>
  <c r="A25" i="7"/>
  <c r="A24" i="7"/>
  <c r="A23" i="7"/>
  <c r="E22" i="7"/>
  <c r="E24" i="7" s="1"/>
  <c r="A22" i="7"/>
  <c r="A21" i="7"/>
  <c r="A20" i="7"/>
  <c r="A19" i="7"/>
  <c r="E18" i="7"/>
  <c r="E19" i="7" s="1"/>
  <c r="C18" i="7"/>
  <c r="A18" i="7"/>
  <c r="F17" i="7"/>
  <c r="A17" i="7"/>
  <c r="E16" i="7"/>
  <c r="C16" i="7"/>
  <c r="A16" i="7"/>
  <c r="E15" i="7"/>
  <c r="A15" i="7"/>
  <c r="E14" i="7"/>
  <c r="A14" i="7"/>
  <c r="A13" i="7"/>
  <c r="B12" i="7"/>
  <c r="C12" i="7" s="1"/>
  <c r="D12" i="7" s="1"/>
  <c r="E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A6" i="7"/>
  <c r="A5" i="7"/>
  <c r="A4" i="7"/>
  <c r="A3" i="7"/>
  <c r="A18" i="6"/>
  <c r="A17" i="6"/>
  <c r="B16" i="6"/>
  <c r="A15" i="6"/>
  <c r="E14" i="6"/>
  <c r="A14" i="6"/>
  <c r="A13" i="6"/>
  <c r="B12" i="6"/>
  <c r="C12" i="6" s="1"/>
  <c r="D12" i="6" s="1"/>
  <c r="E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A6" i="6"/>
  <c r="A5" i="6"/>
  <c r="A4" i="6"/>
  <c r="A3" i="6"/>
  <c r="A37" i="5"/>
  <c r="A36" i="5"/>
  <c r="A35" i="5"/>
  <c r="A34" i="5"/>
  <c r="A33" i="5"/>
  <c r="A32" i="5"/>
  <c r="E31" i="5"/>
  <c r="A31" i="5"/>
  <c r="E30" i="5"/>
  <c r="A30" i="5"/>
  <c r="E29" i="5"/>
  <c r="A29" i="5"/>
  <c r="E28" i="5"/>
  <c r="A28" i="5"/>
  <c r="A27" i="5"/>
  <c r="A26" i="5"/>
  <c r="E25" i="5"/>
  <c r="A25" i="5"/>
  <c r="A24" i="5"/>
  <c r="A23" i="5"/>
  <c r="A22" i="5"/>
  <c r="A21" i="5"/>
  <c r="A20" i="5"/>
  <c r="A19" i="5"/>
  <c r="A18" i="5"/>
  <c r="A17" i="5"/>
  <c r="A16" i="5"/>
  <c r="E15" i="5"/>
  <c r="A15" i="5"/>
  <c r="A14" i="5"/>
  <c r="A13" i="5"/>
  <c r="B12" i="5"/>
  <c r="C12" i="5" s="1"/>
  <c r="D12" i="5" s="1"/>
  <c r="E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A6" i="5"/>
  <c r="A5" i="5"/>
  <c r="A4" i="5"/>
  <c r="A3" i="5"/>
  <c r="E42" i="4"/>
  <c r="E34" i="4"/>
  <c r="A32" i="4"/>
  <c r="A31" i="4"/>
  <c r="A30" i="4"/>
  <c r="A29" i="4"/>
  <c r="A28" i="4"/>
  <c r="A27" i="4"/>
  <c r="A25" i="4"/>
  <c r="A24" i="4"/>
  <c r="A23" i="4"/>
  <c r="D22" i="4"/>
  <c r="C22" i="4"/>
  <c r="B22" i="4"/>
  <c r="A21" i="4"/>
  <c r="A20" i="4"/>
  <c r="A19" i="4"/>
  <c r="E18" i="4"/>
  <c r="E19" i="4" s="1"/>
  <c r="C18" i="4"/>
  <c r="B18" i="4"/>
  <c r="A43" i="4" s="1"/>
  <c r="A17" i="4"/>
  <c r="E16" i="4"/>
  <c r="A16" i="4"/>
  <c r="A15" i="4"/>
  <c r="A14" i="4"/>
  <c r="E13" i="4"/>
  <c r="A13" i="4"/>
  <c r="B12" i="4"/>
  <c r="C12" i="4" s="1"/>
  <c r="D12" i="4" s="1"/>
  <c r="E12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A6" i="4"/>
  <c r="A5" i="4"/>
  <c r="A4" i="4"/>
  <c r="A3" i="4"/>
  <c r="A58" i="3"/>
  <c r="A57" i="3"/>
  <c r="A56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F37" i="3"/>
  <c r="A37" i="3"/>
  <c r="A36" i="3"/>
  <c r="A35" i="3"/>
  <c r="A34" i="3"/>
  <c r="A33" i="3"/>
  <c r="A32" i="3"/>
  <c r="A31" i="3"/>
  <c r="A30" i="3"/>
  <c r="E29" i="3"/>
  <c r="A29" i="3"/>
  <c r="E28" i="3"/>
  <c r="A28" i="3"/>
  <c r="A27" i="3"/>
  <c r="A26" i="3"/>
  <c r="A25" i="3"/>
  <c r="A24" i="3"/>
  <c r="E23" i="3"/>
  <c r="A23" i="3"/>
  <c r="E22" i="3"/>
  <c r="A22" i="3"/>
  <c r="E21" i="3"/>
  <c r="A21" i="3"/>
  <c r="A20" i="3"/>
  <c r="A19" i="3"/>
  <c r="A18" i="3"/>
  <c r="A17" i="3"/>
  <c r="A16" i="3"/>
  <c r="E15" i="3"/>
  <c r="A13" i="3"/>
  <c r="B12" i="3"/>
  <c r="C12" i="3" s="1"/>
  <c r="D12" i="3" s="1"/>
  <c r="E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A5" i="3"/>
  <c r="E79" i="2"/>
  <c r="A79" i="2"/>
  <c r="E74" i="2"/>
  <c r="E73" i="2"/>
  <c r="A66" i="2"/>
  <c r="A65" i="2"/>
  <c r="E64" i="2"/>
  <c r="A63" i="2"/>
  <c r="A62" i="2"/>
  <c r="A60" i="2"/>
  <c r="A59" i="2"/>
  <c r="A58" i="2"/>
  <c r="A57" i="2"/>
  <c r="A56" i="2"/>
  <c r="A55" i="2"/>
  <c r="A53" i="2"/>
  <c r="E38" i="2"/>
  <c r="C38" i="2"/>
  <c r="E34" i="2"/>
  <c r="D34" i="2"/>
  <c r="D35" i="2" s="1"/>
  <c r="D39" i="2" s="1"/>
  <c r="C34" i="2"/>
  <c r="B34" i="2"/>
  <c r="E33" i="2"/>
  <c r="E45" i="2" s="1"/>
  <c r="C33" i="2"/>
  <c r="B33" i="2"/>
  <c r="E32" i="2"/>
  <c r="E43" i="2" s="1"/>
  <c r="D32" i="2"/>
  <c r="D33" i="2" s="1"/>
  <c r="C32" i="2"/>
  <c r="E30" i="2"/>
  <c r="C30" i="2"/>
  <c r="B30" i="2"/>
  <c r="D29" i="2"/>
  <c r="C29" i="2"/>
  <c r="B29" i="2"/>
  <c r="A28" i="2"/>
  <c r="A27" i="2"/>
  <c r="A26" i="2"/>
  <c r="A23" i="2"/>
  <c r="A22" i="2"/>
  <c r="A21" i="2"/>
  <c r="A20" i="2"/>
  <c r="A19" i="2"/>
  <c r="A18" i="2"/>
  <c r="E17" i="2"/>
  <c r="A17" i="2"/>
  <c r="E16" i="2"/>
  <c r="A16" i="2"/>
  <c r="F15" i="2"/>
  <c r="A15" i="2"/>
  <c r="E14" i="2"/>
  <c r="A14" i="2"/>
  <c r="A13" i="2"/>
  <c r="C12" i="2"/>
  <c r="D12" i="2" s="1"/>
  <c r="E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A6" i="2"/>
  <c r="A5" i="2"/>
  <c r="A4" i="2"/>
  <c r="A3" i="2"/>
  <c r="H1" i="2"/>
  <c r="B26" i="1"/>
  <c r="B25" i="1"/>
  <c r="B24" i="1"/>
  <c r="B23" i="1"/>
  <c r="B22" i="1"/>
  <c r="B21" i="1"/>
  <c r="B20" i="1"/>
  <c r="B19" i="1"/>
  <c r="B17" i="1"/>
  <c r="A17" i="1"/>
  <c r="B16" i="1"/>
  <c r="E19" i="3" l="1"/>
  <c r="J17" i="10"/>
  <c r="L17" i="10" s="1"/>
  <c r="J5" i="10"/>
  <c r="J9" i="10"/>
  <c r="L9" i="10" s="1"/>
  <c r="J13" i="10"/>
  <c r="L13" i="10" s="1"/>
  <c r="J14" i="10"/>
  <c r="E25" i="3"/>
  <c r="C41" i="10"/>
  <c r="H1" i="3"/>
  <c r="A18" i="1"/>
  <c r="A19" i="1" s="1"/>
  <c r="A6" i="3"/>
  <c r="A6" i="14"/>
  <c r="J19" i="10"/>
  <c r="J3" i="10"/>
  <c r="J10" i="10"/>
  <c r="L10" i="10" s="1"/>
  <c r="E21" i="7"/>
  <c r="J25" i="10"/>
  <c r="L25" i="10" s="1"/>
  <c r="L5" i="10"/>
  <c r="J16" i="10"/>
  <c r="L16" i="10" s="1"/>
  <c r="J18" i="10"/>
  <c r="L18" i="10" s="1"/>
  <c r="E54" i="8"/>
  <c r="E32" i="9"/>
  <c r="E25" i="8"/>
  <c r="E17" i="7"/>
  <c r="E24" i="4"/>
  <c r="E42" i="2"/>
  <c r="E26" i="2"/>
  <c r="E24" i="2" s="1"/>
  <c r="E25" i="2" s="1"/>
  <c r="A31" i="2"/>
  <c r="E28" i="2"/>
  <c r="A30" i="2"/>
  <c r="E65" i="2"/>
  <c r="K21" i="10"/>
  <c r="E31" i="3" s="1"/>
  <c r="J21" i="10"/>
  <c r="E17" i="4"/>
  <c r="E18" i="5"/>
  <c r="E16" i="5"/>
  <c r="E17" i="5" s="1"/>
  <c r="E18" i="2"/>
  <c r="E75" i="2"/>
  <c r="E16" i="6"/>
  <c r="E15" i="6"/>
  <c r="E26" i="9"/>
  <c r="E28" i="9" s="1"/>
  <c r="E14" i="9"/>
  <c r="E14" i="5"/>
  <c r="A16" i="6"/>
  <c r="E66" i="2"/>
  <c r="E14" i="4"/>
  <c r="E15" i="4" s="1"/>
  <c r="E20" i="7"/>
  <c r="E17" i="9"/>
  <c r="T27" i="10"/>
  <c r="E70" i="2" s="1"/>
  <c r="E16" i="9"/>
  <c r="K20" i="10"/>
  <c r="J20" i="10"/>
  <c r="E33" i="9"/>
  <c r="M27" i="10"/>
  <c r="E43" i="3" s="1"/>
  <c r="E37" i="9"/>
  <c r="E39" i="9" s="1"/>
  <c r="J24" i="10"/>
  <c r="L24" i="10" s="1"/>
  <c r="L6" i="10"/>
  <c r="L14" i="10"/>
  <c r="M42" i="13"/>
  <c r="S27" i="10"/>
  <c r="E69" i="2" s="1"/>
  <c r="R27" i="10"/>
  <c r="E45" i="3" s="1"/>
  <c r="J23" i="10"/>
  <c r="L23" i="10" s="1"/>
  <c r="U27" i="10"/>
  <c r="E71" i="2" s="1"/>
  <c r="E15" i="2"/>
  <c r="D38" i="2"/>
  <c r="E16" i="3"/>
  <c r="A18" i="4"/>
  <c r="A26" i="4"/>
  <c r="E26" i="4"/>
  <c r="E21" i="4"/>
  <c r="E20" i="4"/>
  <c r="E35" i="4"/>
  <c r="E23" i="4"/>
  <c r="E43" i="4"/>
  <c r="E18" i="6"/>
  <c r="E33" i="5"/>
  <c r="E23" i="7"/>
  <c r="E29" i="8"/>
  <c r="E62" i="8"/>
  <c r="E19" i="8"/>
  <c r="E21" i="8"/>
  <c r="E15" i="8"/>
  <c r="E23" i="5"/>
  <c r="E26" i="5"/>
  <c r="E17" i="8"/>
  <c r="E34" i="8"/>
  <c r="E75" i="8"/>
  <c r="E79" i="8"/>
  <c r="E29" i="9"/>
  <c r="V27" i="10"/>
  <c r="E72" i="2" s="1"/>
  <c r="E77" i="8"/>
  <c r="E32" i="8"/>
  <c r="E47" i="8"/>
  <c r="K12" i="10"/>
  <c r="E24" i="3" s="1"/>
  <c r="J12" i="10"/>
  <c r="Q27" i="10"/>
  <c r="E46" i="3" s="1"/>
  <c r="M171" i="11"/>
  <c r="E74" i="8"/>
  <c r="E76" i="8"/>
  <c r="E78" i="8"/>
  <c r="K7" i="10"/>
  <c r="E20" i="3" s="1"/>
  <c r="J7" i="10"/>
  <c r="E40" i="9"/>
  <c r="K22" i="10"/>
  <c r="E32" i="3" s="1"/>
  <c r="J22" i="10"/>
  <c r="O27" i="10"/>
  <c r="E54" i="2" s="1"/>
  <c r="E23" i="9"/>
  <c r="E31" i="9"/>
  <c r="P27" i="10"/>
  <c r="E47" i="3" s="1"/>
  <c r="J4" i="10"/>
  <c r="L4" i="10" s="1"/>
  <c r="J11" i="10"/>
  <c r="L11" i="10" s="1"/>
  <c r="N27" i="10"/>
  <c r="J8" i="10"/>
  <c r="L8" i="10" s="1"/>
  <c r="K15" i="10"/>
  <c r="J15" i="10"/>
  <c r="K26" i="10"/>
  <c r="J26" i="10"/>
  <c r="K3" i="10"/>
  <c r="L19" i="10"/>
  <c r="O171" i="11"/>
  <c r="P171" i="11"/>
  <c r="P42" i="13"/>
  <c r="O42" i="13"/>
  <c r="E55" i="8" l="1"/>
  <c r="E48" i="2"/>
  <c r="A20" i="1"/>
  <c r="H1" i="4"/>
  <c r="L21" i="10"/>
  <c r="L26" i="10"/>
  <c r="E36" i="3" s="1"/>
  <c r="M27" i="7"/>
  <c r="E19" i="5"/>
  <c r="E20" i="5"/>
  <c r="E21" i="5"/>
  <c r="E47" i="2"/>
  <c r="E27" i="2"/>
  <c r="E49" i="2"/>
  <c r="E19" i="9"/>
  <c r="E34" i="9"/>
  <c r="E35" i="9"/>
  <c r="L7" i="10"/>
  <c r="E17" i="6"/>
  <c r="L20" i="10"/>
  <c r="L12" i="10"/>
  <c r="J27" i="10"/>
  <c r="E44" i="3"/>
  <c r="E68" i="2"/>
  <c r="L22" i="10"/>
  <c r="E50" i="2"/>
  <c r="E52" i="3"/>
  <c r="E49" i="3"/>
  <c r="E51" i="3"/>
  <c r="E48" i="3"/>
  <c r="E53" i="3"/>
  <c r="E50" i="3"/>
  <c r="E24" i="9"/>
  <c r="E20" i="8"/>
  <c r="E53" i="2"/>
  <c r="N171" i="11"/>
  <c r="N42" i="13"/>
  <c r="Q42" i="13"/>
  <c r="L15" i="10"/>
  <c r="E26" i="3" s="1"/>
  <c r="E16" i="8"/>
  <c r="E34" i="5"/>
  <c r="E38" i="4"/>
  <c r="E36" i="4"/>
  <c r="L3" i="10"/>
  <c r="E18" i="3"/>
  <c r="Q171" i="11"/>
  <c r="K27" i="10"/>
  <c r="E13" i="3" s="1"/>
  <c r="E30" i="4"/>
  <c r="E29" i="4"/>
  <c r="E31" i="4"/>
  <c r="E32" i="4"/>
  <c r="E28" i="4"/>
  <c r="E57" i="2"/>
  <c r="E61" i="2"/>
  <c r="E58" i="2"/>
  <c r="E59" i="2"/>
  <c r="E56" i="2"/>
  <c r="E60" i="2"/>
  <c r="E55" i="2"/>
  <c r="E24" i="8"/>
  <c r="E23" i="8"/>
  <c r="E22" i="8"/>
  <c r="E56" i="8"/>
  <c r="E44" i="4"/>
  <c r="P27" i="7" l="1"/>
  <c r="A21" i="1"/>
  <c r="H1" i="5"/>
  <c r="E37" i="3"/>
  <c r="E39" i="3" s="1"/>
  <c r="M19" i="6"/>
  <c r="O19" i="6"/>
  <c r="E20" i="9"/>
  <c r="E21" i="9"/>
  <c r="O27" i="7"/>
  <c r="L28" i="10"/>
  <c r="E40" i="4"/>
  <c r="E35" i="5"/>
  <c r="E52" i="2"/>
  <c r="E51" i="2"/>
  <c r="F51" i="2" s="1"/>
  <c r="N27" i="7"/>
  <c r="E57" i="8"/>
  <c r="E63" i="2"/>
  <c r="E62" i="2"/>
  <c r="E39" i="4"/>
  <c r="E40" i="3" l="1"/>
  <c r="E42" i="3"/>
  <c r="E38" i="3"/>
  <c r="E41" i="3"/>
  <c r="A22" i="1"/>
  <c r="H1" i="6"/>
  <c r="N19" i="6"/>
  <c r="P19" i="6"/>
  <c r="Q19" i="6"/>
  <c r="E36" i="5"/>
  <c r="E41" i="4"/>
  <c r="P81" i="2"/>
  <c r="N87" i="8"/>
  <c r="Q27" i="7"/>
  <c r="N42" i="9" l="1"/>
  <c r="O81" i="2"/>
  <c r="A23" i="1"/>
  <c r="H1" i="7"/>
  <c r="O42" i="9"/>
  <c r="M87" i="8"/>
  <c r="P42" i="9"/>
  <c r="M42" i="9"/>
  <c r="P46" i="4"/>
  <c r="P87" i="8"/>
  <c r="O87" i="8"/>
  <c r="E37" i="5"/>
  <c r="Q42" i="9" l="1"/>
  <c r="A24" i="1"/>
  <c r="A25" i="1" s="1"/>
  <c r="A26" i="1" s="1"/>
  <c r="H1" i="8"/>
  <c r="O56" i="3"/>
  <c r="M56" i="3"/>
  <c r="P56" i="3"/>
  <c r="Q87" i="8"/>
  <c r="P39" i="5"/>
  <c r="M46" i="4"/>
  <c r="N46" i="4"/>
  <c r="O46" i="4"/>
  <c r="N56" i="3"/>
  <c r="Q46" i="4" l="1"/>
  <c r="M39" i="5"/>
  <c r="O39" i="5"/>
  <c r="Q56" i="3"/>
  <c r="N39" i="5"/>
  <c r="Q39" i="5" l="1"/>
  <c r="O51" i="14" l="1"/>
  <c r="M51" i="14"/>
  <c r="P51" i="14" l="1"/>
  <c r="M81" i="2"/>
  <c r="Q81" i="2"/>
  <c r="N81" i="2" l="1"/>
</calcChain>
</file>

<file path=xl/sharedStrings.xml><?xml version="1.0" encoding="utf-8"?>
<sst xmlns="http://schemas.openxmlformats.org/spreadsheetml/2006/main" count="1710" uniqueCount="549">
  <si>
    <t>Kopsavilkuma aprēķini par darbu vai konstruktīvo elementu veidiem</t>
  </si>
  <si>
    <t>Celtniecības darbi</t>
  </si>
  <si>
    <t>(Darba veids vai konstruktīvā elementa nosaukums)</t>
  </si>
  <si>
    <t>Būves nosaukums: Daudzdzīvokļu dzīvojamā ēka</t>
  </si>
  <si>
    <t>Objekta nosaukums: Dzīvojamās ēkas vienkāršota atjaunošana</t>
  </si>
  <si>
    <t>Objekta adrese: Eduarda Tisē iela 60, Liepāja</t>
  </si>
  <si>
    <t>Pasūtījuma Nr. : EA-33-16</t>
  </si>
  <si>
    <t>Par kopējo summu, euro</t>
  </si>
  <si>
    <t>Kopējā darbietilpība, c/h</t>
  </si>
  <si>
    <t>Lokālās tāmes Nr.</t>
  </si>
  <si>
    <t>Darba veids vai konstruktīvā elementa nosaukums</t>
  </si>
  <si>
    <t>Darba ietilpība, (c/h)</t>
  </si>
  <si>
    <t>Tai skaitā</t>
  </si>
  <si>
    <t>Tāmes izmaksas (euro)</t>
  </si>
  <si>
    <t>Darba alga, (euro)</t>
  </si>
  <si>
    <t>Materiāli, (euro)</t>
  </si>
  <si>
    <t>Mehānismi, (euro)</t>
  </si>
  <si>
    <t>Kopā būvdarbi:</t>
  </si>
  <si>
    <t>Virsizdevumi:</t>
  </si>
  <si>
    <t>Peļņa:</t>
  </si>
  <si>
    <t>Pavisam kopā</t>
  </si>
  <si>
    <t>bez PVN</t>
  </si>
  <si>
    <t>Finanšu rezerve</t>
  </si>
  <si>
    <t>KOPĀ:</t>
  </si>
  <si>
    <t>PVN:</t>
  </si>
  <si>
    <t>Pavisam kopā:</t>
  </si>
  <si>
    <t>Lokālā tāme Nr.:</t>
  </si>
  <si>
    <t>Ārsienu siltināšanas darbi</t>
  </si>
  <si>
    <t>ARun BK</t>
  </si>
  <si>
    <t>daļas rasējumiem</t>
  </si>
  <si>
    <t>Tāmes izmaksas</t>
  </si>
  <si>
    <t>euro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</si>
  <si>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</si>
  <si>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</si>
  <si>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</si>
  <si>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</si>
  <si>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</si>
  <si>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</si>
  <si>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</si>
  <si>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norma,
(c/h)</t>
  </si>
  <si>
    <t>Darba samaksas likme (euro/h)</t>
  </si>
  <si>
    <t>Darba alga
(euro)</t>
  </si>
  <si>
    <t>Materiāli
(euro)</t>
  </si>
  <si>
    <t>Mehānismi
(euro)</t>
  </si>
  <si>
    <t>Kopā
(euro)</t>
  </si>
  <si>
    <t>Darbietilpība
(c/h)</t>
  </si>
  <si>
    <t>Summa
(euro)</t>
  </si>
  <si>
    <t>Kopā</t>
  </si>
  <si>
    <t>līg.c.</t>
  </si>
  <si>
    <t>Metāla nožogojuma montāža, h=2,0 m</t>
  </si>
  <si>
    <t>m</t>
  </si>
  <si>
    <t>Žogs 3,5×2m</t>
  </si>
  <si>
    <t>gab</t>
  </si>
  <si>
    <t>Pēda</t>
  </si>
  <si>
    <t>Signāllentes novilkšana.</t>
  </si>
  <si>
    <t>Sastatņu montēšana</t>
  </si>
  <si>
    <t>m²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</si>
  <si>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</si>
  <si>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</si>
  <si>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</si>
  <si>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</si>
  <si>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</si>
  <si>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</si>
  <si>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>Ārsienu  siltināšana ar akmensvati līmējot un piestiprinot to pie ārsienas ar mehāniskajiem stiprinājumiem</t>
  </si>
  <si>
    <t>kg</t>
  </si>
  <si>
    <t>Vieglbetona paneļu ārējās sānu sienu siltinājums  Apmetuma sistēma virs siltinājuma ( Siltinājums – putpolistirols Kooltherm K5 vai ekvivalents); λ=0,020W/mK b=60mm. Līmjava Gruntējums, Esošā siena vieglbetona bloki b=240mm, Šķēlums S-0</t>
  </si>
  <si>
    <t>S2</t>
  </si>
  <si>
    <t>S3</t>
  </si>
  <si>
    <t>Lodžijas sānu sienu siltinājums. Apmetuma sistēma virs siltinājuma ( AS-2)  (siltinājums putpolistirols Kooltherm K5 vai ekvivalents); λ=0,020W/mK b=60mm. Līmjava Gruntējums, Esošā siena vieglbetona bloki b=160mm. Šķēlums S-3</t>
  </si>
  <si>
    <t>PVC stūra profils ar rūpnieciski pielīmētu sietu</t>
  </si>
  <si>
    <t>P3</t>
  </si>
  <si>
    <t>Siets stikla šķiedra(t.sk. Starplodžiju pilastriun lodžiju sienas)</t>
  </si>
  <si>
    <t>Sienu gruntēšana pirms dekoratīvā apmetuma.</t>
  </si>
  <si>
    <t>m2</t>
  </si>
  <si>
    <t>L</t>
  </si>
  <si>
    <t>Dekoratīvais apmetums</t>
  </si>
  <si>
    <t>Siltumizolācija sienām</t>
  </si>
  <si>
    <t>Siets stikla šķiedra</t>
  </si>
  <si>
    <t>Lāseņu uzstādīšana, tumši pelēks, 225 mm. (siltumizolācijas maiņas vieta, no 180 mm uz 50 mm, tehniskajā stāvā)</t>
  </si>
  <si>
    <t>Iekšējo stūru armējums visā ēkas augstumā</t>
  </si>
  <si>
    <t>Stūra profils ar armējumu visā augstumā visos ēkas stūros</t>
  </si>
  <si>
    <t>Balkonu griestu apstrāde, gruntēšana krāsošana</t>
  </si>
  <si>
    <t>Metāla karoga kāta turētāja montāža (atbilstoši AR-10)</t>
  </si>
  <si>
    <t>Būvgružu savākšana un aizvešana</t>
  </si>
  <si>
    <t>m3</t>
  </si>
  <si>
    <t>Gružu konteiners</t>
  </si>
  <si>
    <t>gb</t>
  </si>
  <si>
    <t>Logu nomaiņa</t>
  </si>
  <si>
    <t>Būves nosaukums :  Daudzdzīvokļu dzīvojamā ēka</t>
  </si>
  <si>
    <t>Objekta nosaukums: Dzīvojamas ēkas fasādes vienkāršota  atjaunošana</t>
  </si>
  <si>
    <t>Esošo koka logu, tsk. ārdurvju demontāža</t>
  </si>
  <si>
    <t>Koku un PVC lodžiju stiklojuma demontāža</t>
  </si>
  <si>
    <t>gab.</t>
  </si>
  <si>
    <t>Lodžiju plātņu demontāža</t>
  </si>
  <si>
    <t>Esošo skārda āra palodžu demontāža, b=0,25.</t>
  </si>
  <si>
    <t>PVC loga  bloks ar  stikla paketi krāsa - balta Stikla paketes 2k4+4LowE-Arg.siltuma caurlaidības koef.: Ug=0,9 w/m²×K), Rāmja siltuma caurlaidības koef.: Uf=1,1 W / m² K. Uw=1.0 W/m² K. 2. PVC profilu ekspluatēšanas klimatiskā zona -zona S.
3. PVC profila montāžas dziļums ( profila biezums ) ≤ 78*mm</t>
  </si>
  <si>
    <t>PVC logu montāža  L1 (b×h=1,15×1,5m); (t.sk. Durvis bxh= 0.7x2.3m); gab-2</t>
  </si>
  <si>
    <t>PVC logu montāža  L2 (b×h=1,15×1,5m) ; gab-8 (t.sk. Durvis bxh= 0.7x2.3m);</t>
  </si>
  <si>
    <t>PVC logu montāža L3 (b×h=1,94×1,45m); gab- 1</t>
  </si>
  <si>
    <t>PVC logu montāža L4 (b×h=1,64×1,45m); gab- 1</t>
  </si>
  <si>
    <t>PVC logu montāža L5  (b×h=1,215×1,5m); gab- 13</t>
  </si>
  <si>
    <t>PVC logu montāža L6 (b×h=2,24×1,45m); gab- 2</t>
  </si>
  <si>
    <t>PVC logu montāža  L7(b×h=1,785×1,5m) (t.sk. Durvis bxh= 0.7x2.3m); gab-4</t>
  </si>
  <si>
    <t>PVC logu montāža  L8(b×h=1,785×1,5m) (t.sk. Durvis bxh= 0.7x2.3m); gab-6</t>
  </si>
  <si>
    <t>PVC logu montāža L9 (b×h=1,58×0,5m); gab- 27</t>
  </si>
  <si>
    <t>PVC logu montāža L10 (b×h=2,65×0,65m); gab- 12</t>
  </si>
  <si>
    <t>PVC logu montāža L11 (b×h=1,58×0,65m); gab- 6</t>
  </si>
  <si>
    <t>PVC logu montāža L12 (b×h=3×1,5m); gab- 19</t>
  </si>
  <si>
    <t>montāžas skavas</t>
  </si>
  <si>
    <t>dibeļi</t>
  </si>
  <si>
    <t>montāžas puta</t>
  </si>
  <si>
    <t>l</t>
  </si>
  <si>
    <t>skrūves</t>
  </si>
  <si>
    <t>hermētiķis SILIKON vai ekvivalents</t>
  </si>
  <si>
    <t>Alumīnija durvju montāža D1 (b×h=2.56×3,1) ; gab-3</t>
  </si>
  <si>
    <t>Alumīnija durvju montāža D2 (b×h=1.1×2.1) ; gab-3</t>
  </si>
  <si>
    <t>Alumīnija durvju montāža D3 (b×h=1.3×2.1) ; gab-3</t>
  </si>
  <si>
    <t>Tērauda durvju montāža D4 (b×h=1×2) ; gab-3</t>
  </si>
  <si>
    <t>PVC logu bloku durvju montāža D5 (b×h=0.7×2.3);gab-1</t>
  </si>
  <si>
    <t>Alumīnija durvju montāža D6 (b×h=0.95×1.8) ; gab-3</t>
  </si>
  <si>
    <t>Durvju montāžas palīgmateriāli uz  apjomu</t>
  </si>
  <si>
    <t>Hidroizolācijas lentas montēšana logos</t>
  </si>
  <si>
    <t>Difūzujas lentas montēšana nomaināmajos logos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</si>
  <si>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</si>
  <si>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</si>
  <si>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</si>
  <si>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šinas</t>
  </si>
  <si>
    <t>reģipsis</t>
  </si>
  <si>
    <t>perfix</t>
  </si>
  <si>
    <t>Špaktels</t>
  </si>
  <si>
    <t>krāsa</t>
  </si>
  <si>
    <t>Līmlente</t>
  </si>
  <si>
    <t>Esošo tērauda konstrukcijas durvīs uzstādit koda atslēgu, ar piespiedējmagnētu, pieslēdzot pie esošās komunālās elektrības spēka tīkla</t>
  </si>
  <si>
    <t>kmpl</t>
  </si>
  <si>
    <t>Cokola siltināšanas darbi</t>
  </si>
  <si>
    <t>Zemes rakšanas darbi, mm 1300 platumā  un 1,0m dziļumā</t>
  </si>
  <si>
    <t>m³</t>
  </si>
  <si>
    <t>Siltumizolācija</t>
  </si>
  <si>
    <t>Cokola apmešana (t.sk. Gaismu lūkas un pagrabu ieejas siena no abām pusēm) ar apmetumu uz minerālšķiedru sieta (b=10mm) un krāsošana</t>
  </si>
  <si>
    <t>Paligmateriāli</t>
  </si>
  <si>
    <t>komp</t>
  </si>
  <si>
    <t>Krāsa</t>
  </si>
  <si>
    <t>Betona apmales uzstādīšana</t>
  </si>
  <si>
    <t>Ģeotekstila plēves ieklāšana (t.sk. Zem lodžijām)</t>
  </si>
  <si>
    <t>Šķembas (fr.40-70mm) kārtas ieklāšana 100mm (t.sk. Zem lodžijām)</t>
  </si>
  <si>
    <t>šķembas</t>
  </si>
  <si>
    <t>Bortakmens  betona pamatu  ierīkošana</t>
  </si>
  <si>
    <t>Šķembas (fr.0-40mm) kārtas ieklāšana 50mm (t.sk. Zem lodžijām)</t>
  </si>
  <si>
    <t>Grants kārtas ieklāšana 50mm</t>
  </si>
  <si>
    <t>grants</t>
  </si>
  <si>
    <t>Zālāju sējumu ierīkošana</t>
  </si>
  <si>
    <t>zālāju sēklas</t>
  </si>
  <si>
    <t>Ieejas mezglu rekonstrukcijas darbi</t>
  </si>
  <si>
    <t>kmpl.</t>
  </si>
  <si>
    <t>betons</t>
  </si>
  <si>
    <t>Esošā jumta seguma demontāža</t>
  </si>
  <si>
    <t>ar cementa javu virsmas izlīdzināšana, b=10÷20mm</t>
  </si>
  <si>
    <t>jaukta java</t>
  </si>
  <si>
    <t>ruberoīda seguma ieklāšana, 2 kārtas</t>
  </si>
  <si>
    <t>ruberoīda virskārta  (b=4mm)</t>
  </si>
  <si>
    <t>propāns -butāns</t>
  </si>
  <si>
    <t>bal</t>
  </si>
  <si>
    <t>skārda apmales stiprinājuma detaļa (BK-7) mezgls n</t>
  </si>
  <si>
    <t>Skārds</t>
  </si>
  <si>
    <t>Nosegskārds (BK-7)</t>
  </si>
  <si>
    <t>Nosegskārds</t>
  </si>
  <si>
    <t>Gropes izfrēzēšana ārsienā, blīvējošās mastikas ieklāšana (BK-4) 2-5mm biezumā</t>
  </si>
  <si>
    <t>Skārda lāsenis montēšana, Ø6 cm</t>
  </si>
  <si>
    <t>skārda notekrenes montēšana  Ø5 cm</t>
  </si>
  <si>
    <t>Jumtiņa apakšvirsmas remonts:</t>
  </si>
  <si>
    <t>plātnes apakšējās betona virsmas izdrupumu mehāniska attīrīšana</t>
  </si>
  <si>
    <t>Pagraba pārseguma siltināšanas darbi</t>
  </si>
  <si>
    <t>Esošo dēļu šķūnīšu koku durvju augšdaļas nozāgēšana par 12 cm un to nostiprināšana</t>
  </si>
  <si>
    <t>Virsmas notīrīšana</t>
  </si>
  <si>
    <t>Bēniņu siltināšanas darbi</t>
  </si>
  <si>
    <t>Tvaika izolācijas plēves ieklāšana uz esošā seguma</t>
  </si>
  <si>
    <t>Plēve 200 mk</t>
  </si>
  <si>
    <t>P4</t>
  </si>
  <si>
    <t>tvaika izolācijas plēve (b=0,2mm), uz esošā dzelzbetona pārseguma izlīdzinošās javas</t>
  </si>
  <si>
    <t>Koka laipu izvietošana (skatīt bēniņu plāna lapā specifikāciju)</t>
  </si>
  <si>
    <t>Būvgružu izvešana</t>
  </si>
  <si>
    <t>Jumta rekonstrukcijas darbi</t>
  </si>
  <si>
    <t>Jumta dzegas izbūve pie garensienu siltināšanas.</t>
  </si>
  <si>
    <t>Antisēptizēts dēlis 40x150 gar jumta paneļu ārmalu fasādē</t>
  </si>
  <si>
    <t>Antisēptizēts dēlis 40x150</t>
  </si>
  <si>
    <t>Ģeotekstils+MARISEAL 250 vai ekvivalents vienā kārtā gar dzegu fasadē, b=300</t>
  </si>
  <si>
    <t>Jumta skārda  apšuvums gar dzegu pēc ārsienu siltināšanas, kop.b=0,5 m(pēc krāsu pases)</t>
  </si>
  <si>
    <t>skārds</t>
  </si>
  <si>
    <t>Enkuri -4x40x300 jumta skārda apšuvumam, s=500; 192 gab</t>
  </si>
  <si>
    <t>Dībeļi Ø8x100 enkuru stiprināšanai pie paneļa un dēļa (2 gab uz enkuru)</t>
  </si>
  <si>
    <t>Galasienu parapeta apšuvums pie galasienu siltināšanas</t>
  </si>
  <si>
    <t>Saduršuvju attīrīšana no vecās javas , mastikas fasādē un jumta pusē</t>
  </si>
  <si>
    <t>Cementa javas b=20÷40  izlīdzinošā kārta uz parapeta plātnes, b=720*, un gar paneļu pieslēgumu</t>
  </si>
  <si>
    <t>Jumta skārda RR23 parapeta apšuvums  pēc ārsienu siltināšanas, kop.b=1 m</t>
  </si>
  <si>
    <t>Enkuri -4x40x750 jumta parapeta skārda apšuvumam, s=500</t>
  </si>
  <si>
    <t>Dībeļi Ø8x100 enkuru stiprināšanai pie parapeta plātnes, 2 gab uz det.</t>
  </si>
  <si>
    <t>Dzelzsbetona tekņu augšējās  virsmas remonts</t>
  </si>
  <si>
    <t>Tekņu augšējās virsmas mehāniska attīrīšana ar smilšpapīru. Nestingru betona daļiņu un putekļu notīrīšana</t>
  </si>
  <si>
    <t>Saduršuvju iztīrīšana starp tekņu elementiem un sadurvietās ar jumta paneļiem</t>
  </si>
  <si>
    <t>Riboto paneļu saduru nosedzošo jumtiņu virsmas remonts</t>
  </si>
  <si>
    <t>Jumtiņu pilnas virsmas mehāniska attīrīšana ar smilšpapīru</t>
  </si>
  <si>
    <t>Betona virsmas remonts:</t>
  </si>
  <si>
    <t>MARISEAL DETAIL vai ekvivalents dublejoša kārta piesl.vietām</t>
  </si>
  <si>
    <t>Jumta seguma atjaunošana</t>
  </si>
  <si>
    <t>Slīpuma izveide vetkanālu vietās betona B25, F50,</t>
  </si>
  <si>
    <t>kompl.</t>
  </si>
  <si>
    <t>Lokālu aizbetonējumu izveide</t>
  </si>
  <si>
    <t>Demontējams izvads starp 4.-5. starpstāvu paneli un jumtu, ∅500</t>
  </si>
  <si>
    <t>L75x50x5</t>
  </si>
  <si>
    <t>Enkuri M12x80</t>
  </si>
  <si>
    <t>Siets ∅8 AI, 100x100</t>
  </si>
  <si>
    <t>Siets ∅6 AI, 100x100</t>
  </si>
  <si>
    <t>Tērauda profilu apstrāde ar pretkorozijas sastāvu</t>
  </si>
  <si>
    <t>Betons B15 F50</t>
  </si>
  <si>
    <t>Vēdināšanas izvadu renovācija virs jumta daļā</t>
  </si>
  <si>
    <t>Virsmas apmešana un krāsošana</t>
  </si>
  <si>
    <t>Līmjava</t>
  </si>
  <si>
    <t>Grunts</t>
  </si>
  <si>
    <t>Savienojuma šuvju hermetizēšana</t>
  </si>
  <si>
    <t>Jaunu skārda jumtiņu stiprināšana Ø800*</t>
  </si>
  <si>
    <t>Skārds cink.</t>
  </si>
  <si>
    <t>Piekarāķis M20, L=310 mm SOT 101.2 cauri balstam – esošai sienai 250 mm. Piekarāķis ir aprīkots ar noslēgplāksni un izgatavots no karsti cinkota tērauda. Svars 1.8 kg. Pārbaudes slodze: 30.6 Fx/kN, pārbaudes slodze: 6.7 Fy/kN</t>
  </si>
  <si>
    <t>gb.</t>
  </si>
  <si>
    <t>5.stāva jumtu siltināšana rekonstrukcijas darbi</t>
  </si>
  <si>
    <t>Siltināmo lodžiju jumtiņu renovācija</t>
  </si>
  <si>
    <t>Jumtiņu robežssienu attīrīšana no esošā seguma</t>
  </si>
  <si>
    <t>Java M100</t>
  </si>
  <si>
    <t>Bloki</t>
  </si>
  <si>
    <t>Slīpinājuma materiāls siltināmiem jumtiņiem</t>
  </si>
  <si>
    <t>Cinkots jumta skārds, b=600*,  parapetam</t>
  </si>
  <si>
    <t>Cinkots jumta skārds, b=vid.300 dzegai un jumta pieslegumam pie sienas, l=18m</t>
  </si>
  <si>
    <t>Jumta un sienu pieslēgumu šuves hermetizēšana,</t>
  </si>
  <si>
    <t>Tekņu Ø125 uzstādīšana pie  lodžiju plātnēm</t>
  </si>
  <si>
    <t>Noteku Ø125 uzstādīšana nokrišņu novadīšanai</t>
  </si>
  <si>
    <t>Antiseptizētas koka detaļas 50(h)x100,  enkurotas pie plātnes</t>
  </si>
  <si>
    <t>Metāla enkuri -4x40, l=300, s=700, jumta dzegas skārda aplocīšanai</t>
  </si>
  <si>
    <t>tips</t>
  </si>
  <si>
    <t>skaits</t>
  </si>
  <si>
    <t>Loga izmērs, m</t>
  </si>
  <si>
    <t>Logu platība m²</t>
  </si>
  <si>
    <t>ārējās</t>
  </si>
  <si>
    <t>iekšējās</t>
  </si>
  <si>
    <t>D/20</t>
  </si>
  <si>
    <t>MAT A/10</t>
  </si>
  <si>
    <t>MAT D/29.2</t>
  </si>
  <si>
    <t>Sakret MAT/ D08</t>
  </si>
  <si>
    <t>MAT D/33 + D/06)</t>
  </si>
  <si>
    <t>PVC</t>
  </si>
  <si>
    <t>koka</t>
  </si>
  <si>
    <t>Sākumā</t>
  </si>
  <si>
    <t>kopā</t>
  </si>
  <si>
    <t>h</t>
  </si>
  <si>
    <t>1.gab</t>
  </si>
  <si>
    <t>hidroizolācijas</t>
  </si>
  <si>
    <t>difūzijas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</si>
  <si>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</si>
  <si>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</si>
  <si>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</si>
  <si>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</si>
  <si>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</si>
  <si>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</si>
  <si>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</si>
  <si>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</si>
  <si>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</si>
  <si>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</si>
  <si>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</si>
  <si>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</si>
  <si>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</si>
  <si>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LP</t>
  </si>
  <si>
    <t>D1</t>
  </si>
  <si>
    <t>D2</t>
  </si>
  <si>
    <t>D3</t>
  </si>
  <si>
    <t>D4</t>
  </si>
  <si>
    <t>D5</t>
  </si>
  <si>
    <t>D6</t>
  </si>
  <si>
    <t>SILTINĀJUMU PLATĪBAS</t>
  </si>
  <si>
    <t>Apz.</t>
  </si>
  <si>
    <t>Apraksts</t>
  </si>
  <si>
    <t>Platība, m²</t>
  </si>
  <si>
    <t>Sienas siltinājums</t>
  </si>
  <si>
    <t>as1</t>
  </si>
  <si>
    <t>as2</t>
  </si>
  <si>
    <t>S0</t>
  </si>
  <si>
    <t>S1</t>
  </si>
  <si>
    <t>balkona marga BM1</t>
  </si>
  <si>
    <t>Poz.
 Nr</t>
  </si>
  <si>
    <t>Nosaukums</t>
  </si>
  <si>
    <t>Daudzums 
(gab)</t>
  </si>
  <si>
    <t>Viena elementa garums
(mm)</t>
  </si>
  <si>
    <t>Kopējais  garums (m)</t>
  </si>
  <si>
    <t>Elementa 1 metra 
 svars  (kg)</t>
  </si>
  <si>
    <t>Kopējā
 masa (kg)</t>
  </si>
  <si>
    <t>S4</t>
  </si>
  <si>
    <t>S5</t>
  </si>
  <si>
    <t>S6</t>
  </si>
  <si>
    <t>Caurule Ø42,4x2</t>
  </si>
  <si>
    <t>S7</t>
  </si>
  <si>
    <t>Pārseguma siltinājums</t>
  </si>
  <si>
    <t>Tērauda stats 50x10</t>
  </si>
  <si>
    <t>P1</t>
  </si>
  <si>
    <t>Tērauda loksne 50x10</t>
  </si>
  <si>
    <t>P2</t>
  </si>
  <si>
    <t>J1</t>
  </si>
  <si>
    <t>Jumtiņa siltinājums virs dzīvojamām telpām. Divkārtu veltņu mat. Jumta segums. Akmensvate augšējā kārta Paroc ROS 80 vai ekvivalents λ=0,038W/m²K, b=20 mm,  akmensvate  Paroc ROS 30 vai ekvivalents λ=0,036W/m²K b=2x120 = 240 mm, tvaika izolācijas plēve uz esoša seguma (b=0,2mm), izlīdzināta esoša pārseguma virsma</t>
  </si>
  <si>
    <t>Tērauda loksne 30x6</t>
  </si>
  <si>
    <t>Plāksne 8mm, axb=100x150mm</t>
  </si>
  <si>
    <t>Plāksne 8mm, axb=100x300mm</t>
  </si>
  <si>
    <t>Cinkojums</t>
  </si>
  <si>
    <t>Ēkas apkure, iekšējie tīkli</t>
  </si>
  <si>
    <t>AVK</t>
  </si>
  <si>
    <t>Apkure. Koplietošanas cauruļvadi</t>
  </si>
  <si>
    <t>Apkures sistēmas demontāža</t>
  </si>
  <si>
    <t>k-ts</t>
  </si>
  <si>
    <t>Jaunizbūvētās sistēmas pieslēgšana esošajam ISM</t>
  </si>
  <si>
    <t>Polipropilēna caurules DN40 montāža, stiprināšana pie sienas vai griestiem</t>
  </si>
  <si>
    <t>Polipropilēna caurules DN32 montāža, stiprināšana pie sienas vai griestiem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</si>
  <si>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</si>
  <si>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</si>
  <si>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</si>
  <si>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Ventilis lodveida; t=110 °C; P=8 bar; Dn40; uzstādīšana</t>
  </si>
  <si>
    <t>Ventilis lodveida; t=110 °C; P=8 bar; Dn32; uzstādīšana</t>
  </si>
  <si>
    <t>Ventilis lodveida; t=110 °C; P=8 bar; Dn15; uzstādīšana</t>
  </si>
  <si>
    <t>Automātiskais balansējošais vārsts ASV – I vai ekvivalents,  Dn25; t=110°C; P=8 bar firmas "Danfoss", uzstādīšana, ieregulēšana</t>
  </si>
  <si>
    <t>Automātiskais balansējošais vārsts ASV – PV vai ekvivalents, Dn25; t=110°C; P=8 bar firmas "Danfoss", uzstādīšana, ieregulēšana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</si>
  <si>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</si>
  <si>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</si>
  <si>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</si>
  <si>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</si>
  <si>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</si>
  <si>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</si>
  <si>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</si>
  <si>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DN40 pagrieziens 90°</t>
  </si>
  <si>
    <t>Polipropilēna cauruļvadu DN32 pagrieziens 90°</t>
  </si>
  <si>
    <t>Polipropilēna cauruļvadu DN25 pagrieziens 90°</t>
  </si>
  <si>
    <t>Polipropilēna cauruļvadu DN20 pagrieziens 90°</t>
  </si>
  <si>
    <t>Polipropilēna cauruļvadu DN15 pagrieziens 90°</t>
  </si>
  <si>
    <t>Cauruļvadu slīdošie balsti ar pagarinājumiem un stiprinājumiem Dn40</t>
  </si>
  <si>
    <t>Cauruļvadu slīdošie balsti ar pagarinājumiem un stiprinājumiem Dn32</t>
  </si>
  <si>
    <t>Atgaisotājs automātisks, t=110 °C, P=8 bar,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</si>
  <si>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</si>
  <si>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</si>
  <si>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</si>
  <si>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DN40 akmens vate un folija pārsedze, siltumizolācijas čaula, b=&gt;50 mm, l=0.040 W/K×m², caurules siltumizolēšana</t>
  </si>
  <si>
    <t>Cauruļvada DN32 akmens vate un folija pārsedze,  siltumizolācijas čaula, b=&gt;50 mm, l=0.040 W/K×m², caurules siltumizolēšana</t>
  </si>
  <si>
    <t>Cauruļvada DN25 akmens vate un folija pārsedze, siltumizolācijas čaula, b=&gt;30 mm, l=0.040 W/K×m², caurules siltumizolēšana</t>
  </si>
  <si>
    <t>Cauruļvada DN20 akmens vate un folija pārsedze, siltumizolācijas čaula, b=&gt;30 mm, l=0.040 W/K×m², caurules siltumizolēšana</t>
  </si>
  <si>
    <t>Cauruļvada DN15 akmens vate un folija pārsedze, siltumizolācijas čaula, b=&gt;30 mm, l=0.040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</si>
  <si>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</si>
  <si>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</si>
  <si>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</si>
  <si>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Atvērums 180×180 un izveide pagraba stāva sienā</t>
  </si>
  <si>
    <t>Apkures sistēmas ieregulēšana, pārbaude un nodošana ekspluatācijā</t>
  </si>
  <si>
    <t>Ventilācijas sistēma</t>
  </si>
  <si>
    <t>Esošo ventilācijas kanālu (skursteņu, cuku) apskate, tīrīšana</t>
  </si>
  <si>
    <t>Dzīvokļu siltuma uzskaites mezgls (pavisam uzstāda 42 dzīvokļos, )</t>
  </si>
  <si>
    <t>Ventilis lodveida; t=110 °C; P=8 bar; Dn15</t>
  </si>
  <si>
    <t>Netīrumu savācējs; t=110 °C; P=8 bar; Dn15;</t>
  </si>
  <si>
    <t>Palīgmateriāli cauruļvadu savienošanai</t>
  </si>
  <si>
    <t>Trīsistabu dzīvoklim Nr. 30; 33; 36; 39; 42</t>
  </si>
  <si>
    <t>Ventilis lodveida; t=110°C; P=8 bar; Dn15; uzstādīšana</t>
  </si>
  <si>
    <t>Cauruļvada DN15 siltumizolācijas čaula, b=&gt;30 mm, l=0.040 W/Kxm2 caurules siltumizolēšana</t>
  </si>
  <si>
    <t>Cauruļvada DN15 termokompensējošs balsts, izbūve caur sienu, hermetizācija, apmetuma un krāsojuma atjaunošana</t>
  </si>
  <si>
    <t>Cauruļvda Ø15 izbūve grīdas gropēs, seguma atjaunošana</t>
  </si>
  <si>
    <t>Trīsistabu dzīvoklim Nr. 1; 5; 8; 11; 14; 16</t>
  </si>
  <si>
    <t>Cauruļvada Dn15 termokompensējošs balsts, izbūve caur sienu, hermetizācija, apmetuma un krāsojuma atjaunošana</t>
  </si>
  <si>
    <t>Divistabu dzīvoklim Nr.2; 3; 6; 9; 12</t>
  </si>
  <si>
    <t>Cauruļvada DN15 Siltumizolācijas čaula, b=&gt;30 mm, caurules siltumizolēšana</t>
  </si>
  <si>
    <t>Divistabu dzīvoklim Nr.15; 17; 20; 23; 26; 29; 31; 34; 37; 40</t>
  </si>
  <si>
    <t>Vienistabas dzīvoklim Nr. 4; 7; 10; 13; 32; 35; 38; 41</t>
  </si>
  <si>
    <t>Divistabu dzīvoklim Nr.18; 21 24; 27</t>
  </si>
  <si>
    <t>Divistabu dzīvoklim Nr.19; 22; 25; 28</t>
  </si>
  <si>
    <t>Cauruļvada DN15 Siltumizolācijas čaula, b=&gt;30 mm, l=0.040W/K x m2, caurules siltumizolēšana</t>
  </si>
  <si>
    <t>Zibens aizsardzība</t>
  </si>
  <si>
    <t>ELT</t>
  </si>
  <si>
    <t>Zibensaizsardzība</t>
  </si>
  <si>
    <t>kpl</t>
  </si>
  <si>
    <t>iepakoj.</t>
  </si>
  <si>
    <t>PE lenta iezīmēšanai</t>
  </si>
  <si>
    <t>Tranšejas rakšana un aizbēršana zemējuma kontūram</t>
  </si>
  <si>
    <t>Elektrodu ø 20 mm, l= 1,5 m iedzīšana zemē</t>
  </si>
  <si>
    <t>Zemējuma kontūra ierīkošana, mērījumi</t>
  </si>
  <si>
    <t>Grunts blietēšana, virskārtas atjaunošana</t>
  </si>
  <si>
    <t>Sistēmas montāža, palaišana</t>
  </si>
  <si>
    <t>Sistēmas nodošana ekspluatācijā</t>
  </si>
  <si>
    <t>Dībeli virsmas klasifikācija ETA A,B,C,D,E, galvas Ø60, nagla tērauda Ø8-10, Punkta siltumatdeves koeficients 0,002 W/K, min iestrādes dziļums &gt;35mm, vai ekvivalents sekojošā garumā:</t>
  </si>
  <si>
    <t xml:space="preserve"> 175mm</t>
  </si>
  <si>
    <t xml:space="preserve"> 155mm</t>
  </si>
  <si>
    <t xml:space="preserve"> 115mm</t>
  </si>
  <si>
    <t xml:space="preserve"> 75mm</t>
  </si>
  <si>
    <t>Pārsegums virs pagraba siltinājums. Esošs grīdas sastāvs b=60 Esošais pāsegums dzelzs-betona panelis ar grīdas segumu  b=220mm, Līmjava. Gruntējums. Akmensvates lamele  ekvivalents. Rockwool Fasrock G (0,037W/m²K) b=150mm.</t>
  </si>
  <si>
    <t>Vieglbetona paneļu galu ārsienas siltinājums  Apmetuma sistēma virs siltinājuma (AS-1 vai  AS-2) Siltinājums - fasādes akmensvate (FRONTROCK S vai ekvivalents); λ=0,037W/mK b=180mm. Līmjava Gruntējums, Esošā siena vieglbetona bloki b=420mm, Šķēlums S-1</t>
  </si>
  <si>
    <t>Vieglbetona paneļu sānu sienas siltinājums  Apmetuma sistēma virs siltinājuma (AS-1 vai  AS-2) Siltinājums - fasādes akmensvate (FRONTROCK S vai ekvivalents); λ=0,037W/mK b=180mm. Līmjava Gruntējums, Esošā siena vieglbetona bloki b=250mm, Šķēlums S-2</t>
  </si>
  <si>
    <t>Pārsegums virs ieejas siltinājums. Esošais dzelzs betona pārsegums b=220mm, Līmjava. fasādes akmensvate (FRONTROCK S vai ekvivalents); λ=0,037W/mK b=150mm, līmjava uz stiklšķiedra sieta, ārējā apdare</t>
  </si>
  <si>
    <t>karbona zn-ter-zn caurule apkurei, Dn15, montāža, stiprināšana pie sienas vai grīdlīstē</t>
  </si>
  <si>
    <t>karbona zn-ter-zn caurules pagrieziens 90°, DN15, montāža</t>
  </si>
  <si>
    <t>karbona zn-ter-zn caurules trejgabals Dn15, montāža</t>
  </si>
  <si>
    <t>karbona zn-ter-zn caurules savienojoša mufe DN15</t>
  </si>
  <si>
    <t>karbona zn-ter-zn caurules pagrieziens 90°, Ø15.0, montāža</t>
  </si>
  <si>
    <t>karbona zn-ter-zn caurule apkurei, DN15, montāža, stiprināšana pie sienas vai grīdlīstē</t>
  </si>
  <si>
    <t>karbona zn-ter-zn cauruļvada savienojošā mufe Dn15</t>
  </si>
  <si>
    <t>karbona zn-ter-zn caurule apkurei, DN15, montāža, stiprināšana pie sienas</t>
  </si>
  <si>
    <t>karbona zn-ter-zn caurule apkurei, DN15 montāža, stiprināšana pie sienas</t>
  </si>
  <si>
    <t>karbona zn-ter-zn cauruļvada savienojošā mufe DN15</t>
  </si>
  <si>
    <t>karbona zn-ter-zn caurules trejgabals Ø15,0 montāža</t>
  </si>
  <si>
    <t>karbona zn-ter-zn caurule apkurei,  DN15, montāža, stiprināšana pie sienas vai grīdlīstē</t>
  </si>
  <si>
    <t>karbona zn-ter-zn caurules, trejgabals Dn15, montāža</t>
  </si>
  <si>
    <t xml:space="preserve">  215mm</t>
  </si>
  <si>
    <t>PVC logu montāža L13 (b×h=6×1,5m); gab- 30 ar integrētiem vertikāliem statiskiem profiliem</t>
  </si>
  <si>
    <t>6m lodžijas apdares materiālu specifikācija</t>
  </si>
  <si>
    <t>Cementu skaidu plātnes nostirpinšānas skrūves s=0,4m</t>
  </si>
  <si>
    <t xml:space="preserve">PP20 A sienas profils 0.5mm, tonis RAL tonis pēc krāsu pases </t>
  </si>
  <si>
    <t>kniedes Ø4,8</t>
  </si>
  <si>
    <t>dībeļskruvēm Ø6×60,</t>
  </si>
  <si>
    <t xml:space="preserve">Skārda noseglāsenis 0.5mm, tonis RAL tonis pēc krāsu pases </t>
  </si>
  <si>
    <t>Ārējā skārda palodze 0,5mm RAL tonī pēc krāsu pases</t>
  </si>
  <si>
    <t>Iekšējā MDF palodze 0,15m</t>
  </si>
  <si>
    <t>3m lodžijas apdares materiālu specifikācija</t>
  </si>
  <si>
    <t>ml</t>
  </si>
  <si>
    <t>Karsti cikots leņķis ar ribu 70×70×55×2 mm</t>
  </si>
  <si>
    <t>Enkurstienis betonam Ø8 ar paplāksni un uzgriezni, l=0,2m koka 
brusas nostiprināšanai S=0,6m</t>
  </si>
  <si>
    <t>Koka brusa 0,1×0,1, l=6,08m</t>
  </si>
  <si>
    <t>Koka brusa 0,1×0,05, l=0,905m</t>
  </si>
  <si>
    <t>Koka brusa 0,1×0,1, l=3,04m</t>
  </si>
  <si>
    <t>Tiešās izmaksas kopā, t. sk. darba devēja sociālais nodoklis (%)</t>
  </si>
  <si>
    <t>t. sk. darba aizsardzība</t>
  </si>
  <si>
    <t>Būvniecības koptāme</t>
  </si>
  <si>
    <t>Objekta nosaukums</t>
  </si>
  <si>
    <t>Objekta izmaksas, Euro</t>
  </si>
  <si>
    <t>Kopā:</t>
  </si>
  <si>
    <t xml:space="preserve">Sastādīja: </t>
  </si>
  <si>
    <t>būvprakses sertifikāts Nr.</t>
  </si>
  <si>
    <t xml:space="preserve">Pārbaudīja: </t>
  </si>
  <si>
    <t xml:space="preserve">sertifikāta Nr. </t>
  </si>
  <si>
    <t>,</t>
  </si>
  <si>
    <t>Pamatu sienu siltinājums. Apmetuma sistēma virs siltinājuma (AS-1), Siltumizolācija, λ=0,031 W/mK, b= 150 mm. Līmjava. Vertikālā hidroizolācija. Gruntējums. Esošā vieglbetona paneļa ārsiena b=490 mm</t>
  </si>
  <si>
    <t>Pamatu sienu siltinājums. Apmetuma sistēma virs siltinājuma (AS-1), Siltumizolācija, λ=0,031 W/mK, b= 150 mm. Līmjava. Vertikālā hidroizolācija. Gruntējums. Esošā vieglbetona paneļa ārsiena b= 250 mm</t>
  </si>
  <si>
    <t>Tehniskās stāva siltinājums. Apmetuma sistēma virs siltinājuma (AS-2). Siltumizolācija, λ=0,034 W/mK, b=50 mm. Līmjava. Gruntējums. Esošā betona bloku siena b= 250 mm</t>
  </si>
  <si>
    <t>Kāpņu telpas sienas bēniņos siltinājums. Grunts. Līmjava, fasādes akmensvate (FRONTROCK S vai ekvivalents); λ=0,037W/mK b=170mm, līmjava, grunts, Esošā siena vieglbetona panelis b = 250 mm</t>
  </si>
  <si>
    <t>Lodžiju starpstāvu pārseguma siltināšana, Siltumizolācija; λ=0,037W/mK b=120mm atbilstoši BK-8, ''lodžiju stiklojuma risinājums''</t>
  </si>
  <si>
    <t>Putupolistirols, b=100 mm (BK-7, mezgls ''n'')</t>
  </si>
  <si>
    <t>Zem lodžijas siltinājums, 1.stāvos, Siltumizolācija; λ=0,037W/mK b=170mm</t>
  </si>
  <si>
    <t>Kāpņu telpas un garenfasādes papildus siltināšana, Siltumizolācija; λ=0,037W/mK b=30mm</t>
  </si>
  <si>
    <t>Armējuma java (t.sk. Starplodžiju pilastri un lodžiju sienas)</t>
  </si>
  <si>
    <t>Grunts (t.sk. Starplodžiju pilastriun lodžiju sienas)</t>
  </si>
  <si>
    <t>Grunts pirms dekoratīvā apmetuma</t>
  </si>
  <si>
    <t>Silikona  gatavais dekoratīvais apmetums (masā tonēts) vai ekvivalents  1.5mm graudu  lielums</t>
  </si>
  <si>
    <t>Dībeli 75mm</t>
  </si>
  <si>
    <t>Armējuma java</t>
  </si>
  <si>
    <t>Papildus armējums apkārt  loga un durvju  ailām ar sietu, platums=0,15m, b=3mm</t>
  </si>
  <si>
    <t>Logu un durvju aiļu ārējo stūru armēšana ar sietu papildus sietu 0,3m platumā no ailes un ailē stiepes izturība &gt;200N/5cm, Struktūras stabilitāte &gt;22%, Atbilst REACH, sieta acojuma lielums 4×4mm.</t>
  </si>
  <si>
    <t>Akmens vates blīvejums, b=22mm, l=90mm pēc mezgliem a,b,c; λ=0,037W/mK</t>
  </si>
  <si>
    <t>Zemapmetuma PVC  ārējā stūra profila montāža</t>
  </si>
  <si>
    <t>Zemapmetuma PVC  loga pielaiduma profila montāža</t>
  </si>
  <si>
    <t>Zemapmetuma PVC logailas augšas profila montāža</t>
  </si>
  <si>
    <t>Zemapmetuma palodzes PVC profila montāža</t>
  </si>
  <si>
    <t>Zemapmetuma cokola PVC profila montēšana</t>
  </si>
  <si>
    <t>Lodžijas</t>
  </si>
  <si>
    <t>Ķīmiskā enkurmasa WIT-VM250 vai ekvivalents</t>
  </si>
  <si>
    <t>Akmens vate WAS 35tb vai ekvivalents; λD=0,033 W/m×K 30mm</t>
  </si>
  <si>
    <t>Akmens vate Extra vai ekvivalents; λD=0,036 W/m×K 75mm</t>
  </si>
  <si>
    <t>Cetris Basic vai ekvivalents cementa skaidu plāksne 8×1120*×3040*mm</t>
  </si>
  <si>
    <t xml:space="preserve">Cietās siltumizolācijas EPS vai ekvivalents 0,1m paliktņa iestrāde </t>
  </si>
  <si>
    <t>HAT H20-40×1 omega vai ekvivalents profils</t>
  </si>
  <si>
    <t>Akmens vate WAS 35tb ekvivalents; λD=0,033 W/m×K 30mm</t>
  </si>
  <si>
    <t>Grunts (2 kārtas)</t>
  </si>
  <si>
    <t>Grunts uz šķaidītāja bāzes</t>
  </si>
  <si>
    <t>Jaunas hidroizolācijas mastikas uzklāšana visā siltinājuma augstumā</t>
  </si>
  <si>
    <t>hidroizolācija uz šķaidītāja bāzes</t>
  </si>
  <si>
    <t>Dībeli 195mm</t>
  </si>
  <si>
    <t>Bortakmens 80x200x1000 malas likšana 1gb/t.m</t>
  </si>
  <si>
    <t>esošā jumtiņa virsmas notīrīšana</t>
  </si>
  <si>
    <t>ruberoīda apakškārta (b=2.5 mm)</t>
  </si>
  <si>
    <t>propāns-butāns</t>
  </si>
  <si>
    <t>Hidroizolācijas ieklāšana (BK-4, mezgls ''n'')</t>
  </si>
  <si>
    <t>plātnes apakšas apstrāde ar suspensiju</t>
  </si>
  <si>
    <t>betona aizsargkārtas atjaunošana ar remontjavu 15 mm biezumā</t>
  </si>
  <si>
    <t>plātnes apakšējās virsmas špaktelēšana pirms krāsošanas</t>
  </si>
  <si>
    <t>plātnes apakšējās virsmas krāsošana ar krāsu uz gruntējuma vai ekvivalenta</t>
  </si>
  <si>
    <t>Ieejas jumtiņa atjaunošana:</t>
  </si>
  <si>
    <t>Siltinājums virs kāpņu telpām. Akmensvate; λ=0,036W/m²K, b=35 mm,  Akmensvate; λ=0,036W/m²K b=100mm , Akmensvate; λ=0,036W/m²K b=150 mm. tvaika izolācijas plēve (b=0,2mm), esošs fibrolīta plātņu slānis (b=~150mm), esošais hidroizolācijas slānis, esošais dz-betona pārsegums (b=~220mm)</t>
  </si>
  <si>
    <t>akmensvate,  λ=0,036W/m²K b=150 mm.</t>
  </si>
  <si>
    <t>akmensvate, λ=0,036W/m²K, b=35 mm</t>
  </si>
  <si>
    <t>Ārsienas siltināšana no bēniņu puses ar akmensvati, b=70mm, h=500, piestiprinot to pie ārsienas ar līmi,</t>
  </si>
  <si>
    <t>Cementa javas b=20x100 izlīdzinošā kārta uz paneļu galiem (garenvirzienā pie dzegas)</t>
  </si>
  <si>
    <t>Pašenkurojošas bultas M12x110 dēļa enkurošanai pie paneļa, s=0,5 m</t>
  </si>
  <si>
    <t>Saduršuvju attīrīšana no vecās javas, mastikas fasādē</t>
  </si>
  <si>
    <t>Ģeotekstils+MARISEAL 250 vai ekvivalents vienā kārtā gar parapeta plātni un galasienām (no abām pusēm), b=300</t>
  </si>
  <si>
    <t>*atsegto stiegrojumu attīrīšana lidz kl.Sa, pretkorozijas pastrāde</t>
  </si>
  <si>
    <t>*virsmas samitrināšana un apstrāde ar pielipšanas uzlabotāju</t>
  </si>
  <si>
    <t>*remotjavas uzklāšana</t>
  </si>
  <si>
    <t>plaisas jāaizpilda ar fiksotropisku (biezu) remontjavu</t>
  </si>
  <si>
    <t>Plaisu hermetizēšana ar poliuretāna hermetiķi</t>
  </si>
  <si>
    <t>Saduršuvju gar parapetu fasādē un galasienām no jumta puses hermetizēšana ar poliuretāna hermētiķi</t>
  </si>
  <si>
    <t>Saduršuves gar dzegu fasādē  hermetizēšana ar poliuretāna hermētiķi</t>
  </si>
  <si>
    <t>Speciālā apstrāde savācējpiltuves pieslegumu vietām- 0,5m plata joslā apkārt elementu (0,78m² uz vien.): ar MARISEAL DETAIL vai ekvivalents izolējošu materiālu savācējpiltuves  piesleguma vietu pārklāšana</t>
  </si>
  <si>
    <t>ģeotekstila ieklāšana</t>
  </si>
  <si>
    <t>Plaisu remonts:</t>
  </si>
  <si>
    <t>Gruntējuma-saķeres uzlabotāja, uzklāšana uz tīras, samitrinātas virsmas</t>
  </si>
  <si>
    <t>Hidroizolācijas, MARISEAL 250 vai ekvivalents, uzklāšana   ar augstspied. uzsmidzināšanas iekārtu</t>
  </si>
  <si>
    <t>Virsmas armēšana ar ģeotekstilu</t>
  </si>
  <si>
    <t>Aizsargslāņa, MARISEAL 400 vai ekvivalents, ieklāšana 1 kārtā ar augstspied. uzsmidzināšanas iekārtu</t>
  </si>
  <si>
    <t>Ventilācijas izvadu (500x700*), jumta lūka(570x760mm)  papildus apstrāde:</t>
  </si>
  <si>
    <t>hidroizolācijas pārklājums, MARISEAL 250 vai ekvivalents, pa elementa perimetru b=0,25m joslā*</t>
  </si>
  <si>
    <t>armējums ar ģeotekstilu, b=0,25m joslā*</t>
  </si>
  <si>
    <t>Jaunas lietusūdens savācējpiltuves Ø180/110*, uzstādīšana ar čuguna aizsargrežģi pamatni un aizsargrežģi montāža</t>
  </si>
  <si>
    <t>Mehāniski verama jumta lūka; axb=900*x900*</t>
  </si>
  <si>
    <t>Bloku 150 mūris, papildus siltinājuma norobežošanai, h =250*</t>
  </si>
  <si>
    <t>Divkārtu veltņu mat.jumta segums Akmensvate augšējā kārta,  λ=0,038W/mK, 20mm Akmensvate apakšējā kārta 0,  λ=0,036W/mK, 2×120=240mm. Tvaika izolācija uz esoša seguma - 0.2. Izlīdzināta esoša pārseguma virsma</t>
  </si>
  <si>
    <t>Cietās akmens vates plātnes, λ=0,038W/mK, 20mm</t>
  </si>
  <si>
    <t>Cietās akmens vates plātnes, λ=0,038W/mK, 2×120mm</t>
  </si>
  <si>
    <t>Divkārtu ruberoīda seguma ieklāšana (augšā-4,5; apakš.-3,0)</t>
  </si>
  <si>
    <t>ruberoīdsa apakškārta apakš- 3.0
Mīkstais segums apakšklājs, 2.8mm</t>
  </si>
  <si>
    <t>ruberoīda virskārta: (augšā-4.5; Mīkstais segums virsklajs 4.0kg/m²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</si>
  <si>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</si>
  <si>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Balansējošais vārsts MSV-B; firmas Danfoss vai ekvivalents Dn15; uzstādīšana, ieregulēšana</t>
  </si>
  <si>
    <t>Termoregulators (vārsts) firmas Danfoss AR 1/2" RA-N 15 vai ekvivalents ar termostatisko sensoru RAS-C 5023 vai ekvivalents, t-120°C, P-10 bar, DP- 0.6 bar</t>
  </si>
  <si>
    <t>Pasīvs, izolēts zibens uztvērējs Al, l-3000 mm, ø 16 mm, montāža, uzstādīšana</t>
  </si>
  <si>
    <t>Pasīvs zibens uztvērējs Al, l-2000 mm, ø 16 mm, vītne M16, montāža, uzstādīšana</t>
  </si>
  <si>
    <t>Zibens uztvērēja pamatne, 250×200×4 mm, stiprināma ar skrūvēm 4×ø11 mm, montāža, uzstādīšana</t>
  </si>
  <si>
    <t>Kronšteins zibens uztvērēja masta korekcijai, M 16, montāža, uzstādīšana</t>
  </si>
  <si>
    <t>Stieple Al, ø 8 mm, montāžai pa jumtu.</t>
  </si>
  <si>
    <t>Stieple zinkota tērauda ø 10 mm, alumīnija ø  8 mm, vai ekvivalenta, montāžai pa vertikālajām caurulēm</t>
  </si>
  <si>
    <t>Lenta karsti cinkota tērauda, 30×4,0 mm, montāža tranšejā</t>
  </si>
  <si>
    <t>PVC caurule zibens  novadītāju mantāžai zem siltinājuma slāņa, l -3000 mm, ø 12 mm, montāžai pa vertikālajām caurulēm</t>
  </si>
  <si>
    <t>Savienojums universāls, montāža</t>
  </si>
  <si>
    <t>Kontūra mērklemmes kaste, stiprināna siltumizolācijā</t>
  </si>
  <si>
    <t>Kontūra mērklemme, montāža mērklemmes kastē</t>
  </si>
  <si>
    <t>Zemējuma ievads, tērauda cinkots, ø 10 mm, l- 5,5 m, montāža</t>
  </si>
  <si>
    <t>Kronšteins stieples montāžai uz jumta</t>
  </si>
  <si>
    <t>Kronšteins caurules montāžai uz sijas (sienas), montāža</t>
  </si>
  <si>
    <t>Zemēšanas elektrods ø 20 mm, l-1,5 m, apaļdzelzs</t>
  </si>
  <si>
    <t>Elektrodu uzmava</t>
  </si>
  <si>
    <t>Elektrodu spice</t>
  </si>
  <si>
    <t>Elektrodu pievienojuma klemme ar vītni</t>
  </si>
  <si>
    <t>Pretkorozijas mastika</t>
  </si>
  <si>
    <t>Tāme sastādīta .gada tirgus cenās, pamatojoties uz:</t>
  </si>
  <si>
    <t>Durvju un logu aiļu apdare ar akmensvates plātnēm (ekvivalents FRONTROCK S ; λ=0,037W/mK)  b=30mm,platums~ 0,25m*</t>
  </si>
  <si>
    <t>Bēniņu pārsegumu siltumizolācija, beramā akmensvate, ekvivalents Granrock, λ=0,042W/m²K (b=350mm, ieskaitot sablīvēšanas koef. 1,1), tvaika izolācijas plēve (b=0,2mm), esošs fibrolīta plātņu slānis (b=~150mm), esošais hidroizolācijas slānis, esošais dz-betona pārsegums (b=~220mm)</t>
  </si>
  <si>
    <t>Tāme sastādīta 2019.gada</t>
  </si>
  <si>
    <t>Sastatnes un aizsargsiets</t>
  </si>
  <si>
    <r>
      <rPr>
        <sz val="8"/>
        <color theme="1"/>
        <rFont val="Arial"/>
        <family val="2"/>
        <charset val="186"/>
      </rPr>
      <t>plaisas jāattīra, jāpaplatina</t>
    </r>
    <r>
      <rPr>
        <sz val="8"/>
        <color theme="1"/>
        <rFont val="Calibri"/>
        <family val="2"/>
        <charset val="186"/>
      </rPr>
      <t>÷</t>
    </r>
    <r>
      <rPr>
        <sz val="8"/>
        <color theme="1"/>
        <rFont val="Arial"/>
        <family val="2"/>
        <charset val="186"/>
      </rPr>
      <t>5mm, neskarot stiegrojumu</t>
    </r>
  </si>
  <si>
    <t>Vēdināšanas komplekts, montāža ārsienā (atbilstoši AR-8 lapai, ''ventilācijas vārsts izvietojums ārsienā'') modelis vēdināšanas komplekts Fresh 100 Thermo vai ekvivalents, Ø 102mm</t>
  </si>
  <si>
    <t>Sildķermeņa pievienojuma krāns firmas Danfoss vai ekvivalents, RLV-S  t=110°C; P=8 bar; Dn15</t>
  </si>
  <si>
    <t xml:space="preserve">Celtniecības remontdarbi  </t>
  </si>
  <si>
    <t>litri</t>
  </si>
  <si>
    <t xml:space="preserve">Saķeres grunts blīvām un neuzsūcošām virsmām. Sintētisko sveķu dispersijas bāze ar kvarca smilšu pildījumu </t>
  </si>
  <si>
    <t>Fasādes apdare ar pretpelējuma sastāvu</t>
  </si>
  <si>
    <t>Biocīds šķīdums aļģu un sēnīšu aplikuma likvidēšanai no virsmas</t>
  </si>
  <si>
    <r>
      <t xml:space="preserve">Tērauda konstrukcijas, krāsotu pelēkā tonī, skaitītāju skapīšu montāža pie sienas 450×350*, b=250*, t.sk. sienas dībeļi. Skapīša durvis slēdzamas </t>
    </r>
    <r>
      <rPr>
        <b/>
        <sz val="8"/>
        <color theme="1"/>
        <rFont val="Arial"/>
        <family val="2"/>
      </rPr>
      <t>bez stiklojuma</t>
    </r>
    <r>
      <rPr>
        <sz val="8"/>
        <color theme="1"/>
        <rFont val="Arial"/>
        <family val="2"/>
      </rPr>
      <t>. Komplektā divas atslēgas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</si>
</sst>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0.000"/>
    <numFmt numFmtId="166" formatCode="0.0"/>
    <numFmt numFmtId="167" formatCode="_-* #,##0.00\ _L_s_-;\-* #,##0.00\ _L_s_-;_-* \-??\ _L_s_-;_-@_-"/>
    <numFmt numFmtId="168" formatCode="0.0000"/>
    <numFmt numFmtId="169" formatCode="_-&quot;Ls &quot;* #,##0.00_-;&quot;-Ls &quot;* #,##0.00_-;_-&quot;Ls &quot;* \-??_-;_-@_-"/>
  </numFmts>
  <fonts count="32" x14ac:knownFonts="1"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i/>
      <sz val="8"/>
      <name val="Arial"/>
      <family val="2"/>
      <charset val="186"/>
    </font>
    <font>
      <i/>
      <sz val="8"/>
      <color rgb="FF000000"/>
      <name val="Arial"/>
      <family val="2"/>
      <charset val="186"/>
    </font>
    <font>
      <i/>
      <sz val="8"/>
      <color rgb="FF7F7F7F"/>
      <name val="Arial"/>
      <family val="2"/>
      <charset val="186"/>
    </font>
    <font>
      <sz val="8"/>
      <color rgb="FFFF0000"/>
      <name val="Arial"/>
      <family val="2"/>
      <charset val="186"/>
    </font>
    <font>
      <vertAlign val="superscript"/>
      <sz val="8"/>
      <name val="Arial"/>
      <family val="2"/>
      <charset val="186"/>
    </font>
    <font>
      <sz val="8"/>
      <color rgb="FF00808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86"/>
    </font>
    <font>
      <sz val="8"/>
      <color rgb="FF111111"/>
      <name val="Arial"/>
      <family val="2"/>
      <charset val="186"/>
    </font>
    <font>
      <i/>
      <sz val="8"/>
      <color rgb="FF111111"/>
      <name val="Arial"/>
      <family val="2"/>
      <charset val="186"/>
    </font>
    <font>
      <b/>
      <sz val="8"/>
      <color rgb="FF111111"/>
      <name val="Arial"/>
      <family val="2"/>
      <charset val="186"/>
    </font>
    <font>
      <sz val="10"/>
      <name val="Arial"/>
      <family val="2"/>
      <charset val="1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Calibri"/>
      <family val="2"/>
      <charset val="186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14" fillId="0" borderId="0" applyBorder="0" applyProtection="0"/>
    <xf numFmtId="0" fontId="8" fillId="0" borderId="0" applyBorder="0" applyProtection="0"/>
    <xf numFmtId="9" fontId="14" fillId="0" borderId="0" applyFont="0" applyFill="0" applyBorder="0" applyAlignment="0" applyProtection="0"/>
    <xf numFmtId="0" fontId="18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</cellStyleXfs>
  <cellXfs count="34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1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2" fontId="3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vertical="center" wrapText="1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2" fontId="2" fillId="3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168" fontId="2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 wrapText="1"/>
      <protection locked="0"/>
    </xf>
    <xf numFmtId="0" fontId="3" fillId="0" borderId="1" xfId="0" applyFont="1" applyBorder="1" applyAlignment="1">
      <alignment vertical="center"/>
    </xf>
    <xf numFmtId="2" fontId="4" fillId="0" borderId="18" xfId="0" applyNumberFormat="1" applyFont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6" fontId="15" fillId="0" borderId="0" xfId="0" applyNumberFormat="1" applyFont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2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2" fontId="5" fillId="0" borderId="0" xfId="0" applyNumberFormat="1" applyFont="1" applyAlignment="1" applyProtection="1">
      <alignment horizontal="center" wrapText="1"/>
      <protection locked="0"/>
    </xf>
    <xf numFmtId="166" fontId="2" fillId="0" borderId="1" xfId="0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19" fillId="0" borderId="0" xfId="4" applyFont="1" applyAlignment="1">
      <alignment horizontal="right" vertical="center" wrapText="1"/>
    </xf>
    <xf numFmtId="9" fontId="2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2" fillId="0" borderId="0" xfId="2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5" applyFont="1" applyAlignment="1">
      <alignment horizontal="left" vertical="center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 wrapText="1"/>
    </xf>
    <xf numFmtId="0" fontId="2" fillId="0" borderId="0" xfId="7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2" fillId="0" borderId="0" xfId="5" applyFont="1" applyAlignment="1">
      <alignment horizontal="left" vertical="center"/>
    </xf>
    <xf numFmtId="2" fontId="2" fillId="0" borderId="0" xfId="7" applyNumberFormat="1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2" fillId="0" borderId="1" xfId="8" applyFont="1" applyBorder="1" applyAlignment="1">
      <alignment horizontal="left" vertical="center" wrapText="1"/>
    </xf>
    <xf numFmtId="0" fontId="2" fillId="0" borderId="1" xfId="5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" fillId="0" borderId="1" xfId="5" applyFont="1" applyBorder="1" applyAlignment="1">
      <alignment horizontal="left" vertical="center" wrapText="1"/>
    </xf>
    <xf numFmtId="2" fontId="2" fillId="0" borderId="1" xfId="5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2" fillId="0" borderId="0" xfId="5" applyFont="1" applyAlignment="1">
      <alignment horizontal="left" vertical="center" wrapText="1"/>
    </xf>
    <xf numFmtId="0" fontId="3" fillId="0" borderId="0" xfId="5" applyFont="1" applyAlignment="1">
      <alignment horizontal="right" vertical="center"/>
    </xf>
    <xf numFmtId="2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right" vertical="center" wrapText="1"/>
    </xf>
    <xf numFmtId="9" fontId="3" fillId="0" borderId="0" xfId="3" applyFont="1" applyAlignment="1">
      <alignment horizontal="right" vertical="center"/>
    </xf>
    <xf numFmtId="0" fontId="2" fillId="0" borderId="0" xfId="8" applyFont="1" applyAlignment="1">
      <alignment horizontal="right" vertical="center"/>
    </xf>
    <xf numFmtId="0" fontId="2" fillId="0" borderId="0" xfId="5" applyFont="1" applyAlignment="1">
      <alignment horizontal="right" vertical="center"/>
    </xf>
    <xf numFmtId="0" fontId="2" fillId="0" borderId="0" xfId="8" applyFont="1" applyAlignment="1">
      <alignment horizontal="right" vertical="center" wrapText="1"/>
    </xf>
    <xf numFmtId="0" fontId="2" fillId="0" borderId="0" xfId="9" applyFont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24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2" fontId="24" fillId="0" borderId="1" xfId="0" applyNumberFormat="1" applyFont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justify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164" fontId="24" fillId="2" borderId="1" xfId="1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textRotation="90"/>
      <protection locked="0"/>
    </xf>
    <xf numFmtId="0" fontId="2" fillId="0" borderId="2" xfId="0" applyFont="1" applyBorder="1" applyAlignment="1" applyProtection="1">
      <alignment horizontal="center" vertical="center" textRotation="90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textRotation="90"/>
      <protection locked="0"/>
    </xf>
    <xf numFmtId="0" fontId="2" fillId="0" borderId="1" xfId="0" applyFont="1" applyBorder="1" applyAlignment="1" applyProtection="1">
      <alignment horizontal="center" textRotation="90" wrapText="1"/>
      <protection locked="0"/>
    </xf>
    <xf numFmtId="0" fontId="5" fillId="0" borderId="4" xfId="0" applyFont="1" applyBorder="1" applyAlignment="1" applyProtection="1">
      <alignment horizontal="center" textRotation="90" wrapText="1"/>
      <protection locked="0"/>
    </xf>
    <xf numFmtId="0" fontId="5" fillId="0" borderId="2" xfId="0" applyFont="1" applyBorder="1" applyAlignment="1" applyProtection="1">
      <alignment horizontal="center" textRotation="90" wrapText="1"/>
      <protection locked="0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1" fillId="0" borderId="22" xfId="1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1">
    <cellStyle name="Komats" xfId="1" builtinId="3"/>
    <cellStyle name="Normal 2 2" xfId="9" xr:uid="{2BE5343D-9AFA-44F9-9CDB-13807838EDEF}"/>
    <cellStyle name="Normal 3" xfId="5" xr:uid="{785624C6-0D25-4383-8BAF-0F1F8658F49E}"/>
    <cellStyle name="Normal_Liepaja Peldu 5 UK tames" xfId="4" xr:uid="{964FB6FC-8890-44AE-9CC0-52E5FBE8F525}"/>
    <cellStyle name="Normal_Sheet1 2" xfId="8" xr:uid="{6039C87D-A256-4005-8858-419601C53947}"/>
    <cellStyle name="Normal_Siguldas 27 - tabulas" xfId="6" xr:uid="{9676F012-7238-4062-B5B8-1A2A79E4E926}"/>
    <cellStyle name="Parasts" xfId="0" builtinId="0"/>
    <cellStyle name="Parasts 4" xfId="10" xr:uid="{101CB7AF-414D-41CC-81F8-55707AF4FFBB}"/>
    <cellStyle name="Paskaidrojošs teksts" xfId="2" builtinId="53" customBuiltin="1"/>
    <cellStyle name="Procenti" xfId="3" builtinId="5"/>
    <cellStyle name="Style 1" xfId="7" xr:uid="{59ECD731-4866-40B5-BC9D-E715946D536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3C2F-012B-4328-A14C-0AB60351B772}">
  <dimension ref="A1:DI24"/>
  <sheetViews>
    <sheetView view="pageBreakPreview" zoomScale="85" zoomScaleSheetLayoutView="85" workbookViewId="0">
      <selection activeCell="B11" sqref="B11"/>
    </sheetView>
  </sheetViews>
  <sheetFormatPr defaultColWidth="9.42578125" defaultRowHeight="11.25" x14ac:dyDescent="0.2"/>
  <cols>
    <col min="1" max="1" width="9.85546875" style="243" customWidth="1"/>
    <col min="2" max="2" width="60.85546875" style="227" customWidth="1"/>
    <col min="3" max="3" width="6" style="243" customWidth="1"/>
    <col min="4" max="4" width="16.28515625" style="227" bestFit="1" customWidth="1"/>
    <col min="5" max="256" width="9.42578125" style="227"/>
    <col min="257" max="257" width="9.85546875" style="227" customWidth="1"/>
    <col min="258" max="258" width="60.85546875" style="227" customWidth="1"/>
    <col min="259" max="259" width="6" style="227" customWidth="1"/>
    <col min="260" max="260" width="16.28515625" style="227" bestFit="1" customWidth="1"/>
    <col min="261" max="512" width="9.42578125" style="227"/>
    <col min="513" max="513" width="9.85546875" style="227" customWidth="1"/>
    <col min="514" max="514" width="60.85546875" style="227" customWidth="1"/>
    <col min="515" max="515" width="6" style="227" customWidth="1"/>
    <col min="516" max="516" width="16.28515625" style="227" bestFit="1" customWidth="1"/>
    <col min="517" max="768" width="9.42578125" style="227"/>
    <col min="769" max="769" width="9.85546875" style="227" customWidth="1"/>
    <col min="770" max="770" width="60.85546875" style="227" customWidth="1"/>
    <col min="771" max="771" width="6" style="227" customWidth="1"/>
    <col min="772" max="772" width="16.28515625" style="227" bestFit="1" customWidth="1"/>
    <col min="773" max="1024" width="9.42578125" style="227"/>
    <col min="1025" max="1025" width="9.85546875" style="227" customWidth="1"/>
    <col min="1026" max="1026" width="60.85546875" style="227" customWidth="1"/>
    <col min="1027" max="1027" width="6" style="227" customWidth="1"/>
    <col min="1028" max="1028" width="16.28515625" style="227" bestFit="1" customWidth="1"/>
    <col min="1029" max="1280" width="9.42578125" style="227"/>
    <col min="1281" max="1281" width="9.85546875" style="227" customWidth="1"/>
    <col min="1282" max="1282" width="60.85546875" style="227" customWidth="1"/>
    <col min="1283" max="1283" width="6" style="227" customWidth="1"/>
    <col min="1284" max="1284" width="16.28515625" style="227" bestFit="1" customWidth="1"/>
    <col min="1285" max="1536" width="9.42578125" style="227"/>
    <col min="1537" max="1537" width="9.85546875" style="227" customWidth="1"/>
    <col min="1538" max="1538" width="60.85546875" style="227" customWidth="1"/>
    <col min="1539" max="1539" width="6" style="227" customWidth="1"/>
    <col min="1540" max="1540" width="16.28515625" style="227" bestFit="1" customWidth="1"/>
    <col min="1541" max="1792" width="9.42578125" style="227"/>
    <col min="1793" max="1793" width="9.85546875" style="227" customWidth="1"/>
    <col min="1794" max="1794" width="60.85546875" style="227" customWidth="1"/>
    <col min="1795" max="1795" width="6" style="227" customWidth="1"/>
    <col min="1796" max="1796" width="16.28515625" style="227" bestFit="1" customWidth="1"/>
    <col min="1797" max="2048" width="9.42578125" style="227"/>
    <col min="2049" max="2049" width="9.85546875" style="227" customWidth="1"/>
    <col min="2050" max="2050" width="60.85546875" style="227" customWidth="1"/>
    <col min="2051" max="2051" width="6" style="227" customWidth="1"/>
    <col min="2052" max="2052" width="16.28515625" style="227" bestFit="1" customWidth="1"/>
    <col min="2053" max="2304" width="9.42578125" style="227"/>
    <col min="2305" max="2305" width="9.85546875" style="227" customWidth="1"/>
    <col min="2306" max="2306" width="60.85546875" style="227" customWidth="1"/>
    <col min="2307" max="2307" width="6" style="227" customWidth="1"/>
    <col min="2308" max="2308" width="16.28515625" style="227" bestFit="1" customWidth="1"/>
    <col min="2309" max="2560" width="9.42578125" style="227"/>
    <col min="2561" max="2561" width="9.85546875" style="227" customWidth="1"/>
    <col min="2562" max="2562" width="60.85546875" style="227" customWidth="1"/>
    <col min="2563" max="2563" width="6" style="227" customWidth="1"/>
    <col min="2564" max="2564" width="16.28515625" style="227" bestFit="1" customWidth="1"/>
    <col min="2565" max="2816" width="9.42578125" style="227"/>
    <col min="2817" max="2817" width="9.85546875" style="227" customWidth="1"/>
    <col min="2818" max="2818" width="60.85546875" style="227" customWidth="1"/>
    <col min="2819" max="2819" width="6" style="227" customWidth="1"/>
    <col min="2820" max="2820" width="16.28515625" style="227" bestFit="1" customWidth="1"/>
    <col min="2821" max="3072" width="9.42578125" style="227"/>
    <col min="3073" max="3073" width="9.85546875" style="227" customWidth="1"/>
    <col min="3074" max="3074" width="60.85546875" style="227" customWidth="1"/>
    <col min="3075" max="3075" width="6" style="227" customWidth="1"/>
    <col min="3076" max="3076" width="16.28515625" style="227" bestFit="1" customWidth="1"/>
    <col min="3077" max="3328" width="9.42578125" style="227"/>
    <col min="3329" max="3329" width="9.85546875" style="227" customWidth="1"/>
    <col min="3330" max="3330" width="60.85546875" style="227" customWidth="1"/>
    <col min="3331" max="3331" width="6" style="227" customWidth="1"/>
    <col min="3332" max="3332" width="16.28515625" style="227" bestFit="1" customWidth="1"/>
    <col min="3333" max="3584" width="9.42578125" style="227"/>
    <col min="3585" max="3585" width="9.85546875" style="227" customWidth="1"/>
    <col min="3586" max="3586" width="60.85546875" style="227" customWidth="1"/>
    <col min="3587" max="3587" width="6" style="227" customWidth="1"/>
    <col min="3588" max="3588" width="16.28515625" style="227" bestFit="1" customWidth="1"/>
    <col min="3589" max="3840" width="9.42578125" style="227"/>
    <col min="3841" max="3841" width="9.85546875" style="227" customWidth="1"/>
    <col min="3842" max="3842" width="60.85546875" style="227" customWidth="1"/>
    <col min="3843" max="3843" width="6" style="227" customWidth="1"/>
    <col min="3844" max="3844" width="16.28515625" style="227" bestFit="1" customWidth="1"/>
    <col min="3845" max="4096" width="9.42578125" style="227"/>
    <col min="4097" max="4097" width="9.85546875" style="227" customWidth="1"/>
    <col min="4098" max="4098" width="60.85546875" style="227" customWidth="1"/>
    <col min="4099" max="4099" width="6" style="227" customWidth="1"/>
    <col min="4100" max="4100" width="16.28515625" style="227" bestFit="1" customWidth="1"/>
    <col min="4101" max="4352" width="9.42578125" style="227"/>
    <col min="4353" max="4353" width="9.85546875" style="227" customWidth="1"/>
    <col min="4354" max="4354" width="60.85546875" style="227" customWidth="1"/>
    <col min="4355" max="4355" width="6" style="227" customWidth="1"/>
    <col min="4356" max="4356" width="16.28515625" style="227" bestFit="1" customWidth="1"/>
    <col min="4357" max="4608" width="9.42578125" style="227"/>
    <col min="4609" max="4609" width="9.85546875" style="227" customWidth="1"/>
    <col min="4610" max="4610" width="60.85546875" style="227" customWidth="1"/>
    <col min="4611" max="4611" width="6" style="227" customWidth="1"/>
    <col min="4612" max="4612" width="16.28515625" style="227" bestFit="1" customWidth="1"/>
    <col min="4613" max="4864" width="9.42578125" style="227"/>
    <col min="4865" max="4865" width="9.85546875" style="227" customWidth="1"/>
    <col min="4866" max="4866" width="60.85546875" style="227" customWidth="1"/>
    <col min="4867" max="4867" width="6" style="227" customWidth="1"/>
    <col min="4868" max="4868" width="16.28515625" style="227" bestFit="1" customWidth="1"/>
    <col min="4869" max="5120" width="9.42578125" style="227"/>
    <col min="5121" max="5121" width="9.85546875" style="227" customWidth="1"/>
    <col min="5122" max="5122" width="60.85546875" style="227" customWidth="1"/>
    <col min="5123" max="5123" width="6" style="227" customWidth="1"/>
    <col min="5124" max="5124" width="16.28515625" style="227" bestFit="1" customWidth="1"/>
    <col min="5125" max="5376" width="9.42578125" style="227"/>
    <col min="5377" max="5377" width="9.85546875" style="227" customWidth="1"/>
    <col min="5378" max="5378" width="60.85546875" style="227" customWidth="1"/>
    <col min="5379" max="5379" width="6" style="227" customWidth="1"/>
    <col min="5380" max="5380" width="16.28515625" style="227" bestFit="1" customWidth="1"/>
    <col min="5381" max="5632" width="9.42578125" style="227"/>
    <col min="5633" max="5633" width="9.85546875" style="227" customWidth="1"/>
    <col min="5634" max="5634" width="60.85546875" style="227" customWidth="1"/>
    <col min="5635" max="5635" width="6" style="227" customWidth="1"/>
    <col min="5636" max="5636" width="16.28515625" style="227" bestFit="1" customWidth="1"/>
    <col min="5637" max="5888" width="9.42578125" style="227"/>
    <col min="5889" max="5889" width="9.85546875" style="227" customWidth="1"/>
    <col min="5890" max="5890" width="60.85546875" style="227" customWidth="1"/>
    <col min="5891" max="5891" width="6" style="227" customWidth="1"/>
    <col min="5892" max="5892" width="16.28515625" style="227" bestFit="1" customWidth="1"/>
    <col min="5893" max="6144" width="9.42578125" style="227"/>
    <col min="6145" max="6145" width="9.85546875" style="227" customWidth="1"/>
    <col min="6146" max="6146" width="60.85546875" style="227" customWidth="1"/>
    <col min="6147" max="6147" width="6" style="227" customWidth="1"/>
    <col min="6148" max="6148" width="16.28515625" style="227" bestFit="1" customWidth="1"/>
    <col min="6149" max="6400" width="9.42578125" style="227"/>
    <col min="6401" max="6401" width="9.85546875" style="227" customWidth="1"/>
    <col min="6402" max="6402" width="60.85546875" style="227" customWidth="1"/>
    <col min="6403" max="6403" width="6" style="227" customWidth="1"/>
    <col min="6404" max="6404" width="16.28515625" style="227" bestFit="1" customWidth="1"/>
    <col min="6405" max="6656" width="9.42578125" style="227"/>
    <col min="6657" max="6657" width="9.85546875" style="227" customWidth="1"/>
    <col min="6658" max="6658" width="60.85546875" style="227" customWidth="1"/>
    <col min="6659" max="6659" width="6" style="227" customWidth="1"/>
    <col min="6660" max="6660" width="16.28515625" style="227" bestFit="1" customWidth="1"/>
    <col min="6661" max="6912" width="9.42578125" style="227"/>
    <col min="6913" max="6913" width="9.85546875" style="227" customWidth="1"/>
    <col min="6914" max="6914" width="60.85546875" style="227" customWidth="1"/>
    <col min="6915" max="6915" width="6" style="227" customWidth="1"/>
    <col min="6916" max="6916" width="16.28515625" style="227" bestFit="1" customWidth="1"/>
    <col min="6917" max="7168" width="9.42578125" style="227"/>
    <col min="7169" max="7169" width="9.85546875" style="227" customWidth="1"/>
    <col min="7170" max="7170" width="60.85546875" style="227" customWidth="1"/>
    <col min="7171" max="7171" width="6" style="227" customWidth="1"/>
    <col min="7172" max="7172" width="16.28515625" style="227" bestFit="1" customWidth="1"/>
    <col min="7173" max="7424" width="9.42578125" style="227"/>
    <col min="7425" max="7425" width="9.85546875" style="227" customWidth="1"/>
    <col min="7426" max="7426" width="60.85546875" style="227" customWidth="1"/>
    <col min="7427" max="7427" width="6" style="227" customWidth="1"/>
    <col min="7428" max="7428" width="16.28515625" style="227" bestFit="1" customWidth="1"/>
    <col min="7429" max="7680" width="9.42578125" style="227"/>
    <col min="7681" max="7681" width="9.85546875" style="227" customWidth="1"/>
    <col min="7682" max="7682" width="60.85546875" style="227" customWidth="1"/>
    <col min="7683" max="7683" width="6" style="227" customWidth="1"/>
    <col min="7684" max="7684" width="16.28515625" style="227" bestFit="1" customWidth="1"/>
    <col min="7685" max="7936" width="9.42578125" style="227"/>
    <col min="7937" max="7937" width="9.85546875" style="227" customWidth="1"/>
    <col min="7938" max="7938" width="60.85546875" style="227" customWidth="1"/>
    <col min="7939" max="7939" width="6" style="227" customWidth="1"/>
    <col min="7940" max="7940" width="16.28515625" style="227" bestFit="1" customWidth="1"/>
    <col min="7941" max="8192" width="9.42578125" style="227"/>
    <col min="8193" max="8193" width="9.85546875" style="227" customWidth="1"/>
    <col min="8194" max="8194" width="60.85546875" style="227" customWidth="1"/>
    <col min="8195" max="8195" width="6" style="227" customWidth="1"/>
    <col min="8196" max="8196" width="16.28515625" style="227" bestFit="1" customWidth="1"/>
    <col min="8197" max="8448" width="9.42578125" style="227"/>
    <col min="8449" max="8449" width="9.85546875" style="227" customWidth="1"/>
    <col min="8450" max="8450" width="60.85546875" style="227" customWidth="1"/>
    <col min="8451" max="8451" width="6" style="227" customWidth="1"/>
    <col min="8452" max="8452" width="16.28515625" style="227" bestFit="1" customWidth="1"/>
    <col min="8453" max="8704" width="9.42578125" style="227"/>
    <col min="8705" max="8705" width="9.85546875" style="227" customWidth="1"/>
    <col min="8706" max="8706" width="60.85546875" style="227" customWidth="1"/>
    <col min="8707" max="8707" width="6" style="227" customWidth="1"/>
    <col min="8708" max="8708" width="16.28515625" style="227" bestFit="1" customWidth="1"/>
    <col min="8709" max="8960" width="9.42578125" style="227"/>
    <col min="8961" max="8961" width="9.85546875" style="227" customWidth="1"/>
    <col min="8962" max="8962" width="60.85546875" style="227" customWidth="1"/>
    <col min="8963" max="8963" width="6" style="227" customWidth="1"/>
    <col min="8964" max="8964" width="16.28515625" style="227" bestFit="1" customWidth="1"/>
    <col min="8965" max="9216" width="9.42578125" style="227"/>
    <col min="9217" max="9217" width="9.85546875" style="227" customWidth="1"/>
    <col min="9218" max="9218" width="60.85546875" style="227" customWidth="1"/>
    <col min="9219" max="9219" width="6" style="227" customWidth="1"/>
    <col min="9220" max="9220" width="16.28515625" style="227" bestFit="1" customWidth="1"/>
    <col min="9221" max="9472" width="9.42578125" style="227"/>
    <col min="9473" max="9473" width="9.85546875" style="227" customWidth="1"/>
    <col min="9474" max="9474" width="60.85546875" style="227" customWidth="1"/>
    <col min="9475" max="9475" width="6" style="227" customWidth="1"/>
    <col min="9476" max="9476" width="16.28515625" style="227" bestFit="1" customWidth="1"/>
    <col min="9477" max="9728" width="9.42578125" style="227"/>
    <col min="9729" max="9729" width="9.85546875" style="227" customWidth="1"/>
    <col min="9730" max="9730" width="60.85546875" style="227" customWidth="1"/>
    <col min="9731" max="9731" width="6" style="227" customWidth="1"/>
    <col min="9732" max="9732" width="16.28515625" style="227" bestFit="1" customWidth="1"/>
    <col min="9733" max="9984" width="9.42578125" style="227"/>
    <col min="9985" max="9985" width="9.85546875" style="227" customWidth="1"/>
    <col min="9986" max="9986" width="60.85546875" style="227" customWidth="1"/>
    <col min="9987" max="9987" width="6" style="227" customWidth="1"/>
    <col min="9988" max="9988" width="16.28515625" style="227" bestFit="1" customWidth="1"/>
    <col min="9989" max="10240" width="9.42578125" style="227"/>
    <col min="10241" max="10241" width="9.85546875" style="227" customWidth="1"/>
    <col min="10242" max="10242" width="60.85546875" style="227" customWidth="1"/>
    <col min="10243" max="10243" width="6" style="227" customWidth="1"/>
    <col min="10244" max="10244" width="16.28515625" style="227" bestFit="1" customWidth="1"/>
    <col min="10245" max="10496" width="9.42578125" style="227"/>
    <col min="10497" max="10497" width="9.85546875" style="227" customWidth="1"/>
    <col min="10498" max="10498" width="60.85546875" style="227" customWidth="1"/>
    <col min="10499" max="10499" width="6" style="227" customWidth="1"/>
    <col min="10500" max="10500" width="16.28515625" style="227" bestFit="1" customWidth="1"/>
    <col min="10501" max="10752" width="9.42578125" style="227"/>
    <col min="10753" max="10753" width="9.85546875" style="227" customWidth="1"/>
    <col min="10754" max="10754" width="60.85546875" style="227" customWidth="1"/>
    <col min="10755" max="10755" width="6" style="227" customWidth="1"/>
    <col min="10756" max="10756" width="16.28515625" style="227" bestFit="1" customWidth="1"/>
    <col min="10757" max="11008" width="9.42578125" style="227"/>
    <col min="11009" max="11009" width="9.85546875" style="227" customWidth="1"/>
    <col min="11010" max="11010" width="60.85546875" style="227" customWidth="1"/>
    <col min="11011" max="11011" width="6" style="227" customWidth="1"/>
    <col min="11012" max="11012" width="16.28515625" style="227" bestFit="1" customWidth="1"/>
    <col min="11013" max="11264" width="9.42578125" style="227"/>
    <col min="11265" max="11265" width="9.85546875" style="227" customWidth="1"/>
    <col min="11266" max="11266" width="60.85546875" style="227" customWidth="1"/>
    <col min="11267" max="11267" width="6" style="227" customWidth="1"/>
    <col min="11268" max="11268" width="16.28515625" style="227" bestFit="1" customWidth="1"/>
    <col min="11269" max="11520" width="9.42578125" style="227"/>
    <col min="11521" max="11521" width="9.85546875" style="227" customWidth="1"/>
    <col min="11522" max="11522" width="60.85546875" style="227" customWidth="1"/>
    <col min="11523" max="11523" width="6" style="227" customWidth="1"/>
    <col min="11524" max="11524" width="16.28515625" style="227" bestFit="1" customWidth="1"/>
    <col min="11525" max="11776" width="9.42578125" style="227"/>
    <col min="11777" max="11777" width="9.85546875" style="227" customWidth="1"/>
    <col min="11778" max="11778" width="60.85546875" style="227" customWidth="1"/>
    <col min="11779" max="11779" width="6" style="227" customWidth="1"/>
    <col min="11780" max="11780" width="16.28515625" style="227" bestFit="1" customWidth="1"/>
    <col min="11781" max="12032" width="9.42578125" style="227"/>
    <col min="12033" max="12033" width="9.85546875" style="227" customWidth="1"/>
    <col min="12034" max="12034" width="60.85546875" style="227" customWidth="1"/>
    <col min="12035" max="12035" width="6" style="227" customWidth="1"/>
    <col min="12036" max="12036" width="16.28515625" style="227" bestFit="1" customWidth="1"/>
    <col min="12037" max="12288" width="9.42578125" style="227"/>
    <col min="12289" max="12289" width="9.85546875" style="227" customWidth="1"/>
    <col min="12290" max="12290" width="60.85546875" style="227" customWidth="1"/>
    <col min="12291" max="12291" width="6" style="227" customWidth="1"/>
    <col min="12292" max="12292" width="16.28515625" style="227" bestFit="1" customWidth="1"/>
    <col min="12293" max="12544" width="9.42578125" style="227"/>
    <col min="12545" max="12545" width="9.85546875" style="227" customWidth="1"/>
    <col min="12546" max="12546" width="60.85546875" style="227" customWidth="1"/>
    <col min="12547" max="12547" width="6" style="227" customWidth="1"/>
    <col min="12548" max="12548" width="16.28515625" style="227" bestFit="1" customWidth="1"/>
    <col min="12549" max="12800" width="9.42578125" style="227"/>
    <col min="12801" max="12801" width="9.85546875" style="227" customWidth="1"/>
    <col min="12802" max="12802" width="60.85546875" style="227" customWidth="1"/>
    <col min="12803" max="12803" width="6" style="227" customWidth="1"/>
    <col min="12804" max="12804" width="16.28515625" style="227" bestFit="1" customWidth="1"/>
    <col min="12805" max="13056" width="9.42578125" style="227"/>
    <col min="13057" max="13057" width="9.85546875" style="227" customWidth="1"/>
    <col min="13058" max="13058" width="60.85546875" style="227" customWidth="1"/>
    <col min="13059" max="13059" width="6" style="227" customWidth="1"/>
    <col min="13060" max="13060" width="16.28515625" style="227" bestFit="1" customWidth="1"/>
    <col min="13061" max="13312" width="9.42578125" style="227"/>
    <col min="13313" max="13313" width="9.85546875" style="227" customWidth="1"/>
    <col min="13314" max="13314" width="60.85546875" style="227" customWidth="1"/>
    <col min="13315" max="13315" width="6" style="227" customWidth="1"/>
    <col min="13316" max="13316" width="16.28515625" style="227" bestFit="1" customWidth="1"/>
    <col min="13317" max="13568" width="9.42578125" style="227"/>
    <col min="13569" max="13569" width="9.85546875" style="227" customWidth="1"/>
    <col min="13570" max="13570" width="60.85546875" style="227" customWidth="1"/>
    <col min="13571" max="13571" width="6" style="227" customWidth="1"/>
    <col min="13572" max="13572" width="16.28515625" style="227" bestFit="1" customWidth="1"/>
    <col min="13573" max="13824" width="9.42578125" style="227"/>
    <col min="13825" max="13825" width="9.85546875" style="227" customWidth="1"/>
    <col min="13826" max="13826" width="60.85546875" style="227" customWidth="1"/>
    <col min="13827" max="13827" width="6" style="227" customWidth="1"/>
    <col min="13828" max="13828" width="16.28515625" style="227" bestFit="1" customWidth="1"/>
    <col min="13829" max="14080" width="9.42578125" style="227"/>
    <col min="14081" max="14081" width="9.85546875" style="227" customWidth="1"/>
    <col min="14082" max="14082" width="60.85546875" style="227" customWidth="1"/>
    <col min="14083" max="14083" width="6" style="227" customWidth="1"/>
    <col min="14084" max="14084" width="16.28515625" style="227" bestFit="1" customWidth="1"/>
    <col min="14085" max="14336" width="9.42578125" style="227"/>
    <col min="14337" max="14337" width="9.85546875" style="227" customWidth="1"/>
    <col min="14338" max="14338" width="60.85546875" style="227" customWidth="1"/>
    <col min="14339" max="14339" width="6" style="227" customWidth="1"/>
    <col min="14340" max="14340" width="16.28515625" style="227" bestFit="1" customWidth="1"/>
    <col min="14341" max="14592" width="9.42578125" style="227"/>
    <col min="14593" max="14593" width="9.85546875" style="227" customWidth="1"/>
    <col min="14594" max="14594" width="60.85546875" style="227" customWidth="1"/>
    <col min="14595" max="14595" width="6" style="227" customWidth="1"/>
    <col min="14596" max="14596" width="16.28515625" style="227" bestFit="1" customWidth="1"/>
    <col min="14597" max="14848" width="9.42578125" style="227"/>
    <col min="14849" max="14849" width="9.85546875" style="227" customWidth="1"/>
    <col min="14850" max="14850" width="60.85546875" style="227" customWidth="1"/>
    <col min="14851" max="14851" width="6" style="227" customWidth="1"/>
    <col min="14852" max="14852" width="16.28515625" style="227" bestFit="1" customWidth="1"/>
    <col min="14853" max="15104" width="9.42578125" style="227"/>
    <col min="15105" max="15105" width="9.85546875" style="227" customWidth="1"/>
    <col min="15106" max="15106" width="60.85546875" style="227" customWidth="1"/>
    <col min="15107" max="15107" width="6" style="227" customWidth="1"/>
    <col min="15108" max="15108" width="16.28515625" style="227" bestFit="1" customWidth="1"/>
    <col min="15109" max="15360" width="9.42578125" style="227"/>
    <col min="15361" max="15361" width="9.85546875" style="227" customWidth="1"/>
    <col min="15362" max="15362" width="60.85546875" style="227" customWidth="1"/>
    <col min="15363" max="15363" width="6" style="227" customWidth="1"/>
    <col min="15364" max="15364" width="16.28515625" style="227" bestFit="1" customWidth="1"/>
    <col min="15365" max="15616" width="9.42578125" style="227"/>
    <col min="15617" max="15617" width="9.85546875" style="227" customWidth="1"/>
    <col min="15618" max="15618" width="60.85546875" style="227" customWidth="1"/>
    <col min="15619" max="15619" width="6" style="227" customWidth="1"/>
    <col min="15620" max="15620" width="16.28515625" style="227" bestFit="1" customWidth="1"/>
    <col min="15621" max="15872" width="9.42578125" style="227"/>
    <col min="15873" max="15873" width="9.85546875" style="227" customWidth="1"/>
    <col min="15874" max="15874" width="60.85546875" style="227" customWidth="1"/>
    <col min="15875" max="15875" width="6" style="227" customWidth="1"/>
    <col min="15876" max="15876" width="16.28515625" style="227" bestFit="1" customWidth="1"/>
    <col min="15877" max="16128" width="9.42578125" style="227"/>
    <col min="16129" max="16129" width="9.85546875" style="227" customWidth="1"/>
    <col min="16130" max="16130" width="60.85546875" style="227" customWidth="1"/>
    <col min="16131" max="16131" width="6" style="227" customWidth="1"/>
    <col min="16132" max="16132" width="16.28515625" style="227" bestFit="1" customWidth="1"/>
    <col min="16133" max="16384" width="9.42578125" style="227"/>
  </cols>
  <sheetData>
    <row r="1" spans="1:113" s="229" customFormat="1" x14ac:dyDescent="0.2">
      <c r="A1" s="311" t="s">
        <v>425</v>
      </c>
      <c r="B1" s="311"/>
      <c r="C1" s="311"/>
      <c r="D1" s="311"/>
      <c r="E1" s="227"/>
      <c r="F1" s="228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</row>
    <row r="2" spans="1:113" s="229" customFormat="1" ht="15" x14ac:dyDescent="0.2">
      <c r="A2" s="230"/>
      <c r="B2" s="231"/>
      <c r="C2" s="232"/>
      <c r="D2" s="232"/>
      <c r="E2" s="227"/>
      <c r="F2" s="233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</row>
    <row r="3" spans="1:113" s="229" customFormat="1" x14ac:dyDescent="0.2">
      <c r="A3" s="230"/>
      <c r="B3" s="232"/>
      <c r="C3" s="230"/>
      <c r="D3" s="232"/>
      <c r="E3" s="227"/>
      <c r="F3" s="234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</row>
    <row r="4" spans="1:113" s="229" customFormat="1" x14ac:dyDescent="0.2">
      <c r="A4" s="235" t="str">
        <f>KPDV!A5</f>
        <v>Būves nosaukums: Daudzdzīvokļu dzīvojamā ēka</v>
      </c>
      <c r="B4" s="236"/>
      <c r="C4" s="236"/>
      <c r="D4" s="236"/>
      <c r="E4" s="237"/>
      <c r="F4" s="234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</row>
    <row r="5" spans="1:113" s="229" customFormat="1" x14ac:dyDescent="0.2">
      <c r="A5" s="235" t="str">
        <f>KPDV!A6</f>
        <v>Objekta nosaukums: Dzīvojamās ēkas vienkāršota atjaunošana</v>
      </c>
      <c r="B5" s="238"/>
      <c r="C5" s="235"/>
      <c r="D5" s="238"/>
      <c r="E5" s="237"/>
      <c r="F5" s="234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</row>
    <row r="6" spans="1:113" s="229" customFormat="1" x14ac:dyDescent="0.2">
      <c r="A6" s="235" t="str">
        <f>KPDV!A7</f>
        <v>Objekta adrese: Eduarda Tisē iela 60, Liepāja</v>
      </c>
      <c r="B6" s="239"/>
      <c r="C6" s="240"/>
      <c r="D6" s="238"/>
      <c r="E6" s="237"/>
      <c r="F6" s="241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</row>
    <row r="7" spans="1:113" s="229" customFormat="1" ht="15" x14ac:dyDescent="0.2">
      <c r="A7" s="235" t="str">
        <f>KPDV!A8</f>
        <v>Pasūtījuma Nr. : EA-33-16</v>
      </c>
      <c r="B7" s="239"/>
      <c r="C7" s="240"/>
      <c r="D7" s="238"/>
      <c r="E7" s="237"/>
      <c r="F7" s="233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</row>
    <row r="8" spans="1:113" s="229" customFormat="1" ht="15" x14ac:dyDescent="0.2">
      <c r="A8" s="235"/>
      <c r="B8" s="231"/>
      <c r="C8" s="231"/>
      <c r="D8" s="231"/>
      <c r="E8" s="227"/>
      <c r="F8" s="233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</row>
    <row r="9" spans="1:113" s="229" customFormat="1" x14ac:dyDescent="0.2">
      <c r="A9" s="242"/>
      <c r="B9" s="227"/>
      <c r="C9" s="243"/>
      <c r="D9" s="227"/>
      <c r="E9" s="227"/>
      <c r="F9" s="228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</row>
    <row r="10" spans="1:113" s="229" customFormat="1" ht="15" x14ac:dyDescent="0.2">
      <c r="A10" s="243"/>
      <c r="B10" s="244" t="s">
        <v>538</v>
      </c>
      <c r="C10" s="242"/>
      <c r="D10" s="245"/>
      <c r="E10" s="227"/>
      <c r="F10" s="233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</row>
    <row r="11" spans="1:113" ht="15" x14ac:dyDescent="0.2">
      <c r="F11" s="233"/>
    </row>
    <row r="12" spans="1:113" s="229" customFormat="1" x14ac:dyDescent="0.2">
      <c r="A12" s="246" t="s">
        <v>32</v>
      </c>
      <c r="B12" s="247" t="s">
        <v>426</v>
      </c>
      <c r="C12" s="248"/>
      <c r="D12" s="247" t="s">
        <v>427</v>
      </c>
      <c r="E12" s="227"/>
      <c r="F12" s="228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</row>
    <row r="13" spans="1:113" s="229" customFormat="1" x14ac:dyDescent="0.2">
      <c r="A13" s="249">
        <v>1</v>
      </c>
      <c r="B13" s="249" t="s">
        <v>543</v>
      </c>
      <c r="C13" s="248"/>
      <c r="D13" s="250"/>
      <c r="E13" s="227"/>
      <c r="F13" s="251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</row>
    <row r="14" spans="1:113" s="229" customFormat="1" x14ac:dyDescent="0.2">
      <c r="A14" s="252"/>
      <c r="B14" s="253" t="s">
        <v>428</v>
      </c>
      <c r="C14" s="254"/>
      <c r="D14" s="254"/>
      <c r="E14" s="227"/>
      <c r="F14" s="251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</row>
    <row r="15" spans="1:113" s="229" customFormat="1" x14ac:dyDescent="0.2">
      <c r="A15" s="252"/>
      <c r="B15" s="255" t="s">
        <v>24</v>
      </c>
      <c r="C15" s="256">
        <v>0.21</v>
      </c>
      <c r="D15" s="254"/>
      <c r="E15" s="227"/>
      <c r="F15" s="251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</row>
    <row r="16" spans="1:113" s="229" customFormat="1" x14ac:dyDescent="0.2">
      <c r="A16" s="252"/>
      <c r="B16" s="255" t="s">
        <v>25</v>
      </c>
      <c r="C16" s="254"/>
      <c r="D16" s="254"/>
      <c r="E16" s="227"/>
      <c r="F16" s="251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</row>
    <row r="17" spans="1:113" s="229" customFormat="1" x14ac:dyDescent="0.2">
      <c r="A17" s="252"/>
      <c r="B17" s="255"/>
      <c r="C17" s="254"/>
      <c r="D17" s="254"/>
      <c r="E17" s="227"/>
      <c r="F17" s="251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</row>
    <row r="18" spans="1:113" s="229" customFormat="1" x14ac:dyDescent="0.2">
      <c r="A18" s="243"/>
      <c r="B18" s="257" t="s">
        <v>429</v>
      </c>
      <c r="C18" s="243"/>
      <c r="D18" s="227"/>
      <c r="E18" s="227"/>
      <c r="F18" s="251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</row>
    <row r="19" spans="1:113" s="229" customFormat="1" x14ac:dyDescent="0.2">
      <c r="A19" s="243"/>
      <c r="B19" s="258" t="s">
        <v>430</v>
      </c>
      <c r="C19" s="243"/>
      <c r="D19" s="227"/>
      <c r="E19" s="227"/>
      <c r="F19" s="251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</row>
    <row r="20" spans="1:113" s="229" customFormat="1" x14ac:dyDescent="0.2">
      <c r="A20" s="243"/>
      <c r="B20" s="258"/>
      <c r="C20" s="243"/>
      <c r="D20" s="227"/>
      <c r="E20" s="227"/>
      <c r="F20" s="251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</row>
    <row r="21" spans="1:113" s="229" customFormat="1" x14ac:dyDescent="0.2">
      <c r="A21" s="243"/>
      <c r="B21" s="259" t="s">
        <v>431</v>
      </c>
      <c r="C21" s="243"/>
      <c r="D21" s="227"/>
      <c r="E21" s="227"/>
      <c r="F21" s="251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7"/>
      <c r="BS21" s="227"/>
      <c r="BT21" s="227"/>
      <c r="BU21" s="227"/>
      <c r="BV21" s="227"/>
      <c r="BW21" s="227"/>
      <c r="BX21" s="227"/>
      <c r="BY21" s="227"/>
      <c r="BZ21" s="227"/>
      <c r="CA21" s="227"/>
      <c r="CB21" s="227"/>
      <c r="CC21" s="227"/>
      <c r="CD21" s="227"/>
      <c r="CE21" s="227"/>
      <c r="CF21" s="227"/>
      <c r="CG21" s="227"/>
      <c r="CH21" s="227"/>
      <c r="CI21" s="227"/>
      <c r="CJ21" s="227"/>
      <c r="CK21" s="227"/>
      <c r="CL21" s="227"/>
      <c r="CM21" s="227"/>
      <c r="CN21" s="227"/>
      <c r="CO21" s="227"/>
      <c r="CP21" s="227"/>
      <c r="CQ21" s="227"/>
      <c r="CR21" s="227"/>
      <c r="CS21" s="227"/>
      <c r="CT21" s="227"/>
      <c r="CU21" s="227"/>
      <c r="CV21" s="227"/>
      <c r="CW21" s="227"/>
      <c r="CX21" s="227"/>
      <c r="CY21" s="227"/>
      <c r="CZ21" s="227"/>
      <c r="DA21" s="227"/>
      <c r="DB21" s="227"/>
      <c r="DC21" s="227"/>
      <c r="DD21" s="227"/>
      <c r="DE21" s="227"/>
      <c r="DF21" s="227"/>
      <c r="DG21" s="227"/>
      <c r="DH21" s="227"/>
      <c r="DI21" s="227"/>
    </row>
    <row r="22" spans="1:113" s="229" customFormat="1" x14ac:dyDescent="0.2">
      <c r="A22" s="243"/>
      <c r="B22" s="260" t="s">
        <v>432</v>
      </c>
      <c r="C22" s="243"/>
      <c r="D22" s="227"/>
      <c r="E22" s="227"/>
      <c r="F22" s="251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7"/>
      <c r="CC22" s="227"/>
      <c r="CD22" s="227"/>
      <c r="CE22" s="227"/>
      <c r="CF22" s="227"/>
      <c r="CG22" s="227"/>
      <c r="CH22" s="227"/>
      <c r="CI22" s="227"/>
      <c r="CJ22" s="227"/>
      <c r="CK22" s="227"/>
      <c r="CL22" s="227"/>
      <c r="CM22" s="227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27"/>
      <c r="DD22" s="227"/>
      <c r="DE22" s="227"/>
      <c r="DF22" s="227"/>
      <c r="DG22" s="227"/>
      <c r="DH22" s="227"/>
      <c r="DI22" s="227"/>
    </row>
    <row r="23" spans="1:113" x14ac:dyDescent="0.2">
      <c r="B23" s="147"/>
      <c r="F23" s="251"/>
    </row>
    <row r="24" spans="1:113" x14ac:dyDescent="0.2">
      <c r="E24" s="227" t="s">
        <v>433</v>
      </c>
      <c r="F24" s="251"/>
    </row>
  </sheetData>
  <mergeCells count="1">
    <mergeCell ref="A1:D1"/>
  </mergeCells>
  <pageMargins left="0.7" right="0.7" top="0.75" bottom="0.75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view="pageBreakPreview" zoomScaleNormal="70" zoomScaleSheetLayoutView="100" workbookViewId="0">
      <selection activeCell="C5" sqref="C5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f>KPDV!A22</f>
        <v>7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174</v>
      </c>
      <c r="D2" s="2"/>
      <c r="E2" s="162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63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62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62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108"/>
      <c r="D9" s="108"/>
      <c r="E9" s="164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87">
        <f>B12+1</f>
        <v>3</v>
      </c>
      <c r="D12" s="86">
        <f>C12+1</f>
        <v>4</v>
      </c>
      <c r="E12" s="166">
        <f>D12+1</f>
        <v>5</v>
      </c>
      <c r="F12" s="112"/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ht="22.5" x14ac:dyDescent="0.2">
      <c r="A13" s="99">
        <f>IF(COUNTBLANK(B13)=1," ",COUNTA($B$13:B13))</f>
        <v>1</v>
      </c>
      <c r="B13" s="114" t="s">
        <v>48</v>
      </c>
      <c r="C13" s="277" t="s">
        <v>175</v>
      </c>
      <c r="D13" s="99" t="s">
        <v>56</v>
      </c>
      <c r="E13" s="194">
        <v>477</v>
      </c>
      <c r="F13" s="102"/>
      <c r="G13" s="12"/>
      <c r="H13" s="12"/>
      <c r="I13" s="77"/>
      <c r="J13" s="12"/>
      <c r="K13" s="12"/>
      <c r="L13" s="12"/>
      <c r="M13" s="12"/>
      <c r="N13" s="12"/>
      <c r="O13" s="12"/>
      <c r="P13" s="12"/>
      <c r="Q13" s="12"/>
    </row>
    <row r="14" spans="1:17" x14ac:dyDescent="0.2">
      <c r="A14" s="99" t="str">
        <f>IF(COUNTBLANK(B14)=1," ",COUNTA($B$13:B14))</f>
        <v xml:space="preserve"> </v>
      </c>
      <c r="B14" s="99"/>
      <c r="C14" s="277" t="s">
        <v>176</v>
      </c>
      <c r="D14" s="99" t="s">
        <v>73</v>
      </c>
      <c r="E14" s="194">
        <f>F14*E13</f>
        <v>524.70000000000005</v>
      </c>
      <c r="F14" s="102">
        <v>1.1000000000000001</v>
      </c>
      <c r="G14" s="12"/>
      <c r="H14" s="12"/>
      <c r="I14" s="77"/>
      <c r="J14" s="12"/>
      <c r="K14" s="12"/>
      <c r="L14" s="12"/>
      <c r="M14" s="12"/>
      <c r="N14" s="12"/>
      <c r="O14" s="12"/>
      <c r="P14" s="12"/>
      <c r="Q14" s="12"/>
    </row>
    <row r="15" spans="1:17" x14ac:dyDescent="0.2">
      <c r="A15" s="99" t="str">
        <f>IF(COUNTBLANK(B15)=1," ",COUNTA($B$13:B15))</f>
        <v xml:space="preserve"> </v>
      </c>
      <c r="B15" s="99"/>
      <c r="C15" s="277" t="s">
        <v>139</v>
      </c>
      <c r="D15" s="99" t="s">
        <v>140</v>
      </c>
      <c r="E15" s="195">
        <f>E13*F15</f>
        <v>4.7700000000000005</v>
      </c>
      <c r="F15" s="102">
        <v>0.01</v>
      </c>
      <c r="G15" s="12"/>
      <c r="H15" s="12"/>
      <c r="I15" s="77"/>
      <c r="J15" s="12"/>
      <c r="K15" s="12"/>
      <c r="L15" s="12"/>
      <c r="M15" s="12"/>
      <c r="N15" s="12"/>
      <c r="O15" s="12"/>
      <c r="P15" s="12"/>
      <c r="Q15" s="12"/>
    </row>
    <row r="16" spans="1:17" ht="67.5" x14ac:dyDescent="0.2">
      <c r="A16" s="99">
        <f>IF(COUNTBLANK(B16)=1," ",COUNTA($B$13:B16))</f>
        <v>2</v>
      </c>
      <c r="B16" s="114" t="s">
        <v>48</v>
      </c>
      <c r="C16" s="277" t="str">
        <f>apjomi!B41</f>
        <v>Bēniņu pārsegumu siltumizolācija, beramā akmensvate, ekvivalents Granrock, λ=0,042W/m²K (b=350mm, ieskaitot sablīvēšanas koef. 1,1), tvaika izolācijas plēve (b=0,2mm), esošs fibrolīta plātņu slānis (b=~150mm), esošais hidroizolācijas slānis, esošais dz-betona pārsegums (b=~220mm)</v>
      </c>
      <c r="D16" s="74" t="s">
        <v>56</v>
      </c>
      <c r="E16" s="196">
        <f>E13</f>
        <v>477</v>
      </c>
      <c r="F16" s="126"/>
      <c r="G16" s="12"/>
      <c r="H16" s="12"/>
      <c r="I16" s="77"/>
      <c r="J16" s="12"/>
      <c r="K16" s="12"/>
      <c r="L16" s="12"/>
      <c r="M16" s="12"/>
      <c r="N16" s="12"/>
      <c r="O16" s="12"/>
      <c r="P16" s="12"/>
      <c r="Q16" s="12"/>
    </row>
    <row r="17" spans="1:17" x14ac:dyDescent="0.2">
      <c r="A17" s="99" t="str">
        <f>IF(COUNTBLANK(B17)=1," ",COUNTA($B$13:B17))</f>
        <v xml:space="preserve"> </v>
      </c>
      <c r="B17" s="99"/>
      <c r="C17" s="264" t="s">
        <v>137</v>
      </c>
      <c r="D17" s="99" t="s">
        <v>136</v>
      </c>
      <c r="E17" s="194">
        <f>E16*F17</f>
        <v>183.64500000000001</v>
      </c>
      <c r="F17" s="102">
        <f>0.35*1.1</f>
        <v>0.38500000000000001</v>
      </c>
      <c r="G17" s="12"/>
      <c r="H17" s="12"/>
      <c r="I17" s="77"/>
      <c r="J17" s="12"/>
      <c r="K17" s="12"/>
      <c r="L17" s="12"/>
      <c r="M17" s="12"/>
      <c r="N17" s="12"/>
      <c r="O17" s="12"/>
      <c r="P17" s="12"/>
      <c r="Q17" s="12"/>
    </row>
    <row r="18" spans="1:17" ht="67.5" x14ac:dyDescent="0.2">
      <c r="A18" s="99">
        <f>IF(COUNTBLANK(B18)=1," ",COUNTA($B$13:B18))</f>
        <v>3</v>
      </c>
      <c r="B18" s="37" t="s">
        <v>177</v>
      </c>
      <c r="C18" s="277" t="str">
        <f>apjomi!B43</f>
        <v>Siltinājums virs kāpņu telpām. Akmensvate; λ=0,036W/m²K, b=35 mm,  Akmensvate; λ=0,036W/m²K b=100mm , Akmensvate; λ=0,036W/m²K b=150 mm. tvaika izolācijas plēve (b=0,2mm), esošs fibrolīta plātņu slānis (b=~150mm), esošais hidroizolācijas slānis, esošais dz-betona pārsegums (b=~220mm)</v>
      </c>
      <c r="D18" s="38" t="s">
        <v>56</v>
      </c>
      <c r="E18" s="197">
        <f>apjomi!D43</f>
        <v>37.799999999999997</v>
      </c>
      <c r="F18" s="102"/>
      <c r="G18" s="12"/>
      <c r="H18" s="12"/>
      <c r="I18" s="77"/>
      <c r="J18" s="12"/>
      <c r="K18" s="12"/>
      <c r="L18" s="12"/>
      <c r="M18" s="12"/>
      <c r="N18" s="12"/>
      <c r="O18" s="12"/>
      <c r="P18" s="12"/>
      <c r="Q18" s="12"/>
    </row>
    <row r="19" spans="1:17" ht="22.5" x14ac:dyDescent="0.2">
      <c r="A19" s="99" t="str">
        <f>IF(COUNTBLANK(B19)=1," ",COUNTA($B$13:B19))</f>
        <v xml:space="preserve"> </v>
      </c>
      <c r="B19" s="39"/>
      <c r="C19" s="277" t="s">
        <v>178</v>
      </c>
      <c r="D19" s="38" t="s">
        <v>56</v>
      </c>
      <c r="E19" s="197">
        <f>E18*F19</f>
        <v>41.58</v>
      </c>
      <c r="F19" s="102">
        <v>1.1000000000000001</v>
      </c>
      <c r="G19" s="12"/>
      <c r="H19" s="12"/>
      <c r="I19" s="77"/>
      <c r="J19" s="12"/>
      <c r="K19" s="12"/>
      <c r="L19" s="12"/>
      <c r="M19" s="12"/>
      <c r="N19" s="12"/>
      <c r="O19" s="12"/>
      <c r="P19" s="12"/>
      <c r="Q19" s="12"/>
    </row>
    <row r="20" spans="1:17" x14ac:dyDescent="0.2">
      <c r="A20" s="99" t="str">
        <f>IF(COUNTBLANK(B20)=1," ",COUNTA($B$13:B20))</f>
        <v xml:space="preserve"> </v>
      </c>
      <c r="B20" s="40"/>
      <c r="C20" s="277" t="s">
        <v>480</v>
      </c>
      <c r="D20" s="38" t="s">
        <v>56</v>
      </c>
      <c r="E20" s="197">
        <f>E18*F20</f>
        <v>39.69</v>
      </c>
      <c r="F20" s="102">
        <v>1.05</v>
      </c>
      <c r="G20" s="12"/>
      <c r="H20" s="12"/>
      <c r="I20" s="77"/>
      <c r="J20" s="12"/>
      <c r="K20" s="12"/>
      <c r="L20" s="12"/>
      <c r="M20" s="12"/>
      <c r="N20" s="12"/>
      <c r="O20" s="12"/>
      <c r="P20" s="12"/>
      <c r="Q20" s="12"/>
    </row>
    <row r="21" spans="1:17" x14ac:dyDescent="0.2">
      <c r="A21" s="99" t="str">
        <f>IF(COUNTBLANK(B21)=1," ",COUNTA($B$13:B21))</f>
        <v xml:space="preserve"> </v>
      </c>
      <c r="B21" s="40"/>
      <c r="C21" s="277" t="s">
        <v>481</v>
      </c>
      <c r="D21" s="38" t="s">
        <v>56</v>
      </c>
      <c r="E21" s="197">
        <f>E18*F21</f>
        <v>39.69</v>
      </c>
      <c r="F21" s="102">
        <v>1.05</v>
      </c>
      <c r="G21" s="12"/>
      <c r="H21" s="12"/>
      <c r="I21" s="77"/>
      <c r="J21" s="12"/>
      <c r="K21" s="12"/>
      <c r="L21" s="12"/>
      <c r="M21" s="12"/>
      <c r="N21" s="12"/>
      <c r="O21" s="12"/>
      <c r="P21" s="12"/>
      <c r="Q21" s="12"/>
    </row>
    <row r="22" spans="1:17" ht="22.5" x14ac:dyDescent="0.2">
      <c r="A22" s="99">
        <f>IF(COUNTBLANK(B22)=1," ",COUNTA($B$13:B22))</f>
        <v>4</v>
      </c>
      <c r="B22" s="114" t="s">
        <v>48</v>
      </c>
      <c r="C22" s="268" t="s">
        <v>482</v>
      </c>
      <c r="D22" s="75" t="s">
        <v>56</v>
      </c>
      <c r="E22" s="196">
        <f>140*0.5</f>
        <v>70</v>
      </c>
      <c r="F22" s="32"/>
      <c r="G22" s="12"/>
      <c r="H22" s="12"/>
      <c r="I22" s="77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99" t="str">
        <f>IF(COUNTBLANK(B23)=1," ",COUNTA($B$13:B23))</f>
        <v xml:space="preserve"> </v>
      </c>
      <c r="B23" s="99"/>
      <c r="C23" s="278" t="s">
        <v>137</v>
      </c>
      <c r="D23" s="103" t="s">
        <v>73</v>
      </c>
      <c r="E23" s="194">
        <f>E22*F23</f>
        <v>77</v>
      </c>
      <c r="F23" s="32">
        <v>1.1000000000000001</v>
      </c>
      <c r="G23" s="12"/>
      <c r="H23" s="12"/>
      <c r="I23" s="77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99" t="str">
        <f>IF(COUNTBLANK(B24)=1," ",COUNTA($B$13:B24))</f>
        <v xml:space="preserve"> </v>
      </c>
      <c r="B24" s="99"/>
      <c r="C24" s="268" t="s">
        <v>216</v>
      </c>
      <c r="D24" s="103" t="s">
        <v>64</v>
      </c>
      <c r="E24" s="194">
        <f>E22*F24</f>
        <v>420</v>
      </c>
      <c r="F24" s="102">
        <v>6</v>
      </c>
      <c r="G24" s="12"/>
      <c r="H24" s="12"/>
      <c r="I24" s="77"/>
      <c r="J24" s="12"/>
      <c r="K24" s="12"/>
      <c r="L24" s="12"/>
      <c r="M24" s="12"/>
      <c r="N24" s="12"/>
      <c r="O24" s="12"/>
      <c r="P24" s="12"/>
      <c r="Q24" s="12"/>
    </row>
    <row r="25" spans="1:17" ht="22.5" x14ac:dyDescent="0.2">
      <c r="A25" s="99">
        <f>IF(COUNTBLANK(B25)=1," ",COUNTA($B$13:B25))</f>
        <v>5</v>
      </c>
      <c r="B25" s="114" t="s">
        <v>48</v>
      </c>
      <c r="C25" s="277" t="s">
        <v>179</v>
      </c>
      <c r="D25" s="74" t="s">
        <v>52</v>
      </c>
      <c r="E25" s="184">
        <v>64</v>
      </c>
      <c r="F25" s="102"/>
      <c r="G25" s="12"/>
      <c r="H25" s="12"/>
      <c r="I25" s="77"/>
      <c r="J25" s="12"/>
      <c r="K25" s="12"/>
      <c r="L25" s="12"/>
      <c r="M25" s="12"/>
      <c r="N25" s="12"/>
      <c r="O25" s="12"/>
      <c r="P25" s="12"/>
      <c r="Q25" s="12"/>
    </row>
    <row r="26" spans="1:17" ht="22.5" x14ac:dyDescent="0.2">
      <c r="A26" s="99">
        <f>IF(COUNTBLANK(B26)=1," ",COUNTA($B$13:B26))</f>
        <v>6</v>
      </c>
      <c r="B26" s="114" t="s">
        <v>48</v>
      </c>
      <c r="C26" s="120" t="s">
        <v>180</v>
      </c>
      <c r="D26" s="74" t="s">
        <v>136</v>
      </c>
      <c r="E26" s="192">
        <v>3</v>
      </c>
      <c r="F26" s="115"/>
      <c r="G26" s="12"/>
      <c r="H26" s="12"/>
      <c r="I26" s="77"/>
      <c r="J26" s="12"/>
      <c r="K26" s="12"/>
      <c r="L26" s="12"/>
      <c r="M26" s="12"/>
      <c r="N26" s="12"/>
      <c r="O26" s="12"/>
      <c r="P26" s="12"/>
      <c r="Q26" s="12"/>
    </row>
    <row r="27" spans="1:17" ht="22.5" x14ac:dyDescent="0.2">
      <c r="A27" s="4"/>
      <c r="B27" s="4"/>
      <c r="C27" s="225" t="s">
        <v>423</v>
      </c>
      <c r="D27" s="4"/>
      <c r="E27" s="163">
        <v>6</v>
      </c>
      <c r="F27" s="4"/>
      <c r="G27" s="4"/>
      <c r="H27" s="4"/>
      <c r="I27" s="4"/>
      <c r="J27" s="4"/>
      <c r="K27" s="4"/>
      <c r="L27" s="83"/>
      <c r="M27" s="83">
        <f>SUM(M13:M26)</f>
        <v>0</v>
      </c>
      <c r="N27" s="83">
        <f>SUM(N13:N26)</f>
        <v>0</v>
      </c>
      <c r="O27" s="83">
        <f>SUM(O13:O26)</f>
        <v>0</v>
      </c>
      <c r="P27" s="83">
        <f>SUM(P13:P26)</f>
        <v>0</v>
      </c>
      <c r="Q27" s="83">
        <f>SUM(Q13:Q26)</f>
        <v>0</v>
      </c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91"/>
  <sheetViews>
    <sheetView view="pageBreakPreview" zoomScaleNormal="70" zoomScaleSheetLayoutView="100" workbookViewId="0">
      <selection activeCell="C85" sqref="C13:C85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f>KPDV!A23</f>
        <v>8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181</v>
      </c>
      <c r="D2" s="2"/>
      <c r="E2" s="162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63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62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62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29"/>
      <c r="D9" s="26"/>
      <c r="E9" s="164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111">
        <f>B12+1</f>
        <v>3</v>
      </c>
      <c r="D12" s="86">
        <f>C12+1</f>
        <v>4</v>
      </c>
      <c r="E12" s="166">
        <f>D12+1</f>
        <v>5</v>
      </c>
      <c r="F12" s="112">
        <v>1</v>
      </c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x14ac:dyDescent="0.2">
      <c r="A13" s="99" t="str">
        <f>IF(COUNTBLANK(B13)=1," ",COUNTA($B$13:B13))</f>
        <v xml:space="preserve"> </v>
      </c>
      <c r="B13" s="99"/>
      <c r="C13" s="285" t="s">
        <v>182</v>
      </c>
      <c r="D13" s="99"/>
      <c r="E13" s="183"/>
      <c r="F13" s="102"/>
      <c r="G13" s="102"/>
      <c r="H13" s="102"/>
      <c r="I13" s="116"/>
      <c r="J13" s="102"/>
      <c r="K13" s="102"/>
      <c r="L13" s="102"/>
      <c r="M13" s="102"/>
      <c r="N13" s="102"/>
      <c r="O13" s="102"/>
      <c r="P13" s="102"/>
      <c r="Q13" s="102"/>
    </row>
    <row r="14" spans="1:17" ht="22.5" x14ac:dyDescent="0.2">
      <c r="A14" s="99">
        <f>IF(COUNTBLANK(B14)=1," ",COUNTA($B$13:B14))</f>
        <v>1</v>
      </c>
      <c r="B14" s="114" t="s">
        <v>48</v>
      </c>
      <c r="C14" s="264" t="s">
        <v>485</v>
      </c>
      <c r="D14" s="74" t="s">
        <v>50</v>
      </c>
      <c r="E14" s="184">
        <f>135-11.5*2</f>
        <v>112</v>
      </c>
      <c r="F14" s="118"/>
      <c r="G14" s="12"/>
      <c r="H14" s="12"/>
      <c r="I14" s="116"/>
      <c r="J14" s="12"/>
      <c r="K14" s="12"/>
      <c r="L14" s="12"/>
      <c r="M14" s="12"/>
      <c r="N14" s="12"/>
      <c r="O14" s="12"/>
      <c r="P14" s="12"/>
      <c r="Q14" s="12"/>
    </row>
    <row r="15" spans="1:17" ht="22.5" x14ac:dyDescent="0.2">
      <c r="A15" s="99">
        <f>IF(COUNTBLANK(B15)=1," ",COUNTA($B$13:B15))</f>
        <v>2</v>
      </c>
      <c r="B15" s="114" t="s">
        <v>48</v>
      </c>
      <c r="C15" s="264" t="s">
        <v>183</v>
      </c>
      <c r="D15" s="74" t="s">
        <v>136</v>
      </c>
      <c r="E15" s="184">
        <f>E14*0.04*0.15</f>
        <v>0.67200000000000004</v>
      </c>
      <c r="F15" s="102"/>
      <c r="G15" s="12"/>
      <c r="H15" s="12"/>
      <c r="I15" s="116"/>
      <c r="J15" s="12"/>
      <c r="K15" s="12"/>
      <c r="L15" s="12"/>
      <c r="M15" s="12"/>
      <c r="N15" s="12"/>
      <c r="O15" s="12"/>
      <c r="P15" s="12"/>
      <c r="Q15" s="12"/>
    </row>
    <row r="16" spans="1:17" x14ac:dyDescent="0.2">
      <c r="A16" s="99" t="str">
        <f>IF(COUNTBLANK(B16)=1," ",COUNTA($B$13:B16))</f>
        <v xml:space="preserve"> </v>
      </c>
      <c r="B16" s="114"/>
      <c r="C16" s="264" t="s">
        <v>184</v>
      </c>
      <c r="D16" s="74" t="s">
        <v>136</v>
      </c>
      <c r="E16" s="183">
        <f>E15*F16</f>
        <v>0.73920000000000008</v>
      </c>
      <c r="F16" s="102">
        <v>1.1000000000000001</v>
      </c>
      <c r="G16" s="12"/>
      <c r="H16" s="12"/>
      <c r="I16" s="116"/>
      <c r="J16" s="12"/>
      <c r="K16" s="12"/>
      <c r="L16" s="12"/>
      <c r="M16" s="12"/>
      <c r="N16" s="12"/>
      <c r="O16" s="12"/>
      <c r="P16" s="12"/>
      <c r="Q16" s="12"/>
    </row>
    <row r="17" spans="1:17" ht="22.5" x14ac:dyDescent="0.2">
      <c r="A17" s="99" t="str">
        <f>IF(COUNTBLANK(B17)=1," ",COUNTA($B$13:B17))</f>
        <v xml:space="preserve"> </v>
      </c>
      <c r="B17" s="99"/>
      <c r="C17" s="264" t="s">
        <v>484</v>
      </c>
      <c r="D17" s="74" t="s">
        <v>52</v>
      </c>
      <c r="E17" s="183">
        <f>E14/0.5*2</f>
        <v>448</v>
      </c>
      <c r="F17" s="102">
        <v>331.03447999999997</v>
      </c>
      <c r="G17" s="12"/>
      <c r="H17" s="12"/>
      <c r="I17" s="116"/>
      <c r="J17" s="12"/>
      <c r="K17" s="12"/>
      <c r="L17" s="12"/>
      <c r="M17" s="12"/>
      <c r="N17" s="12"/>
      <c r="O17" s="12"/>
      <c r="P17" s="12"/>
      <c r="Q17" s="12"/>
    </row>
    <row r="18" spans="1:17" ht="22.5" x14ac:dyDescent="0.2">
      <c r="A18" s="99">
        <f>IF(COUNTBLANK(B18)=1," ",COUNTA($B$13:B18))</f>
        <v>3</v>
      </c>
      <c r="B18" s="114" t="s">
        <v>48</v>
      </c>
      <c r="C18" s="264" t="s">
        <v>185</v>
      </c>
      <c r="D18" s="74" t="s">
        <v>56</v>
      </c>
      <c r="E18" s="184">
        <f>E14*0.3</f>
        <v>33.6</v>
      </c>
      <c r="F18" s="102"/>
      <c r="G18" s="12"/>
      <c r="H18" s="12"/>
      <c r="I18" s="116"/>
      <c r="J18" s="12"/>
      <c r="K18" s="12"/>
      <c r="L18" s="12"/>
      <c r="M18" s="12"/>
      <c r="N18" s="12"/>
      <c r="O18" s="12"/>
      <c r="P18" s="12"/>
      <c r="Q18" s="12"/>
    </row>
    <row r="19" spans="1:17" ht="22.5" x14ac:dyDescent="0.2">
      <c r="A19" s="99">
        <f>IF(COUNTBLANK(B19)=1," ",COUNTA($B$13:B19))</f>
        <v>4</v>
      </c>
      <c r="B19" s="114" t="s">
        <v>48</v>
      </c>
      <c r="C19" s="264" t="s">
        <v>483</v>
      </c>
      <c r="D19" s="74" t="s">
        <v>136</v>
      </c>
      <c r="E19" s="185">
        <f>0.02*0.1*E14</f>
        <v>0.224</v>
      </c>
      <c r="F19" s="12"/>
      <c r="G19" s="12"/>
      <c r="H19" s="12"/>
      <c r="I19" s="116"/>
      <c r="J19" s="12"/>
      <c r="K19" s="12"/>
      <c r="L19" s="12"/>
      <c r="M19" s="12"/>
      <c r="N19" s="12"/>
      <c r="O19" s="12"/>
      <c r="P19" s="12"/>
      <c r="Q19" s="12"/>
    </row>
    <row r="20" spans="1:17" x14ac:dyDescent="0.2">
      <c r="A20" s="99" t="str">
        <f>IF(COUNTBLANK(B20)=1," ",COUNTA($B$13:B20))</f>
        <v xml:space="preserve"> </v>
      </c>
      <c r="B20" s="74"/>
      <c r="C20" s="264" t="s">
        <v>157</v>
      </c>
      <c r="D20" s="74" t="s">
        <v>84</v>
      </c>
      <c r="E20" s="183">
        <f>E19*F20</f>
        <v>0.23520000000000002</v>
      </c>
      <c r="F20" s="12">
        <v>1.05</v>
      </c>
      <c r="G20" s="12"/>
      <c r="H20" s="12"/>
      <c r="I20" s="116"/>
      <c r="J20" s="12"/>
      <c r="K20" s="12"/>
      <c r="L20" s="12"/>
      <c r="M20" s="12"/>
      <c r="N20" s="12"/>
      <c r="O20" s="12"/>
      <c r="P20" s="12"/>
      <c r="Q20" s="12"/>
    </row>
    <row r="21" spans="1:17" ht="22.5" x14ac:dyDescent="0.2">
      <c r="A21" s="99">
        <f>IF(COUNTBLANK(B21)=1," ",COUNTA($B$13:B21))</f>
        <v>5</v>
      </c>
      <c r="B21" s="114" t="s">
        <v>48</v>
      </c>
      <c r="C21" s="264" t="s">
        <v>186</v>
      </c>
      <c r="D21" s="74" t="s">
        <v>56</v>
      </c>
      <c r="E21" s="184">
        <f>E14*0.5</f>
        <v>56</v>
      </c>
      <c r="F21" s="102"/>
      <c r="G21" s="12"/>
      <c r="H21" s="12"/>
      <c r="I21" s="116"/>
      <c r="J21" s="12"/>
      <c r="K21" s="12"/>
      <c r="L21" s="12"/>
      <c r="M21" s="12"/>
      <c r="N21" s="12"/>
      <c r="O21" s="12"/>
      <c r="P21" s="12"/>
      <c r="Q21" s="12"/>
    </row>
    <row r="22" spans="1:17" x14ac:dyDescent="0.2">
      <c r="A22" s="99" t="str">
        <f>IF(COUNTBLANK(B22)=1," ",COUNTA($B$13:B22))</f>
        <v xml:space="preserve"> </v>
      </c>
      <c r="B22" s="114"/>
      <c r="C22" s="264" t="s">
        <v>187</v>
      </c>
      <c r="D22" s="74" t="s">
        <v>56</v>
      </c>
      <c r="E22" s="183">
        <f>E21*F22</f>
        <v>58.800000000000004</v>
      </c>
      <c r="F22" s="102">
        <v>1.05</v>
      </c>
      <c r="G22" s="12"/>
      <c r="H22" s="12"/>
      <c r="I22" s="116"/>
      <c r="J22" s="12"/>
      <c r="K22" s="12"/>
      <c r="L22" s="12"/>
      <c r="M22" s="12"/>
      <c r="N22" s="12"/>
      <c r="O22" s="12"/>
      <c r="P22" s="12"/>
      <c r="Q22" s="12"/>
    </row>
    <row r="23" spans="1:17" ht="22.5" x14ac:dyDescent="0.2">
      <c r="A23" s="99" t="str">
        <f>IF(COUNTBLANK(B23)=1," ",COUNTA($B$13:B23))</f>
        <v xml:space="preserve"> </v>
      </c>
      <c r="B23" s="99"/>
      <c r="C23" s="264" t="s">
        <v>188</v>
      </c>
      <c r="D23" s="74" t="s">
        <v>64</v>
      </c>
      <c r="E23" s="183">
        <f>E21*F23</f>
        <v>90.649999999999991</v>
      </c>
      <c r="F23" s="102">
        <v>1.6187499999999999</v>
      </c>
      <c r="G23" s="12"/>
      <c r="H23" s="12"/>
      <c r="I23" s="116"/>
      <c r="J23" s="12"/>
      <c r="K23" s="12"/>
      <c r="L23" s="12"/>
      <c r="M23" s="12"/>
      <c r="N23" s="12"/>
      <c r="O23" s="12"/>
      <c r="P23" s="12"/>
      <c r="Q23" s="12"/>
    </row>
    <row r="24" spans="1:17" ht="22.5" x14ac:dyDescent="0.2">
      <c r="A24" s="99" t="str">
        <f>IF(COUNTBLANK(B24)=1," ",COUNTA($B$13:B24))</f>
        <v xml:space="preserve"> </v>
      </c>
      <c r="B24" s="99"/>
      <c r="C24" s="264" t="s">
        <v>189</v>
      </c>
      <c r="D24" s="74" t="s">
        <v>52</v>
      </c>
      <c r="E24" s="183">
        <f>E21*F24</f>
        <v>448</v>
      </c>
      <c r="F24" s="102">
        <v>8</v>
      </c>
      <c r="G24" s="12"/>
      <c r="H24" s="12"/>
      <c r="I24" s="116"/>
      <c r="J24" s="12"/>
      <c r="K24" s="12"/>
      <c r="L24" s="12"/>
      <c r="M24" s="12"/>
      <c r="N24" s="12"/>
      <c r="O24" s="12"/>
      <c r="P24" s="12"/>
      <c r="Q24" s="12"/>
    </row>
    <row r="25" spans="1:17" ht="22.5" x14ac:dyDescent="0.2">
      <c r="A25" s="99">
        <f>IF(COUNTBLANK(B25)=1," ",COUNTA($B$13:B25))</f>
        <v>6</v>
      </c>
      <c r="B25" s="114" t="s">
        <v>48</v>
      </c>
      <c r="C25" s="264" t="s">
        <v>493</v>
      </c>
      <c r="D25" s="74" t="s">
        <v>50</v>
      </c>
      <c r="E25" s="184">
        <f>E14</f>
        <v>112</v>
      </c>
      <c r="F25" s="102"/>
      <c r="G25" s="12"/>
      <c r="H25" s="12"/>
      <c r="I25" s="116"/>
      <c r="J25" s="12"/>
      <c r="K25" s="12"/>
      <c r="L25" s="12"/>
      <c r="M25" s="12"/>
      <c r="N25" s="12"/>
      <c r="O25" s="12"/>
      <c r="P25" s="12"/>
      <c r="Q25" s="12"/>
    </row>
    <row r="26" spans="1:17" ht="21" x14ac:dyDescent="0.2">
      <c r="A26" s="99" t="str">
        <f>IF(COUNTBLANK(B26)=1," ",COUNTA($B$13:B26))</f>
        <v xml:space="preserve"> </v>
      </c>
      <c r="B26" s="114"/>
      <c r="C26" s="285" t="s">
        <v>190</v>
      </c>
      <c r="D26" s="74"/>
      <c r="E26" s="186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7" ht="22.5" x14ac:dyDescent="0.2">
      <c r="A27" s="99">
        <f>IF(COUNTBLANK(B27)=1," ",COUNTA($B$13:B27))</f>
        <v>7</v>
      </c>
      <c r="B27" s="114" t="s">
        <v>48</v>
      </c>
      <c r="C27" s="264" t="s">
        <v>191</v>
      </c>
      <c r="D27" s="74" t="s">
        <v>50</v>
      </c>
      <c r="E27" s="184">
        <v>6</v>
      </c>
      <c r="F27" s="102"/>
      <c r="G27" s="12"/>
      <c r="H27" s="12"/>
      <c r="I27" s="116"/>
      <c r="J27" s="12"/>
      <c r="K27" s="12"/>
      <c r="L27" s="12"/>
      <c r="M27" s="12"/>
      <c r="N27" s="12"/>
      <c r="O27" s="12"/>
      <c r="P27" s="12"/>
      <c r="Q27" s="12"/>
    </row>
    <row r="28" spans="1:17" ht="22.5" x14ac:dyDescent="0.2">
      <c r="A28" s="99" t="str">
        <f>IF(COUNTBLANK(B28)=1," ",COUNTA($B$13:B28))</f>
        <v xml:space="preserve"> </v>
      </c>
      <c r="B28" s="99"/>
      <c r="C28" s="264" t="s">
        <v>192</v>
      </c>
      <c r="D28" s="74" t="s">
        <v>136</v>
      </c>
      <c r="E28" s="186">
        <f>E27*0.04*0.72</f>
        <v>0.17279999999999998</v>
      </c>
      <c r="F28" s="102"/>
      <c r="G28" s="12"/>
      <c r="H28" s="12"/>
      <c r="I28" s="116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99" t="str">
        <f>IF(COUNTBLANK(B29)=1," ",COUNTA($B$13:B29))</f>
        <v xml:space="preserve"> </v>
      </c>
      <c r="B29" s="74"/>
      <c r="C29" s="264" t="s">
        <v>157</v>
      </c>
      <c r="D29" s="74" t="s">
        <v>84</v>
      </c>
      <c r="E29" s="183">
        <f>E28*1.05</f>
        <v>0.18143999999999999</v>
      </c>
      <c r="F29" s="12">
        <v>1.05</v>
      </c>
      <c r="G29" s="12"/>
      <c r="H29" s="12"/>
      <c r="I29" s="116"/>
      <c r="J29" s="12"/>
      <c r="K29" s="12"/>
      <c r="L29" s="12"/>
      <c r="M29" s="12"/>
      <c r="N29" s="12"/>
      <c r="O29" s="12"/>
      <c r="P29" s="12"/>
      <c r="Q29" s="12"/>
    </row>
    <row r="30" spans="1:17" ht="33.75" x14ac:dyDescent="0.2">
      <c r="A30" s="99">
        <f>IF(COUNTBLANK(B30)=1," ",COUNTA($B$13:B30))</f>
        <v>8</v>
      </c>
      <c r="B30" s="114" t="s">
        <v>48</v>
      </c>
      <c r="C30" s="264" t="s">
        <v>486</v>
      </c>
      <c r="D30" s="74" t="s">
        <v>56</v>
      </c>
      <c r="E30" s="184">
        <f>E27*0.3</f>
        <v>1.7999999999999998</v>
      </c>
      <c r="F30" s="102"/>
      <c r="G30" s="12"/>
      <c r="H30" s="12"/>
      <c r="I30" s="116"/>
      <c r="J30" s="12"/>
      <c r="K30" s="12"/>
      <c r="L30" s="12"/>
      <c r="M30" s="12"/>
      <c r="N30" s="12"/>
      <c r="O30" s="12"/>
      <c r="P30" s="12"/>
      <c r="Q30" s="12"/>
    </row>
    <row r="31" spans="1:17" ht="22.5" x14ac:dyDescent="0.2">
      <c r="A31" s="99">
        <f>IF(COUNTBLANK(B31)=1," ",COUNTA($B$13:B31))</f>
        <v>9</v>
      </c>
      <c r="B31" s="114" t="s">
        <v>48</v>
      </c>
      <c r="C31" s="264" t="s">
        <v>193</v>
      </c>
      <c r="D31" s="74" t="s">
        <v>56</v>
      </c>
      <c r="E31" s="184">
        <f>E27*1</f>
        <v>6</v>
      </c>
      <c r="F31" s="102"/>
      <c r="G31" s="12"/>
      <c r="H31" s="12"/>
      <c r="I31" s="116"/>
      <c r="J31" s="12"/>
      <c r="K31" s="12"/>
      <c r="L31" s="12"/>
      <c r="M31" s="12"/>
      <c r="N31" s="12"/>
      <c r="O31" s="12"/>
      <c r="P31" s="12"/>
      <c r="Q31" s="12"/>
    </row>
    <row r="32" spans="1:17" x14ac:dyDescent="0.2">
      <c r="A32" s="99" t="str">
        <f>IF(COUNTBLANK(B32)=1," ",COUNTA($B$13:B32))</f>
        <v xml:space="preserve"> </v>
      </c>
      <c r="B32" s="114"/>
      <c r="C32" s="264" t="s">
        <v>187</v>
      </c>
      <c r="D32" s="74" t="s">
        <v>56</v>
      </c>
      <c r="E32" s="183">
        <f>E31*F32</f>
        <v>6.3000000000000007</v>
      </c>
      <c r="F32" s="102">
        <v>1.05</v>
      </c>
      <c r="G32" s="12"/>
      <c r="H32" s="12"/>
      <c r="I32" s="116"/>
      <c r="J32" s="12"/>
      <c r="K32" s="12"/>
      <c r="L32" s="12"/>
      <c r="M32" s="12"/>
      <c r="N32" s="12"/>
      <c r="O32" s="12"/>
      <c r="P32" s="12"/>
      <c r="Q32" s="12"/>
    </row>
    <row r="33" spans="1:17" ht="22.5" x14ac:dyDescent="0.2">
      <c r="A33" s="99" t="str">
        <f>IF(COUNTBLANK(B33)=1," ",COUNTA($B$13:B33))</f>
        <v xml:space="preserve"> </v>
      </c>
      <c r="B33" s="99"/>
      <c r="C33" s="264" t="s">
        <v>194</v>
      </c>
      <c r="D33" s="74" t="s">
        <v>52</v>
      </c>
      <c r="E33" s="183">
        <f>E27/0.5*3</f>
        <v>36</v>
      </c>
      <c r="F33" s="102">
        <v>1.91</v>
      </c>
      <c r="G33" s="12"/>
      <c r="H33" s="12"/>
      <c r="I33" s="116"/>
      <c r="J33" s="12"/>
      <c r="K33" s="12"/>
      <c r="L33" s="12"/>
      <c r="M33" s="12"/>
      <c r="N33" s="12"/>
      <c r="O33" s="12"/>
      <c r="P33" s="12"/>
      <c r="Q33" s="12"/>
    </row>
    <row r="34" spans="1:17" ht="22.5" x14ac:dyDescent="0.2">
      <c r="A34" s="99" t="str">
        <f>IF(COUNTBLANK(B34)=1," ",COUNTA($B$13:B34))</f>
        <v xml:space="preserve"> </v>
      </c>
      <c r="B34" s="99"/>
      <c r="C34" s="264" t="s">
        <v>195</v>
      </c>
      <c r="D34" s="74" t="s">
        <v>52</v>
      </c>
      <c r="E34" s="183">
        <f>E33</f>
        <v>36</v>
      </c>
      <c r="F34" s="102">
        <v>4</v>
      </c>
      <c r="G34" s="12"/>
      <c r="H34" s="12"/>
      <c r="I34" s="116"/>
      <c r="J34" s="12"/>
      <c r="K34" s="12"/>
      <c r="L34" s="12"/>
      <c r="M34" s="12"/>
      <c r="N34" s="12"/>
      <c r="O34" s="12"/>
      <c r="P34" s="12"/>
      <c r="Q34" s="12"/>
    </row>
    <row r="35" spans="1:17" ht="22.5" x14ac:dyDescent="0.2">
      <c r="A35" s="99">
        <f>IF(COUNTBLANK(B35)=1," ",COUNTA($B$13:B35))</f>
        <v>10</v>
      </c>
      <c r="B35" s="114" t="s">
        <v>48</v>
      </c>
      <c r="C35" s="264" t="s">
        <v>492</v>
      </c>
      <c r="D35" s="74" t="s">
        <v>50</v>
      </c>
      <c r="E35" s="184">
        <f>E27</f>
        <v>6</v>
      </c>
      <c r="F35" s="102"/>
      <c r="G35" s="12"/>
      <c r="H35" s="12"/>
      <c r="I35" s="116"/>
      <c r="J35" s="12"/>
      <c r="K35" s="12"/>
      <c r="L35" s="12"/>
      <c r="M35" s="12"/>
      <c r="N35" s="12"/>
      <c r="O35" s="12"/>
      <c r="P35" s="12"/>
      <c r="Q35" s="12"/>
    </row>
    <row r="36" spans="1:17" x14ac:dyDescent="0.2">
      <c r="A36" s="99" t="str">
        <f>IF(COUNTBLANK(B36)=1," ",COUNTA($B$13:B36))</f>
        <v xml:space="preserve"> </v>
      </c>
      <c r="B36" s="114"/>
      <c r="C36" s="285" t="s">
        <v>196</v>
      </c>
      <c r="D36" s="74"/>
      <c r="E36" s="18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1:17" ht="22.5" x14ac:dyDescent="0.2">
      <c r="A37" s="99">
        <f>IF(COUNTBLANK(B37)=1," ",COUNTA($B$13:B37))</f>
        <v>11</v>
      </c>
      <c r="B37" s="114" t="s">
        <v>48</v>
      </c>
      <c r="C37" s="264" t="s">
        <v>197</v>
      </c>
      <c r="D37" s="74" t="s">
        <v>56</v>
      </c>
      <c r="E37" s="184">
        <f>25*3</f>
        <v>75</v>
      </c>
      <c r="F37" s="102"/>
      <c r="G37" s="12"/>
      <c r="H37" s="12"/>
      <c r="I37" s="116"/>
      <c r="J37" s="12"/>
      <c r="K37" s="12"/>
      <c r="L37" s="12"/>
      <c r="M37" s="12"/>
      <c r="N37" s="12"/>
      <c r="O37" s="12"/>
      <c r="P37" s="12"/>
      <c r="Q37" s="12"/>
    </row>
    <row r="38" spans="1:17" ht="22.5" x14ac:dyDescent="0.2">
      <c r="A38" s="99">
        <f>IF(COUNTBLANK(B38)=1," ",COUNTA($B$13:B38))</f>
        <v>12</v>
      </c>
      <c r="B38" s="114" t="s">
        <v>48</v>
      </c>
      <c r="C38" s="264" t="s">
        <v>198</v>
      </c>
      <c r="D38" s="74" t="s">
        <v>50</v>
      </c>
      <c r="E38" s="184">
        <v>105</v>
      </c>
      <c r="F38" s="102"/>
      <c r="G38" s="12"/>
      <c r="H38" s="12"/>
      <c r="I38" s="116"/>
      <c r="J38" s="12"/>
      <c r="K38" s="12"/>
      <c r="L38" s="12"/>
      <c r="M38" s="12"/>
      <c r="N38" s="12"/>
      <c r="O38" s="12"/>
      <c r="P38" s="12"/>
      <c r="Q38" s="12"/>
    </row>
    <row r="39" spans="1:17" ht="21" x14ac:dyDescent="0.2">
      <c r="A39" s="99" t="str">
        <f>IF(COUNTBLANK(B39)=1," ",COUNTA($B$13:B39))</f>
        <v xml:space="preserve"> </v>
      </c>
      <c r="B39" s="114"/>
      <c r="C39" s="285" t="s">
        <v>199</v>
      </c>
      <c r="D39" s="74"/>
      <c r="E39" s="186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17" ht="22.5" x14ac:dyDescent="0.2">
      <c r="A40" s="99">
        <f>IF(COUNTBLANK(B40)=1," ",COUNTA($B$13:B40))</f>
        <v>13</v>
      </c>
      <c r="B40" s="114" t="s">
        <v>48</v>
      </c>
      <c r="C40" s="264" t="s">
        <v>200</v>
      </c>
      <c r="D40" s="74" t="s">
        <v>56</v>
      </c>
      <c r="E40" s="184">
        <v>60</v>
      </c>
      <c r="F40" s="102"/>
      <c r="G40" s="12"/>
      <c r="H40" s="12"/>
      <c r="I40" s="116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99" t="str">
        <f>IF(COUNTBLANK(B41)=1," ",COUNTA($B$13:B41))</f>
        <v xml:space="preserve"> </v>
      </c>
      <c r="B41" s="99"/>
      <c r="C41" s="266" t="s">
        <v>201</v>
      </c>
      <c r="D41" s="74"/>
      <c r="E41" s="186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ht="22.5" x14ac:dyDescent="0.2">
      <c r="A42" s="99">
        <f>IF(COUNTBLANK(B42)=1," ",COUNTA($B$13:B42))</f>
        <v>14</v>
      </c>
      <c r="B42" s="114" t="s">
        <v>48</v>
      </c>
      <c r="C42" s="264" t="s">
        <v>487</v>
      </c>
      <c r="D42" s="74" t="s">
        <v>56</v>
      </c>
      <c r="E42" s="184">
        <v>40</v>
      </c>
      <c r="F42" s="102"/>
      <c r="G42" s="12"/>
      <c r="H42" s="12"/>
      <c r="I42" s="116"/>
      <c r="J42" s="12"/>
      <c r="K42" s="12"/>
      <c r="L42" s="12"/>
      <c r="M42" s="12"/>
      <c r="N42" s="12"/>
      <c r="O42" s="12"/>
      <c r="P42" s="12"/>
      <c r="Q42" s="12"/>
    </row>
    <row r="43" spans="1:17" ht="22.5" x14ac:dyDescent="0.2">
      <c r="A43" s="99">
        <f>IF(COUNTBLANK(B43)=1," ",COUNTA($B$13:B43))</f>
        <v>15</v>
      </c>
      <c r="B43" s="114" t="s">
        <v>48</v>
      </c>
      <c r="C43" s="264" t="s">
        <v>488</v>
      </c>
      <c r="D43" s="74" t="s">
        <v>56</v>
      </c>
      <c r="E43" s="184">
        <v>53</v>
      </c>
      <c r="F43" s="113"/>
      <c r="G43" s="12"/>
      <c r="H43" s="12"/>
      <c r="I43" s="116"/>
      <c r="J43" s="12"/>
      <c r="K43" s="12"/>
      <c r="L43" s="12"/>
      <c r="M43" s="12"/>
      <c r="N43" s="12"/>
      <c r="O43" s="12"/>
      <c r="P43" s="12"/>
      <c r="Q43" s="12"/>
    </row>
    <row r="44" spans="1:17" ht="22.5" x14ac:dyDescent="0.2">
      <c r="A44" s="99">
        <f>IF(COUNTBLANK(B44)=1," ",COUNTA($B$13:B44))</f>
        <v>16</v>
      </c>
      <c r="B44" s="114" t="s">
        <v>48</v>
      </c>
      <c r="C44" s="264" t="s">
        <v>489</v>
      </c>
      <c r="D44" s="74" t="s">
        <v>56</v>
      </c>
      <c r="E44" s="184">
        <v>53</v>
      </c>
      <c r="F44" s="119"/>
      <c r="G44" s="12"/>
      <c r="H44" s="12"/>
      <c r="I44" s="116"/>
      <c r="J44" s="12"/>
      <c r="K44" s="12"/>
      <c r="L44" s="12"/>
      <c r="M44" s="12"/>
      <c r="N44" s="12"/>
      <c r="O44" s="12"/>
      <c r="P44" s="12"/>
      <c r="Q44" s="12"/>
    </row>
    <row r="45" spans="1:17" ht="45" x14ac:dyDescent="0.2">
      <c r="A45" s="99">
        <f>IF(COUNTBLANK(B45)=1," ",COUNTA($B$13:B45))</f>
        <v>17</v>
      </c>
      <c r="B45" s="114" t="s">
        <v>48</v>
      </c>
      <c r="C45" s="264" t="s">
        <v>494</v>
      </c>
      <c r="D45" s="74" t="s">
        <v>56</v>
      </c>
      <c r="E45" s="184">
        <v>5</v>
      </c>
      <c r="F45" s="102"/>
      <c r="G45" s="12"/>
      <c r="H45" s="12"/>
      <c r="I45" s="116"/>
      <c r="J45" s="12"/>
      <c r="K45" s="12"/>
      <c r="L45" s="12"/>
      <c r="M45" s="12"/>
      <c r="N45" s="12"/>
      <c r="O45" s="12"/>
      <c r="P45" s="12"/>
      <c r="Q45" s="12"/>
    </row>
    <row r="46" spans="1:17" ht="22.5" x14ac:dyDescent="0.2">
      <c r="A46" s="99">
        <f>IF(COUNTBLANK(B46)=1," ",COUNTA($B$13:B46))</f>
        <v>18</v>
      </c>
      <c r="B46" s="114" t="s">
        <v>48</v>
      </c>
      <c r="C46" s="264" t="s">
        <v>495</v>
      </c>
      <c r="D46" s="74" t="s">
        <v>56</v>
      </c>
      <c r="E46" s="184">
        <f>E45</f>
        <v>5</v>
      </c>
      <c r="F46" s="102"/>
      <c r="G46" s="12"/>
      <c r="H46" s="12"/>
      <c r="I46" s="116"/>
      <c r="J46" s="12"/>
      <c r="K46" s="12"/>
      <c r="L46" s="12"/>
      <c r="M46" s="12"/>
      <c r="N46" s="12"/>
      <c r="O46" s="12"/>
      <c r="P46" s="12"/>
      <c r="Q46" s="12"/>
    </row>
    <row r="47" spans="1:17" ht="22.5" x14ac:dyDescent="0.2">
      <c r="A47" s="99">
        <f>IF(COUNTBLANK(B47)=1," ",COUNTA($B$13:B47))</f>
        <v>19</v>
      </c>
      <c r="B47" s="114" t="s">
        <v>48</v>
      </c>
      <c r="C47" s="264" t="s">
        <v>202</v>
      </c>
      <c r="D47" s="74" t="s">
        <v>56</v>
      </c>
      <c r="E47" s="184">
        <f>E46</f>
        <v>5</v>
      </c>
      <c r="F47" s="102"/>
      <c r="G47" s="12"/>
      <c r="H47" s="12"/>
      <c r="I47" s="116"/>
      <c r="J47" s="12"/>
      <c r="K47" s="12"/>
      <c r="L47" s="12"/>
      <c r="M47" s="12"/>
      <c r="N47" s="12"/>
      <c r="O47" s="12"/>
      <c r="P47" s="12"/>
      <c r="Q47" s="12"/>
    </row>
    <row r="48" spans="1:17" x14ac:dyDescent="0.2">
      <c r="A48" s="99" t="str">
        <f>IF(COUNTBLANK(B48)=1," ",COUNTA($B$13:B48))</f>
        <v xml:space="preserve"> </v>
      </c>
      <c r="B48" s="99"/>
      <c r="C48" s="266" t="s">
        <v>496</v>
      </c>
      <c r="D48" s="74"/>
      <c r="E48" s="18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49" spans="1:17" ht="22.5" x14ac:dyDescent="0.2">
      <c r="A49" s="99">
        <f>IF(COUNTBLANK(B49)=1," ",COUNTA($B$13:B49))</f>
        <v>20</v>
      </c>
      <c r="B49" s="114" t="s">
        <v>48</v>
      </c>
      <c r="C49" s="286" t="s">
        <v>540</v>
      </c>
      <c r="D49" s="74" t="s">
        <v>50</v>
      </c>
      <c r="E49" s="184">
        <v>35</v>
      </c>
      <c r="F49" s="102"/>
      <c r="G49" s="12"/>
      <c r="H49" s="12"/>
      <c r="I49" s="116"/>
      <c r="J49" s="12"/>
      <c r="K49" s="12"/>
      <c r="L49" s="12"/>
      <c r="M49" s="12"/>
      <c r="N49" s="12"/>
      <c r="O49" s="12"/>
      <c r="P49" s="12"/>
      <c r="Q49" s="12"/>
    </row>
    <row r="50" spans="1:17" ht="22.5" x14ac:dyDescent="0.2">
      <c r="A50" s="99">
        <f>IF(COUNTBLANK(B50)=1," ",COUNTA($B$13:B50))</f>
        <v>21</v>
      </c>
      <c r="B50" s="114" t="s">
        <v>48</v>
      </c>
      <c r="C50" s="264" t="s">
        <v>490</v>
      </c>
      <c r="D50" s="74" t="s">
        <v>50</v>
      </c>
      <c r="E50" s="184">
        <f>E49</f>
        <v>35</v>
      </c>
      <c r="F50" s="102"/>
      <c r="G50" s="12"/>
      <c r="H50" s="12"/>
      <c r="I50" s="116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99" t="str">
        <f>IF(COUNTBLANK(B51)=1," ",COUNTA($B$13:B51))</f>
        <v xml:space="preserve"> </v>
      </c>
      <c r="B51" s="99"/>
      <c r="C51" s="266" t="s">
        <v>203</v>
      </c>
      <c r="D51" s="74"/>
      <c r="E51" s="186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1:17" ht="22.5" x14ac:dyDescent="0.2">
      <c r="A52" s="99">
        <f>IF(COUNTBLANK(B52)=1," ",COUNTA($B$13:B52))</f>
        <v>22</v>
      </c>
      <c r="B52" s="114" t="s">
        <v>48</v>
      </c>
      <c r="C52" s="264" t="s">
        <v>491</v>
      </c>
      <c r="D52" s="74" t="s">
        <v>50</v>
      </c>
      <c r="E52" s="186">
        <f>126*2</f>
        <v>252</v>
      </c>
      <c r="F52" s="102"/>
      <c r="G52" s="12"/>
      <c r="H52" s="12"/>
      <c r="I52" s="116"/>
      <c r="J52" s="12"/>
      <c r="K52" s="12"/>
      <c r="L52" s="12"/>
      <c r="M52" s="12"/>
      <c r="N52" s="12"/>
      <c r="O52" s="12"/>
      <c r="P52" s="12"/>
      <c r="Q52" s="12"/>
    </row>
    <row r="53" spans="1:17" ht="22.5" x14ac:dyDescent="0.2">
      <c r="A53" s="99">
        <f>IF(COUNTBLANK(B53)=1," ",COUNTA($B$13:B53))</f>
        <v>23</v>
      </c>
      <c r="B53" s="114" t="s">
        <v>48</v>
      </c>
      <c r="C53" s="264" t="s">
        <v>497</v>
      </c>
      <c r="D53" s="74" t="s">
        <v>56</v>
      </c>
      <c r="E53" s="186">
        <f>565*1.3-60</f>
        <v>674.5</v>
      </c>
      <c r="F53" s="102"/>
      <c r="G53" s="12"/>
      <c r="H53" s="12"/>
      <c r="I53" s="116"/>
      <c r="J53" s="12"/>
      <c r="K53" s="12"/>
      <c r="L53" s="12"/>
      <c r="M53" s="12"/>
      <c r="N53" s="12"/>
      <c r="O53" s="12"/>
      <c r="P53" s="12"/>
      <c r="Q53" s="12"/>
    </row>
    <row r="54" spans="1:17" ht="22.5" x14ac:dyDescent="0.2">
      <c r="A54" s="99">
        <f>IF(COUNTBLANK(B54)=1," ",COUNTA($B$13:B54))</f>
        <v>24</v>
      </c>
      <c r="B54" s="114" t="s">
        <v>48</v>
      </c>
      <c r="C54" s="264" t="s">
        <v>498</v>
      </c>
      <c r="D54" s="74" t="s">
        <v>56</v>
      </c>
      <c r="E54" s="186">
        <f>E53</f>
        <v>674.5</v>
      </c>
      <c r="F54" s="102"/>
      <c r="G54" s="12"/>
      <c r="H54" s="12"/>
      <c r="I54" s="116"/>
      <c r="J54" s="12"/>
      <c r="K54" s="12"/>
      <c r="L54" s="12"/>
      <c r="M54" s="12"/>
      <c r="N54" s="12"/>
      <c r="O54" s="12"/>
      <c r="P54" s="12"/>
      <c r="Q54" s="12"/>
    </row>
    <row r="55" spans="1:17" ht="22.5" x14ac:dyDescent="0.2">
      <c r="A55" s="99">
        <f>IF(COUNTBLANK(B55)=1," ",COUNTA($B$13:B55))</f>
        <v>25</v>
      </c>
      <c r="B55" s="114" t="s">
        <v>48</v>
      </c>
      <c r="C55" s="264" t="s">
        <v>499</v>
      </c>
      <c r="D55" s="74" t="s">
        <v>56</v>
      </c>
      <c r="E55" s="186">
        <f>E54</f>
        <v>674.5</v>
      </c>
      <c r="F55" s="102"/>
      <c r="G55" s="12"/>
      <c r="H55" s="12"/>
      <c r="I55" s="116"/>
      <c r="J55" s="12"/>
      <c r="K55" s="12"/>
      <c r="L55" s="12"/>
      <c r="M55" s="12"/>
      <c r="N55" s="12"/>
      <c r="O55" s="12"/>
      <c r="P55" s="12"/>
      <c r="Q55" s="12"/>
    </row>
    <row r="56" spans="1:17" ht="22.5" x14ac:dyDescent="0.2">
      <c r="A56" s="99">
        <f>IF(COUNTBLANK(B56)=1," ",COUNTA($B$13:B56))</f>
        <v>26</v>
      </c>
      <c r="B56" s="114" t="s">
        <v>48</v>
      </c>
      <c r="C56" s="264" t="s">
        <v>498</v>
      </c>
      <c r="D56" s="74" t="s">
        <v>56</v>
      </c>
      <c r="E56" s="186">
        <f>E55</f>
        <v>674.5</v>
      </c>
      <c r="F56" s="102"/>
      <c r="G56" s="12"/>
      <c r="H56" s="12"/>
      <c r="I56" s="116"/>
      <c r="J56" s="12"/>
      <c r="K56" s="12"/>
      <c r="L56" s="12"/>
      <c r="M56" s="12"/>
      <c r="N56" s="12"/>
      <c r="O56" s="12"/>
      <c r="P56" s="12"/>
      <c r="Q56" s="12"/>
    </row>
    <row r="57" spans="1:17" ht="22.5" x14ac:dyDescent="0.2">
      <c r="A57" s="99">
        <f>IF(COUNTBLANK(B57)=1," ",COUNTA($B$13:B57))</f>
        <v>27</v>
      </c>
      <c r="B57" s="114" t="s">
        <v>48</v>
      </c>
      <c r="C57" s="264" t="s">
        <v>500</v>
      </c>
      <c r="D57" s="74" t="s">
        <v>56</v>
      </c>
      <c r="E57" s="186">
        <f>E56</f>
        <v>674.5</v>
      </c>
      <c r="F57" s="113"/>
      <c r="G57" s="12"/>
      <c r="H57" s="12"/>
      <c r="I57" s="116"/>
      <c r="J57" s="12"/>
      <c r="K57" s="12"/>
      <c r="L57" s="12"/>
      <c r="M57" s="12"/>
      <c r="N57" s="12"/>
      <c r="O57" s="12"/>
      <c r="P57" s="12"/>
      <c r="Q57" s="12"/>
    </row>
    <row r="58" spans="1:17" ht="22.5" x14ac:dyDescent="0.2">
      <c r="A58" s="99" t="str">
        <f>IF(COUNTBLANK(B58)=1," ",COUNTA($B$13:B58))</f>
        <v xml:space="preserve"> </v>
      </c>
      <c r="B58" s="120"/>
      <c r="C58" s="264" t="s">
        <v>501</v>
      </c>
      <c r="D58" s="74"/>
      <c r="E58" s="186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1:17" ht="22.5" x14ac:dyDescent="0.2">
      <c r="A59" s="99">
        <f>IF(COUNTBLANK(B59)=1," ",COUNTA($B$13:B59))</f>
        <v>28</v>
      </c>
      <c r="B59" s="121" t="s">
        <v>48</v>
      </c>
      <c r="C59" s="264" t="s">
        <v>204</v>
      </c>
      <c r="D59" s="74" t="s">
        <v>136</v>
      </c>
      <c r="E59" s="184">
        <v>1</v>
      </c>
      <c r="F59" s="102"/>
      <c r="G59" s="12"/>
      <c r="H59" s="12"/>
      <c r="I59" s="116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99" t="str">
        <f>IF(COUNTBLANK(B60)=1," ",COUNTA($B$13:B60))</f>
        <v xml:space="preserve"> </v>
      </c>
      <c r="B60" s="99"/>
      <c r="C60" s="264" t="s">
        <v>154</v>
      </c>
      <c r="D60" s="122" t="s">
        <v>136</v>
      </c>
      <c r="E60" s="183">
        <f>ROUNDUP(E59*F60,2)</f>
        <v>1.05</v>
      </c>
      <c r="F60" s="102">
        <v>1.05</v>
      </c>
      <c r="G60" s="12"/>
      <c r="H60" s="12"/>
      <c r="I60" s="116"/>
      <c r="J60" s="12"/>
      <c r="K60" s="12"/>
      <c r="L60" s="12"/>
      <c r="M60" s="12"/>
      <c r="N60" s="12"/>
      <c r="O60" s="12"/>
      <c r="P60" s="12"/>
      <c r="Q60" s="12"/>
    </row>
    <row r="61" spans="1:17" ht="22.5" x14ac:dyDescent="0.2">
      <c r="A61" s="99">
        <f>IF(COUNTBLANK(B61)=1," ",COUNTA($B$13:B61))</f>
        <v>29</v>
      </c>
      <c r="B61" s="114" t="s">
        <v>48</v>
      </c>
      <c r="C61" s="268" t="s">
        <v>502</v>
      </c>
      <c r="D61" s="74" t="s">
        <v>50</v>
      </c>
      <c r="E61" s="186">
        <f>E52</f>
        <v>252</v>
      </c>
      <c r="F61" s="102"/>
      <c r="G61" s="12"/>
      <c r="H61" s="12"/>
      <c r="I61" s="116"/>
      <c r="J61" s="12"/>
      <c r="K61" s="12"/>
      <c r="L61" s="12"/>
      <c r="M61" s="12"/>
      <c r="N61" s="12"/>
      <c r="O61" s="12"/>
      <c r="P61" s="12"/>
      <c r="Q61" s="12"/>
    </row>
    <row r="62" spans="1:17" ht="22.5" x14ac:dyDescent="0.2">
      <c r="A62" s="99">
        <f>IF(COUNTBLANK(B62)=1," ",COUNTA($B$13:B62))</f>
        <v>30</v>
      </c>
      <c r="B62" s="114" t="s">
        <v>48</v>
      </c>
      <c r="C62" s="268" t="s">
        <v>503</v>
      </c>
      <c r="D62" s="74" t="s">
        <v>50</v>
      </c>
      <c r="E62" s="186">
        <f>E61</f>
        <v>252</v>
      </c>
      <c r="F62" s="102"/>
      <c r="G62" s="12"/>
      <c r="H62" s="12"/>
      <c r="I62" s="116"/>
      <c r="J62" s="12"/>
      <c r="K62" s="12"/>
      <c r="L62" s="12"/>
      <c r="M62" s="12"/>
      <c r="N62" s="12"/>
      <c r="O62" s="12"/>
      <c r="P62" s="12"/>
      <c r="Q62" s="12"/>
    </row>
    <row r="63" spans="1:17" ht="33.75" x14ac:dyDescent="0.2">
      <c r="A63" s="99">
        <f>IF(COUNTBLANK(B63)=1," ",COUNTA($B$13:B63))</f>
        <v>31</v>
      </c>
      <c r="B63" s="114" t="s">
        <v>48</v>
      </c>
      <c r="C63" s="287" t="s">
        <v>504</v>
      </c>
      <c r="D63" s="74" t="s">
        <v>205</v>
      </c>
      <c r="E63" s="184">
        <v>9</v>
      </c>
      <c r="F63" s="102"/>
      <c r="G63" s="12"/>
      <c r="H63" s="12"/>
      <c r="I63" s="116"/>
      <c r="J63" s="12"/>
      <c r="K63" s="12"/>
      <c r="L63" s="12"/>
      <c r="M63" s="12"/>
      <c r="N63" s="12"/>
      <c r="O63" s="12"/>
      <c r="P63" s="12"/>
      <c r="Q63" s="12"/>
    </row>
    <row r="64" spans="1:17" x14ac:dyDescent="0.2">
      <c r="A64" s="99" t="str">
        <f>IF(COUNTBLANK(B64)=1," ",COUNTA($B$13:B64))</f>
        <v xml:space="preserve"> </v>
      </c>
      <c r="B64" s="121"/>
      <c r="C64" s="288" t="s">
        <v>206</v>
      </c>
      <c r="D64" s="122"/>
      <c r="E64" s="187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</row>
    <row r="65" spans="1:17" ht="22.5" x14ac:dyDescent="0.2">
      <c r="A65" s="99">
        <f>IF(COUNTBLANK(B65)=1," ",COUNTA($B$13:B65))</f>
        <v>32</v>
      </c>
      <c r="B65" s="121" t="s">
        <v>48</v>
      </c>
      <c r="C65" s="264" t="s">
        <v>207</v>
      </c>
      <c r="D65" s="38" t="s">
        <v>50</v>
      </c>
      <c r="E65" s="188">
        <v>12</v>
      </c>
      <c r="F65" s="124"/>
      <c r="G65" s="12"/>
      <c r="H65" s="12"/>
      <c r="I65" s="116"/>
      <c r="J65" s="12"/>
      <c r="K65" s="12"/>
      <c r="L65" s="12"/>
      <c r="M65" s="12"/>
      <c r="N65" s="12"/>
      <c r="O65" s="12"/>
      <c r="P65" s="12"/>
      <c r="Q65" s="12"/>
    </row>
    <row r="66" spans="1:17" ht="22.5" x14ac:dyDescent="0.2">
      <c r="A66" s="99">
        <f>IF(COUNTBLANK(B66)=1," ",COUNTA($B$13:B66))</f>
        <v>33</v>
      </c>
      <c r="B66" s="121" t="s">
        <v>48</v>
      </c>
      <c r="C66" s="289" t="s">
        <v>208</v>
      </c>
      <c r="D66" s="74" t="s">
        <v>52</v>
      </c>
      <c r="E66" s="189">
        <v>24</v>
      </c>
      <c r="F66" s="124"/>
      <c r="G66" s="12"/>
      <c r="H66" s="12"/>
      <c r="I66" s="116"/>
      <c r="J66" s="12"/>
      <c r="K66" s="12"/>
      <c r="L66" s="12"/>
      <c r="M66" s="12"/>
      <c r="N66" s="12"/>
      <c r="O66" s="12"/>
      <c r="P66" s="12"/>
      <c r="Q66" s="12"/>
    </row>
    <row r="67" spans="1:17" ht="22.5" x14ac:dyDescent="0.2">
      <c r="A67" s="99">
        <f>IF(COUNTBLANK(B67)=1," ",COUNTA($B$13:B67))</f>
        <v>34</v>
      </c>
      <c r="B67" s="121" t="s">
        <v>48</v>
      </c>
      <c r="C67" s="289" t="s">
        <v>209</v>
      </c>
      <c r="D67" s="74" t="s">
        <v>52</v>
      </c>
      <c r="E67" s="189">
        <v>24</v>
      </c>
      <c r="F67" s="124"/>
      <c r="G67" s="12"/>
      <c r="H67" s="12"/>
      <c r="I67" s="116"/>
      <c r="J67" s="12"/>
      <c r="K67" s="12"/>
      <c r="L67" s="12"/>
      <c r="M67" s="12"/>
      <c r="N67" s="12"/>
      <c r="O67" s="12"/>
      <c r="P67" s="12"/>
      <c r="Q67" s="12"/>
    </row>
    <row r="68" spans="1:17" ht="22.5" x14ac:dyDescent="0.2">
      <c r="A68" s="99">
        <f>IF(COUNTBLANK(B68)=1," ",COUNTA($B$13:B68))</f>
        <v>35</v>
      </c>
      <c r="B68" s="121" t="s">
        <v>48</v>
      </c>
      <c r="C68" s="289" t="s">
        <v>210</v>
      </c>
      <c r="D68" s="74" t="s">
        <v>50</v>
      </c>
      <c r="E68" s="185">
        <v>23.46</v>
      </c>
      <c r="F68" s="124"/>
      <c r="G68" s="12"/>
      <c r="H68" s="12"/>
      <c r="I68" s="116"/>
      <c r="J68" s="12"/>
      <c r="K68" s="12"/>
      <c r="L68" s="12"/>
      <c r="M68" s="12"/>
      <c r="N68" s="12"/>
      <c r="O68" s="12"/>
      <c r="P68" s="12"/>
      <c r="Q68" s="12"/>
    </row>
    <row r="69" spans="1:17" ht="22.5" x14ac:dyDescent="0.2">
      <c r="A69" s="99">
        <f>IF(COUNTBLANK(B69)=1," ",COUNTA($B$13:B69))</f>
        <v>36</v>
      </c>
      <c r="B69" s="121" t="s">
        <v>48</v>
      </c>
      <c r="C69" s="289" t="s">
        <v>211</v>
      </c>
      <c r="D69" s="38" t="s">
        <v>50</v>
      </c>
      <c r="E69" s="190">
        <v>12.1</v>
      </c>
      <c r="F69" s="124"/>
      <c r="G69" s="12"/>
      <c r="H69" s="12"/>
      <c r="I69" s="116"/>
      <c r="J69" s="12"/>
      <c r="K69" s="12"/>
      <c r="L69" s="12"/>
      <c r="M69" s="12"/>
      <c r="N69" s="12"/>
      <c r="O69" s="12"/>
      <c r="P69" s="12"/>
      <c r="Q69" s="12"/>
    </row>
    <row r="70" spans="1:17" ht="22.5" x14ac:dyDescent="0.2">
      <c r="A70" s="99">
        <f>IF(COUNTBLANK(B70)=1," ",COUNTA($B$13:B70))</f>
        <v>37</v>
      </c>
      <c r="B70" s="121" t="s">
        <v>48</v>
      </c>
      <c r="C70" s="289" t="s">
        <v>212</v>
      </c>
      <c r="D70" s="38" t="s">
        <v>56</v>
      </c>
      <c r="E70" s="190">
        <v>1.1399999999999999</v>
      </c>
      <c r="F70" s="124"/>
      <c r="G70" s="12"/>
      <c r="H70" s="12"/>
      <c r="I70" s="116"/>
      <c r="J70" s="12"/>
      <c r="K70" s="12"/>
      <c r="L70" s="12"/>
      <c r="M70" s="12"/>
      <c r="N70" s="12"/>
      <c r="O70" s="12"/>
      <c r="P70" s="12"/>
      <c r="Q70" s="12"/>
    </row>
    <row r="71" spans="1:17" ht="22.5" x14ac:dyDescent="0.2">
      <c r="A71" s="99">
        <f>IF(COUNTBLANK(B71)=1," ",COUNTA($B$13:B71))</f>
        <v>38</v>
      </c>
      <c r="B71" s="121" t="s">
        <v>48</v>
      </c>
      <c r="C71" s="289" t="s">
        <v>213</v>
      </c>
      <c r="D71" s="41" t="s">
        <v>84</v>
      </c>
      <c r="E71" s="191">
        <v>0.03</v>
      </c>
      <c r="F71" s="124"/>
      <c r="G71" s="12"/>
      <c r="H71" s="12"/>
      <c r="I71" s="116"/>
      <c r="J71" s="12"/>
      <c r="K71" s="12"/>
      <c r="L71" s="12"/>
      <c r="M71" s="12"/>
      <c r="N71" s="12"/>
      <c r="O71" s="12"/>
      <c r="P71" s="12"/>
      <c r="Q71" s="12"/>
    </row>
    <row r="72" spans="1:17" x14ac:dyDescent="0.2">
      <c r="A72" s="99" t="str">
        <f>IF(COUNTBLANK(B72)=1," ",COUNTA($B$13:B72))</f>
        <v xml:space="preserve"> </v>
      </c>
      <c r="B72" s="114"/>
      <c r="C72" s="285" t="s">
        <v>214</v>
      </c>
      <c r="D72" s="74"/>
      <c r="E72" s="186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ht="22.5" x14ac:dyDescent="0.2">
      <c r="A73" s="99">
        <f>IF(COUNTBLANK(B73)=1," ",COUNTA($B$13:B73))</f>
        <v>39</v>
      </c>
      <c r="B73" s="114" t="s">
        <v>48</v>
      </c>
      <c r="C73" s="264" t="s">
        <v>215</v>
      </c>
      <c r="D73" s="74" t="s">
        <v>56</v>
      </c>
      <c r="E73" s="186">
        <f>0.5*4*4</f>
        <v>8</v>
      </c>
      <c r="F73" s="102"/>
      <c r="G73" s="12"/>
      <c r="H73" s="12"/>
      <c r="I73" s="116"/>
      <c r="J73" s="12"/>
      <c r="K73" s="12"/>
      <c r="L73" s="12"/>
      <c r="M73" s="12"/>
      <c r="N73" s="12"/>
      <c r="O73" s="12"/>
      <c r="P73" s="12"/>
      <c r="Q73" s="12"/>
    </row>
    <row r="74" spans="1:17" x14ac:dyDescent="0.2">
      <c r="A74" s="99" t="str">
        <f>IF(COUNTBLANK(B74)=1," ",COUNTA($B$13:B74))</f>
        <v xml:space="preserve"> </v>
      </c>
      <c r="B74" s="99"/>
      <c r="C74" s="264" t="s">
        <v>216</v>
      </c>
      <c r="D74" s="99" t="s">
        <v>64</v>
      </c>
      <c r="E74" s="183">
        <f>E73*F74</f>
        <v>76.8</v>
      </c>
      <c r="F74" s="102">
        <v>9.6</v>
      </c>
      <c r="G74" s="12"/>
      <c r="H74" s="12"/>
      <c r="I74" s="116"/>
      <c r="J74" s="12"/>
      <c r="K74" s="12"/>
      <c r="L74" s="12"/>
      <c r="M74" s="12"/>
      <c r="N74" s="12"/>
      <c r="O74" s="12"/>
      <c r="P74" s="12"/>
      <c r="Q74" s="12"/>
    </row>
    <row r="75" spans="1:17" x14ac:dyDescent="0.2">
      <c r="A75" s="99" t="str">
        <f>IF(COUNTBLANK(B75)=1," ",COUNTA($B$13:B75))</f>
        <v xml:space="preserve"> </v>
      </c>
      <c r="B75" s="99"/>
      <c r="C75" s="264" t="s">
        <v>77</v>
      </c>
      <c r="D75" s="99" t="s">
        <v>73</v>
      </c>
      <c r="E75" s="183">
        <f>E73*F75</f>
        <v>8.8000000000000007</v>
      </c>
      <c r="F75" s="102">
        <v>1.1000000000000001</v>
      </c>
      <c r="G75" s="12"/>
      <c r="H75" s="12"/>
      <c r="I75" s="116"/>
      <c r="J75" s="12"/>
      <c r="K75" s="12"/>
      <c r="L75" s="12"/>
      <c r="M75" s="12"/>
      <c r="N75" s="12"/>
      <c r="O75" s="12"/>
      <c r="P75" s="12"/>
      <c r="Q75" s="12"/>
    </row>
    <row r="76" spans="1:17" x14ac:dyDescent="0.2">
      <c r="A76" s="99" t="str">
        <f>IF(COUNTBLANK(B76)=1," ",COUNTA($B$13:B76))</f>
        <v xml:space="preserve"> </v>
      </c>
      <c r="B76" s="99"/>
      <c r="C76" s="264" t="s">
        <v>139</v>
      </c>
      <c r="D76" s="99" t="s">
        <v>140</v>
      </c>
      <c r="E76" s="183">
        <f>E73*F76</f>
        <v>0.72</v>
      </c>
      <c r="F76" s="102">
        <v>0.09</v>
      </c>
      <c r="G76" s="12"/>
      <c r="H76" s="12"/>
      <c r="I76" s="116"/>
      <c r="J76" s="12"/>
      <c r="K76" s="12"/>
      <c r="L76" s="12"/>
      <c r="M76" s="12"/>
      <c r="N76" s="12"/>
      <c r="O76" s="12"/>
      <c r="P76" s="12"/>
      <c r="Q76" s="12"/>
    </row>
    <row r="77" spans="1:17" x14ac:dyDescent="0.2">
      <c r="A77" s="99" t="str">
        <f>IF(COUNTBLANK(B77)=1," ",COUNTA($B$13:B77))</f>
        <v xml:space="preserve"> </v>
      </c>
      <c r="B77" s="99"/>
      <c r="C77" s="264" t="s">
        <v>217</v>
      </c>
      <c r="D77" s="99" t="s">
        <v>64</v>
      </c>
      <c r="E77" s="183">
        <f>E73*F77</f>
        <v>0.8</v>
      </c>
      <c r="F77" s="102">
        <v>0.1</v>
      </c>
      <c r="G77" s="12"/>
      <c r="H77" s="12"/>
      <c r="I77" s="116"/>
      <c r="J77" s="12"/>
      <c r="K77" s="12"/>
      <c r="L77" s="12"/>
      <c r="M77" s="12"/>
      <c r="N77" s="12"/>
      <c r="O77" s="12"/>
      <c r="P77" s="12"/>
      <c r="Q77" s="12"/>
    </row>
    <row r="78" spans="1:17" x14ac:dyDescent="0.2">
      <c r="A78" s="99" t="str">
        <f>IF(COUNTBLANK(B78)=1," ",COUNTA($B$13:B78))</f>
        <v xml:space="preserve"> </v>
      </c>
      <c r="B78" s="99"/>
      <c r="C78" s="264" t="s">
        <v>129</v>
      </c>
      <c r="D78" s="99" t="s">
        <v>64</v>
      </c>
      <c r="E78" s="183">
        <f>E73*F78</f>
        <v>40</v>
      </c>
      <c r="F78" s="102">
        <v>5</v>
      </c>
      <c r="G78" s="12"/>
      <c r="H78" s="12"/>
      <c r="I78" s="116"/>
      <c r="J78" s="12"/>
      <c r="K78" s="12"/>
      <c r="L78" s="12"/>
      <c r="M78" s="12"/>
      <c r="N78" s="12"/>
      <c r="O78" s="12"/>
      <c r="P78" s="12"/>
      <c r="Q78" s="12"/>
    </row>
    <row r="79" spans="1:17" x14ac:dyDescent="0.2">
      <c r="A79" s="99" t="str">
        <f>IF(COUNTBLANK(B79)=1," ",COUNTA($B$13:B79))</f>
        <v xml:space="preserve"> </v>
      </c>
      <c r="B79" s="99"/>
      <c r="C79" s="264" t="s">
        <v>141</v>
      </c>
      <c r="D79" s="99" t="s">
        <v>64</v>
      </c>
      <c r="E79" s="183">
        <f>E73*F79</f>
        <v>4.8</v>
      </c>
      <c r="F79" s="102">
        <v>0.6</v>
      </c>
      <c r="G79" s="12"/>
      <c r="H79" s="12"/>
      <c r="I79" s="116"/>
      <c r="J79" s="12"/>
      <c r="K79" s="12"/>
      <c r="L79" s="12"/>
      <c r="M79" s="12"/>
      <c r="N79" s="12"/>
      <c r="O79" s="12"/>
      <c r="P79" s="12"/>
      <c r="Q79" s="12"/>
    </row>
    <row r="80" spans="1:17" ht="22.5" x14ac:dyDescent="0.2">
      <c r="A80" s="99">
        <f>IF(COUNTBLANK(B80)=1," ",COUNTA($B$13:B80))</f>
        <v>40</v>
      </c>
      <c r="B80" s="114" t="s">
        <v>48</v>
      </c>
      <c r="C80" s="264" t="s">
        <v>505</v>
      </c>
      <c r="D80" s="99" t="s">
        <v>153</v>
      </c>
      <c r="E80" s="183">
        <v>3</v>
      </c>
      <c r="F80" s="102"/>
      <c r="G80" s="12"/>
      <c r="H80" s="12"/>
      <c r="I80" s="116"/>
      <c r="J80" s="12"/>
      <c r="K80" s="12"/>
      <c r="L80" s="12"/>
      <c r="M80" s="12"/>
      <c r="N80" s="12"/>
      <c r="O80" s="12"/>
      <c r="P80" s="12"/>
      <c r="Q80" s="12"/>
    </row>
    <row r="81" spans="1:17" ht="22.5" x14ac:dyDescent="0.2">
      <c r="A81" s="99">
        <f>IF(COUNTBLANK(B81)=1," ",COUNTA($B$13:B81))</f>
        <v>41</v>
      </c>
      <c r="B81" s="114" t="s">
        <v>48</v>
      </c>
      <c r="C81" s="264" t="s">
        <v>218</v>
      </c>
      <c r="D81" s="74" t="s">
        <v>50</v>
      </c>
      <c r="E81" s="186">
        <v>45</v>
      </c>
      <c r="F81" s="102"/>
      <c r="G81" s="12"/>
      <c r="H81" s="12"/>
      <c r="I81" s="116"/>
      <c r="J81" s="12"/>
      <c r="K81" s="12"/>
      <c r="L81" s="12"/>
      <c r="M81" s="12"/>
      <c r="N81" s="12"/>
      <c r="O81" s="12"/>
      <c r="P81" s="12"/>
      <c r="Q81" s="12"/>
    </row>
    <row r="82" spans="1:17" ht="22.5" x14ac:dyDescent="0.2">
      <c r="A82" s="99">
        <f>IF(COUNTBLANK(B82)=1," ",COUNTA($B$13:B82))</f>
        <v>42</v>
      </c>
      <c r="B82" s="114" t="s">
        <v>48</v>
      </c>
      <c r="C82" s="264" t="s">
        <v>219</v>
      </c>
      <c r="D82" s="116" t="s">
        <v>140</v>
      </c>
      <c r="E82" s="186">
        <v>15</v>
      </c>
      <c r="F82" s="102"/>
      <c r="G82" s="12"/>
      <c r="H82" s="12"/>
      <c r="I82" s="116"/>
      <c r="J82" s="12"/>
      <c r="K82" s="12"/>
      <c r="L82" s="12"/>
      <c r="M82" s="12"/>
      <c r="N82" s="12"/>
      <c r="O82" s="12"/>
      <c r="P82" s="12"/>
      <c r="Q82" s="12"/>
    </row>
    <row r="83" spans="1:17" x14ac:dyDescent="0.2">
      <c r="A83" s="99" t="str">
        <f>IF(COUNTBLANK(B83)=1," ",COUNTA($B$13:B83))</f>
        <v xml:space="preserve"> </v>
      </c>
      <c r="B83" s="99"/>
      <c r="C83" s="280" t="s">
        <v>139</v>
      </c>
      <c r="D83" s="116" t="s">
        <v>140</v>
      </c>
      <c r="E83" s="183">
        <f>E82*F83</f>
        <v>1.2315</v>
      </c>
      <c r="F83" s="102">
        <v>8.2100000000000006E-2</v>
      </c>
      <c r="G83" s="12"/>
      <c r="H83" s="12"/>
      <c r="I83" s="116"/>
      <c r="J83" s="12"/>
      <c r="K83" s="12"/>
      <c r="L83" s="12"/>
      <c r="M83" s="12"/>
      <c r="N83" s="12"/>
      <c r="O83" s="12"/>
      <c r="P83" s="12"/>
      <c r="Q83" s="12"/>
    </row>
    <row r="84" spans="1:17" x14ac:dyDescent="0.2">
      <c r="A84" s="99" t="str">
        <f>IF(COUNTBLANK(B84)=1," ",COUNTA($B$13:B84))</f>
        <v xml:space="preserve"> </v>
      </c>
      <c r="B84" s="99"/>
      <c r="C84" s="280" t="s">
        <v>220</v>
      </c>
      <c r="D84" s="99" t="s">
        <v>56</v>
      </c>
      <c r="E84" s="183">
        <f>E82*F84</f>
        <v>3.75</v>
      </c>
      <c r="F84" s="102">
        <v>0.25</v>
      </c>
      <c r="G84" s="12"/>
      <c r="H84" s="12"/>
      <c r="I84" s="116"/>
      <c r="J84" s="12"/>
      <c r="K84" s="12"/>
      <c r="L84" s="12"/>
      <c r="M84" s="12"/>
      <c r="N84" s="12"/>
      <c r="O84" s="12"/>
      <c r="P84" s="12"/>
      <c r="Q84" s="12"/>
    </row>
    <row r="85" spans="1:17" ht="56.25" x14ac:dyDescent="0.2">
      <c r="A85" s="99">
        <f>IF(COUNTBLANK(B85)=1," ",COUNTA($B$13:B85))</f>
        <v>43</v>
      </c>
      <c r="B85" s="114" t="s">
        <v>48</v>
      </c>
      <c r="C85" s="268" t="s">
        <v>221</v>
      </c>
      <c r="D85" s="99" t="s">
        <v>222</v>
      </c>
      <c r="E85" s="192">
        <v>9</v>
      </c>
      <c r="F85" s="32"/>
      <c r="G85" s="12"/>
      <c r="H85" s="12"/>
      <c r="I85" s="116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A86" s="1"/>
      <c r="B86" s="1"/>
      <c r="C86" s="23"/>
      <c r="D86" s="1"/>
      <c r="E86" s="193"/>
      <c r="F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2.5" x14ac:dyDescent="0.2">
      <c r="A87" s="1"/>
      <c r="B87" s="1"/>
      <c r="C87" s="225" t="s">
        <v>423</v>
      </c>
      <c r="D87" s="1"/>
      <c r="E87" s="162"/>
      <c r="F87" s="1"/>
      <c r="G87" s="1"/>
      <c r="H87" s="1"/>
      <c r="I87" s="1"/>
      <c r="J87" s="1"/>
      <c r="K87" s="1"/>
      <c r="L87" s="83"/>
      <c r="M87" s="83">
        <f>SUM(M14:M85)</f>
        <v>0</v>
      </c>
      <c r="N87" s="83">
        <f>SUM(N14:N85)</f>
        <v>0</v>
      </c>
      <c r="O87" s="83">
        <f>SUM(O14:O85)</f>
        <v>0</v>
      </c>
      <c r="P87" s="83">
        <f>SUM(P14:P85)</f>
        <v>0</v>
      </c>
      <c r="Q87" s="83">
        <f>SUM(Q14:Q85)</f>
        <v>0</v>
      </c>
    </row>
    <row r="88" spans="1:17" x14ac:dyDescent="0.2">
      <c r="A88" s="1"/>
      <c r="B88" s="1"/>
      <c r="C88" s="23"/>
      <c r="D88" s="1"/>
      <c r="E88" s="16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25"/>
      <c r="D89" s="1"/>
      <c r="E89" s="16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25"/>
      <c r="D90" s="1"/>
      <c r="E90" s="16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07"/>
    </row>
    <row r="91" spans="1:17" x14ac:dyDescent="0.2">
      <c r="M91" s="1"/>
      <c r="N91" s="1"/>
      <c r="O91" s="1"/>
      <c r="P91" s="1"/>
      <c r="Q91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view="pageBreakPreview" zoomScaleNormal="70" zoomScaleSheetLayoutView="100" workbookViewId="0">
      <selection activeCell="C40" sqref="C13:C40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v>9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223</v>
      </c>
      <c r="D2" s="2"/>
      <c r="E2" s="174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75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74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74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29"/>
      <c r="D9" s="26"/>
      <c r="E9" s="164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111">
        <f>B12+1</f>
        <v>3</v>
      </c>
      <c r="D12" s="86">
        <f>C12+1</f>
        <v>4</v>
      </c>
      <c r="E12" s="176">
        <f>D12+1</f>
        <v>5</v>
      </c>
      <c r="F12" s="112"/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x14ac:dyDescent="0.2">
      <c r="A13" s="99" t="str">
        <f>IF(COUNTBLANK(B13)=1," ",COUNTA($B$13:B13))</f>
        <v xml:space="preserve"> </v>
      </c>
      <c r="B13" s="36"/>
      <c r="C13" s="285" t="s">
        <v>224</v>
      </c>
      <c r="D13" s="36"/>
      <c r="E13" s="177"/>
      <c r="F13" s="113"/>
      <c r="G13" s="115"/>
      <c r="H13" s="115"/>
      <c r="I13" s="120"/>
      <c r="J13" s="115"/>
      <c r="K13" s="115"/>
      <c r="L13" s="115"/>
      <c r="M13" s="115"/>
      <c r="N13" s="115"/>
      <c r="O13" s="115"/>
      <c r="P13" s="115"/>
      <c r="Q13" s="115"/>
    </row>
    <row r="14" spans="1:17" ht="22.5" x14ac:dyDescent="0.2">
      <c r="A14" s="99">
        <f>IF(COUNTBLANK(B14)=1," ",COUNTA($B$13:B14))</f>
        <v>1</v>
      </c>
      <c r="B14" s="114" t="s">
        <v>48</v>
      </c>
      <c r="C14" s="264" t="s">
        <v>225</v>
      </c>
      <c r="D14" s="74" t="s">
        <v>56</v>
      </c>
      <c r="E14" s="178">
        <f>E22</f>
        <v>116.4</v>
      </c>
      <c r="F14" s="115"/>
      <c r="G14" s="12"/>
      <c r="H14" s="12"/>
      <c r="I14" s="77"/>
      <c r="J14" s="12"/>
      <c r="K14" s="12"/>
      <c r="L14" s="12"/>
      <c r="M14" s="12"/>
      <c r="N14" s="12"/>
      <c r="O14" s="12"/>
      <c r="P14" s="12"/>
      <c r="Q14" s="12"/>
    </row>
    <row r="15" spans="1:17" ht="22.5" x14ac:dyDescent="0.2">
      <c r="A15" s="99">
        <f>IF(COUNTBLANK(B15)=1," ",COUNTA($B$13:B15))</f>
        <v>2</v>
      </c>
      <c r="B15" s="114" t="s">
        <v>48</v>
      </c>
      <c r="C15" s="264" t="s">
        <v>506</v>
      </c>
      <c r="D15" s="74" t="s">
        <v>136</v>
      </c>
      <c r="E15" s="178">
        <f>(16*3+6.4*6+1.3*14)*0.25*0.25</f>
        <v>6.5375000000000005</v>
      </c>
      <c r="F15" s="102"/>
      <c r="G15" s="12"/>
      <c r="H15" s="12"/>
      <c r="I15" s="77"/>
      <c r="J15" s="12"/>
      <c r="K15" s="12"/>
      <c r="L15" s="12"/>
      <c r="M15" s="12"/>
      <c r="N15" s="12"/>
      <c r="O15" s="12"/>
      <c r="P15" s="12"/>
      <c r="Q15" s="12"/>
    </row>
    <row r="16" spans="1:17" x14ac:dyDescent="0.2">
      <c r="A16" s="99" t="str">
        <f>IF(COUNTBLANK(B16)=1," ",COUNTA($B$13:B16))</f>
        <v xml:space="preserve"> </v>
      </c>
      <c r="B16" s="99"/>
      <c r="C16" s="264" t="s">
        <v>226</v>
      </c>
      <c r="D16" s="99" t="s">
        <v>84</v>
      </c>
      <c r="E16" s="179">
        <f>E15*F16</f>
        <v>0.98062500000000008</v>
      </c>
      <c r="F16" s="102">
        <v>0.15</v>
      </c>
      <c r="G16" s="12"/>
      <c r="H16" s="12"/>
      <c r="I16" s="77"/>
      <c r="J16" s="12"/>
      <c r="K16" s="12"/>
      <c r="L16" s="12"/>
      <c r="M16" s="12"/>
      <c r="N16" s="12"/>
      <c r="O16" s="12"/>
      <c r="P16" s="12"/>
      <c r="Q16" s="12"/>
    </row>
    <row r="17" spans="1:17" x14ac:dyDescent="0.2">
      <c r="A17" s="99" t="str">
        <f>IF(COUNTBLANK(B17)=1," ",COUNTA($B$13:B17))</f>
        <v xml:space="preserve"> </v>
      </c>
      <c r="B17" s="99"/>
      <c r="C17" s="264" t="s">
        <v>227</v>
      </c>
      <c r="D17" s="99" t="s">
        <v>84</v>
      </c>
      <c r="E17" s="179">
        <f>E15*F17</f>
        <v>6.0798750000000013</v>
      </c>
      <c r="F17" s="102">
        <v>0.93</v>
      </c>
      <c r="G17" s="12"/>
      <c r="H17" s="12"/>
      <c r="I17" s="77"/>
      <c r="J17" s="12"/>
      <c r="K17" s="12"/>
      <c r="L17" s="12"/>
      <c r="M17" s="12"/>
      <c r="N17" s="12"/>
      <c r="O17" s="12"/>
      <c r="P17" s="12"/>
      <c r="Q17" s="12"/>
    </row>
    <row r="18" spans="1:17" x14ac:dyDescent="0.2">
      <c r="A18" s="99" t="str">
        <f>IF(COUNTBLANK(B18)=1," ",COUNTA($B$13:B18))</f>
        <v xml:space="preserve"> </v>
      </c>
      <c r="B18" s="99"/>
      <c r="C18" s="264" t="s">
        <v>139</v>
      </c>
      <c r="D18" s="99" t="s">
        <v>140</v>
      </c>
      <c r="E18" s="179">
        <f>E15*F18</f>
        <v>1.6343750000000001</v>
      </c>
      <c r="F18" s="102">
        <v>0.25</v>
      </c>
      <c r="G18" s="12"/>
      <c r="H18" s="12"/>
      <c r="I18" s="77"/>
      <c r="J18" s="12"/>
      <c r="K18" s="12"/>
      <c r="L18" s="12"/>
      <c r="M18" s="12"/>
      <c r="N18" s="12"/>
      <c r="O18" s="12"/>
      <c r="P18" s="12"/>
      <c r="Q18" s="12"/>
    </row>
    <row r="19" spans="1:17" ht="22.5" x14ac:dyDescent="0.2">
      <c r="A19" s="99">
        <f>IF(COUNTBLANK(B19)=1," ",COUNTA($B$13:B19))</f>
        <v>3</v>
      </c>
      <c r="B19" s="114" t="s">
        <v>48</v>
      </c>
      <c r="C19" s="264" t="s">
        <v>175</v>
      </c>
      <c r="D19" s="74" t="s">
        <v>56</v>
      </c>
      <c r="E19" s="178">
        <f>E14</f>
        <v>116.4</v>
      </c>
      <c r="F19" s="102"/>
      <c r="G19" s="12"/>
      <c r="H19" s="12"/>
      <c r="I19" s="77"/>
      <c r="J19" s="12"/>
      <c r="K19" s="12"/>
      <c r="L19" s="12"/>
      <c r="M19" s="12"/>
      <c r="N19" s="12"/>
      <c r="O19" s="12"/>
      <c r="P19" s="12"/>
      <c r="Q19" s="12"/>
    </row>
    <row r="20" spans="1:17" x14ac:dyDescent="0.2">
      <c r="A20" s="99" t="str">
        <f>IF(COUNTBLANK(B20)=1," ",COUNTA($B$13:B20))</f>
        <v xml:space="preserve"> </v>
      </c>
      <c r="B20" s="99"/>
      <c r="C20" s="264" t="s">
        <v>176</v>
      </c>
      <c r="D20" s="99" t="s">
        <v>73</v>
      </c>
      <c r="E20" s="179">
        <f>F20*E19</f>
        <v>128.04000000000002</v>
      </c>
      <c r="F20" s="102">
        <v>1.1000000000000001</v>
      </c>
      <c r="G20" s="12"/>
      <c r="H20" s="12"/>
      <c r="I20" s="77"/>
      <c r="J20" s="12"/>
      <c r="K20" s="12"/>
      <c r="L20" s="12"/>
      <c r="M20" s="12"/>
      <c r="N20" s="12"/>
      <c r="O20" s="12"/>
      <c r="P20" s="12"/>
      <c r="Q20" s="12"/>
    </row>
    <row r="21" spans="1:17" x14ac:dyDescent="0.2">
      <c r="A21" s="99" t="str">
        <f>IF(COUNTBLANK(B21)=1," ",COUNTA($B$13:B21))</f>
        <v xml:space="preserve"> </v>
      </c>
      <c r="B21" s="99"/>
      <c r="C21" s="264" t="s">
        <v>139</v>
      </c>
      <c r="D21" s="99" t="s">
        <v>140</v>
      </c>
      <c r="E21" s="179">
        <f>E19*F21</f>
        <v>1.1640000000000001</v>
      </c>
      <c r="F21" s="102">
        <v>0.01</v>
      </c>
      <c r="G21" s="12"/>
      <c r="H21" s="12"/>
      <c r="I21" s="77"/>
      <c r="J21" s="12"/>
      <c r="K21" s="12"/>
      <c r="L21" s="12"/>
      <c r="M21" s="12"/>
      <c r="N21" s="12"/>
      <c r="O21" s="12"/>
      <c r="P21" s="12"/>
      <c r="Q21" s="12"/>
    </row>
    <row r="22" spans="1:17" ht="45" x14ac:dyDescent="0.2">
      <c r="A22" s="99">
        <f>IF(COUNTBLANK(B22)=1," ",COUNTA($B$13:B22))</f>
        <v>4</v>
      </c>
      <c r="B22" s="114" t="s">
        <v>48</v>
      </c>
      <c r="C22" s="264" t="s">
        <v>507</v>
      </c>
      <c r="D22" s="74" t="s">
        <v>56</v>
      </c>
      <c r="E22" s="180">
        <f>22*3+8.4*6</f>
        <v>116.4</v>
      </c>
      <c r="F22" s="102"/>
      <c r="G22" s="12"/>
      <c r="H22" s="12"/>
      <c r="I22" s="77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99" t="str">
        <f>IF(COUNTBLANK(B23)=1," ",COUNTA($B$13:B23))</f>
        <v xml:space="preserve"> </v>
      </c>
      <c r="B23" s="114"/>
      <c r="C23" s="264" t="s">
        <v>508</v>
      </c>
      <c r="D23" s="74" t="s">
        <v>56</v>
      </c>
      <c r="E23" s="178">
        <f>E22</f>
        <v>116.4</v>
      </c>
      <c r="F23" s="102"/>
      <c r="G23" s="12"/>
      <c r="H23" s="12"/>
      <c r="I23" s="77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99" t="str">
        <f>IF(COUNTBLANK(B24)=1," ",COUNTA($B$13:B24))</f>
        <v xml:space="preserve"> </v>
      </c>
      <c r="B24" s="114"/>
      <c r="C24" s="264" t="s">
        <v>509</v>
      </c>
      <c r="D24" s="74" t="s">
        <v>56</v>
      </c>
      <c r="E24" s="178">
        <f>E23</f>
        <v>116.4</v>
      </c>
      <c r="F24" s="102"/>
      <c r="G24" s="12"/>
      <c r="H24" s="12"/>
      <c r="I24" s="77"/>
      <c r="J24" s="12"/>
      <c r="K24" s="12"/>
      <c r="L24" s="12"/>
      <c r="M24" s="12"/>
      <c r="N24" s="12"/>
      <c r="O24" s="12"/>
      <c r="P24" s="12"/>
      <c r="Q24" s="12"/>
    </row>
    <row r="25" spans="1:17" ht="22.5" x14ac:dyDescent="0.2">
      <c r="A25" s="99">
        <f>IF(COUNTBLANK(B25)=1," ",COUNTA($B$13:B25))</f>
        <v>5</v>
      </c>
      <c r="B25" s="114" t="s">
        <v>48</v>
      </c>
      <c r="C25" s="264" t="s">
        <v>228</v>
      </c>
      <c r="D25" s="74" t="s">
        <v>136</v>
      </c>
      <c r="E25" s="178">
        <f>E22*0.025</f>
        <v>2.91</v>
      </c>
      <c r="F25" s="115"/>
      <c r="G25" s="12"/>
      <c r="H25" s="12"/>
      <c r="I25" s="77"/>
      <c r="J25" s="12"/>
      <c r="K25" s="12"/>
      <c r="L25" s="12"/>
      <c r="M25" s="12"/>
      <c r="N25" s="12"/>
      <c r="O25" s="12"/>
      <c r="P25" s="12"/>
      <c r="Q25" s="12"/>
    </row>
    <row r="26" spans="1:17" ht="22.5" x14ac:dyDescent="0.2">
      <c r="A26" s="99">
        <f>IF(COUNTBLANK(B26)=1," ",COUNTA($B$13:B26))</f>
        <v>6</v>
      </c>
      <c r="B26" s="114" t="s">
        <v>48</v>
      </c>
      <c r="C26" s="264" t="s">
        <v>510</v>
      </c>
      <c r="D26" s="74" t="s">
        <v>56</v>
      </c>
      <c r="E26" s="178">
        <f>E22</f>
        <v>116.4</v>
      </c>
      <c r="F26" s="102"/>
      <c r="G26" s="12"/>
      <c r="H26" s="12"/>
      <c r="I26" s="77"/>
      <c r="J26" s="12"/>
      <c r="K26" s="12"/>
      <c r="L26" s="12"/>
      <c r="M26" s="12"/>
      <c r="N26" s="12"/>
      <c r="O26" s="12"/>
      <c r="P26" s="12"/>
      <c r="Q26" s="12"/>
    </row>
    <row r="27" spans="1:17" ht="22.5" x14ac:dyDescent="0.2">
      <c r="A27" s="99" t="str">
        <f>IF(COUNTBLANK(B27)=1," ",COUNTA($B$13:B27))</f>
        <v xml:space="preserve"> </v>
      </c>
      <c r="B27" s="99"/>
      <c r="C27" s="264" t="s">
        <v>511</v>
      </c>
      <c r="D27" s="99" t="s">
        <v>73</v>
      </c>
      <c r="E27" s="179">
        <v>6</v>
      </c>
      <c r="F27" s="102">
        <v>1.1499999999999999</v>
      </c>
      <c r="G27" s="12"/>
      <c r="H27" s="12"/>
      <c r="I27" s="77"/>
      <c r="J27" s="12"/>
      <c r="K27" s="12"/>
      <c r="L27" s="12"/>
      <c r="M27" s="12"/>
      <c r="N27" s="12"/>
      <c r="O27" s="12"/>
      <c r="P27" s="12"/>
      <c r="Q27" s="12"/>
    </row>
    <row r="28" spans="1:17" ht="22.5" x14ac:dyDescent="0.2">
      <c r="A28" s="99" t="str">
        <f>IF(COUNTBLANK(B28)=1," ",COUNTA($B$13:B28))</f>
        <v xml:space="preserve"> </v>
      </c>
      <c r="B28" s="99"/>
      <c r="C28" s="264" t="s">
        <v>512</v>
      </c>
      <c r="D28" s="116" t="s">
        <v>73</v>
      </c>
      <c r="E28" s="179">
        <f>E26*F28</f>
        <v>133.85999999999999</v>
      </c>
      <c r="F28" s="102">
        <v>1.1499999999999999</v>
      </c>
      <c r="G28" s="12"/>
      <c r="H28" s="12"/>
      <c r="I28" s="77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99" t="str">
        <f>IF(COUNTBLANK(B29)=1," ",COUNTA($B$13:B29))</f>
        <v xml:space="preserve"> </v>
      </c>
      <c r="B29" s="99"/>
      <c r="C29" s="264" t="s">
        <v>160</v>
      </c>
      <c r="D29" s="99" t="s">
        <v>161</v>
      </c>
      <c r="E29" s="179">
        <f>E26*F29</f>
        <v>2.91</v>
      </c>
      <c r="F29" s="102">
        <v>2.5000000000000001E-2</v>
      </c>
      <c r="G29" s="12"/>
      <c r="H29" s="12"/>
      <c r="I29" s="77"/>
      <c r="J29" s="12"/>
      <c r="K29" s="12"/>
      <c r="L29" s="12"/>
      <c r="M29" s="12"/>
      <c r="N29" s="12"/>
      <c r="O29" s="12"/>
      <c r="P29" s="12"/>
      <c r="Q29" s="12"/>
    </row>
    <row r="30" spans="1:17" ht="22.5" x14ac:dyDescent="0.2">
      <c r="A30" s="99">
        <f>IF(COUNTBLANK(B30)=1," ",COUNTA($B$13:B30))</f>
        <v>7</v>
      </c>
      <c r="B30" s="114" t="s">
        <v>48</v>
      </c>
      <c r="C30" s="264" t="s">
        <v>229</v>
      </c>
      <c r="D30" s="74" t="s">
        <v>56</v>
      </c>
      <c r="E30" s="178">
        <f>(16*3+6.4*6+1.3*14)*0.6</f>
        <v>62.760000000000005</v>
      </c>
      <c r="F30" s="102"/>
      <c r="G30" s="12"/>
      <c r="H30" s="12"/>
      <c r="I30" s="77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99" t="str">
        <f>IF(COUNTBLANK(B31)=1," ",COUNTA($B$13:B31))</f>
        <v xml:space="preserve"> </v>
      </c>
      <c r="B31" s="99"/>
      <c r="C31" s="280" t="s">
        <v>139</v>
      </c>
      <c r="D31" s="116" t="s">
        <v>140</v>
      </c>
      <c r="E31" s="179">
        <f>E30*F31</f>
        <v>5.1525960000000008</v>
      </c>
      <c r="F31" s="102">
        <v>8.2100000000000006E-2</v>
      </c>
      <c r="G31" s="12"/>
      <c r="H31" s="12"/>
      <c r="I31" s="77"/>
      <c r="J31" s="12"/>
      <c r="K31" s="12"/>
      <c r="L31" s="12"/>
      <c r="M31" s="12"/>
      <c r="N31" s="12"/>
      <c r="O31" s="12"/>
      <c r="P31" s="12"/>
      <c r="Q31" s="12"/>
    </row>
    <row r="32" spans="1:17" x14ac:dyDescent="0.2">
      <c r="A32" s="99" t="str">
        <f>IF(COUNTBLANK(B32)=1," ",COUNTA($B$13:B32))</f>
        <v xml:space="preserve"> </v>
      </c>
      <c r="B32" s="99"/>
      <c r="C32" s="280" t="s">
        <v>220</v>
      </c>
      <c r="D32" s="99" t="s">
        <v>56</v>
      </c>
      <c r="E32" s="179">
        <f>E30*F32</f>
        <v>65.89800000000001</v>
      </c>
      <c r="F32" s="102">
        <v>1.05</v>
      </c>
      <c r="G32" s="12"/>
      <c r="H32" s="12"/>
      <c r="I32" s="77"/>
      <c r="J32" s="12"/>
      <c r="K32" s="12"/>
      <c r="L32" s="12"/>
      <c r="M32" s="12"/>
      <c r="N32" s="12"/>
      <c r="O32" s="12"/>
      <c r="P32" s="12"/>
      <c r="Q32" s="12"/>
    </row>
    <row r="33" spans="1:17" ht="22.5" x14ac:dyDescent="0.2">
      <c r="A33" s="99">
        <f>IF(COUNTBLANK(B33)=1," ",COUNTA($B$13:B33))</f>
        <v>8</v>
      </c>
      <c r="B33" s="114" t="s">
        <v>48</v>
      </c>
      <c r="C33" s="264" t="s">
        <v>230</v>
      </c>
      <c r="D33" s="74" t="s">
        <v>56</v>
      </c>
      <c r="E33" s="178">
        <f>E30*0.5</f>
        <v>31.380000000000003</v>
      </c>
      <c r="F33" s="102"/>
      <c r="G33" s="12"/>
      <c r="H33" s="12"/>
      <c r="I33" s="77"/>
      <c r="J33" s="12"/>
      <c r="K33" s="12"/>
      <c r="L33" s="12"/>
      <c r="M33" s="12"/>
      <c r="N33" s="12"/>
      <c r="O33" s="12"/>
      <c r="P33" s="12"/>
      <c r="Q33" s="12"/>
    </row>
    <row r="34" spans="1:17" x14ac:dyDescent="0.2">
      <c r="A34" s="99" t="str">
        <f>IF(COUNTBLANK(B34)=1," ",COUNTA($B$13:B34))</f>
        <v xml:space="preserve"> </v>
      </c>
      <c r="B34" s="99"/>
      <c r="C34" s="280" t="s">
        <v>139</v>
      </c>
      <c r="D34" s="116" t="s">
        <v>140</v>
      </c>
      <c r="E34" s="179">
        <f>E33*F34</f>
        <v>2.5762980000000004</v>
      </c>
      <c r="F34" s="102">
        <v>8.2100000000000006E-2</v>
      </c>
      <c r="G34" s="12"/>
      <c r="H34" s="12"/>
      <c r="I34" s="77"/>
      <c r="J34" s="12"/>
      <c r="K34" s="12"/>
      <c r="L34" s="12"/>
      <c r="M34" s="12"/>
      <c r="N34" s="12"/>
      <c r="O34" s="12"/>
      <c r="P34" s="12"/>
      <c r="Q34" s="12"/>
    </row>
    <row r="35" spans="1:17" x14ac:dyDescent="0.2">
      <c r="A35" s="99" t="str">
        <f>IF(COUNTBLANK(B35)=1," ",COUNTA($B$13:B35))</f>
        <v xml:space="preserve"> </v>
      </c>
      <c r="B35" s="99"/>
      <c r="C35" s="280" t="s">
        <v>220</v>
      </c>
      <c r="D35" s="99" t="s">
        <v>56</v>
      </c>
      <c r="E35" s="179">
        <f>E33*F35</f>
        <v>32.949000000000005</v>
      </c>
      <c r="F35" s="102">
        <v>1.05</v>
      </c>
      <c r="G35" s="12"/>
      <c r="H35" s="12"/>
      <c r="I35" s="77"/>
      <c r="J35" s="12"/>
      <c r="K35" s="12"/>
      <c r="L35" s="12"/>
      <c r="M35" s="12"/>
      <c r="N35" s="12"/>
      <c r="O35" s="12"/>
      <c r="P35" s="12"/>
      <c r="Q35" s="12"/>
    </row>
    <row r="36" spans="1:17" ht="22.5" x14ac:dyDescent="0.2">
      <c r="A36" s="99">
        <f>IF(COUNTBLANK(B36)=1," ",COUNTA($B$13:B36))</f>
        <v>9</v>
      </c>
      <c r="B36" s="114" t="s">
        <v>48</v>
      </c>
      <c r="C36" s="264" t="s">
        <v>231</v>
      </c>
      <c r="D36" s="74" t="s">
        <v>50</v>
      </c>
      <c r="E36" s="178">
        <f>(16*3+6.4*6+1.3*14)</f>
        <v>104.60000000000001</v>
      </c>
      <c r="F36" s="102"/>
      <c r="G36" s="12"/>
      <c r="H36" s="12"/>
      <c r="I36" s="77"/>
      <c r="J36" s="12"/>
      <c r="K36" s="12"/>
      <c r="L36" s="12"/>
      <c r="M36" s="12"/>
      <c r="N36" s="12"/>
      <c r="O36" s="12"/>
      <c r="P36" s="12"/>
      <c r="Q36" s="12"/>
    </row>
    <row r="37" spans="1:17" ht="22.5" x14ac:dyDescent="0.2">
      <c r="A37" s="99">
        <f>IF(COUNTBLANK(B37)=1," ",COUNTA($B$13:B37))</f>
        <v>10</v>
      </c>
      <c r="B37" s="114" t="s">
        <v>48</v>
      </c>
      <c r="C37" s="264" t="s">
        <v>232</v>
      </c>
      <c r="D37" s="74" t="s">
        <v>50</v>
      </c>
      <c r="E37" s="178">
        <f>E36</f>
        <v>104.60000000000001</v>
      </c>
      <c r="F37" s="102"/>
      <c r="G37" s="12"/>
      <c r="H37" s="12"/>
      <c r="I37" s="77"/>
      <c r="J37" s="12"/>
      <c r="K37" s="12"/>
      <c r="L37" s="12"/>
      <c r="M37" s="12"/>
      <c r="N37" s="12"/>
      <c r="O37" s="12"/>
      <c r="P37" s="12"/>
      <c r="Q37" s="12"/>
    </row>
    <row r="38" spans="1:17" ht="22.5" x14ac:dyDescent="0.2">
      <c r="A38" s="99">
        <f>IF(COUNTBLANK(B38)=1," ",COUNTA($B$13:B38))</f>
        <v>11</v>
      </c>
      <c r="B38" s="114" t="s">
        <v>48</v>
      </c>
      <c r="C38" s="264" t="s">
        <v>233</v>
      </c>
      <c r="D38" s="74" t="s">
        <v>50</v>
      </c>
      <c r="E38" s="178">
        <f>12*15</f>
        <v>180</v>
      </c>
      <c r="F38" s="102"/>
      <c r="G38" s="12"/>
      <c r="H38" s="12"/>
      <c r="I38" s="77"/>
      <c r="J38" s="12"/>
      <c r="K38" s="12"/>
      <c r="L38" s="12"/>
      <c r="M38" s="12"/>
      <c r="N38" s="12"/>
      <c r="O38" s="12"/>
      <c r="P38" s="12"/>
      <c r="Q38" s="12"/>
    </row>
    <row r="39" spans="1:17" ht="22.5" x14ac:dyDescent="0.2">
      <c r="A39" s="99">
        <f>IF(COUNTBLANK(B39)=1," ",COUNTA($B$13:B39))</f>
        <v>12</v>
      </c>
      <c r="B39" s="114" t="s">
        <v>48</v>
      </c>
      <c r="C39" s="264" t="s">
        <v>234</v>
      </c>
      <c r="D39" s="74" t="s">
        <v>50</v>
      </c>
      <c r="E39" s="181">
        <f>E37</f>
        <v>104.60000000000001</v>
      </c>
      <c r="F39" s="102"/>
      <c r="G39" s="12"/>
      <c r="H39" s="12"/>
      <c r="I39" s="77"/>
      <c r="J39" s="12"/>
      <c r="K39" s="12"/>
      <c r="L39" s="12"/>
      <c r="M39" s="12"/>
      <c r="N39" s="12"/>
      <c r="O39" s="12"/>
      <c r="P39" s="12"/>
      <c r="Q39" s="12"/>
    </row>
    <row r="40" spans="1:17" ht="22.5" x14ac:dyDescent="0.2">
      <c r="A40" s="99">
        <f>IF(COUNTBLANK(B40)=1," ",COUNTA($B$13:B40))</f>
        <v>13</v>
      </c>
      <c r="B40" s="114" t="s">
        <v>48</v>
      </c>
      <c r="C40" s="264" t="s">
        <v>235</v>
      </c>
      <c r="D40" s="74" t="s">
        <v>153</v>
      </c>
      <c r="E40" s="178">
        <f>E36/0.7</f>
        <v>149.42857142857144</v>
      </c>
      <c r="F40" s="102"/>
      <c r="G40" s="12"/>
      <c r="H40" s="12"/>
      <c r="I40" s="77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1"/>
      <c r="B41" s="1"/>
      <c r="C41" s="23"/>
      <c r="D41" s="1"/>
      <c r="E41" s="182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2.5" x14ac:dyDescent="0.2">
      <c r="A42" s="1"/>
      <c r="B42" s="1"/>
      <c r="C42" s="225" t="s">
        <v>423</v>
      </c>
      <c r="D42" s="1"/>
      <c r="E42" s="174"/>
      <c r="F42" s="1"/>
      <c r="G42" s="1"/>
      <c r="H42" s="1"/>
      <c r="I42" s="1"/>
      <c r="J42" s="1"/>
      <c r="K42" s="1"/>
      <c r="L42" s="83"/>
      <c r="M42" s="83">
        <f>SUM(M14:M41)</f>
        <v>0</v>
      </c>
      <c r="N42" s="83">
        <f>SUM(N14:N41)</f>
        <v>0</v>
      </c>
      <c r="O42" s="83">
        <f>SUM(O14:O41)</f>
        <v>0</v>
      </c>
      <c r="P42" s="83">
        <f>SUM(P14:P41)</f>
        <v>0</v>
      </c>
      <c r="Q42" s="83">
        <f>SUM(Q14:Q41)</f>
        <v>0</v>
      </c>
    </row>
    <row r="43" spans="1:17" x14ac:dyDescent="0.2">
      <c r="A43" s="1"/>
      <c r="B43" s="1"/>
      <c r="C43" s="23"/>
      <c r="D43" s="1"/>
      <c r="E43" s="17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25"/>
      <c r="D44" s="1"/>
      <c r="E44" s="17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25"/>
      <c r="D45" s="1"/>
      <c r="E45" s="17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07"/>
    </row>
    <row r="46" spans="1:17" x14ac:dyDescent="0.2">
      <c r="M46" s="1"/>
      <c r="N46" s="1"/>
      <c r="O46" s="1"/>
      <c r="P46" s="1"/>
      <c r="Q46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71"/>
  <sheetViews>
    <sheetView view="pageBreakPreview" topLeftCell="A151" zoomScaleNormal="70" zoomScaleSheetLayoutView="100" workbookViewId="0">
      <selection activeCell="C163" sqref="C163"/>
    </sheetView>
  </sheetViews>
  <sheetFormatPr defaultColWidth="9" defaultRowHeight="11.25" x14ac:dyDescent="0.2"/>
  <cols>
    <col min="1" max="2" width="3.5703125" style="147" customWidth="1"/>
    <col min="3" max="3" width="43.5703125" style="147" customWidth="1"/>
    <col min="4" max="4" width="5.28515625" style="147" customWidth="1"/>
    <col min="5" max="5" width="5.28515625" style="172" customWidth="1"/>
    <col min="6" max="12" width="5.28515625" style="147" customWidth="1"/>
    <col min="13" max="13" width="6.42578125" style="147" customWidth="1"/>
    <col min="14" max="17" width="7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26">
        <v>10</v>
      </c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">
      <c r="A2" s="2"/>
      <c r="B2" s="26"/>
      <c r="C2" s="29" t="s">
        <v>308</v>
      </c>
      <c r="D2" s="2"/>
      <c r="E2" s="162"/>
      <c r="F2" s="2"/>
      <c r="G2" s="2"/>
      <c r="H2" s="2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">
      <c r="A3" s="2" t="s">
        <v>3</v>
      </c>
      <c r="B3" s="2"/>
      <c r="C3" s="2"/>
      <c r="D3" s="3"/>
      <c r="E3" s="163"/>
      <c r="F3" s="3"/>
      <c r="G3" s="3"/>
      <c r="H3" s="3"/>
      <c r="I3" s="82"/>
      <c r="J3" s="82"/>
      <c r="K3" s="82"/>
      <c r="L3" s="82"/>
      <c r="M3" s="83"/>
      <c r="N3" s="83"/>
      <c r="O3" s="83"/>
      <c r="P3" s="83"/>
      <c r="Q3" s="30"/>
    </row>
    <row r="4" spans="1:17" x14ac:dyDescent="0.2">
      <c r="A4" s="2" t="s">
        <v>4</v>
      </c>
      <c r="B4" s="2"/>
      <c r="C4" s="2"/>
      <c r="D4" s="3"/>
      <c r="E4" s="163"/>
      <c r="F4" s="3"/>
      <c r="G4" s="3"/>
      <c r="H4" s="3"/>
      <c r="I4" s="30"/>
      <c r="J4" s="30"/>
      <c r="K4" s="83"/>
      <c r="L4" s="83"/>
      <c r="M4" s="83"/>
      <c r="N4" s="83"/>
      <c r="O4" s="83"/>
      <c r="P4" s="83"/>
      <c r="Q4" s="30"/>
    </row>
    <row r="5" spans="1:17" x14ac:dyDescent="0.2">
      <c r="A5" s="2" t="s">
        <v>5</v>
      </c>
      <c r="B5" s="5"/>
      <c r="C5" s="2"/>
      <c r="D5" s="2"/>
      <c r="E5" s="163"/>
      <c r="F5" s="3"/>
      <c r="G5" s="2"/>
      <c r="H5" s="2"/>
      <c r="I5" s="30"/>
      <c r="J5" s="30"/>
      <c r="K5" s="83"/>
      <c r="L5" s="83"/>
      <c r="M5" s="83"/>
      <c r="N5" s="83"/>
      <c r="O5" s="83"/>
      <c r="P5" s="83"/>
      <c r="Q5" s="30"/>
    </row>
    <row r="6" spans="1:17" x14ac:dyDescent="0.2">
      <c r="A6" s="2" t="s">
        <v>6</v>
      </c>
      <c r="B6" s="5"/>
      <c r="C6" s="2"/>
      <c r="D6" s="2"/>
      <c r="E6" s="162"/>
      <c r="F6" s="2"/>
      <c r="G6" s="2"/>
      <c r="H6" s="2"/>
      <c r="I6" s="30"/>
      <c r="J6" s="30"/>
      <c r="K6" s="83"/>
      <c r="L6" s="83"/>
      <c r="M6" s="83"/>
      <c r="N6" s="83"/>
      <c r="O6" s="83"/>
      <c r="P6" s="83"/>
      <c r="Q6" s="30"/>
    </row>
    <row r="7" spans="1:17" x14ac:dyDescent="0.2">
      <c r="A7" s="2"/>
      <c r="B7" s="5"/>
      <c r="C7" s="2"/>
      <c r="D7" s="2"/>
      <c r="E7" s="162"/>
      <c r="F7" s="2"/>
      <c r="G7" s="2"/>
      <c r="H7" s="2"/>
      <c r="I7" s="30"/>
      <c r="J7" s="30"/>
      <c r="K7" s="83"/>
      <c r="L7" s="83"/>
      <c r="M7" s="83"/>
      <c r="N7" s="83"/>
      <c r="O7" s="83"/>
      <c r="P7" s="83"/>
      <c r="Q7" s="30"/>
    </row>
    <row r="8" spans="1:17" x14ac:dyDescent="0.2">
      <c r="A8" s="2" t="s">
        <v>535</v>
      </c>
      <c r="B8" s="25"/>
      <c r="C8" s="25"/>
      <c r="D8" s="25"/>
      <c r="E8" s="164" t="s">
        <v>309</v>
      </c>
      <c r="F8" s="26"/>
      <c r="G8" s="2" t="s">
        <v>29</v>
      </c>
      <c r="H8" s="2"/>
      <c r="I8" s="2"/>
      <c r="J8" s="2"/>
      <c r="K8" s="22"/>
      <c r="L8" s="22"/>
      <c r="M8" s="22"/>
      <c r="N8" s="22" t="s">
        <v>30</v>
      </c>
      <c r="O8" s="22"/>
      <c r="P8" s="30"/>
      <c r="Q8" s="30" t="s">
        <v>31</v>
      </c>
    </row>
    <row r="9" spans="1:17" x14ac:dyDescent="0.2">
      <c r="A9" s="29"/>
      <c r="B9" s="26"/>
      <c r="C9" s="81"/>
      <c r="D9" s="84"/>
      <c r="E9" s="165"/>
      <c r="F9" s="84"/>
      <c r="G9" s="1"/>
      <c r="H9" s="1"/>
      <c r="I9" s="1"/>
      <c r="J9" s="85"/>
      <c r="K9" s="1"/>
      <c r="L9" s="1"/>
      <c r="M9" s="1"/>
      <c r="N9" s="1"/>
      <c r="O9" s="1"/>
      <c r="P9" s="1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v>2</v>
      </c>
      <c r="C12" s="87">
        <v>3</v>
      </c>
      <c r="D12" s="86">
        <v>4</v>
      </c>
      <c r="E12" s="166">
        <v>5</v>
      </c>
      <c r="F12" s="86"/>
      <c r="G12" s="86">
        <v>6</v>
      </c>
      <c r="H12" s="86">
        <v>7</v>
      </c>
      <c r="I12" s="88">
        <v>8</v>
      </c>
      <c r="J12" s="89">
        <v>9</v>
      </c>
      <c r="K12" s="88">
        <v>10</v>
      </c>
      <c r="L12" s="88">
        <v>11</v>
      </c>
      <c r="M12" s="88">
        <v>12</v>
      </c>
      <c r="N12" s="88">
        <v>13</v>
      </c>
      <c r="O12" s="88">
        <v>14</v>
      </c>
      <c r="P12" s="88">
        <v>15</v>
      </c>
      <c r="Q12" s="88">
        <v>16</v>
      </c>
    </row>
    <row r="13" spans="1:17" x14ac:dyDescent="0.2">
      <c r="A13" s="90"/>
      <c r="B13" s="90"/>
      <c r="C13" s="91" t="s">
        <v>310</v>
      </c>
      <c r="D13" s="90"/>
      <c r="E13" s="167"/>
      <c r="F13" s="93"/>
      <c r="G13" s="94"/>
      <c r="H13" s="95"/>
      <c r="I13" s="96"/>
      <c r="J13" s="97"/>
      <c r="K13" s="98"/>
      <c r="L13" s="97"/>
      <c r="M13" s="98"/>
      <c r="N13" s="95"/>
      <c r="O13" s="95"/>
      <c r="P13" s="95"/>
      <c r="Q13" s="95"/>
    </row>
    <row r="14" spans="1:17" x14ac:dyDescent="0.2">
      <c r="A14" s="99">
        <v>1</v>
      </c>
      <c r="B14" s="74" t="s">
        <v>48</v>
      </c>
      <c r="C14" s="11" t="s">
        <v>311</v>
      </c>
      <c r="D14" s="99" t="s">
        <v>312</v>
      </c>
      <c r="E14" s="186">
        <v>1</v>
      </c>
      <c r="F14" s="33"/>
      <c r="G14" s="12"/>
      <c r="H14" s="12"/>
      <c r="I14" s="77"/>
      <c r="J14" s="12"/>
      <c r="K14" s="12"/>
      <c r="L14" s="77"/>
      <c r="M14" s="77"/>
      <c r="N14" s="77"/>
      <c r="O14" s="77"/>
      <c r="P14" s="77"/>
      <c r="Q14" s="77"/>
    </row>
    <row r="15" spans="1:17" x14ac:dyDescent="0.2">
      <c r="A15" s="41">
        <v>2</v>
      </c>
      <c r="B15" s="74" t="s">
        <v>48</v>
      </c>
      <c r="C15" s="11" t="s">
        <v>313</v>
      </c>
      <c r="D15" s="74" t="s">
        <v>312</v>
      </c>
      <c r="E15" s="186">
        <v>1</v>
      </c>
      <c r="F15" s="115"/>
      <c r="G15" s="12"/>
      <c r="H15" s="12"/>
      <c r="I15" s="77"/>
      <c r="J15" s="12"/>
      <c r="K15" s="12"/>
      <c r="L15" s="77"/>
      <c r="M15" s="77"/>
      <c r="N15" s="77"/>
      <c r="O15" s="77"/>
      <c r="P15" s="77"/>
      <c r="Q15" s="77"/>
    </row>
    <row r="16" spans="1:17" ht="22.5" x14ac:dyDescent="0.2">
      <c r="A16" s="99">
        <v>3</v>
      </c>
      <c r="B16" s="74" t="s">
        <v>48</v>
      </c>
      <c r="C16" s="11" t="s">
        <v>314</v>
      </c>
      <c r="D16" s="74" t="s">
        <v>50</v>
      </c>
      <c r="E16" s="186">
        <v>24</v>
      </c>
      <c r="F16" s="33"/>
      <c r="G16" s="12"/>
      <c r="H16" s="12"/>
      <c r="I16" s="77"/>
      <c r="J16" s="12"/>
      <c r="K16" s="12"/>
      <c r="L16" s="77"/>
      <c r="M16" s="77"/>
      <c r="N16" s="77"/>
      <c r="O16" s="77"/>
      <c r="P16" s="77"/>
      <c r="Q16" s="77"/>
    </row>
    <row r="17" spans="1:17" ht="22.5" x14ac:dyDescent="0.2">
      <c r="A17" s="41">
        <v>4</v>
      </c>
      <c r="B17" s="74" t="s">
        <v>48</v>
      </c>
      <c r="C17" s="11" t="s">
        <v>315</v>
      </c>
      <c r="D17" s="74" t="s">
        <v>50</v>
      </c>
      <c r="E17" s="186">
        <v>132</v>
      </c>
      <c r="F17" s="33"/>
      <c r="G17" s="12"/>
      <c r="H17" s="12"/>
      <c r="I17" s="77"/>
      <c r="J17" s="12"/>
      <c r="K17" s="12"/>
      <c r="L17" s="77"/>
      <c r="M17" s="77"/>
      <c r="N17" s="77"/>
      <c r="O17" s="77"/>
      <c r="P17" s="77"/>
      <c r="Q17" s="77"/>
    </row>
    <row r="18" spans="1:17" ht="22.5" x14ac:dyDescent="0.2">
      <c r="A18" s="99">
        <v>5</v>
      </c>
      <c r="B18" s="74" t="s">
        <v>48</v>
      </c>
      <c r="C18" s="11" t="s">
        <v>316</v>
      </c>
      <c r="D18" s="74" t="s">
        <v>50</v>
      </c>
      <c r="E18" s="186">
        <v>36</v>
      </c>
      <c r="F18" s="33"/>
      <c r="G18" s="12"/>
      <c r="H18" s="12"/>
      <c r="I18" s="77"/>
      <c r="J18" s="12"/>
      <c r="K18" s="12"/>
      <c r="L18" s="77"/>
      <c r="M18" s="77"/>
      <c r="N18" s="77"/>
      <c r="O18" s="77"/>
      <c r="P18" s="77"/>
      <c r="Q18" s="77"/>
    </row>
    <row r="19" spans="1:17" ht="22.5" x14ac:dyDescent="0.2">
      <c r="A19" s="41">
        <v>6</v>
      </c>
      <c r="B19" s="74" t="s">
        <v>48</v>
      </c>
      <c r="C19" s="11" t="s">
        <v>317</v>
      </c>
      <c r="D19" s="74" t="s">
        <v>50</v>
      </c>
      <c r="E19" s="186">
        <v>18</v>
      </c>
      <c r="F19" s="33"/>
      <c r="G19" s="12"/>
      <c r="H19" s="12"/>
      <c r="I19" s="77"/>
      <c r="J19" s="12"/>
      <c r="K19" s="12"/>
      <c r="L19" s="77"/>
      <c r="M19" s="77"/>
      <c r="N19" s="77"/>
      <c r="O19" s="77"/>
      <c r="P19" s="77"/>
      <c r="Q19" s="77"/>
    </row>
    <row r="20" spans="1:17" ht="22.5" x14ac:dyDescent="0.2">
      <c r="A20" s="99">
        <v>7</v>
      </c>
      <c r="B20" s="74" t="s">
        <v>48</v>
      </c>
      <c r="C20" s="11" t="s">
        <v>318</v>
      </c>
      <c r="D20" s="74" t="s">
        <v>50</v>
      </c>
      <c r="E20" s="186">
        <v>44</v>
      </c>
      <c r="F20" s="33"/>
      <c r="G20" s="12"/>
      <c r="H20" s="12"/>
      <c r="I20" s="77"/>
      <c r="J20" s="12"/>
      <c r="K20" s="12"/>
      <c r="L20" s="77"/>
      <c r="M20" s="77"/>
      <c r="N20" s="77"/>
      <c r="O20" s="77"/>
      <c r="P20" s="77"/>
      <c r="Q20" s="77"/>
    </row>
    <row r="21" spans="1:17" x14ac:dyDescent="0.2">
      <c r="A21" s="41">
        <v>8</v>
      </c>
      <c r="B21" s="74" t="s">
        <v>48</v>
      </c>
      <c r="C21" s="11" t="s">
        <v>319</v>
      </c>
      <c r="D21" s="74" t="s">
        <v>52</v>
      </c>
      <c r="E21" s="186">
        <v>2</v>
      </c>
      <c r="F21" s="33"/>
      <c r="G21" s="12"/>
      <c r="H21" s="12"/>
      <c r="I21" s="77"/>
      <c r="J21" s="12"/>
      <c r="K21" s="12"/>
      <c r="L21" s="77"/>
      <c r="M21" s="77"/>
      <c r="N21" s="77"/>
      <c r="O21" s="77"/>
      <c r="P21" s="77"/>
      <c r="Q21" s="77"/>
    </row>
    <row r="22" spans="1:17" x14ac:dyDescent="0.2">
      <c r="A22" s="99">
        <v>9</v>
      </c>
      <c r="B22" s="74" t="s">
        <v>48</v>
      </c>
      <c r="C22" s="11" t="s">
        <v>320</v>
      </c>
      <c r="D22" s="74" t="s">
        <v>52</v>
      </c>
      <c r="E22" s="186">
        <v>6</v>
      </c>
      <c r="F22" s="33"/>
      <c r="G22" s="12"/>
      <c r="H22" s="12"/>
      <c r="I22" s="77"/>
      <c r="J22" s="12"/>
      <c r="K22" s="12"/>
      <c r="L22" s="77"/>
      <c r="M22" s="77"/>
      <c r="N22" s="77"/>
      <c r="O22" s="77"/>
      <c r="P22" s="77"/>
      <c r="Q22" s="77"/>
    </row>
    <row r="23" spans="1:17" x14ac:dyDescent="0.2">
      <c r="A23" s="41">
        <v>10</v>
      </c>
      <c r="B23" s="74" t="s">
        <v>48</v>
      </c>
      <c r="C23" s="11" t="s">
        <v>321</v>
      </c>
      <c r="D23" s="74" t="s">
        <v>52</v>
      </c>
      <c r="E23" s="186">
        <v>6</v>
      </c>
      <c r="F23" s="33"/>
      <c r="G23" s="12"/>
      <c r="H23" s="12"/>
      <c r="I23" s="77"/>
      <c r="J23" s="12"/>
      <c r="K23" s="12"/>
      <c r="L23" s="77"/>
      <c r="M23" s="77"/>
      <c r="N23" s="77"/>
      <c r="O23" s="77"/>
      <c r="P23" s="77"/>
      <c r="Q23" s="77"/>
    </row>
    <row r="24" spans="1:17" ht="33.75" x14ac:dyDescent="0.2">
      <c r="A24" s="99">
        <v>11</v>
      </c>
      <c r="B24" s="74" t="s">
        <v>48</v>
      </c>
      <c r="C24" s="11" t="s">
        <v>322</v>
      </c>
      <c r="D24" s="74" t="s">
        <v>52</v>
      </c>
      <c r="E24" s="186">
        <v>3</v>
      </c>
      <c r="F24" s="33"/>
      <c r="G24" s="12"/>
      <c r="H24" s="12"/>
      <c r="I24" s="77"/>
      <c r="J24" s="12"/>
      <c r="K24" s="12"/>
      <c r="L24" s="77"/>
      <c r="M24" s="77"/>
      <c r="N24" s="77"/>
      <c r="O24" s="77"/>
      <c r="P24" s="77"/>
      <c r="Q24" s="77"/>
    </row>
    <row r="25" spans="1:17" ht="33.75" x14ac:dyDescent="0.2">
      <c r="A25" s="41">
        <v>12</v>
      </c>
      <c r="B25" s="74" t="s">
        <v>48</v>
      </c>
      <c r="C25" s="11" t="s">
        <v>323</v>
      </c>
      <c r="D25" s="74" t="s">
        <v>52</v>
      </c>
      <c r="E25" s="186">
        <v>3</v>
      </c>
      <c r="F25" s="33"/>
      <c r="G25" s="12"/>
      <c r="H25" s="12"/>
      <c r="I25" s="77"/>
      <c r="J25" s="12"/>
      <c r="K25" s="12"/>
      <c r="L25" s="77"/>
      <c r="M25" s="77"/>
      <c r="N25" s="77"/>
      <c r="O25" s="77"/>
      <c r="P25" s="77"/>
      <c r="Q25" s="77"/>
    </row>
    <row r="26" spans="1:17" ht="22.5" x14ac:dyDescent="0.2">
      <c r="A26" s="99">
        <v>13</v>
      </c>
      <c r="B26" s="74" t="s">
        <v>48</v>
      </c>
      <c r="C26" s="11" t="s">
        <v>324</v>
      </c>
      <c r="D26" s="74" t="s">
        <v>52</v>
      </c>
      <c r="E26" s="186">
        <v>4</v>
      </c>
      <c r="F26" s="33"/>
      <c r="G26" s="12"/>
      <c r="H26" s="12"/>
      <c r="I26" s="77"/>
      <c r="J26" s="12"/>
      <c r="K26" s="12"/>
      <c r="L26" s="77"/>
      <c r="M26" s="77"/>
      <c r="N26" s="77"/>
      <c r="O26" s="77"/>
      <c r="P26" s="77"/>
      <c r="Q26" s="77"/>
    </row>
    <row r="27" spans="1:17" ht="22.5" x14ac:dyDescent="0.2">
      <c r="A27" s="41">
        <v>14</v>
      </c>
      <c r="B27" s="74" t="s">
        <v>48</v>
      </c>
      <c r="C27" s="11" t="s">
        <v>325</v>
      </c>
      <c r="D27" s="74" t="s">
        <v>52</v>
      </c>
      <c r="E27" s="186">
        <v>6</v>
      </c>
      <c r="F27" s="33"/>
      <c r="G27" s="12"/>
      <c r="H27" s="12"/>
      <c r="I27" s="77"/>
      <c r="J27" s="12"/>
      <c r="K27" s="12"/>
      <c r="L27" s="77"/>
      <c r="M27" s="77"/>
      <c r="N27" s="77"/>
      <c r="O27" s="77"/>
      <c r="P27" s="77"/>
      <c r="Q27" s="77"/>
    </row>
    <row r="28" spans="1:17" ht="22.5" x14ac:dyDescent="0.2">
      <c r="A28" s="99">
        <v>15</v>
      </c>
      <c r="B28" s="74" t="s">
        <v>48</v>
      </c>
      <c r="C28" s="11" t="s">
        <v>326</v>
      </c>
      <c r="D28" s="74" t="s">
        <v>52</v>
      </c>
      <c r="E28" s="186">
        <v>6</v>
      </c>
      <c r="F28" s="33"/>
      <c r="G28" s="12"/>
      <c r="H28" s="12"/>
      <c r="I28" s="77"/>
      <c r="J28" s="12"/>
      <c r="K28" s="12"/>
      <c r="L28" s="77"/>
      <c r="M28" s="77"/>
      <c r="N28" s="77"/>
      <c r="O28" s="77"/>
      <c r="P28" s="77"/>
      <c r="Q28" s="77"/>
    </row>
    <row r="29" spans="1:17" x14ac:dyDescent="0.2">
      <c r="A29" s="41">
        <v>16</v>
      </c>
      <c r="B29" s="74" t="s">
        <v>48</v>
      </c>
      <c r="C29" s="11" t="s">
        <v>327</v>
      </c>
      <c r="D29" s="74" t="s">
        <v>52</v>
      </c>
      <c r="E29" s="186">
        <v>6</v>
      </c>
      <c r="F29" s="33"/>
      <c r="G29" s="12"/>
      <c r="H29" s="12"/>
      <c r="I29" s="77"/>
      <c r="J29" s="12"/>
      <c r="K29" s="12"/>
      <c r="L29" s="77"/>
      <c r="M29" s="77"/>
      <c r="N29" s="77"/>
      <c r="O29" s="77"/>
      <c r="P29" s="77"/>
      <c r="Q29" s="77"/>
    </row>
    <row r="30" spans="1:17" x14ac:dyDescent="0.2">
      <c r="A30" s="99">
        <v>17</v>
      </c>
      <c r="B30" s="74" t="s">
        <v>48</v>
      </c>
      <c r="C30" s="11" t="s">
        <v>328</v>
      </c>
      <c r="D30" s="74" t="s">
        <v>52</v>
      </c>
      <c r="E30" s="186">
        <v>12</v>
      </c>
      <c r="F30" s="33"/>
      <c r="G30" s="12"/>
      <c r="H30" s="12"/>
      <c r="I30" s="77"/>
      <c r="J30" s="12"/>
      <c r="K30" s="12"/>
      <c r="L30" s="77"/>
      <c r="M30" s="77"/>
      <c r="N30" s="77"/>
      <c r="O30" s="77"/>
      <c r="P30" s="77"/>
      <c r="Q30" s="77"/>
    </row>
    <row r="31" spans="1:17" x14ac:dyDescent="0.2">
      <c r="A31" s="41">
        <v>18</v>
      </c>
      <c r="B31" s="74" t="s">
        <v>48</v>
      </c>
      <c r="C31" s="11" t="s">
        <v>329</v>
      </c>
      <c r="D31" s="74" t="s">
        <v>52</v>
      </c>
      <c r="E31" s="186">
        <v>12</v>
      </c>
      <c r="F31" s="33"/>
      <c r="G31" s="12"/>
      <c r="H31" s="12"/>
      <c r="I31" s="77"/>
      <c r="J31" s="12"/>
      <c r="K31" s="12"/>
      <c r="L31" s="77"/>
      <c r="M31" s="77"/>
      <c r="N31" s="77"/>
      <c r="O31" s="77"/>
      <c r="P31" s="77"/>
      <c r="Q31" s="77"/>
    </row>
    <row r="32" spans="1:17" x14ac:dyDescent="0.2">
      <c r="A32" s="99">
        <v>19</v>
      </c>
      <c r="B32" s="74" t="s">
        <v>48</v>
      </c>
      <c r="C32" s="11" t="s">
        <v>330</v>
      </c>
      <c r="D32" s="74" t="s">
        <v>52</v>
      </c>
      <c r="E32" s="186">
        <v>6</v>
      </c>
      <c r="F32" s="33"/>
      <c r="G32" s="12"/>
      <c r="H32" s="12"/>
      <c r="I32" s="77"/>
      <c r="J32" s="12"/>
      <c r="K32" s="12"/>
      <c r="L32" s="77"/>
      <c r="M32" s="77"/>
      <c r="N32" s="77"/>
      <c r="O32" s="77"/>
      <c r="P32" s="77"/>
      <c r="Q32" s="77"/>
    </row>
    <row r="33" spans="1:17" x14ac:dyDescent="0.2">
      <c r="A33" s="41">
        <v>20</v>
      </c>
      <c r="B33" s="74" t="s">
        <v>48</v>
      </c>
      <c r="C33" s="11" t="s">
        <v>331</v>
      </c>
      <c r="D33" s="74" t="s">
        <v>52</v>
      </c>
      <c r="E33" s="186">
        <v>6</v>
      </c>
      <c r="F33" s="33"/>
      <c r="G33" s="12"/>
      <c r="H33" s="12"/>
      <c r="I33" s="77"/>
      <c r="J33" s="12"/>
      <c r="K33" s="12"/>
      <c r="L33" s="77"/>
      <c r="M33" s="77"/>
      <c r="N33" s="77"/>
      <c r="O33" s="77"/>
      <c r="P33" s="77"/>
      <c r="Q33" s="77"/>
    </row>
    <row r="34" spans="1:17" x14ac:dyDescent="0.2">
      <c r="A34" s="99">
        <v>21</v>
      </c>
      <c r="B34" s="74" t="s">
        <v>48</v>
      </c>
      <c r="C34" s="11" t="s">
        <v>332</v>
      </c>
      <c r="D34" s="74" t="s">
        <v>52</v>
      </c>
      <c r="E34" s="186">
        <v>24</v>
      </c>
      <c r="F34" s="33"/>
      <c r="G34" s="12"/>
      <c r="H34" s="12"/>
      <c r="I34" s="77"/>
      <c r="J34" s="12"/>
      <c r="K34" s="12"/>
      <c r="L34" s="77"/>
      <c r="M34" s="77"/>
      <c r="N34" s="77"/>
      <c r="O34" s="77"/>
      <c r="P34" s="77"/>
      <c r="Q34" s="77"/>
    </row>
    <row r="35" spans="1:17" x14ac:dyDescent="0.2">
      <c r="A35" s="41">
        <v>22</v>
      </c>
      <c r="B35" s="74" t="s">
        <v>48</v>
      </c>
      <c r="C35" s="11" t="s">
        <v>333</v>
      </c>
      <c r="D35" s="74" t="s">
        <v>52</v>
      </c>
      <c r="E35" s="186">
        <v>6</v>
      </c>
      <c r="F35" s="33"/>
      <c r="G35" s="12"/>
      <c r="H35" s="12"/>
      <c r="I35" s="77"/>
      <c r="J35" s="12"/>
      <c r="K35" s="12"/>
      <c r="L35" s="77"/>
      <c r="M35" s="77"/>
      <c r="N35" s="77"/>
      <c r="O35" s="77"/>
      <c r="P35" s="77"/>
      <c r="Q35" s="77"/>
    </row>
    <row r="36" spans="1:17" x14ac:dyDescent="0.2">
      <c r="A36" s="99">
        <v>23</v>
      </c>
      <c r="B36" s="74" t="s">
        <v>48</v>
      </c>
      <c r="C36" s="11" t="s">
        <v>334</v>
      </c>
      <c r="D36" s="74" t="s">
        <v>52</v>
      </c>
      <c r="E36" s="186">
        <v>6</v>
      </c>
      <c r="F36" s="33"/>
      <c r="G36" s="12"/>
      <c r="H36" s="12"/>
      <c r="I36" s="77"/>
      <c r="J36" s="12"/>
      <c r="K36" s="12"/>
      <c r="L36" s="77"/>
      <c r="M36" s="77"/>
      <c r="N36" s="77"/>
      <c r="O36" s="77"/>
      <c r="P36" s="77"/>
      <c r="Q36" s="77"/>
    </row>
    <row r="37" spans="1:17" x14ac:dyDescent="0.2">
      <c r="A37" s="41">
        <v>24</v>
      </c>
      <c r="B37" s="74" t="s">
        <v>48</v>
      </c>
      <c r="C37" s="11" t="s">
        <v>335</v>
      </c>
      <c r="D37" s="74" t="s">
        <v>52</v>
      </c>
      <c r="E37" s="186">
        <v>6</v>
      </c>
      <c r="F37" s="33"/>
      <c r="G37" s="12"/>
      <c r="H37" s="12"/>
      <c r="I37" s="77"/>
      <c r="J37" s="12"/>
      <c r="K37" s="12"/>
      <c r="L37" s="77"/>
      <c r="M37" s="77"/>
      <c r="N37" s="77"/>
      <c r="O37" s="77"/>
      <c r="P37" s="77"/>
      <c r="Q37" s="77"/>
    </row>
    <row r="38" spans="1:17" ht="22.5" x14ac:dyDescent="0.2">
      <c r="A38" s="99">
        <v>25</v>
      </c>
      <c r="B38" s="74" t="s">
        <v>48</v>
      </c>
      <c r="C38" s="11" t="s">
        <v>336</v>
      </c>
      <c r="D38" s="74" t="s">
        <v>52</v>
      </c>
      <c r="E38" s="186">
        <v>12</v>
      </c>
      <c r="F38" s="33"/>
      <c r="G38" s="12"/>
      <c r="H38" s="12"/>
      <c r="I38" s="77"/>
      <c r="J38" s="100"/>
      <c r="K38" s="12"/>
      <c r="L38" s="77"/>
      <c r="M38" s="77"/>
      <c r="N38" s="77"/>
      <c r="O38" s="77"/>
      <c r="P38" s="77"/>
      <c r="Q38" s="77"/>
    </row>
    <row r="39" spans="1:17" ht="22.5" x14ac:dyDescent="0.2">
      <c r="A39" s="41">
        <v>26</v>
      </c>
      <c r="B39" s="74" t="s">
        <v>48</v>
      </c>
      <c r="C39" s="11" t="s">
        <v>337</v>
      </c>
      <c r="D39" s="74" t="s">
        <v>52</v>
      </c>
      <c r="E39" s="186">
        <v>24</v>
      </c>
      <c r="F39" s="33"/>
      <c r="G39" s="12"/>
      <c r="H39" s="12"/>
      <c r="I39" s="77"/>
      <c r="J39" s="100"/>
      <c r="K39" s="12"/>
      <c r="L39" s="77"/>
      <c r="M39" s="77"/>
      <c r="N39" s="77"/>
      <c r="O39" s="77"/>
      <c r="P39" s="77"/>
      <c r="Q39" s="77"/>
    </row>
    <row r="40" spans="1:17" x14ac:dyDescent="0.2">
      <c r="A40" s="99">
        <v>27</v>
      </c>
      <c r="B40" s="74" t="s">
        <v>48</v>
      </c>
      <c r="C40" s="11" t="s">
        <v>338</v>
      </c>
      <c r="D40" s="74" t="s">
        <v>52</v>
      </c>
      <c r="E40" s="186">
        <v>6</v>
      </c>
      <c r="F40" s="33"/>
      <c r="G40" s="12"/>
      <c r="H40" s="12"/>
      <c r="I40" s="77"/>
      <c r="J40" s="12"/>
      <c r="K40" s="12"/>
      <c r="L40" s="77"/>
      <c r="M40" s="77"/>
      <c r="N40" s="77"/>
      <c r="O40" s="77"/>
      <c r="P40" s="77"/>
      <c r="Q40" s="77"/>
    </row>
    <row r="41" spans="1:17" ht="33.75" x14ac:dyDescent="0.2">
      <c r="A41" s="41">
        <v>28</v>
      </c>
      <c r="B41" s="74" t="s">
        <v>48</v>
      </c>
      <c r="C41" s="11" t="s">
        <v>339</v>
      </c>
      <c r="D41" s="74" t="s">
        <v>52</v>
      </c>
      <c r="E41" s="186">
        <v>4</v>
      </c>
      <c r="F41" s="33"/>
      <c r="G41" s="12"/>
      <c r="H41" s="12"/>
      <c r="I41" s="77"/>
      <c r="J41" s="12"/>
      <c r="K41" s="12"/>
      <c r="L41" s="77"/>
      <c r="M41" s="77"/>
      <c r="N41" s="77"/>
      <c r="O41" s="77"/>
      <c r="P41" s="77"/>
      <c r="Q41" s="77"/>
    </row>
    <row r="42" spans="1:17" ht="33.75" x14ac:dyDescent="0.2">
      <c r="A42" s="99">
        <v>29</v>
      </c>
      <c r="B42" s="74" t="s">
        <v>48</v>
      </c>
      <c r="C42" s="11" t="s">
        <v>340</v>
      </c>
      <c r="D42" s="74" t="s">
        <v>52</v>
      </c>
      <c r="E42" s="186">
        <v>30</v>
      </c>
      <c r="F42" s="33"/>
      <c r="G42" s="12"/>
      <c r="H42" s="12"/>
      <c r="I42" s="77"/>
      <c r="J42" s="12"/>
      <c r="K42" s="12"/>
      <c r="L42" s="77"/>
      <c r="M42" s="77"/>
      <c r="N42" s="77"/>
      <c r="O42" s="77"/>
      <c r="P42" s="77"/>
      <c r="Q42" s="77"/>
    </row>
    <row r="43" spans="1:17" ht="33.75" x14ac:dyDescent="0.2">
      <c r="A43" s="41">
        <v>30</v>
      </c>
      <c r="B43" s="74" t="s">
        <v>48</v>
      </c>
      <c r="C43" s="11" t="s">
        <v>341</v>
      </c>
      <c r="D43" s="74" t="s">
        <v>52</v>
      </c>
      <c r="E43" s="186">
        <v>12</v>
      </c>
      <c r="F43" s="33"/>
      <c r="G43" s="12"/>
      <c r="H43" s="12"/>
      <c r="I43" s="77"/>
      <c r="J43" s="12"/>
      <c r="K43" s="12"/>
      <c r="L43" s="77"/>
      <c r="M43" s="77"/>
      <c r="N43" s="77"/>
      <c r="O43" s="77"/>
      <c r="P43" s="77"/>
      <c r="Q43" s="77"/>
    </row>
    <row r="44" spans="1:17" ht="33.75" x14ac:dyDescent="0.2">
      <c r="A44" s="99">
        <v>31</v>
      </c>
      <c r="B44" s="74" t="s">
        <v>48</v>
      </c>
      <c r="C44" s="11" t="s">
        <v>342</v>
      </c>
      <c r="D44" s="74" t="s">
        <v>50</v>
      </c>
      <c r="E44" s="186">
        <v>24</v>
      </c>
      <c r="F44" s="33"/>
      <c r="G44" s="12"/>
      <c r="H44" s="12"/>
      <c r="I44" s="77"/>
      <c r="J44" s="12"/>
      <c r="K44" s="12"/>
      <c r="L44" s="77"/>
      <c r="M44" s="77"/>
      <c r="N44" s="77"/>
      <c r="O44" s="77"/>
      <c r="P44" s="77"/>
      <c r="Q44" s="77"/>
    </row>
    <row r="45" spans="1:17" ht="33.75" x14ac:dyDescent="0.2">
      <c r="A45" s="41">
        <v>32</v>
      </c>
      <c r="B45" s="74" t="s">
        <v>48</v>
      </c>
      <c r="C45" s="11" t="s">
        <v>343</v>
      </c>
      <c r="D45" s="74" t="s">
        <v>50</v>
      </c>
      <c r="E45" s="186">
        <v>132</v>
      </c>
      <c r="F45" s="33"/>
      <c r="G45" s="12"/>
      <c r="H45" s="12"/>
      <c r="I45" s="77"/>
      <c r="J45" s="12"/>
      <c r="K45" s="12"/>
      <c r="L45" s="77"/>
      <c r="M45" s="77"/>
      <c r="N45" s="77"/>
      <c r="O45" s="77"/>
      <c r="P45" s="77"/>
      <c r="Q45" s="77"/>
    </row>
    <row r="46" spans="1:17" ht="33.75" x14ac:dyDescent="0.2">
      <c r="A46" s="99">
        <v>33</v>
      </c>
      <c r="B46" s="74" t="s">
        <v>48</v>
      </c>
      <c r="C46" s="11" t="s">
        <v>344</v>
      </c>
      <c r="D46" s="74" t="s">
        <v>50</v>
      </c>
      <c r="E46" s="186">
        <v>36</v>
      </c>
      <c r="F46" s="33"/>
      <c r="G46" s="12"/>
      <c r="H46" s="12"/>
      <c r="I46" s="77"/>
      <c r="J46" s="12"/>
      <c r="K46" s="12"/>
      <c r="L46" s="77"/>
      <c r="M46" s="77"/>
      <c r="N46" s="77"/>
      <c r="O46" s="77"/>
      <c r="P46" s="77"/>
      <c r="Q46" s="77"/>
    </row>
    <row r="47" spans="1:17" ht="33.75" x14ac:dyDescent="0.2">
      <c r="A47" s="41">
        <v>34</v>
      </c>
      <c r="B47" s="74" t="s">
        <v>48</v>
      </c>
      <c r="C47" s="11" t="s">
        <v>345</v>
      </c>
      <c r="D47" s="74" t="s">
        <v>50</v>
      </c>
      <c r="E47" s="186">
        <v>18</v>
      </c>
      <c r="F47" s="33"/>
      <c r="G47" s="12"/>
      <c r="H47" s="12"/>
      <c r="I47" s="77"/>
      <c r="J47" s="12"/>
      <c r="K47" s="12"/>
      <c r="L47" s="77"/>
      <c r="M47" s="77"/>
      <c r="N47" s="77"/>
      <c r="O47" s="77"/>
      <c r="P47" s="77"/>
      <c r="Q47" s="77"/>
    </row>
    <row r="48" spans="1:17" ht="33.75" x14ac:dyDescent="0.2">
      <c r="A48" s="99">
        <v>35</v>
      </c>
      <c r="B48" s="74" t="s">
        <v>48</v>
      </c>
      <c r="C48" s="11" t="s">
        <v>346</v>
      </c>
      <c r="D48" s="74" t="s">
        <v>50</v>
      </c>
      <c r="E48" s="186">
        <v>44</v>
      </c>
      <c r="F48" s="33"/>
      <c r="G48" s="12"/>
      <c r="H48" s="12"/>
      <c r="I48" s="77"/>
      <c r="J48" s="12"/>
      <c r="K48" s="12"/>
      <c r="L48" s="77"/>
      <c r="M48" s="77"/>
      <c r="N48" s="77"/>
      <c r="O48" s="77"/>
      <c r="P48" s="77"/>
      <c r="Q48" s="77"/>
    </row>
    <row r="49" spans="1:17" x14ac:dyDescent="0.2">
      <c r="A49" s="41">
        <v>36</v>
      </c>
      <c r="B49" s="74" t="s">
        <v>48</v>
      </c>
      <c r="C49" s="11" t="s">
        <v>347</v>
      </c>
      <c r="D49" s="74" t="s">
        <v>64</v>
      </c>
      <c r="E49" s="186">
        <v>20</v>
      </c>
      <c r="F49" s="33"/>
      <c r="G49" s="12"/>
      <c r="H49" s="12"/>
      <c r="I49" s="77"/>
      <c r="J49" s="12"/>
      <c r="K49" s="12"/>
      <c r="L49" s="77"/>
      <c r="M49" s="77"/>
      <c r="N49" s="77"/>
      <c r="O49" s="77"/>
      <c r="P49" s="77"/>
      <c r="Q49" s="77"/>
    </row>
    <row r="50" spans="1:17" x14ac:dyDescent="0.2">
      <c r="A50" s="99">
        <v>37</v>
      </c>
      <c r="B50" s="74" t="s">
        <v>48</v>
      </c>
      <c r="C50" s="11" t="s">
        <v>348</v>
      </c>
      <c r="D50" s="74" t="s">
        <v>312</v>
      </c>
      <c r="E50" s="186">
        <v>1</v>
      </c>
      <c r="F50" s="33"/>
      <c r="G50" s="12"/>
      <c r="H50" s="12"/>
      <c r="I50" s="77"/>
      <c r="J50" s="12"/>
      <c r="K50" s="12"/>
      <c r="L50" s="77"/>
      <c r="M50" s="77"/>
      <c r="N50" s="77"/>
      <c r="O50" s="77"/>
      <c r="P50" s="77"/>
      <c r="Q50" s="77"/>
    </row>
    <row r="51" spans="1:17" x14ac:dyDescent="0.2">
      <c r="A51" s="41">
        <v>38</v>
      </c>
      <c r="B51" s="74" t="s">
        <v>48</v>
      </c>
      <c r="C51" s="11" t="s">
        <v>349</v>
      </c>
      <c r="D51" s="74" t="s">
        <v>312</v>
      </c>
      <c r="E51" s="186">
        <v>1</v>
      </c>
      <c r="F51" s="33"/>
      <c r="G51" s="12"/>
      <c r="H51" s="12"/>
      <c r="I51" s="77"/>
      <c r="J51" s="12"/>
      <c r="K51" s="12"/>
      <c r="L51" s="77"/>
      <c r="M51" s="77"/>
      <c r="N51" s="77"/>
      <c r="O51" s="77"/>
      <c r="P51" s="77"/>
      <c r="Q51" s="77"/>
    </row>
    <row r="52" spans="1:17" x14ac:dyDescent="0.2">
      <c r="A52" s="99">
        <v>39</v>
      </c>
      <c r="B52" s="74" t="s">
        <v>48</v>
      </c>
      <c r="C52" s="11" t="s">
        <v>350</v>
      </c>
      <c r="D52" s="74" t="s">
        <v>52</v>
      </c>
      <c r="E52" s="186">
        <v>10</v>
      </c>
      <c r="F52" s="33"/>
      <c r="G52" s="12"/>
      <c r="H52" s="12"/>
      <c r="I52" s="77"/>
      <c r="J52" s="12"/>
      <c r="K52" s="12"/>
      <c r="L52" s="77"/>
      <c r="M52" s="77"/>
      <c r="N52" s="77"/>
      <c r="O52" s="77"/>
      <c r="P52" s="77"/>
      <c r="Q52" s="77"/>
    </row>
    <row r="53" spans="1:17" ht="22.5" x14ac:dyDescent="0.2">
      <c r="A53" s="41">
        <v>40</v>
      </c>
      <c r="B53" s="74" t="s">
        <v>48</v>
      </c>
      <c r="C53" s="11" t="s">
        <v>351</v>
      </c>
      <c r="D53" s="74" t="s">
        <v>312</v>
      </c>
      <c r="E53" s="186">
        <v>1</v>
      </c>
      <c r="F53" s="33"/>
      <c r="G53" s="12"/>
      <c r="H53" s="12"/>
      <c r="I53" s="77"/>
      <c r="J53" s="12"/>
      <c r="K53" s="12"/>
      <c r="L53" s="77"/>
      <c r="M53" s="77"/>
      <c r="N53" s="77"/>
      <c r="O53" s="77"/>
      <c r="P53" s="77"/>
      <c r="Q53" s="77"/>
    </row>
    <row r="54" spans="1:17" x14ac:dyDescent="0.2">
      <c r="A54" s="90"/>
      <c r="B54" s="90"/>
      <c r="C54" s="148" t="s">
        <v>352</v>
      </c>
      <c r="D54" s="90"/>
      <c r="E54" s="169"/>
      <c r="F54" s="149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</row>
    <row r="55" spans="1:17" ht="22.5" x14ac:dyDescent="0.2">
      <c r="A55" s="99">
        <v>1</v>
      </c>
      <c r="B55" s="99" t="s">
        <v>48</v>
      </c>
      <c r="C55" s="11" t="s">
        <v>353</v>
      </c>
      <c r="D55" s="99" t="s">
        <v>312</v>
      </c>
      <c r="E55" s="170">
        <v>42</v>
      </c>
      <c r="F55" s="32"/>
      <c r="G55" s="12"/>
      <c r="H55" s="12"/>
      <c r="I55" s="77"/>
      <c r="J55" s="12"/>
      <c r="K55" s="12"/>
      <c r="L55" s="77"/>
      <c r="M55" s="77"/>
      <c r="N55" s="77"/>
      <c r="O55" s="77"/>
      <c r="P55" s="77"/>
      <c r="Q55" s="77"/>
    </row>
    <row r="56" spans="1:17" ht="45" x14ac:dyDescent="0.2">
      <c r="A56" s="99">
        <v>2</v>
      </c>
      <c r="B56" s="99" t="s">
        <v>48</v>
      </c>
      <c r="C56" s="337" t="s">
        <v>541</v>
      </c>
      <c r="D56" s="99" t="s">
        <v>312</v>
      </c>
      <c r="E56" s="170">
        <v>42</v>
      </c>
      <c r="F56" s="32"/>
      <c r="G56" s="12"/>
      <c r="H56" s="12"/>
      <c r="I56" s="77"/>
      <c r="J56" s="12"/>
      <c r="K56" s="12"/>
      <c r="L56" s="77"/>
      <c r="M56" s="77"/>
      <c r="N56" s="77"/>
      <c r="O56" s="77"/>
      <c r="P56" s="77"/>
      <c r="Q56" s="77"/>
    </row>
    <row r="57" spans="1:17" ht="22.5" x14ac:dyDescent="0.2">
      <c r="A57" s="120"/>
      <c r="B57" s="6"/>
      <c r="C57" s="338" t="s">
        <v>354</v>
      </c>
      <c r="D57" s="290"/>
      <c r="E57" s="291">
        <v>42</v>
      </c>
      <c r="F57" s="7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ht="101.25" x14ac:dyDescent="0.2">
      <c r="A58" s="99">
        <v>1</v>
      </c>
      <c r="B58" s="99" t="s">
        <v>48</v>
      </c>
      <c r="C58" s="339" t="s">
        <v>513</v>
      </c>
      <c r="D58" s="99" t="s">
        <v>312</v>
      </c>
      <c r="E58" s="186">
        <v>42</v>
      </c>
      <c r="F58" s="32">
        <v>1</v>
      </c>
      <c r="G58" s="12"/>
      <c r="H58" s="12"/>
      <c r="I58" s="77"/>
      <c r="J58" s="12"/>
      <c r="K58" s="12"/>
      <c r="L58" s="77"/>
      <c r="M58" s="77"/>
      <c r="N58" s="77"/>
      <c r="O58" s="77"/>
      <c r="P58" s="77"/>
      <c r="Q58" s="77"/>
    </row>
    <row r="59" spans="1:17" ht="45" x14ac:dyDescent="0.2">
      <c r="A59" s="99">
        <v>2</v>
      </c>
      <c r="B59" s="99" t="s">
        <v>48</v>
      </c>
      <c r="C59" s="340" t="s">
        <v>548</v>
      </c>
      <c r="D59" s="99" t="s">
        <v>312</v>
      </c>
      <c r="E59" s="186">
        <v>42</v>
      </c>
      <c r="F59" s="102">
        <v>1</v>
      </c>
      <c r="G59" s="12"/>
      <c r="H59" s="12"/>
      <c r="I59" s="77"/>
      <c r="J59" s="100"/>
      <c r="K59" s="12"/>
      <c r="L59" s="77"/>
      <c r="M59" s="77"/>
      <c r="N59" s="77"/>
      <c r="O59" s="77"/>
      <c r="P59" s="77"/>
      <c r="Q59" s="77"/>
    </row>
    <row r="60" spans="1:17" ht="22.5" x14ac:dyDescent="0.2">
      <c r="A60" s="99">
        <v>3</v>
      </c>
      <c r="B60" s="99" t="s">
        <v>48</v>
      </c>
      <c r="C60" s="277" t="s">
        <v>514</v>
      </c>
      <c r="D60" s="99" t="s">
        <v>52</v>
      </c>
      <c r="E60" s="186">
        <v>42</v>
      </c>
      <c r="F60" s="32">
        <v>1</v>
      </c>
      <c r="G60" s="12"/>
      <c r="H60" s="12"/>
      <c r="I60" s="77"/>
      <c r="J60" s="12"/>
      <c r="K60" s="12"/>
      <c r="L60" s="77"/>
      <c r="M60" s="77"/>
      <c r="N60" s="77"/>
      <c r="O60" s="77"/>
      <c r="P60" s="77"/>
      <c r="Q60" s="77"/>
    </row>
    <row r="61" spans="1:17" ht="22.5" x14ac:dyDescent="0.2">
      <c r="A61" s="99">
        <v>4</v>
      </c>
      <c r="B61" s="99" t="s">
        <v>48</v>
      </c>
      <c r="C61" s="264" t="s">
        <v>355</v>
      </c>
      <c r="D61" s="99" t="s">
        <v>52</v>
      </c>
      <c r="E61" s="186">
        <v>168</v>
      </c>
      <c r="F61" s="32">
        <v>4</v>
      </c>
      <c r="G61" s="12"/>
      <c r="H61" s="12"/>
      <c r="I61" s="77"/>
      <c r="J61" s="12"/>
      <c r="K61" s="12"/>
      <c r="L61" s="77"/>
      <c r="M61" s="77"/>
      <c r="N61" s="77"/>
      <c r="O61" s="77"/>
      <c r="P61" s="77"/>
      <c r="Q61" s="77"/>
    </row>
    <row r="62" spans="1:17" ht="22.5" x14ac:dyDescent="0.2">
      <c r="A62" s="99">
        <v>5</v>
      </c>
      <c r="B62" s="99" t="s">
        <v>48</v>
      </c>
      <c r="C62" s="11" t="s">
        <v>356</v>
      </c>
      <c r="D62" s="99" t="s">
        <v>52</v>
      </c>
      <c r="E62" s="186">
        <v>42</v>
      </c>
      <c r="F62" s="32">
        <v>1</v>
      </c>
      <c r="G62" s="12"/>
      <c r="H62" s="12"/>
      <c r="I62" s="77"/>
      <c r="J62" s="12"/>
      <c r="K62" s="12"/>
      <c r="L62" s="77"/>
      <c r="M62" s="77"/>
      <c r="N62" s="77"/>
      <c r="O62" s="77"/>
      <c r="P62" s="77"/>
      <c r="Q62" s="77"/>
    </row>
    <row r="63" spans="1:17" ht="22.5" x14ac:dyDescent="0.2">
      <c r="A63" s="99">
        <v>6</v>
      </c>
      <c r="B63" s="99" t="s">
        <v>48</v>
      </c>
      <c r="C63" s="11" t="s">
        <v>347</v>
      </c>
      <c r="D63" s="99" t="s">
        <v>64</v>
      </c>
      <c r="E63" s="186">
        <v>21</v>
      </c>
      <c r="F63" s="32">
        <v>0.5</v>
      </c>
      <c r="G63" s="12"/>
      <c r="H63" s="12"/>
      <c r="I63" s="77"/>
      <c r="J63" s="12"/>
      <c r="K63" s="12"/>
      <c r="L63" s="77"/>
      <c r="M63" s="77"/>
      <c r="N63" s="77"/>
      <c r="O63" s="77"/>
      <c r="P63" s="77"/>
      <c r="Q63" s="77"/>
    </row>
    <row r="64" spans="1:17" ht="22.5" x14ac:dyDescent="0.2">
      <c r="A64" s="99">
        <v>7</v>
      </c>
      <c r="B64" s="99" t="s">
        <v>48</v>
      </c>
      <c r="C64" s="11" t="s">
        <v>348</v>
      </c>
      <c r="D64" s="99" t="s">
        <v>312</v>
      </c>
      <c r="E64" s="186">
        <v>42</v>
      </c>
      <c r="F64" s="32">
        <v>1</v>
      </c>
      <c r="G64" s="12"/>
      <c r="H64" s="12"/>
      <c r="I64" s="77"/>
      <c r="J64" s="12"/>
      <c r="K64" s="12"/>
      <c r="L64" s="77"/>
      <c r="M64" s="77"/>
      <c r="N64" s="77"/>
      <c r="O64" s="77"/>
      <c r="P64" s="77"/>
      <c r="Q64" s="77"/>
    </row>
    <row r="65" spans="1:17" ht="22.5" x14ac:dyDescent="0.2">
      <c r="A65" s="99">
        <v>8</v>
      </c>
      <c r="B65" s="99" t="s">
        <v>48</v>
      </c>
      <c r="C65" s="11" t="s">
        <v>357</v>
      </c>
      <c r="D65" s="99" t="s">
        <v>312</v>
      </c>
      <c r="E65" s="186">
        <v>42</v>
      </c>
      <c r="F65" s="32">
        <v>1</v>
      </c>
      <c r="G65" s="12"/>
      <c r="H65" s="12"/>
      <c r="I65" s="77"/>
      <c r="J65" s="12"/>
      <c r="K65" s="12"/>
      <c r="L65" s="77"/>
      <c r="M65" s="77"/>
      <c r="N65" s="77"/>
      <c r="O65" s="77"/>
      <c r="P65" s="77"/>
      <c r="Q65" s="77"/>
    </row>
    <row r="66" spans="1:17" x14ac:dyDescent="0.2">
      <c r="A66" s="99"/>
      <c r="B66" s="99"/>
      <c r="C66" s="11"/>
      <c r="D66" s="41"/>
      <c r="E66" s="186"/>
      <c r="F66" s="41"/>
      <c r="G66" s="41"/>
      <c r="H66" s="41"/>
      <c r="I66" s="41"/>
      <c r="J66" s="12"/>
      <c r="K66" s="12"/>
      <c r="L66" s="77"/>
      <c r="M66" s="77"/>
      <c r="N66" s="77"/>
      <c r="O66" s="77"/>
      <c r="P66" s="77"/>
      <c r="Q66" s="77"/>
    </row>
    <row r="67" spans="1:17" x14ac:dyDescent="0.2">
      <c r="A67" s="145"/>
      <c r="B67" s="90"/>
      <c r="C67" s="91" t="s">
        <v>358</v>
      </c>
      <c r="D67" s="92"/>
      <c r="E67" s="167"/>
      <c r="F67" s="92"/>
      <c r="G67" s="92"/>
      <c r="H67" s="92"/>
      <c r="I67" s="92"/>
      <c r="J67" s="101"/>
      <c r="K67" s="101"/>
      <c r="L67" s="101"/>
      <c r="M67" s="101"/>
      <c r="N67" s="101"/>
      <c r="O67" s="101"/>
      <c r="P67" s="101"/>
      <c r="Q67" s="101"/>
    </row>
    <row r="68" spans="1:17" ht="33.75" x14ac:dyDescent="0.2">
      <c r="A68" s="41">
        <v>6</v>
      </c>
      <c r="B68" s="99" t="s">
        <v>48</v>
      </c>
      <c r="C68" s="277" t="s">
        <v>515</v>
      </c>
      <c r="D68" s="74" t="s">
        <v>312</v>
      </c>
      <c r="E68" s="186">
        <v>25</v>
      </c>
      <c r="F68" s="33">
        <v>5</v>
      </c>
      <c r="G68" s="12"/>
      <c r="H68" s="12"/>
      <c r="I68" s="77"/>
      <c r="J68" s="12"/>
      <c r="K68" s="12"/>
      <c r="L68" s="77"/>
      <c r="M68" s="77"/>
      <c r="N68" s="77"/>
      <c r="O68" s="77"/>
      <c r="P68" s="77"/>
      <c r="Q68" s="77"/>
    </row>
    <row r="69" spans="1:17" ht="22.5" x14ac:dyDescent="0.2">
      <c r="A69" s="41">
        <v>7</v>
      </c>
      <c r="B69" s="99" t="s">
        <v>48</v>
      </c>
      <c r="C69" s="341" t="s">
        <v>542</v>
      </c>
      <c r="D69" s="74" t="s">
        <v>52</v>
      </c>
      <c r="E69" s="186">
        <v>25</v>
      </c>
      <c r="F69" s="33">
        <v>5</v>
      </c>
      <c r="G69" s="12"/>
      <c r="H69" s="12"/>
      <c r="I69" s="77"/>
      <c r="J69" s="12"/>
      <c r="K69" s="12"/>
      <c r="L69" s="77"/>
      <c r="M69" s="77"/>
      <c r="N69" s="77"/>
      <c r="O69" s="77"/>
      <c r="P69" s="77"/>
      <c r="Q69" s="77"/>
    </row>
    <row r="70" spans="1:17" ht="22.5" x14ac:dyDescent="0.2">
      <c r="A70" s="41">
        <v>8</v>
      </c>
      <c r="B70" s="99" t="s">
        <v>48</v>
      </c>
      <c r="C70" s="11" t="s">
        <v>393</v>
      </c>
      <c r="D70" s="74" t="s">
        <v>50</v>
      </c>
      <c r="E70" s="186">
        <v>370</v>
      </c>
      <c r="F70" s="33">
        <v>74</v>
      </c>
      <c r="G70" s="12"/>
      <c r="H70" s="12"/>
      <c r="I70" s="77"/>
      <c r="J70" s="12"/>
      <c r="K70" s="12"/>
      <c r="L70" s="77"/>
      <c r="M70" s="77"/>
      <c r="N70" s="77"/>
      <c r="O70" s="77"/>
      <c r="P70" s="77"/>
      <c r="Q70" s="77"/>
    </row>
    <row r="71" spans="1:17" ht="22.5" x14ac:dyDescent="0.2">
      <c r="A71" s="41">
        <v>9</v>
      </c>
      <c r="B71" s="99" t="s">
        <v>48</v>
      </c>
      <c r="C71" s="11" t="s">
        <v>394</v>
      </c>
      <c r="D71" s="74" t="s">
        <v>52</v>
      </c>
      <c r="E71" s="186">
        <v>170</v>
      </c>
      <c r="F71" s="33">
        <v>34</v>
      </c>
      <c r="G71" s="12"/>
      <c r="H71" s="12"/>
      <c r="I71" s="77"/>
      <c r="J71" s="12"/>
      <c r="K71" s="12"/>
      <c r="L71" s="77"/>
      <c r="M71" s="77"/>
      <c r="N71" s="77"/>
      <c r="O71" s="77"/>
      <c r="P71" s="77"/>
      <c r="Q71" s="77"/>
    </row>
    <row r="72" spans="1:17" ht="22.5" x14ac:dyDescent="0.2">
      <c r="A72" s="41">
        <v>10</v>
      </c>
      <c r="B72" s="99" t="s">
        <v>48</v>
      </c>
      <c r="C72" s="11" t="s">
        <v>395</v>
      </c>
      <c r="D72" s="74" t="s">
        <v>52</v>
      </c>
      <c r="E72" s="186">
        <v>40</v>
      </c>
      <c r="F72" s="33">
        <v>8</v>
      </c>
      <c r="G72" s="12"/>
      <c r="H72" s="12"/>
      <c r="I72" s="77"/>
      <c r="J72" s="12"/>
      <c r="K72" s="12"/>
      <c r="L72" s="77"/>
      <c r="M72" s="77"/>
      <c r="N72" s="77"/>
      <c r="O72" s="77"/>
      <c r="P72" s="77"/>
      <c r="Q72" s="77"/>
    </row>
    <row r="73" spans="1:17" ht="22.5" x14ac:dyDescent="0.2">
      <c r="A73" s="41">
        <v>11</v>
      </c>
      <c r="B73" s="99" t="s">
        <v>48</v>
      </c>
      <c r="C73" s="11" t="s">
        <v>359</v>
      </c>
      <c r="D73" s="74" t="s">
        <v>52</v>
      </c>
      <c r="E73" s="186">
        <v>10</v>
      </c>
      <c r="F73" s="33">
        <v>2</v>
      </c>
      <c r="G73" s="12"/>
      <c r="H73" s="12"/>
      <c r="I73" s="77"/>
      <c r="J73" s="12"/>
      <c r="K73" s="12"/>
      <c r="L73" s="77"/>
      <c r="M73" s="77"/>
      <c r="N73" s="77"/>
      <c r="O73" s="77"/>
      <c r="P73" s="77"/>
      <c r="Q73" s="77"/>
    </row>
    <row r="74" spans="1:17" ht="22.5" x14ac:dyDescent="0.2">
      <c r="A74" s="41">
        <v>12</v>
      </c>
      <c r="B74" s="99" t="s">
        <v>48</v>
      </c>
      <c r="C74" s="11" t="s">
        <v>360</v>
      </c>
      <c r="D74" s="74" t="s">
        <v>50</v>
      </c>
      <c r="E74" s="186">
        <v>4</v>
      </c>
      <c r="F74" s="33">
        <v>0.8</v>
      </c>
      <c r="G74" s="12"/>
      <c r="H74" s="12"/>
      <c r="I74" s="77"/>
      <c r="J74" s="12"/>
      <c r="K74" s="12"/>
      <c r="L74" s="77"/>
      <c r="M74" s="77"/>
      <c r="N74" s="77"/>
      <c r="O74" s="77"/>
      <c r="P74" s="77"/>
      <c r="Q74" s="77"/>
    </row>
    <row r="75" spans="1:17" ht="22.5" x14ac:dyDescent="0.2">
      <c r="A75" s="41">
        <v>13</v>
      </c>
      <c r="B75" s="99" t="s">
        <v>48</v>
      </c>
      <c r="C75" s="11" t="s">
        <v>361</v>
      </c>
      <c r="D75" s="74" t="s">
        <v>52</v>
      </c>
      <c r="E75" s="186">
        <v>60</v>
      </c>
      <c r="F75" s="33">
        <v>12</v>
      </c>
      <c r="G75" s="12"/>
      <c r="H75" s="12"/>
      <c r="I75" s="77"/>
      <c r="J75" s="12"/>
      <c r="K75" s="12"/>
      <c r="L75" s="77"/>
      <c r="M75" s="77"/>
      <c r="N75" s="77"/>
      <c r="O75" s="77"/>
      <c r="P75" s="77"/>
      <c r="Q75" s="77"/>
    </row>
    <row r="76" spans="1:17" ht="22.5" x14ac:dyDescent="0.2">
      <c r="A76" s="41">
        <v>14</v>
      </c>
      <c r="B76" s="99" t="s">
        <v>48</v>
      </c>
      <c r="C76" s="11" t="s">
        <v>347</v>
      </c>
      <c r="D76" s="74" t="s">
        <v>64</v>
      </c>
      <c r="E76" s="186">
        <v>2.5</v>
      </c>
      <c r="F76" s="33">
        <v>0.5</v>
      </c>
      <c r="G76" s="12"/>
      <c r="H76" s="12"/>
      <c r="I76" s="77"/>
      <c r="J76" s="12"/>
      <c r="K76" s="12"/>
      <c r="L76" s="77"/>
      <c r="M76" s="77"/>
      <c r="N76" s="77"/>
      <c r="O76" s="77"/>
      <c r="P76" s="77"/>
      <c r="Q76" s="77"/>
    </row>
    <row r="77" spans="1:17" ht="22.5" x14ac:dyDescent="0.2">
      <c r="A77" s="41">
        <v>15</v>
      </c>
      <c r="B77" s="99" t="s">
        <v>48</v>
      </c>
      <c r="C77" s="11" t="s">
        <v>348</v>
      </c>
      <c r="D77" s="74" t="s">
        <v>312</v>
      </c>
      <c r="E77" s="186">
        <v>5</v>
      </c>
      <c r="F77" s="33">
        <v>1</v>
      </c>
      <c r="G77" s="12"/>
      <c r="H77" s="12"/>
      <c r="I77" s="77"/>
      <c r="J77" s="12"/>
      <c r="K77" s="12"/>
      <c r="L77" s="77"/>
      <c r="M77" s="77"/>
      <c r="N77" s="77"/>
      <c r="O77" s="77"/>
      <c r="P77" s="77"/>
      <c r="Q77" s="77"/>
    </row>
    <row r="78" spans="1:17" ht="22.5" x14ac:dyDescent="0.2">
      <c r="A78" s="41">
        <v>16</v>
      </c>
      <c r="B78" s="99" t="s">
        <v>48</v>
      </c>
      <c r="C78" s="11" t="s">
        <v>349</v>
      </c>
      <c r="D78" s="74" t="s">
        <v>312</v>
      </c>
      <c r="E78" s="186">
        <v>5</v>
      </c>
      <c r="F78" s="33">
        <v>1</v>
      </c>
      <c r="G78" s="12"/>
      <c r="H78" s="12"/>
      <c r="I78" s="77"/>
      <c r="J78" s="12"/>
      <c r="K78" s="12"/>
      <c r="L78" s="77"/>
      <c r="M78" s="77"/>
      <c r="N78" s="77"/>
      <c r="O78" s="77"/>
      <c r="P78" s="77"/>
      <c r="Q78" s="77"/>
    </row>
    <row r="79" spans="1:17" ht="22.5" x14ac:dyDescent="0.2">
      <c r="A79" s="41">
        <v>17</v>
      </c>
      <c r="B79" s="99" t="s">
        <v>48</v>
      </c>
      <c r="C79" s="11" t="s">
        <v>396</v>
      </c>
      <c r="D79" s="74" t="s">
        <v>52</v>
      </c>
      <c r="E79" s="186">
        <v>10</v>
      </c>
      <c r="F79" s="33">
        <v>2</v>
      </c>
      <c r="G79" s="12"/>
      <c r="H79" s="12"/>
      <c r="I79" s="77"/>
      <c r="J79" s="12"/>
      <c r="K79" s="12"/>
      <c r="L79" s="77"/>
      <c r="M79" s="77"/>
      <c r="N79" s="77"/>
      <c r="O79" s="77"/>
      <c r="P79" s="77"/>
      <c r="Q79" s="77"/>
    </row>
    <row r="80" spans="1:17" ht="22.5" x14ac:dyDescent="0.2">
      <c r="A80" s="103">
        <v>18</v>
      </c>
      <c r="B80" s="103" t="s">
        <v>48</v>
      </c>
      <c r="C80" s="27" t="s">
        <v>362</v>
      </c>
      <c r="D80" s="75" t="s">
        <v>50</v>
      </c>
      <c r="E80" s="171">
        <v>10.5</v>
      </c>
      <c r="F80" s="150">
        <v>2.1</v>
      </c>
      <c r="G80" s="100"/>
      <c r="H80" s="100"/>
      <c r="I80" s="77"/>
      <c r="J80" s="100"/>
      <c r="K80" s="100"/>
      <c r="L80" s="104"/>
      <c r="M80" s="104"/>
      <c r="N80" s="104"/>
      <c r="O80" s="104"/>
      <c r="P80" s="104"/>
      <c r="Q80" s="104"/>
    </row>
    <row r="81" spans="1:17" x14ac:dyDescent="0.2">
      <c r="A81" s="41"/>
      <c r="B81" s="99"/>
      <c r="C81" s="11"/>
      <c r="D81" s="41"/>
      <c r="E81" s="186"/>
      <c r="F81" s="41"/>
      <c r="G81" s="41"/>
      <c r="H81" s="41"/>
      <c r="I81" s="41"/>
      <c r="J81" s="12"/>
      <c r="K81" s="12"/>
      <c r="L81" s="77"/>
      <c r="M81" s="77"/>
      <c r="N81" s="77"/>
      <c r="O81" s="77"/>
      <c r="P81" s="77"/>
      <c r="Q81" s="77"/>
    </row>
    <row r="82" spans="1:17" x14ac:dyDescent="0.2">
      <c r="A82" s="92"/>
      <c r="B82" s="90"/>
      <c r="C82" s="91" t="s">
        <v>363</v>
      </c>
      <c r="D82" s="92"/>
      <c r="E82" s="167"/>
      <c r="F82" s="92"/>
      <c r="G82" s="92"/>
      <c r="H82" s="92"/>
      <c r="I82" s="92"/>
      <c r="J82" s="101"/>
      <c r="K82" s="101"/>
      <c r="L82" s="101"/>
      <c r="M82" s="101"/>
      <c r="N82" s="101"/>
      <c r="O82" s="101"/>
      <c r="P82" s="101"/>
      <c r="Q82" s="101"/>
    </row>
    <row r="83" spans="1:17" ht="33.75" x14ac:dyDescent="0.2">
      <c r="A83" s="41">
        <v>4</v>
      </c>
      <c r="B83" s="99" t="s">
        <v>48</v>
      </c>
      <c r="C83" s="277" t="s">
        <v>515</v>
      </c>
      <c r="D83" s="74"/>
      <c r="E83" s="186"/>
      <c r="F83" s="74"/>
      <c r="G83" s="74"/>
      <c r="H83" s="74"/>
      <c r="I83" s="74"/>
      <c r="J83" s="12"/>
      <c r="K83" s="12"/>
      <c r="L83" s="12"/>
      <c r="M83" s="12"/>
      <c r="N83" s="12"/>
      <c r="O83" s="12"/>
      <c r="P83" s="12"/>
      <c r="Q83" s="12"/>
    </row>
    <row r="84" spans="1:17" ht="22.5" x14ac:dyDescent="0.2">
      <c r="A84" s="41">
        <v>5</v>
      </c>
      <c r="B84" s="99" t="s">
        <v>48</v>
      </c>
      <c r="C84" s="341" t="s">
        <v>542</v>
      </c>
      <c r="D84" s="74" t="s">
        <v>52</v>
      </c>
      <c r="E84" s="186">
        <v>24</v>
      </c>
      <c r="F84" s="33">
        <v>4</v>
      </c>
      <c r="G84" s="12"/>
      <c r="H84" s="12"/>
      <c r="I84" s="77"/>
      <c r="J84" s="12"/>
      <c r="K84" s="12"/>
      <c r="L84" s="77"/>
      <c r="M84" s="77"/>
      <c r="N84" s="77"/>
      <c r="O84" s="77"/>
      <c r="P84" s="77"/>
      <c r="Q84" s="77"/>
    </row>
    <row r="85" spans="1:17" ht="22.5" x14ac:dyDescent="0.2">
      <c r="A85" s="99">
        <v>6</v>
      </c>
      <c r="B85" s="99" t="s">
        <v>48</v>
      </c>
      <c r="C85" s="11" t="s">
        <v>393</v>
      </c>
      <c r="D85" s="74" t="s">
        <v>50</v>
      </c>
      <c r="E85" s="186">
        <v>456</v>
      </c>
      <c r="F85" s="33">
        <v>76</v>
      </c>
      <c r="G85" s="12"/>
      <c r="H85" s="12"/>
      <c r="I85" s="77"/>
      <c r="J85" s="12"/>
      <c r="K85" s="12"/>
      <c r="L85" s="77"/>
      <c r="M85" s="77"/>
      <c r="N85" s="77"/>
      <c r="O85" s="77"/>
      <c r="P85" s="77"/>
      <c r="Q85" s="77"/>
    </row>
    <row r="86" spans="1:17" ht="22.5" x14ac:dyDescent="0.2">
      <c r="A86" s="41">
        <v>7</v>
      </c>
      <c r="B86" s="99" t="s">
        <v>48</v>
      </c>
      <c r="C86" s="11" t="s">
        <v>397</v>
      </c>
      <c r="D86" s="74" t="s">
        <v>52</v>
      </c>
      <c r="E86" s="186">
        <v>252</v>
      </c>
      <c r="F86" s="33">
        <v>42</v>
      </c>
      <c r="G86" s="12"/>
      <c r="H86" s="12"/>
      <c r="I86" s="77"/>
      <c r="J86" s="12"/>
      <c r="K86" s="12"/>
      <c r="L86" s="77"/>
      <c r="M86" s="77"/>
      <c r="N86" s="77"/>
      <c r="O86" s="77"/>
      <c r="P86" s="77"/>
      <c r="Q86" s="77"/>
    </row>
    <row r="87" spans="1:17" ht="22.5" x14ac:dyDescent="0.2">
      <c r="A87" s="99">
        <v>8</v>
      </c>
      <c r="B87" s="99" t="s">
        <v>48</v>
      </c>
      <c r="C87" s="11" t="s">
        <v>395</v>
      </c>
      <c r="D87" s="74" t="s">
        <v>52</v>
      </c>
      <c r="E87" s="186">
        <v>36</v>
      </c>
      <c r="F87" s="33">
        <v>6</v>
      </c>
      <c r="G87" s="12"/>
      <c r="H87" s="12"/>
      <c r="I87" s="77"/>
      <c r="J87" s="12"/>
      <c r="K87" s="12"/>
      <c r="L87" s="77"/>
      <c r="M87" s="77"/>
      <c r="N87" s="77"/>
      <c r="O87" s="77"/>
      <c r="P87" s="77"/>
      <c r="Q87" s="77"/>
    </row>
    <row r="88" spans="1:17" ht="22.5" x14ac:dyDescent="0.2">
      <c r="A88" s="41">
        <v>9</v>
      </c>
      <c r="B88" s="99" t="s">
        <v>48</v>
      </c>
      <c r="C88" s="11" t="s">
        <v>359</v>
      </c>
      <c r="D88" s="74" t="s">
        <v>52</v>
      </c>
      <c r="E88" s="186">
        <v>12</v>
      </c>
      <c r="F88" s="33">
        <v>2</v>
      </c>
      <c r="G88" s="12"/>
      <c r="H88" s="12"/>
      <c r="I88" s="77"/>
      <c r="J88" s="12"/>
      <c r="K88" s="12"/>
      <c r="L88" s="77"/>
      <c r="M88" s="77"/>
      <c r="N88" s="77"/>
      <c r="O88" s="77"/>
      <c r="P88" s="77"/>
      <c r="Q88" s="77"/>
    </row>
    <row r="89" spans="1:17" ht="22.5" x14ac:dyDescent="0.2">
      <c r="A89" s="41">
        <v>10</v>
      </c>
      <c r="B89" s="99" t="s">
        <v>48</v>
      </c>
      <c r="C89" s="11" t="s">
        <v>360</v>
      </c>
      <c r="D89" s="74" t="s">
        <v>50</v>
      </c>
      <c r="E89" s="186">
        <v>4</v>
      </c>
      <c r="F89" s="33">
        <v>0.8</v>
      </c>
      <c r="G89" s="12"/>
      <c r="H89" s="12"/>
      <c r="I89" s="77"/>
      <c r="J89" s="12"/>
      <c r="K89" s="12"/>
      <c r="L89" s="77"/>
      <c r="M89" s="77"/>
      <c r="N89" s="77"/>
      <c r="O89" s="77"/>
      <c r="P89" s="77"/>
      <c r="Q89" s="77"/>
    </row>
    <row r="90" spans="1:17" ht="22.5" x14ac:dyDescent="0.2">
      <c r="A90" s="41">
        <v>11</v>
      </c>
      <c r="B90" s="99" t="s">
        <v>48</v>
      </c>
      <c r="C90" s="11" t="s">
        <v>364</v>
      </c>
      <c r="D90" s="74" t="s">
        <v>52</v>
      </c>
      <c r="E90" s="186">
        <v>72</v>
      </c>
      <c r="F90" s="33">
        <v>12</v>
      </c>
      <c r="G90" s="12"/>
      <c r="H90" s="12"/>
      <c r="I90" s="77"/>
      <c r="J90" s="12"/>
      <c r="K90" s="12"/>
      <c r="L90" s="77"/>
      <c r="M90" s="77"/>
      <c r="N90" s="77"/>
      <c r="O90" s="77"/>
      <c r="P90" s="77"/>
      <c r="Q90" s="77"/>
    </row>
    <row r="91" spans="1:17" ht="22.5" x14ac:dyDescent="0.2">
      <c r="A91" s="99">
        <v>12</v>
      </c>
      <c r="B91" s="99" t="s">
        <v>48</v>
      </c>
      <c r="C91" s="11" t="s">
        <v>347</v>
      </c>
      <c r="D91" s="74" t="s">
        <v>64</v>
      </c>
      <c r="E91" s="186">
        <v>3</v>
      </c>
      <c r="F91" s="33">
        <v>0.5</v>
      </c>
      <c r="G91" s="12"/>
      <c r="H91" s="12"/>
      <c r="I91" s="77"/>
      <c r="J91" s="12"/>
      <c r="K91" s="12"/>
      <c r="L91" s="77"/>
      <c r="M91" s="77"/>
      <c r="N91" s="77"/>
      <c r="O91" s="77"/>
      <c r="P91" s="77"/>
      <c r="Q91" s="77"/>
    </row>
    <row r="92" spans="1:17" ht="22.5" x14ac:dyDescent="0.2">
      <c r="A92" s="41">
        <v>13</v>
      </c>
      <c r="B92" s="99" t="s">
        <v>48</v>
      </c>
      <c r="C92" s="11" t="s">
        <v>348</v>
      </c>
      <c r="D92" s="74" t="s">
        <v>312</v>
      </c>
      <c r="E92" s="186">
        <v>6</v>
      </c>
      <c r="F92" s="33">
        <v>1</v>
      </c>
      <c r="G92" s="12"/>
      <c r="H92" s="12"/>
      <c r="I92" s="77"/>
      <c r="J92" s="12"/>
      <c r="K92" s="12"/>
      <c r="L92" s="77"/>
      <c r="M92" s="77"/>
      <c r="N92" s="77"/>
      <c r="O92" s="77"/>
      <c r="P92" s="77"/>
      <c r="Q92" s="77"/>
    </row>
    <row r="93" spans="1:17" ht="22.5" x14ac:dyDescent="0.2">
      <c r="A93" s="41">
        <v>14</v>
      </c>
      <c r="B93" s="99" t="s">
        <v>48</v>
      </c>
      <c r="C93" s="11" t="s">
        <v>396</v>
      </c>
      <c r="D93" s="74" t="s">
        <v>52</v>
      </c>
      <c r="E93" s="186">
        <v>12</v>
      </c>
      <c r="F93" s="33">
        <v>2</v>
      </c>
      <c r="G93" s="12"/>
      <c r="H93" s="12"/>
      <c r="I93" s="77"/>
      <c r="J93" s="12"/>
      <c r="K93" s="12"/>
      <c r="L93" s="77"/>
      <c r="M93" s="77"/>
      <c r="N93" s="77"/>
      <c r="O93" s="77"/>
      <c r="P93" s="77"/>
      <c r="Q93" s="77"/>
    </row>
    <row r="94" spans="1:17" ht="22.5" x14ac:dyDescent="0.2">
      <c r="A94" s="41">
        <v>15</v>
      </c>
      <c r="B94" s="99" t="s">
        <v>48</v>
      </c>
      <c r="C94" s="11" t="s">
        <v>349</v>
      </c>
      <c r="D94" s="74" t="s">
        <v>312</v>
      </c>
      <c r="E94" s="186">
        <v>6</v>
      </c>
      <c r="F94" s="33">
        <v>1</v>
      </c>
      <c r="G94" s="12"/>
      <c r="H94" s="12"/>
      <c r="I94" s="77"/>
      <c r="J94" s="12"/>
      <c r="K94" s="12"/>
      <c r="L94" s="77"/>
      <c r="M94" s="77"/>
      <c r="N94" s="77"/>
      <c r="O94" s="77"/>
      <c r="P94" s="77"/>
      <c r="Q94" s="77"/>
    </row>
    <row r="95" spans="1:17" ht="22.5" x14ac:dyDescent="0.2">
      <c r="A95" s="103">
        <v>16</v>
      </c>
      <c r="B95" s="103" t="s">
        <v>48</v>
      </c>
      <c r="C95" s="27" t="s">
        <v>362</v>
      </c>
      <c r="D95" s="75" t="s">
        <v>50</v>
      </c>
      <c r="E95" s="171">
        <v>12.6</v>
      </c>
      <c r="F95" s="150">
        <v>2.1</v>
      </c>
      <c r="G95" s="100"/>
      <c r="H95" s="100"/>
      <c r="I95" s="77"/>
      <c r="J95" s="100"/>
      <c r="K95" s="100"/>
      <c r="L95" s="104"/>
      <c r="M95" s="104"/>
      <c r="N95" s="104"/>
      <c r="O95" s="104"/>
      <c r="P95" s="104"/>
      <c r="Q95" s="104"/>
    </row>
    <row r="96" spans="1:17" x14ac:dyDescent="0.2">
      <c r="A96" s="99"/>
      <c r="B96" s="99"/>
      <c r="C96" s="11"/>
      <c r="D96" s="41"/>
      <c r="E96" s="186"/>
      <c r="F96" s="41"/>
      <c r="G96" s="41"/>
      <c r="H96" s="41"/>
      <c r="I96" s="41"/>
      <c r="J96" s="41"/>
      <c r="K96" s="12"/>
      <c r="L96" s="77"/>
      <c r="M96" s="77"/>
      <c r="N96" s="77"/>
      <c r="O96" s="77"/>
      <c r="P96" s="77"/>
      <c r="Q96" s="77"/>
    </row>
    <row r="97" spans="1:17" x14ac:dyDescent="0.2">
      <c r="A97" s="146"/>
      <c r="B97" s="146"/>
      <c r="C97" s="91" t="s">
        <v>365</v>
      </c>
      <c r="D97" s="92"/>
      <c r="E97" s="167"/>
      <c r="F97" s="92"/>
      <c r="G97" s="92"/>
      <c r="H97" s="92"/>
      <c r="I97" s="92"/>
      <c r="J97" s="92"/>
      <c r="K97" s="101"/>
      <c r="L97" s="105"/>
      <c r="M97" s="105"/>
      <c r="N97" s="105"/>
      <c r="O97" s="105"/>
      <c r="P97" s="105"/>
      <c r="Q97" s="105"/>
    </row>
    <row r="98" spans="1:17" ht="33.75" x14ac:dyDescent="0.2">
      <c r="A98" s="41">
        <v>1</v>
      </c>
      <c r="B98" s="99" t="s">
        <v>48</v>
      </c>
      <c r="C98" s="277" t="s">
        <v>515</v>
      </c>
      <c r="D98" s="74" t="s">
        <v>312</v>
      </c>
      <c r="E98" s="186">
        <v>20</v>
      </c>
      <c r="F98" s="33">
        <v>4</v>
      </c>
      <c r="G98" s="12"/>
      <c r="H98" s="12"/>
      <c r="I98" s="77"/>
      <c r="J98" s="12"/>
      <c r="K98" s="12"/>
      <c r="L98" s="77"/>
      <c r="M98" s="77"/>
      <c r="N98" s="77"/>
      <c r="O98" s="77"/>
      <c r="P98" s="77"/>
      <c r="Q98" s="77"/>
    </row>
    <row r="99" spans="1:17" ht="22.5" x14ac:dyDescent="0.2">
      <c r="A99" s="41">
        <v>2</v>
      </c>
      <c r="B99" s="99" t="s">
        <v>48</v>
      </c>
      <c r="C99" s="341" t="s">
        <v>542</v>
      </c>
      <c r="D99" s="74" t="s">
        <v>52</v>
      </c>
      <c r="E99" s="186">
        <v>20</v>
      </c>
      <c r="F99" s="33">
        <v>4</v>
      </c>
      <c r="G99" s="12"/>
      <c r="H99" s="12"/>
      <c r="I99" s="77"/>
      <c r="J99" s="12"/>
      <c r="K99" s="12"/>
      <c r="L99" s="77"/>
      <c r="M99" s="77"/>
      <c r="N99" s="77"/>
      <c r="O99" s="77"/>
      <c r="P99" s="77"/>
      <c r="Q99" s="77"/>
    </row>
    <row r="100" spans="1:17" ht="22.5" x14ac:dyDescent="0.2">
      <c r="A100" s="41">
        <v>3</v>
      </c>
      <c r="B100" s="99" t="s">
        <v>48</v>
      </c>
      <c r="C100" s="11" t="s">
        <v>398</v>
      </c>
      <c r="D100" s="74" t="s">
        <v>50</v>
      </c>
      <c r="E100" s="186">
        <v>300</v>
      </c>
      <c r="F100" s="33">
        <v>60</v>
      </c>
      <c r="G100" s="12"/>
      <c r="H100" s="12"/>
      <c r="I100" s="77"/>
      <c r="J100" s="12"/>
      <c r="K100" s="12"/>
      <c r="L100" s="77"/>
      <c r="M100" s="77"/>
      <c r="N100" s="77"/>
      <c r="O100" s="77"/>
      <c r="P100" s="77"/>
      <c r="Q100" s="77"/>
    </row>
    <row r="101" spans="1:17" ht="22.5" x14ac:dyDescent="0.2">
      <c r="A101" s="41">
        <v>4</v>
      </c>
      <c r="B101" s="99" t="s">
        <v>48</v>
      </c>
      <c r="C101" s="11" t="s">
        <v>394</v>
      </c>
      <c r="D101" s="74" t="s">
        <v>52</v>
      </c>
      <c r="E101" s="186">
        <v>140</v>
      </c>
      <c r="F101" s="33">
        <v>28</v>
      </c>
      <c r="G101" s="12"/>
      <c r="H101" s="12"/>
      <c r="I101" s="77"/>
      <c r="J101" s="12"/>
      <c r="K101" s="12"/>
      <c r="L101" s="77"/>
      <c r="M101" s="77"/>
      <c r="N101" s="77"/>
      <c r="O101" s="77"/>
      <c r="P101" s="77"/>
      <c r="Q101" s="77"/>
    </row>
    <row r="102" spans="1:17" ht="22.5" x14ac:dyDescent="0.2">
      <c r="A102" s="41">
        <v>5</v>
      </c>
      <c r="B102" s="99" t="s">
        <v>48</v>
      </c>
      <c r="C102" s="11" t="s">
        <v>395</v>
      </c>
      <c r="D102" s="74" t="s">
        <v>52</v>
      </c>
      <c r="E102" s="186">
        <v>30</v>
      </c>
      <c r="F102" s="33">
        <v>6</v>
      </c>
      <c r="G102" s="12"/>
      <c r="H102" s="12"/>
      <c r="I102" s="77"/>
      <c r="J102" s="12"/>
      <c r="K102" s="12"/>
      <c r="L102" s="77"/>
      <c r="M102" s="77"/>
      <c r="N102" s="77"/>
      <c r="O102" s="77"/>
      <c r="P102" s="77"/>
      <c r="Q102" s="77"/>
    </row>
    <row r="103" spans="1:17" ht="22.5" x14ac:dyDescent="0.2">
      <c r="A103" s="41">
        <v>6</v>
      </c>
      <c r="B103" s="99" t="s">
        <v>48</v>
      </c>
      <c r="C103" s="11" t="s">
        <v>359</v>
      </c>
      <c r="D103" s="74" t="s">
        <v>52</v>
      </c>
      <c r="E103" s="186">
        <v>10</v>
      </c>
      <c r="F103" s="33">
        <v>2</v>
      </c>
      <c r="G103" s="12"/>
      <c r="H103" s="12"/>
      <c r="I103" s="77"/>
      <c r="J103" s="12"/>
      <c r="K103" s="12"/>
      <c r="L103" s="77"/>
      <c r="M103" s="77"/>
      <c r="N103" s="77"/>
      <c r="O103" s="77"/>
      <c r="P103" s="77"/>
      <c r="Q103" s="77"/>
    </row>
    <row r="104" spans="1:17" ht="22.5" x14ac:dyDescent="0.2">
      <c r="A104" s="41">
        <v>7</v>
      </c>
      <c r="B104" s="99" t="s">
        <v>48</v>
      </c>
      <c r="C104" s="11" t="s">
        <v>399</v>
      </c>
      <c r="D104" s="74" t="s">
        <v>52</v>
      </c>
      <c r="E104" s="186">
        <v>10</v>
      </c>
      <c r="F104" s="33">
        <v>2</v>
      </c>
      <c r="G104" s="12"/>
      <c r="H104" s="12"/>
      <c r="I104" s="77"/>
      <c r="J104" s="12"/>
      <c r="K104" s="12"/>
      <c r="L104" s="77"/>
      <c r="M104" s="77"/>
      <c r="N104" s="77"/>
      <c r="O104" s="77"/>
      <c r="P104" s="77"/>
      <c r="Q104" s="77"/>
    </row>
    <row r="105" spans="1:17" ht="22.5" x14ac:dyDescent="0.2">
      <c r="A105" s="41">
        <v>8</v>
      </c>
      <c r="B105" s="99" t="s">
        <v>48</v>
      </c>
      <c r="C105" s="11" t="s">
        <v>366</v>
      </c>
      <c r="D105" s="74" t="s">
        <v>50</v>
      </c>
      <c r="E105" s="186">
        <v>4</v>
      </c>
      <c r="F105" s="33">
        <v>0.8</v>
      </c>
      <c r="G105" s="12"/>
      <c r="H105" s="12"/>
      <c r="I105" s="77"/>
      <c r="J105" s="12"/>
      <c r="K105" s="12"/>
      <c r="L105" s="77"/>
      <c r="M105" s="77"/>
      <c r="N105" s="77"/>
      <c r="O105" s="77"/>
      <c r="P105" s="77"/>
      <c r="Q105" s="77"/>
    </row>
    <row r="106" spans="1:17" ht="22.5" x14ac:dyDescent="0.2">
      <c r="A106" s="41">
        <v>9</v>
      </c>
      <c r="B106" s="99" t="s">
        <v>48</v>
      </c>
      <c r="C106" s="11" t="s">
        <v>361</v>
      </c>
      <c r="D106" s="74" t="s">
        <v>52</v>
      </c>
      <c r="E106" s="186">
        <v>50</v>
      </c>
      <c r="F106" s="33">
        <v>10</v>
      </c>
      <c r="G106" s="12"/>
      <c r="H106" s="12"/>
      <c r="I106" s="77"/>
      <c r="J106" s="12"/>
      <c r="K106" s="12"/>
      <c r="L106" s="77"/>
      <c r="M106" s="77"/>
      <c r="N106" s="77"/>
      <c r="O106" s="77"/>
      <c r="P106" s="77"/>
      <c r="Q106" s="77"/>
    </row>
    <row r="107" spans="1:17" ht="22.5" x14ac:dyDescent="0.2">
      <c r="A107" s="41">
        <v>10</v>
      </c>
      <c r="B107" s="99" t="s">
        <v>48</v>
      </c>
      <c r="C107" s="11" t="s">
        <v>347</v>
      </c>
      <c r="D107" s="74" t="s">
        <v>64</v>
      </c>
      <c r="E107" s="186">
        <v>2.5</v>
      </c>
      <c r="F107" s="33">
        <v>0.5</v>
      </c>
      <c r="G107" s="12"/>
      <c r="H107" s="12"/>
      <c r="I107" s="77"/>
      <c r="J107" s="12"/>
      <c r="K107" s="12"/>
      <c r="L107" s="77"/>
      <c r="M107" s="77"/>
      <c r="N107" s="77"/>
      <c r="O107" s="77"/>
      <c r="P107" s="77"/>
      <c r="Q107" s="77"/>
    </row>
    <row r="108" spans="1:17" ht="22.5" x14ac:dyDescent="0.2">
      <c r="A108" s="41">
        <v>11</v>
      </c>
      <c r="B108" s="99" t="s">
        <v>48</v>
      </c>
      <c r="C108" s="11" t="s">
        <v>348</v>
      </c>
      <c r="D108" s="74" t="s">
        <v>312</v>
      </c>
      <c r="E108" s="186">
        <v>5</v>
      </c>
      <c r="F108" s="33">
        <v>1</v>
      </c>
      <c r="G108" s="12"/>
      <c r="H108" s="12"/>
      <c r="I108" s="77"/>
      <c r="J108" s="12"/>
      <c r="K108" s="12"/>
      <c r="L108" s="77"/>
      <c r="M108" s="77"/>
      <c r="N108" s="77"/>
      <c r="O108" s="77"/>
      <c r="P108" s="77"/>
      <c r="Q108" s="77"/>
    </row>
    <row r="109" spans="1:17" ht="22.5" x14ac:dyDescent="0.2">
      <c r="A109" s="41">
        <v>12</v>
      </c>
      <c r="B109" s="99" t="s">
        <v>48</v>
      </c>
      <c r="C109" s="11" t="s">
        <v>349</v>
      </c>
      <c r="D109" s="74" t="s">
        <v>312</v>
      </c>
      <c r="E109" s="186">
        <v>5</v>
      </c>
      <c r="F109" s="33">
        <v>1</v>
      </c>
      <c r="G109" s="12"/>
      <c r="H109" s="12"/>
      <c r="I109" s="77"/>
      <c r="J109" s="12"/>
      <c r="K109" s="12"/>
      <c r="L109" s="77"/>
      <c r="M109" s="77"/>
      <c r="N109" s="77"/>
      <c r="O109" s="77"/>
      <c r="P109" s="77"/>
      <c r="Q109" s="77"/>
    </row>
    <row r="110" spans="1:17" ht="22.5" x14ac:dyDescent="0.2">
      <c r="A110" s="75">
        <v>13</v>
      </c>
      <c r="B110" s="103" t="s">
        <v>48</v>
      </c>
      <c r="C110" s="27" t="s">
        <v>362</v>
      </c>
      <c r="D110" s="75" t="s">
        <v>50</v>
      </c>
      <c r="E110" s="171">
        <v>12.6</v>
      </c>
      <c r="F110" s="150">
        <v>2.1</v>
      </c>
      <c r="G110" s="100"/>
      <c r="H110" s="100"/>
      <c r="I110" s="77"/>
      <c r="J110" s="100"/>
      <c r="K110" s="100"/>
      <c r="L110" s="104"/>
      <c r="M110" s="104"/>
      <c r="N110" s="104"/>
      <c r="O110" s="104"/>
      <c r="P110" s="104"/>
      <c r="Q110" s="104"/>
    </row>
    <row r="111" spans="1:17" x14ac:dyDescent="0.2">
      <c r="A111" s="99"/>
      <c r="B111" s="99"/>
      <c r="C111" s="11"/>
      <c r="D111" s="41"/>
      <c r="E111" s="186"/>
      <c r="F111" s="41"/>
      <c r="G111" s="41"/>
      <c r="H111" s="41"/>
      <c r="I111" s="41"/>
      <c r="J111" s="12"/>
      <c r="K111" s="12"/>
      <c r="L111" s="77"/>
      <c r="M111" s="77"/>
      <c r="N111" s="77"/>
      <c r="O111" s="77"/>
      <c r="P111" s="77"/>
      <c r="Q111" s="77"/>
    </row>
    <row r="112" spans="1:17" ht="22.5" x14ac:dyDescent="0.2">
      <c r="A112" s="92"/>
      <c r="B112" s="90"/>
      <c r="C112" s="91" t="s">
        <v>367</v>
      </c>
      <c r="D112" s="92"/>
      <c r="E112" s="167"/>
      <c r="F112" s="92"/>
      <c r="G112" s="92"/>
      <c r="H112" s="92"/>
      <c r="I112" s="92"/>
      <c r="J112" s="92"/>
      <c r="K112" s="101"/>
      <c r="L112" s="105"/>
      <c r="M112" s="105"/>
      <c r="N112" s="105"/>
      <c r="O112" s="105"/>
      <c r="P112" s="105"/>
      <c r="Q112" s="105"/>
    </row>
    <row r="113" spans="1:17" ht="33.75" x14ac:dyDescent="0.2">
      <c r="A113" s="41">
        <v>4</v>
      </c>
      <c r="B113" s="99" t="s">
        <v>48</v>
      </c>
      <c r="C113" s="277" t="s">
        <v>515</v>
      </c>
      <c r="D113" s="74" t="s">
        <v>312</v>
      </c>
      <c r="E113" s="186">
        <v>30</v>
      </c>
      <c r="F113" s="33">
        <v>3</v>
      </c>
      <c r="G113" s="12"/>
      <c r="H113" s="12"/>
      <c r="I113" s="77"/>
      <c r="J113" s="12"/>
      <c r="K113" s="12"/>
      <c r="L113" s="77"/>
      <c r="M113" s="77"/>
      <c r="N113" s="77"/>
      <c r="O113" s="77"/>
      <c r="P113" s="77"/>
      <c r="Q113" s="77"/>
    </row>
    <row r="114" spans="1:17" ht="22.5" x14ac:dyDescent="0.2">
      <c r="A114" s="41">
        <v>5</v>
      </c>
      <c r="B114" s="99" t="s">
        <v>48</v>
      </c>
      <c r="C114" s="341" t="s">
        <v>542</v>
      </c>
      <c r="D114" s="74" t="s">
        <v>52</v>
      </c>
      <c r="E114" s="186">
        <v>30</v>
      </c>
      <c r="F114" s="33">
        <v>3</v>
      </c>
      <c r="G114" s="12"/>
      <c r="H114" s="12"/>
      <c r="I114" s="77"/>
      <c r="J114" s="12"/>
      <c r="K114" s="12"/>
      <c r="L114" s="77"/>
      <c r="M114" s="77"/>
      <c r="N114" s="77"/>
      <c r="O114" s="77"/>
      <c r="P114" s="77"/>
      <c r="Q114" s="77"/>
    </row>
    <row r="115" spans="1:17" ht="22.5" x14ac:dyDescent="0.2">
      <c r="A115" s="41">
        <v>6</v>
      </c>
      <c r="B115" s="99" t="s">
        <v>48</v>
      </c>
      <c r="C115" s="11" t="s">
        <v>400</v>
      </c>
      <c r="D115" s="74" t="s">
        <v>50</v>
      </c>
      <c r="E115" s="186">
        <v>540</v>
      </c>
      <c r="F115" s="33">
        <v>54</v>
      </c>
      <c r="G115" s="12"/>
      <c r="H115" s="12"/>
      <c r="I115" s="77"/>
      <c r="J115" s="12"/>
      <c r="K115" s="12"/>
      <c r="L115" s="77"/>
      <c r="M115" s="77"/>
      <c r="N115" s="77"/>
      <c r="O115" s="77"/>
      <c r="P115" s="77"/>
      <c r="Q115" s="77"/>
    </row>
    <row r="116" spans="1:17" ht="22.5" x14ac:dyDescent="0.2">
      <c r="A116" s="41">
        <v>7</v>
      </c>
      <c r="B116" s="99" t="s">
        <v>48</v>
      </c>
      <c r="C116" s="11" t="s">
        <v>394</v>
      </c>
      <c r="D116" s="74" t="s">
        <v>52</v>
      </c>
      <c r="E116" s="186">
        <v>200</v>
      </c>
      <c r="F116" s="33">
        <v>20</v>
      </c>
      <c r="G116" s="12"/>
      <c r="H116" s="12"/>
      <c r="I116" s="77"/>
      <c r="J116" s="12"/>
      <c r="K116" s="12"/>
      <c r="L116" s="77"/>
      <c r="M116" s="77"/>
      <c r="N116" s="77"/>
      <c r="O116" s="77"/>
      <c r="P116" s="77"/>
      <c r="Q116" s="77"/>
    </row>
    <row r="117" spans="1:17" ht="22.5" x14ac:dyDescent="0.2">
      <c r="A117" s="41">
        <v>8</v>
      </c>
      <c r="B117" s="99" t="s">
        <v>48</v>
      </c>
      <c r="C117" s="11" t="s">
        <v>395</v>
      </c>
      <c r="D117" s="74" t="s">
        <v>52</v>
      </c>
      <c r="E117" s="186">
        <v>40</v>
      </c>
      <c r="F117" s="33">
        <v>4</v>
      </c>
      <c r="G117" s="12"/>
      <c r="H117" s="12"/>
      <c r="I117" s="77"/>
      <c r="J117" s="12"/>
      <c r="K117" s="12"/>
      <c r="L117" s="77"/>
      <c r="M117" s="77"/>
      <c r="N117" s="77"/>
      <c r="O117" s="77"/>
      <c r="P117" s="77"/>
      <c r="Q117" s="77"/>
    </row>
    <row r="118" spans="1:17" ht="22.5" x14ac:dyDescent="0.2">
      <c r="A118" s="41">
        <v>9</v>
      </c>
      <c r="B118" s="99" t="s">
        <v>48</v>
      </c>
      <c r="C118" s="11" t="s">
        <v>359</v>
      </c>
      <c r="D118" s="74" t="s">
        <v>52</v>
      </c>
      <c r="E118" s="186">
        <v>20</v>
      </c>
      <c r="F118" s="33">
        <v>2</v>
      </c>
      <c r="G118" s="12"/>
      <c r="H118" s="12"/>
      <c r="I118" s="77"/>
      <c r="J118" s="12"/>
      <c r="K118" s="12"/>
      <c r="L118" s="77"/>
      <c r="M118" s="77"/>
      <c r="N118" s="77"/>
      <c r="O118" s="77"/>
      <c r="P118" s="77"/>
      <c r="Q118" s="77"/>
    </row>
    <row r="119" spans="1:17" ht="22.5" x14ac:dyDescent="0.2">
      <c r="A119" s="41">
        <v>10</v>
      </c>
      <c r="B119" s="99" t="s">
        <v>48</v>
      </c>
      <c r="C119" s="11" t="s">
        <v>399</v>
      </c>
      <c r="D119" s="74" t="s">
        <v>52</v>
      </c>
      <c r="E119" s="186">
        <v>20</v>
      </c>
      <c r="F119" s="33">
        <v>2</v>
      </c>
      <c r="G119" s="12"/>
      <c r="H119" s="12"/>
      <c r="I119" s="77"/>
      <c r="J119" s="12"/>
      <c r="K119" s="12"/>
      <c r="L119" s="77"/>
      <c r="M119" s="77"/>
      <c r="N119" s="77"/>
      <c r="O119" s="77"/>
      <c r="P119" s="77"/>
      <c r="Q119" s="77"/>
    </row>
    <row r="120" spans="1:17" ht="22.5" x14ac:dyDescent="0.2">
      <c r="A120" s="41">
        <v>11</v>
      </c>
      <c r="B120" s="99" t="s">
        <v>48</v>
      </c>
      <c r="C120" s="11" t="s">
        <v>366</v>
      </c>
      <c r="D120" s="74" t="s">
        <v>50</v>
      </c>
      <c r="E120" s="186">
        <v>8</v>
      </c>
      <c r="F120" s="33">
        <v>0.8</v>
      </c>
      <c r="G120" s="12"/>
      <c r="H120" s="12"/>
      <c r="I120" s="77"/>
      <c r="J120" s="12"/>
      <c r="K120" s="12"/>
      <c r="L120" s="77"/>
      <c r="M120" s="77"/>
      <c r="N120" s="77"/>
      <c r="O120" s="77"/>
      <c r="P120" s="77"/>
      <c r="Q120" s="77"/>
    </row>
    <row r="121" spans="1:17" ht="22.5" x14ac:dyDescent="0.2">
      <c r="A121" s="41">
        <v>12</v>
      </c>
      <c r="B121" s="99" t="s">
        <v>48</v>
      </c>
      <c r="C121" s="11" t="s">
        <v>361</v>
      </c>
      <c r="D121" s="74" t="s">
        <v>52</v>
      </c>
      <c r="E121" s="186">
        <v>100</v>
      </c>
      <c r="F121" s="33">
        <v>10</v>
      </c>
      <c r="G121" s="12"/>
      <c r="H121" s="12"/>
      <c r="I121" s="77"/>
      <c r="J121" s="12"/>
      <c r="K121" s="12"/>
      <c r="L121" s="77"/>
      <c r="M121" s="77"/>
      <c r="N121" s="77"/>
      <c r="O121" s="77"/>
      <c r="P121" s="77"/>
      <c r="Q121" s="77"/>
    </row>
    <row r="122" spans="1:17" ht="22.5" x14ac:dyDescent="0.2">
      <c r="A122" s="41">
        <v>13</v>
      </c>
      <c r="B122" s="99" t="s">
        <v>48</v>
      </c>
      <c r="C122" s="11" t="s">
        <v>347</v>
      </c>
      <c r="D122" s="74" t="s">
        <v>64</v>
      </c>
      <c r="E122" s="186">
        <v>5</v>
      </c>
      <c r="F122" s="33">
        <v>0.5</v>
      </c>
      <c r="G122" s="12"/>
      <c r="H122" s="12"/>
      <c r="I122" s="77"/>
      <c r="J122" s="12"/>
      <c r="K122" s="12"/>
      <c r="L122" s="77"/>
      <c r="M122" s="77"/>
      <c r="N122" s="77"/>
      <c r="O122" s="77"/>
      <c r="P122" s="77"/>
      <c r="Q122" s="77"/>
    </row>
    <row r="123" spans="1:17" ht="22.5" x14ac:dyDescent="0.2">
      <c r="A123" s="41">
        <v>14</v>
      </c>
      <c r="B123" s="99" t="s">
        <v>48</v>
      </c>
      <c r="C123" s="11" t="s">
        <v>348</v>
      </c>
      <c r="D123" s="74" t="s">
        <v>312</v>
      </c>
      <c r="E123" s="186">
        <v>10</v>
      </c>
      <c r="F123" s="33">
        <v>1</v>
      </c>
      <c r="G123" s="12"/>
      <c r="H123" s="12"/>
      <c r="I123" s="77"/>
      <c r="J123" s="12"/>
      <c r="K123" s="12"/>
      <c r="L123" s="77"/>
      <c r="M123" s="77"/>
      <c r="N123" s="77"/>
      <c r="O123" s="77"/>
      <c r="P123" s="77"/>
      <c r="Q123" s="77"/>
    </row>
    <row r="124" spans="1:17" ht="22.5" x14ac:dyDescent="0.2">
      <c r="A124" s="41">
        <v>15</v>
      </c>
      <c r="B124" s="99" t="s">
        <v>48</v>
      </c>
      <c r="C124" s="11" t="s">
        <v>349</v>
      </c>
      <c r="D124" s="74" t="s">
        <v>312</v>
      </c>
      <c r="E124" s="186">
        <v>10</v>
      </c>
      <c r="F124" s="33">
        <v>1</v>
      </c>
      <c r="G124" s="12"/>
      <c r="H124" s="12"/>
      <c r="I124" s="77"/>
      <c r="J124" s="12"/>
      <c r="K124" s="12"/>
      <c r="L124" s="77"/>
      <c r="M124" s="77"/>
      <c r="N124" s="77"/>
      <c r="O124" s="77"/>
      <c r="P124" s="77"/>
      <c r="Q124" s="77"/>
    </row>
    <row r="125" spans="1:17" ht="22.5" x14ac:dyDescent="0.2">
      <c r="A125" s="75">
        <v>16</v>
      </c>
      <c r="B125" s="103" t="s">
        <v>48</v>
      </c>
      <c r="C125" s="27" t="s">
        <v>362</v>
      </c>
      <c r="D125" s="75" t="s">
        <v>50</v>
      </c>
      <c r="E125" s="171">
        <v>14</v>
      </c>
      <c r="F125" s="150">
        <v>1.4</v>
      </c>
      <c r="G125" s="100"/>
      <c r="H125" s="100"/>
      <c r="I125" s="77"/>
      <c r="J125" s="100"/>
      <c r="K125" s="100"/>
      <c r="L125" s="104"/>
      <c r="M125" s="104"/>
      <c r="N125" s="104"/>
      <c r="O125" s="104"/>
      <c r="P125" s="104"/>
      <c r="Q125" s="104"/>
    </row>
    <row r="126" spans="1:17" x14ac:dyDescent="0.2">
      <c r="A126" s="41"/>
      <c r="B126" s="99"/>
      <c r="C126" s="11"/>
      <c r="D126" s="41"/>
      <c r="E126" s="186"/>
      <c r="F126" s="41"/>
      <c r="G126" s="41"/>
      <c r="H126" s="41"/>
      <c r="I126" s="41"/>
      <c r="J126" s="41"/>
      <c r="K126" s="12"/>
      <c r="L126" s="77"/>
      <c r="M126" s="77"/>
      <c r="N126" s="77"/>
      <c r="O126" s="77"/>
      <c r="P126" s="77"/>
      <c r="Q126" s="77"/>
    </row>
    <row r="127" spans="1:17" x14ac:dyDescent="0.2">
      <c r="A127" s="92"/>
      <c r="B127" s="90"/>
      <c r="C127" s="91" t="s">
        <v>368</v>
      </c>
      <c r="D127" s="92"/>
      <c r="E127" s="167"/>
      <c r="F127" s="92"/>
      <c r="G127" s="92"/>
      <c r="H127" s="92"/>
      <c r="I127" s="92"/>
      <c r="J127" s="92"/>
      <c r="K127" s="101"/>
      <c r="L127" s="105"/>
      <c r="M127" s="105"/>
      <c r="N127" s="105"/>
      <c r="O127" s="105"/>
      <c r="P127" s="105"/>
      <c r="Q127" s="105"/>
    </row>
    <row r="128" spans="1:17" ht="33.75" x14ac:dyDescent="0.2">
      <c r="A128" s="41">
        <v>3</v>
      </c>
      <c r="B128" s="99" t="s">
        <v>48</v>
      </c>
      <c r="C128" s="277" t="s">
        <v>515</v>
      </c>
      <c r="D128" s="74" t="s">
        <v>312</v>
      </c>
      <c r="E128" s="186">
        <v>16</v>
      </c>
      <c r="F128" s="33">
        <v>2</v>
      </c>
      <c r="G128" s="12"/>
      <c r="H128" s="12"/>
      <c r="I128" s="77"/>
      <c r="J128" s="12"/>
      <c r="K128" s="12"/>
      <c r="L128" s="77"/>
      <c r="M128" s="77"/>
      <c r="N128" s="77"/>
      <c r="O128" s="77"/>
      <c r="P128" s="77"/>
      <c r="Q128" s="77"/>
    </row>
    <row r="129" spans="1:17" ht="22.5" x14ac:dyDescent="0.2">
      <c r="A129" s="99">
        <v>4</v>
      </c>
      <c r="B129" s="99" t="s">
        <v>48</v>
      </c>
      <c r="C129" s="341" t="s">
        <v>542</v>
      </c>
      <c r="D129" s="74" t="s">
        <v>52</v>
      </c>
      <c r="E129" s="186">
        <v>16</v>
      </c>
      <c r="F129" s="33">
        <v>2</v>
      </c>
      <c r="G129" s="12"/>
      <c r="H129" s="12"/>
      <c r="I129" s="77"/>
      <c r="J129" s="12"/>
      <c r="K129" s="12"/>
      <c r="L129" s="77"/>
      <c r="M129" s="77"/>
      <c r="N129" s="77"/>
      <c r="O129" s="77"/>
      <c r="P129" s="77"/>
      <c r="Q129" s="77"/>
    </row>
    <row r="130" spans="1:17" ht="22.5" x14ac:dyDescent="0.2">
      <c r="A130" s="41">
        <v>5</v>
      </c>
      <c r="B130" s="99" t="s">
        <v>48</v>
      </c>
      <c r="C130" s="11" t="s">
        <v>401</v>
      </c>
      <c r="D130" s="74" t="s">
        <v>50</v>
      </c>
      <c r="E130" s="186">
        <v>400</v>
      </c>
      <c r="F130" s="33">
        <v>50</v>
      </c>
      <c r="G130" s="12"/>
      <c r="H130" s="12"/>
      <c r="I130" s="77"/>
      <c r="J130" s="12"/>
      <c r="K130" s="12"/>
      <c r="L130" s="77"/>
      <c r="M130" s="77"/>
      <c r="N130" s="77"/>
      <c r="O130" s="77"/>
      <c r="P130" s="77"/>
      <c r="Q130" s="77"/>
    </row>
    <row r="131" spans="1:17" ht="22.5" x14ac:dyDescent="0.2">
      <c r="A131" s="99">
        <v>6</v>
      </c>
      <c r="B131" s="99" t="s">
        <v>48</v>
      </c>
      <c r="C131" s="11" t="s">
        <v>402</v>
      </c>
      <c r="D131" s="74" t="s">
        <v>52</v>
      </c>
      <c r="E131" s="186">
        <v>16</v>
      </c>
      <c r="F131" s="33">
        <v>2</v>
      </c>
      <c r="G131" s="12"/>
      <c r="H131" s="12"/>
      <c r="I131" s="77"/>
      <c r="J131" s="12"/>
      <c r="K131" s="12"/>
      <c r="L131" s="77"/>
      <c r="M131" s="77"/>
      <c r="N131" s="77"/>
      <c r="O131" s="77"/>
      <c r="P131" s="77"/>
      <c r="Q131" s="77"/>
    </row>
    <row r="132" spans="1:17" ht="22.5" x14ac:dyDescent="0.2">
      <c r="A132" s="41">
        <v>7</v>
      </c>
      <c r="B132" s="99" t="s">
        <v>48</v>
      </c>
      <c r="C132" s="11" t="s">
        <v>397</v>
      </c>
      <c r="D132" s="74" t="s">
        <v>52</v>
      </c>
      <c r="E132" s="186">
        <v>160</v>
      </c>
      <c r="F132" s="33">
        <v>20</v>
      </c>
      <c r="G132" s="12"/>
      <c r="H132" s="12"/>
      <c r="I132" s="77"/>
      <c r="J132" s="12"/>
      <c r="K132" s="12"/>
      <c r="L132" s="77"/>
      <c r="M132" s="77"/>
      <c r="N132" s="77"/>
      <c r="O132" s="77"/>
      <c r="P132" s="77"/>
      <c r="Q132" s="77"/>
    </row>
    <row r="133" spans="1:17" ht="22.5" x14ac:dyDescent="0.2">
      <c r="A133" s="99">
        <v>8</v>
      </c>
      <c r="B133" s="99" t="s">
        <v>48</v>
      </c>
      <c r="C133" s="11" t="s">
        <v>403</v>
      </c>
      <c r="D133" s="74" t="s">
        <v>52</v>
      </c>
      <c r="E133" s="186">
        <v>16</v>
      </c>
      <c r="F133" s="33">
        <v>2</v>
      </c>
      <c r="G133" s="12"/>
      <c r="H133" s="12"/>
      <c r="I133" s="77"/>
      <c r="J133" s="12"/>
      <c r="K133" s="12"/>
      <c r="L133" s="77"/>
      <c r="M133" s="77"/>
      <c r="N133" s="77"/>
      <c r="O133" s="77"/>
      <c r="P133" s="77"/>
      <c r="Q133" s="77"/>
    </row>
    <row r="134" spans="1:17" ht="22.5" x14ac:dyDescent="0.2">
      <c r="A134" s="41">
        <v>9</v>
      </c>
      <c r="B134" s="99" t="s">
        <v>48</v>
      </c>
      <c r="C134" s="11" t="s">
        <v>359</v>
      </c>
      <c r="D134" s="74" t="s">
        <v>52</v>
      </c>
      <c r="E134" s="186">
        <v>16</v>
      </c>
      <c r="F134" s="33">
        <v>2</v>
      </c>
      <c r="G134" s="12"/>
      <c r="H134" s="12"/>
      <c r="I134" s="77"/>
      <c r="J134" s="12"/>
      <c r="K134" s="12"/>
      <c r="L134" s="77"/>
      <c r="M134" s="77"/>
      <c r="N134" s="77"/>
      <c r="O134" s="77"/>
      <c r="P134" s="77"/>
      <c r="Q134" s="77"/>
    </row>
    <row r="135" spans="1:17" ht="22.5" x14ac:dyDescent="0.2">
      <c r="A135" s="99">
        <v>10</v>
      </c>
      <c r="B135" s="99" t="s">
        <v>48</v>
      </c>
      <c r="C135" s="11" t="s">
        <v>366</v>
      </c>
      <c r="D135" s="74" t="s">
        <v>50</v>
      </c>
      <c r="E135" s="186">
        <v>64</v>
      </c>
      <c r="F135" s="33">
        <v>8</v>
      </c>
      <c r="G135" s="12"/>
      <c r="H135" s="12"/>
      <c r="I135" s="77"/>
      <c r="J135" s="12"/>
      <c r="K135" s="12"/>
      <c r="L135" s="77"/>
      <c r="M135" s="77"/>
      <c r="N135" s="77"/>
      <c r="O135" s="77"/>
      <c r="P135" s="77"/>
      <c r="Q135" s="77"/>
    </row>
    <row r="136" spans="1:17" ht="22.5" x14ac:dyDescent="0.2">
      <c r="A136" s="41">
        <v>11</v>
      </c>
      <c r="B136" s="99" t="s">
        <v>48</v>
      </c>
      <c r="C136" s="11" t="s">
        <v>361</v>
      </c>
      <c r="D136" s="74" t="s">
        <v>52</v>
      </c>
      <c r="E136" s="186">
        <v>48</v>
      </c>
      <c r="F136" s="33">
        <v>6</v>
      </c>
      <c r="G136" s="12"/>
      <c r="H136" s="12"/>
      <c r="I136" s="77"/>
      <c r="J136" s="12"/>
      <c r="K136" s="12"/>
      <c r="L136" s="77"/>
      <c r="M136" s="77"/>
      <c r="N136" s="77"/>
      <c r="O136" s="77"/>
      <c r="P136" s="77"/>
      <c r="Q136" s="77"/>
    </row>
    <row r="137" spans="1:17" ht="22.5" x14ac:dyDescent="0.2">
      <c r="A137" s="99">
        <v>12</v>
      </c>
      <c r="B137" s="99" t="s">
        <v>48</v>
      </c>
      <c r="C137" s="11" t="s">
        <v>347</v>
      </c>
      <c r="D137" s="74" t="s">
        <v>64</v>
      </c>
      <c r="E137" s="186">
        <v>4</v>
      </c>
      <c r="F137" s="33">
        <v>0.5</v>
      </c>
      <c r="G137" s="12"/>
      <c r="H137" s="12"/>
      <c r="I137" s="77"/>
      <c r="J137" s="12"/>
      <c r="K137" s="12"/>
      <c r="L137" s="77"/>
      <c r="M137" s="77"/>
      <c r="N137" s="77"/>
      <c r="O137" s="77"/>
      <c r="P137" s="77"/>
      <c r="Q137" s="77"/>
    </row>
    <row r="138" spans="1:17" ht="22.5" x14ac:dyDescent="0.2">
      <c r="A138" s="41">
        <v>13</v>
      </c>
      <c r="B138" s="99" t="s">
        <v>48</v>
      </c>
      <c r="C138" s="11" t="s">
        <v>348</v>
      </c>
      <c r="D138" s="74" t="s">
        <v>312</v>
      </c>
      <c r="E138" s="186">
        <v>8</v>
      </c>
      <c r="F138" s="33">
        <v>1</v>
      </c>
      <c r="G138" s="12"/>
      <c r="H138" s="12"/>
      <c r="I138" s="77"/>
      <c r="J138" s="12"/>
      <c r="K138" s="12"/>
      <c r="L138" s="77"/>
      <c r="M138" s="77"/>
      <c r="N138" s="77"/>
      <c r="O138" s="77"/>
      <c r="P138" s="77"/>
      <c r="Q138" s="77"/>
    </row>
    <row r="139" spans="1:17" ht="22.5" x14ac:dyDescent="0.2">
      <c r="A139" s="99">
        <v>14</v>
      </c>
      <c r="B139" s="99" t="s">
        <v>48</v>
      </c>
      <c r="C139" s="11" t="s">
        <v>349</v>
      </c>
      <c r="D139" s="74" t="s">
        <v>312</v>
      </c>
      <c r="E139" s="186">
        <v>8</v>
      </c>
      <c r="F139" s="33">
        <v>1</v>
      </c>
      <c r="G139" s="12"/>
      <c r="H139" s="12"/>
      <c r="I139" s="77"/>
      <c r="J139" s="12"/>
      <c r="K139" s="12"/>
      <c r="L139" s="77"/>
      <c r="M139" s="77"/>
      <c r="N139" s="77"/>
      <c r="O139" s="77"/>
      <c r="P139" s="77"/>
      <c r="Q139" s="77"/>
    </row>
    <row r="140" spans="1:17" ht="22.5" x14ac:dyDescent="0.2">
      <c r="A140" s="75">
        <v>15</v>
      </c>
      <c r="B140" s="103" t="s">
        <v>48</v>
      </c>
      <c r="C140" s="27" t="s">
        <v>362</v>
      </c>
      <c r="D140" s="75" t="s">
        <v>50</v>
      </c>
      <c r="E140" s="171">
        <v>5.6</v>
      </c>
      <c r="F140" s="150">
        <v>0.7</v>
      </c>
      <c r="G140" s="100"/>
      <c r="H140" s="100"/>
      <c r="I140" s="77"/>
      <c r="J140" s="100"/>
      <c r="K140" s="100"/>
      <c r="L140" s="104"/>
      <c r="M140" s="104"/>
      <c r="N140" s="104"/>
      <c r="O140" s="104"/>
      <c r="P140" s="104"/>
      <c r="Q140" s="104"/>
    </row>
    <row r="141" spans="1:17" x14ac:dyDescent="0.2">
      <c r="A141" s="41"/>
      <c r="B141" s="99"/>
      <c r="C141" s="11"/>
      <c r="D141" s="41"/>
      <c r="E141" s="186"/>
      <c r="F141" s="41"/>
      <c r="G141" s="41"/>
      <c r="H141" s="41"/>
      <c r="I141" s="41"/>
      <c r="J141" s="41"/>
      <c r="K141" s="12"/>
      <c r="L141" s="77"/>
      <c r="M141" s="77"/>
      <c r="N141" s="77"/>
      <c r="O141" s="77"/>
      <c r="P141" s="77"/>
      <c r="Q141" s="77"/>
    </row>
    <row r="142" spans="1:17" x14ac:dyDescent="0.2">
      <c r="A142" s="92"/>
      <c r="B142" s="90"/>
      <c r="C142" s="91" t="s">
        <v>369</v>
      </c>
      <c r="D142" s="92"/>
      <c r="E142" s="167"/>
      <c r="F142" s="92"/>
      <c r="G142" s="92"/>
      <c r="H142" s="92"/>
      <c r="I142" s="92"/>
      <c r="J142" s="92"/>
      <c r="K142" s="101"/>
      <c r="L142" s="105"/>
      <c r="M142" s="105"/>
      <c r="N142" s="105"/>
      <c r="O142" s="105"/>
      <c r="P142" s="105"/>
      <c r="Q142" s="105"/>
    </row>
    <row r="143" spans="1:17" ht="33.75" x14ac:dyDescent="0.2">
      <c r="A143" s="41">
        <v>2</v>
      </c>
      <c r="B143" s="99" t="s">
        <v>48</v>
      </c>
      <c r="C143" s="277" t="s">
        <v>515</v>
      </c>
      <c r="D143" s="74" t="s">
        <v>312</v>
      </c>
      <c r="E143" s="186">
        <v>12</v>
      </c>
      <c r="F143" s="33">
        <v>3</v>
      </c>
      <c r="G143" s="12"/>
      <c r="H143" s="12"/>
      <c r="I143" s="77"/>
      <c r="J143" s="12"/>
      <c r="K143" s="12"/>
      <c r="L143" s="77"/>
      <c r="M143" s="77"/>
      <c r="N143" s="77"/>
      <c r="O143" s="77"/>
      <c r="P143" s="77"/>
      <c r="Q143" s="77"/>
    </row>
    <row r="144" spans="1:17" ht="22.5" x14ac:dyDescent="0.2">
      <c r="A144" s="99">
        <v>3</v>
      </c>
      <c r="B144" s="99" t="s">
        <v>48</v>
      </c>
      <c r="C144" s="341" t="s">
        <v>542</v>
      </c>
      <c r="D144" s="74" t="s">
        <v>52</v>
      </c>
      <c r="E144" s="186">
        <v>12</v>
      </c>
      <c r="F144" s="33">
        <v>3</v>
      </c>
      <c r="G144" s="12"/>
      <c r="H144" s="12"/>
      <c r="I144" s="77"/>
      <c r="J144" s="12"/>
      <c r="K144" s="12"/>
      <c r="L144" s="77"/>
      <c r="M144" s="77"/>
      <c r="N144" s="77"/>
      <c r="O144" s="77"/>
      <c r="P144" s="77"/>
      <c r="Q144" s="77"/>
    </row>
    <row r="145" spans="1:17" ht="22.5" x14ac:dyDescent="0.2">
      <c r="A145" s="41">
        <v>4</v>
      </c>
      <c r="B145" s="99" t="s">
        <v>48</v>
      </c>
      <c r="C145" s="11" t="s">
        <v>404</v>
      </c>
      <c r="D145" s="74" t="s">
        <v>50</v>
      </c>
      <c r="E145" s="186">
        <v>200</v>
      </c>
      <c r="F145" s="33">
        <v>50</v>
      </c>
      <c r="G145" s="12"/>
      <c r="H145" s="12"/>
      <c r="I145" s="77"/>
      <c r="J145" s="12"/>
      <c r="K145" s="12"/>
      <c r="L145" s="77"/>
      <c r="M145" s="77"/>
      <c r="N145" s="77"/>
      <c r="O145" s="77"/>
      <c r="P145" s="77"/>
      <c r="Q145" s="77"/>
    </row>
    <row r="146" spans="1:17" ht="22.5" x14ac:dyDescent="0.2">
      <c r="A146" s="99">
        <v>5</v>
      </c>
      <c r="B146" s="99" t="s">
        <v>48</v>
      </c>
      <c r="C146" s="11" t="s">
        <v>394</v>
      </c>
      <c r="D146" s="74" t="s">
        <v>52</v>
      </c>
      <c r="E146" s="186">
        <v>48</v>
      </c>
      <c r="F146" s="33">
        <v>12</v>
      </c>
      <c r="G146" s="12"/>
      <c r="H146" s="12"/>
      <c r="I146" s="77"/>
      <c r="J146" s="12"/>
      <c r="K146" s="12"/>
      <c r="L146" s="77"/>
      <c r="M146" s="77"/>
      <c r="N146" s="77"/>
      <c r="O146" s="77"/>
      <c r="P146" s="77"/>
      <c r="Q146" s="77"/>
    </row>
    <row r="147" spans="1:17" ht="22.5" x14ac:dyDescent="0.2">
      <c r="A147" s="41">
        <v>6</v>
      </c>
      <c r="B147" s="99" t="s">
        <v>48</v>
      </c>
      <c r="C147" s="11" t="s">
        <v>405</v>
      </c>
      <c r="D147" s="74" t="s">
        <v>52</v>
      </c>
      <c r="E147" s="186">
        <v>16</v>
      </c>
      <c r="F147" s="33">
        <v>4</v>
      </c>
      <c r="G147" s="12"/>
      <c r="H147" s="12"/>
      <c r="I147" s="77"/>
      <c r="J147" s="12"/>
      <c r="K147" s="12"/>
      <c r="L147" s="77"/>
      <c r="M147" s="77"/>
      <c r="N147" s="77"/>
      <c r="O147" s="77"/>
      <c r="P147" s="77"/>
      <c r="Q147" s="77"/>
    </row>
    <row r="148" spans="1:17" ht="22.5" x14ac:dyDescent="0.2">
      <c r="A148" s="99">
        <v>7</v>
      </c>
      <c r="B148" s="99" t="s">
        <v>48</v>
      </c>
      <c r="C148" s="11" t="s">
        <v>399</v>
      </c>
      <c r="D148" s="74" t="s">
        <v>52</v>
      </c>
      <c r="E148" s="186">
        <v>8</v>
      </c>
      <c r="F148" s="33">
        <v>2</v>
      </c>
      <c r="G148" s="12"/>
      <c r="H148" s="12"/>
      <c r="I148" s="77"/>
      <c r="J148" s="12"/>
      <c r="K148" s="12"/>
      <c r="L148" s="77"/>
      <c r="M148" s="77"/>
      <c r="N148" s="77"/>
      <c r="O148" s="77"/>
      <c r="P148" s="77"/>
      <c r="Q148" s="77"/>
    </row>
    <row r="149" spans="1:17" ht="22.5" x14ac:dyDescent="0.2">
      <c r="A149" s="41">
        <v>8</v>
      </c>
      <c r="B149" s="99" t="s">
        <v>48</v>
      </c>
      <c r="C149" s="11" t="s">
        <v>359</v>
      </c>
      <c r="D149" s="74" t="s">
        <v>52</v>
      </c>
      <c r="E149" s="186">
        <v>8</v>
      </c>
      <c r="F149" s="33">
        <v>2</v>
      </c>
      <c r="G149" s="12"/>
      <c r="H149" s="12"/>
      <c r="I149" s="77"/>
      <c r="J149" s="12"/>
      <c r="K149" s="12"/>
      <c r="L149" s="77"/>
      <c r="M149" s="77"/>
      <c r="N149" s="77"/>
      <c r="O149" s="77"/>
      <c r="P149" s="77"/>
      <c r="Q149" s="77"/>
    </row>
    <row r="150" spans="1:17" ht="22.5" x14ac:dyDescent="0.2">
      <c r="A150" s="99">
        <v>9</v>
      </c>
      <c r="B150" s="99" t="s">
        <v>48</v>
      </c>
      <c r="C150" s="11" t="s">
        <v>366</v>
      </c>
      <c r="D150" s="74" t="s">
        <v>50</v>
      </c>
      <c r="E150" s="186">
        <v>32</v>
      </c>
      <c r="F150" s="33">
        <v>8</v>
      </c>
      <c r="G150" s="12"/>
      <c r="H150" s="12"/>
      <c r="I150" s="77"/>
      <c r="J150" s="12"/>
      <c r="K150" s="12"/>
      <c r="L150" s="77"/>
      <c r="M150" s="77"/>
      <c r="N150" s="77"/>
      <c r="O150" s="77"/>
      <c r="P150" s="77"/>
      <c r="Q150" s="77"/>
    </row>
    <row r="151" spans="1:17" ht="22.5" x14ac:dyDescent="0.2">
      <c r="A151" s="41">
        <v>10</v>
      </c>
      <c r="B151" s="99" t="s">
        <v>48</v>
      </c>
      <c r="C151" s="11" t="s">
        <v>361</v>
      </c>
      <c r="D151" s="74" t="s">
        <v>52</v>
      </c>
      <c r="E151" s="186">
        <v>32</v>
      </c>
      <c r="F151" s="33">
        <v>8</v>
      </c>
      <c r="G151" s="12"/>
      <c r="H151" s="12"/>
      <c r="I151" s="77"/>
      <c r="J151" s="12"/>
      <c r="K151" s="12"/>
      <c r="L151" s="77"/>
      <c r="M151" s="77"/>
      <c r="N151" s="77"/>
      <c r="O151" s="77"/>
      <c r="P151" s="77"/>
      <c r="Q151" s="77"/>
    </row>
    <row r="152" spans="1:17" ht="22.5" x14ac:dyDescent="0.2">
      <c r="A152" s="99">
        <v>11</v>
      </c>
      <c r="B152" s="99" t="s">
        <v>48</v>
      </c>
      <c r="C152" s="11" t="s">
        <v>347</v>
      </c>
      <c r="D152" s="74" t="s">
        <v>64</v>
      </c>
      <c r="E152" s="186">
        <v>2</v>
      </c>
      <c r="F152" s="33">
        <v>0.5</v>
      </c>
      <c r="G152" s="12"/>
      <c r="H152" s="12"/>
      <c r="I152" s="77"/>
      <c r="J152" s="12"/>
      <c r="K152" s="12"/>
      <c r="L152" s="77"/>
      <c r="M152" s="77"/>
      <c r="N152" s="77"/>
      <c r="O152" s="77"/>
      <c r="P152" s="77"/>
      <c r="Q152" s="77"/>
    </row>
    <row r="153" spans="1:17" ht="22.5" x14ac:dyDescent="0.2">
      <c r="A153" s="41">
        <v>12</v>
      </c>
      <c r="B153" s="99" t="s">
        <v>48</v>
      </c>
      <c r="C153" s="11" t="s">
        <v>348</v>
      </c>
      <c r="D153" s="74" t="s">
        <v>312</v>
      </c>
      <c r="E153" s="186">
        <v>4</v>
      </c>
      <c r="F153" s="33">
        <v>1</v>
      </c>
      <c r="G153" s="12"/>
      <c r="H153" s="12"/>
      <c r="I153" s="77"/>
      <c r="J153" s="12"/>
      <c r="K153" s="12"/>
      <c r="L153" s="77"/>
      <c r="M153" s="77"/>
      <c r="N153" s="77"/>
      <c r="O153" s="77"/>
      <c r="P153" s="77"/>
      <c r="Q153" s="77"/>
    </row>
    <row r="154" spans="1:17" ht="22.5" x14ac:dyDescent="0.2">
      <c r="A154" s="99">
        <v>13</v>
      </c>
      <c r="B154" s="99" t="s">
        <v>48</v>
      </c>
      <c r="C154" s="11" t="s">
        <v>349</v>
      </c>
      <c r="D154" s="74" t="s">
        <v>312</v>
      </c>
      <c r="E154" s="186">
        <v>4</v>
      </c>
      <c r="F154" s="33">
        <v>1</v>
      </c>
      <c r="G154" s="12"/>
      <c r="H154" s="12"/>
      <c r="I154" s="77"/>
      <c r="J154" s="12"/>
      <c r="K154" s="12"/>
      <c r="L154" s="77"/>
      <c r="M154" s="77"/>
      <c r="N154" s="77"/>
      <c r="O154" s="77"/>
      <c r="P154" s="77"/>
      <c r="Q154" s="77"/>
    </row>
    <row r="155" spans="1:17" ht="22.5" x14ac:dyDescent="0.2">
      <c r="A155" s="41">
        <v>14</v>
      </c>
      <c r="B155" s="99" t="s">
        <v>48</v>
      </c>
      <c r="C155" s="11" t="s">
        <v>362</v>
      </c>
      <c r="D155" s="74" t="s">
        <v>50</v>
      </c>
      <c r="E155" s="186">
        <v>2.8</v>
      </c>
      <c r="F155" s="32">
        <v>0.7</v>
      </c>
      <c r="G155" s="12"/>
      <c r="H155" s="12"/>
      <c r="I155" s="77"/>
      <c r="J155" s="12"/>
      <c r="K155" s="12"/>
      <c r="L155" s="77"/>
      <c r="M155" s="77"/>
      <c r="N155" s="77"/>
      <c r="O155" s="77"/>
      <c r="P155" s="77"/>
      <c r="Q155" s="77"/>
    </row>
    <row r="156" spans="1:17" x14ac:dyDescent="0.2">
      <c r="A156" s="41"/>
      <c r="B156" s="99"/>
      <c r="C156" s="11"/>
      <c r="D156" s="41"/>
      <c r="E156" s="186"/>
      <c r="F156" s="41"/>
      <c r="G156" s="41"/>
      <c r="H156" s="41"/>
      <c r="I156" s="41"/>
      <c r="J156" s="41"/>
      <c r="K156" s="12"/>
      <c r="L156" s="77"/>
      <c r="M156" s="77"/>
      <c r="N156" s="77"/>
      <c r="O156" s="77"/>
      <c r="P156" s="77"/>
      <c r="Q156" s="77"/>
    </row>
    <row r="157" spans="1:17" x14ac:dyDescent="0.2">
      <c r="A157" s="92"/>
      <c r="B157" s="90"/>
      <c r="C157" s="91" t="s">
        <v>370</v>
      </c>
      <c r="D157" s="92"/>
      <c r="E157" s="167"/>
      <c r="F157" s="92"/>
      <c r="G157" s="92"/>
      <c r="H157" s="92"/>
      <c r="I157" s="92"/>
      <c r="J157" s="92"/>
      <c r="K157" s="101"/>
      <c r="L157" s="105"/>
      <c r="M157" s="105"/>
      <c r="N157" s="105"/>
      <c r="O157" s="105"/>
      <c r="P157" s="105"/>
      <c r="Q157" s="105"/>
    </row>
    <row r="158" spans="1:17" ht="33.75" x14ac:dyDescent="0.2">
      <c r="A158" s="41">
        <v>4</v>
      </c>
      <c r="B158" s="99" t="s">
        <v>48</v>
      </c>
      <c r="C158" s="277" t="s">
        <v>515</v>
      </c>
      <c r="D158" s="74" t="s">
        <v>312</v>
      </c>
      <c r="E158" s="186">
        <v>12</v>
      </c>
      <c r="F158" s="33">
        <v>3</v>
      </c>
      <c r="G158" s="12"/>
      <c r="H158" s="12"/>
      <c r="I158" s="77"/>
      <c r="J158" s="12"/>
      <c r="K158" s="12"/>
      <c r="L158" s="77"/>
      <c r="M158" s="77"/>
      <c r="N158" s="77"/>
      <c r="O158" s="77"/>
      <c r="P158" s="77"/>
      <c r="Q158" s="77"/>
    </row>
    <row r="159" spans="1:17" ht="22.5" x14ac:dyDescent="0.2">
      <c r="A159" s="41">
        <v>5</v>
      </c>
      <c r="B159" s="99" t="s">
        <v>48</v>
      </c>
      <c r="C159" s="341" t="s">
        <v>542</v>
      </c>
      <c r="D159" s="74" t="s">
        <v>52</v>
      </c>
      <c r="E159" s="186">
        <v>12</v>
      </c>
      <c r="F159" s="33">
        <v>3</v>
      </c>
      <c r="G159" s="12"/>
      <c r="H159" s="12"/>
      <c r="I159" s="77"/>
      <c r="J159" s="12"/>
      <c r="K159" s="12"/>
      <c r="L159" s="77"/>
      <c r="M159" s="77"/>
      <c r="N159" s="77"/>
      <c r="O159" s="77"/>
      <c r="P159" s="77"/>
      <c r="Q159" s="77"/>
    </row>
    <row r="160" spans="1:17" ht="22.5" x14ac:dyDescent="0.2">
      <c r="A160" s="41">
        <v>6</v>
      </c>
      <c r="B160" s="99" t="s">
        <v>48</v>
      </c>
      <c r="C160" s="11" t="s">
        <v>404</v>
      </c>
      <c r="D160" s="74" t="s">
        <v>50</v>
      </c>
      <c r="E160" s="186">
        <v>256</v>
      </c>
      <c r="F160" s="33">
        <v>64</v>
      </c>
      <c r="G160" s="12"/>
      <c r="H160" s="12"/>
      <c r="I160" s="77"/>
      <c r="J160" s="12"/>
      <c r="K160" s="12"/>
      <c r="L160" s="77"/>
      <c r="M160" s="77"/>
      <c r="N160" s="77"/>
      <c r="O160" s="77"/>
      <c r="P160" s="77"/>
      <c r="Q160" s="77"/>
    </row>
    <row r="161" spans="1:17" ht="22.5" x14ac:dyDescent="0.2">
      <c r="A161" s="41">
        <v>7</v>
      </c>
      <c r="B161" s="99" t="s">
        <v>48</v>
      </c>
      <c r="C161" s="11" t="s">
        <v>394</v>
      </c>
      <c r="D161" s="74" t="s">
        <v>52</v>
      </c>
      <c r="E161" s="186">
        <v>88</v>
      </c>
      <c r="F161" s="33">
        <v>22</v>
      </c>
      <c r="G161" s="12"/>
      <c r="H161" s="12"/>
      <c r="I161" s="77"/>
      <c r="J161" s="12"/>
      <c r="K161" s="12"/>
      <c r="L161" s="77"/>
      <c r="M161" s="77"/>
      <c r="N161" s="77"/>
      <c r="O161" s="77"/>
      <c r="P161" s="77"/>
      <c r="Q161" s="77"/>
    </row>
    <row r="162" spans="1:17" ht="22.5" x14ac:dyDescent="0.2">
      <c r="A162" s="41">
        <v>8</v>
      </c>
      <c r="B162" s="99" t="s">
        <v>48</v>
      </c>
      <c r="C162" s="11" t="s">
        <v>405</v>
      </c>
      <c r="D162" s="74" t="s">
        <v>52</v>
      </c>
      <c r="E162" s="186">
        <v>16</v>
      </c>
      <c r="F162" s="33">
        <v>4</v>
      </c>
      <c r="G162" s="12"/>
      <c r="H162" s="12"/>
      <c r="I162" s="77"/>
      <c r="J162" s="12"/>
      <c r="K162" s="12"/>
      <c r="L162" s="77"/>
      <c r="M162" s="77"/>
      <c r="N162" s="77"/>
      <c r="O162" s="77"/>
      <c r="P162" s="77"/>
      <c r="Q162" s="77"/>
    </row>
    <row r="163" spans="1:17" ht="22.5" x14ac:dyDescent="0.2">
      <c r="A163" s="41">
        <v>9</v>
      </c>
      <c r="B163" s="99" t="s">
        <v>48</v>
      </c>
      <c r="C163" s="11" t="s">
        <v>399</v>
      </c>
      <c r="D163" s="74" t="s">
        <v>52</v>
      </c>
      <c r="E163" s="186">
        <v>8</v>
      </c>
      <c r="F163" s="33">
        <v>2</v>
      </c>
      <c r="G163" s="12"/>
      <c r="H163" s="12"/>
      <c r="I163" s="77"/>
      <c r="J163" s="12"/>
      <c r="K163" s="12"/>
      <c r="L163" s="77"/>
      <c r="M163" s="77"/>
      <c r="N163" s="77"/>
      <c r="O163" s="77"/>
      <c r="P163" s="77"/>
      <c r="Q163" s="77"/>
    </row>
    <row r="164" spans="1:17" ht="22.5" x14ac:dyDescent="0.2">
      <c r="A164" s="41">
        <v>10</v>
      </c>
      <c r="B164" s="99" t="s">
        <v>48</v>
      </c>
      <c r="C164" s="11" t="s">
        <v>359</v>
      </c>
      <c r="D164" s="74" t="s">
        <v>52</v>
      </c>
      <c r="E164" s="186">
        <v>8</v>
      </c>
      <c r="F164" s="33">
        <v>2</v>
      </c>
      <c r="G164" s="12"/>
      <c r="H164" s="12"/>
      <c r="I164" s="77"/>
      <c r="J164" s="12"/>
      <c r="K164" s="12"/>
      <c r="L164" s="77"/>
      <c r="M164" s="77"/>
      <c r="N164" s="77"/>
      <c r="O164" s="77"/>
      <c r="P164" s="77"/>
      <c r="Q164" s="77"/>
    </row>
    <row r="165" spans="1:17" ht="22.5" x14ac:dyDescent="0.2">
      <c r="A165" s="41">
        <v>11</v>
      </c>
      <c r="B165" s="99" t="s">
        <v>48</v>
      </c>
      <c r="C165" s="11" t="s">
        <v>371</v>
      </c>
      <c r="D165" s="74" t="s">
        <v>50</v>
      </c>
      <c r="E165" s="186">
        <v>32</v>
      </c>
      <c r="F165" s="33">
        <v>8</v>
      </c>
      <c r="G165" s="12"/>
      <c r="H165" s="12"/>
      <c r="I165" s="77"/>
      <c r="J165" s="12"/>
      <c r="K165" s="12"/>
      <c r="L165" s="77"/>
      <c r="M165" s="77"/>
      <c r="N165" s="77"/>
      <c r="O165" s="77"/>
      <c r="P165" s="77"/>
      <c r="Q165" s="77"/>
    </row>
    <row r="166" spans="1:17" ht="22.5" x14ac:dyDescent="0.2">
      <c r="A166" s="41">
        <v>12</v>
      </c>
      <c r="B166" s="99" t="s">
        <v>48</v>
      </c>
      <c r="C166" s="11" t="s">
        <v>361</v>
      </c>
      <c r="D166" s="74" t="s">
        <v>52</v>
      </c>
      <c r="E166" s="186">
        <v>40</v>
      </c>
      <c r="F166" s="33">
        <v>10</v>
      </c>
      <c r="G166" s="12"/>
      <c r="H166" s="12"/>
      <c r="I166" s="77"/>
      <c r="J166" s="12"/>
      <c r="K166" s="12"/>
      <c r="L166" s="77"/>
      <c r="M166" s="77"/>
      <c r="N166" s="77"/>
      <c r="O166" s="77"/>
      <c r="P166" s="77"/>
      <c r="Q166" s="77"/>
    </row>
    <row r="167" spans="1:17" ht="22.5" x14ac:dyDescent="0.2">
      <c r="A167" s="41">
        <v>13</v>
      </c>
      <c r="B167" s="99" t="s">
        <v>48</v>
      </c>
      <c r="C167" s="11" t="s">
        <v>347</v>
      </c>
      <c r="D167" s="74" t="s">
        <v>64</v>
      </c>
      <c r="E167" s="186">
        <v>2</v>
      </c>
      <c r="F167" s="33">
        <v>0.5</v>
      </c>
      <c r="G167" s="12"/>
      <c r="H167" s="12"/>
      <c r="I167" s="77"/>
      <c r="J167" s="12"/>
      <c r="K167" s="12"/>
      <c r="L167" s="77"/>
      <c r="M167" s="77"/>
      <c r="N167" s="77"/>
      <c r="O167" s="77"/>
      <c r="P167" s="77"/>
      <c r="Q167" s="77"/>
    </row>
    <row r="168" spans="1:17" ht="22.5" x14ac:dyDescent="0.2">
      <c r="A168" s="41">
        <v>14</v>
      </c>
      <c r="B168" s="99" t="s">
        <v>48</v>
      </c>
      <c r="C168" s="11" t="s">
        <v>348</v>
      </c>
      <c r="D168" s="74" t="s">
        <v>312</v>
      </c>
      <c r="E168" s="186">
        <v>4</v>
      </c>
      <c r="F168" s="33">
        <v>1</v>
      </c>
      <c r="G168" s="12"/>
      <c r="H168" s="12"/>
      <c r="I168" s="77"/>
      <c r="J168" s="12"/>
      <c r="K168" s="12"/>
      <c r="L168" s="77"/>
      <c r="M168" s="77"/>
      <c r="N168" s="77"/>
      <c r="O168" s="77"/>
      <c r="P168" s="77"/>
      <c r="Q168" s="77"/>
    </row>
    <row r="169" spans="1:17" ht="22.5" x14ac:dyDescent="0.2">
      <c r="A169" s="41">
        <v>15</v>
      </c>
      <c r="B169" s="99" t="s">
        <v>48</v>
      </c>
      <c r="C169" s="11" t="s">
        <v>349</v>
      </c>
      <c r="D169" s="74" t="s">
        <v>312</v>
      </c>
      <c r="E169" s="186">
        <v>4</v>
      </c>
      <c r="F169" s="33">
        <v>1</v>
      </c>
      <c r="G169" s="12"/>
      <c r="H169" s="12"/>
      <c r="I169" s="77"/>
      <c r="J169" s="12"/>
      <c r="K169" s="12"/>
      <c r="L169" s="77"/>
      <c r="M169" s="77"/>
      <c r="N169" s="77"/>
      <c r="O169" s="77"/>
      <c r="P169" s="77"/>
      <c r="Q169" s="77"/>
    </row>
    <row r="170" spans="1:17" ht="22.5" x14ac:dyDescent="0.2">
      <c r="A170" s="75">
        <v>16</v>
      </c>
      <c r="B170" s="103" t="s">
        <v>48</v>
      </c>
      <c r="C170" s="27" t="s">
        <v>362</v>
      </c>
      <c r="D170" s="75" t="s">
        <v>50</v>
      </c>
      <c r="E170" s="171">
        <v>2.8</v>
      </c>
      <c r="F170" s="150">
        <v>0.7</v>
      </c>
      <c r="G170" s="100"/>
      <c r="H170" s="100"/>
      <c r="I170" s="77"/>
      <c r="J170" s="100"/>
      <c r="K170" s="100"/>
      <c r="L170" s="104"/>
      <c r="M170" s="104"/>
      <c r="N170" s="104"/>
      <c r="O170" s="104"/>
      <c r="P170" s="104"/>
      <c r="Q170" s="104"/>
    </row>
    <row r="171" spans="1:17" ht="22.5" x14ac:dyDescent="0.2">
      <c r="A171" s="1"/>
      <c r="B171" s="1"/>
      <c r="C171" s="225" t="s">
        <v>423</v>
      </c>
      <c r="D171" s="1"/>
      <c r="E171" s="162"/>
      <c r="F171" s="5"/>
      <c r="G171" s="5"/>
      <c r="H171" s="4"/>
      <c r="I171" s="83"/>
      <c r="J171" s="83"/>
      <c r="K171" s="83"/>
      <c r="L171" s="83"/>
      <c r="M171" s="83">
        <f>SUM(M14:M170)</f>
        <v>0</v>
      </c>
      <c r="N171" s="83">
        <f>SUM(N14:N170)</f>
        <v>0</v>
      </c>
      <c r="O171" s="83">
        <f>SUM(O14:O170)</f>
        <v>0</v>
      </c>
      <c r="P171" s="83">
        <f>SUM(P14:P170)</f>
        <v>0</v>
      </c>
      <c r="Q171" s="83">
        <f>SUM(Q14:Q170)</f>
        <v>0</v>
      </c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X45"/>
  <sheetViews>
    <sheetView view="pageBreakPreview" zoomScale="70" zoomScaleNormal="70" zoomScaleSheetLayoutView="70" workbookViewId="0">
      <selection activeCell="F27" sqref="F27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v>11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372</v>
      </c>
      <c r="D2" s="2"/>
      <c r="E2" s="162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">
        <v>3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">
        <v>4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">
        <v>5</v>
      </c>
      <c r="B5" s="2"/>
      <c r="C5" s="2"/>
      <c r="D5" s="2"/>
      <c r="E5" s="163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">
        <v>6</v>
      </c>
      <c r="B6" s="2"/>
      <c r="C6" s="2"/>
      <c r="D6" s="2"/>
      <c r="E6" s="162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62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373</v>
      </c>
      <c r="F8" s="26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C9" s="108"/>
      <c r="D9" s="108"/>
      <c r="E9" s="164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7.5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87">
        <f>B12+1</f>
        <v>3</v>
      </c>
      <c r="D12" s="86">
        <f>C12+1</f>
        <v>4</v>
      </c>
      <c r="E12" s="166">
        <f>D12+1</f>
        <v>5</v>
      </c>
      <c r="F12" s="86"/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x14ac:dyDescent="0.2">
      <c r="A13" s="151"/>
      <c r="C13" s="152" t="s">
        <v>374</v>
      </c>
      <c r="D13" s="152"/>
      <c r="E13" s="173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ht="22.5" x14ac:dyDescent="0.2">
      <c r="A14" s="74">
        <v>1</v>
      </c>
      <c r="B14" s="99"/>
      <c r="C14" s="264" t="s">
        <v>516</v>
      </c>
      <c r="D14" s="74" t="s">
        <v>375</v>
      </c>
      <c r="E14" s="168">
        <v>3</v>
      </c>
      <c r="F14" s="109"/>
      <c r="G14" s="12"/>
      <c r="H14" s="12"/>
      <c r="I14" s="77"/>
      <c r="J14" s="12"/>
      <c r="K14" s="12"/>
      <c r="L14" s="12"/>
      <c r="M14" s="12"/>
      <c r="N14" s="12"/>
      <c r="O14" s="12"/>
      <c r="P14" s="12"/>
      <c r="Q14" s="12"/>
    </row>
    <row r="15" spans="1:17" ht="22.5" x14ac:dyDescent="0.2">
      <c r="A15" s="74">
        <v>2</v>
      </c>
      <c r="B15" s="99"/>
      <c r="C15" s="264" t="s">
        <v>517</v>
      </c>
      <c r="D15" s="74" t="s">
        <v>375</v>
      </c>
      <c r="E15" s="168">
        <v>3</v>
      </c>
      <c r="F15" s="109"/>
      <c r="G15" s="12"/>
      <c r="H15" s="12"/>
      <c r="I15" s="77"/>
      <c r="J15" s="12"/>
      <c r="K15" s="12"/>
      <c r="L15" s="12"/>
      <c r="M15" s="12"/>
      <c r="N15" s="12"/>
      <c r="O15" s="12"/>
      <c r="P15" s="12"/>
      <c r="Q15" s="12"/>
    </row>
    <row r="16" spans="1:17" ht="22.5" x14ac:dyDescent="0.2">
      <c r="A16" s="74">
        <v>3</v>
      </c>
      <c r="B16" s="99"/>
      <c r="C16" s="264" t="s">
        <v>518</v>
      </c>
      <c r="D16" s="74" t="s">
        <v>375</v>
      </c>
      <c r="E16" s="168">
        <v>6</v>
      </c>
      <c r="F16" s="109"/>
      <c r="G16" s="12"/>
      <c r="H16" s="12"/>
      <c r="I16" s="77"/>
      <c r="J16" s="12"/>
      <c r="K16" s="12"/>
      <c r="L16" s="12"/>
      <c r="M16" s="12"/>
      <c r="N16" s="12"/>
      <c r="O16" s="12"/>
      <c r="P16" s="12"/>
      <c r="Q16" s="12"/>
    </row>
    <row r="17" spans="1:17" ht="22.5" x14ac:dyDescent="0.2">
      <c r="A17" s="74">
        <v>4</v>
      </c>
      <c r="B17" s="99"/>
      <c r="C17" s="264" t="s">
        <v>519</v>
      </c>
      <c r="D17" s="74" t="s">
        <v>375</v>
      </c>
      <c r="E17" s="168">
        <v>6</v>
      </c>
      <c r="F17" s="109"/>
      <c r="G17" s="12"/>
      <c r="H17" s="12"/>
      <c r="I17" s="77"/>
      <c r="J17" s="12"/>
      <c r="K17" s="12"/>
      <c r="L17" s="12"/>
      <c r="M17" s="12"/>
      <c r="N17" s="12"/>
      <c r="O17" s="12"/>
      <c r="P17" s="12"/>
      <c r="Q17" s="12"/>
    </row>
    <row r="18" spans="1:17" x14ac:dyDescent="0.2">
      <c r="A18" s="74">
        <v>5</v>
      </c>
      <c r="B18" s="99"/>
      <c r="C18" s="264" t="s">
        <v>520</v>
      </c>
      <c r="D18" s="74" t="s">
        <v>50</v>
      </c>
      <c r="E18" s="168">
        <v>200</v>
      </c>
      <c r="F18" s="33"/>
      <c r="G18" s="12"/>
      <c r="H18" s="12"/>
      <c r="I18" s="77"/>
      <c r="J18" s="12"/>
      <c r="K18" s="12"/>
      <c r="L18" s="12"/>
      <c r="M18" s="12"/>
      <c r="N18" s="12"/>
      <c r="O18" s="12"/>
      <c r="P18" s="12"/>
      <c r="Q18" s="12"/>
    </row>
    <row r="19" spans="1:17" ht="22.5" x14ac:dyDescent="0.2">
      <c r="A19" s="74">
        <v>6</v>
      </c>
      <c r="B19" s="99"/>
      <c r="C19" s="264" t="s">
        <v>521</v>
      </c>
      <c r="D19" s="74" t="s">
        <v>50</v>
      </c>
      <c r="E19" s="168">
        <v>160</v>
      </c>
      <c r="F19" s="33"/>
      <c r="G19" s="12"/>
      <c r="H19" s="12"/>
      <c r="I19" s="77"/>
      <c r="J19" s="12"/>
      <c r="K19" s="12"/>
      <c r="L19" s="12"/>
      <c r="M19" s="12"/>
      <c r="N19" s="12"/>
      <c r="O19" s="12"/>
      <c r="P19" s="12"/>
      <c r="Q19" s="12"/>
    </row>
    <row r="20" spans="1:17" ht="22.5" x14ac:dyDescent="0.2">
      <c r="A20" s="74">
        <v>7</v>
      </c>
      <c r="B20" s="99"/>
      <c r="C20" s="264" t="s">
        <v>522</v>
      </c>
      <c r="D20" s="74" t="s">
        <v>50</v>
      </c>
      <c r="E20" s="168">
        <v>180</v>
      </c>
      <c r="F20" s="109"/>
      <c r="G20" s="12"/>
      <c r="H20" s="12"/>
      <c r="I20" s="77"/>
      <c r="J20" s="12"/>
      <c r="K20" s="12"/>
      <c r="L20" s="12"/>
      <c r="M20" s="12"/>
      <c r="N20" s="12"/>
      <c r="O20" s="12"/>
      <c r="P20" s="12"/>
      <c r="Q20" s="12"/>
    </row>
    <row r="21" spans="1:17" ht="33.75" x14ac:dyDescent="0.2">
      <c r="A21" s="74">
        <v>8</v>
      </c>
      <c r="B21" s="99"/>
      <c r="C21" s="264" t="s">
        <v>523</v>
      </c>
      <c r="D21" s="74" t="s">
        <v>50</v>
      </c>
      <c r="E21" s="168">
        <v>160</v>
      </c>
      <c r="F21" s="33"/>
      <c r="G21" s="12"/>
      <c r="H21" s="12"/>
      <c r="I21" s="77"/>
      <c r="J21" s="12"/>
      <c r="K21" s="12"/>
      <c r="L21" s="12"/>
      <c r="M21" s="12"/>
      <c r="N21" s="12"/>
      <c r="O21" s="12"/>
      <c r="P21" s="12"/>
      <c r="Q21" s="12"/>
    </row>
    <row r="22" spans="1:17" x14ac:dyDescent="0.2">
      <c r="A22" s="74">
        <v>9</v>
      </c>
      <c r="B22" s="99"/>
      <c r="C22" s="264" t="s">
        <v>524</v>
      </c>
      <c r="D22" s="74" t="s">
        <v>375</v>
      </c>
      <c r="E22" s="168">
        <v>21</v>
      </c>
      <c r="F22" s="109"/>
      <c r="G22" s="12"/>
      <c r="H22" s="12"/>
      <c r="I22" s="77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74">
        <v>10</v>
      </c>
      <c r="B23" s="99"/>
      <c r="C23" s="264" t="s">
        <v>525</v>
      </c>
      <c r="D23" s="74" t="s">
        <v>86</v>
      </c>
      <c r="E23" s="168">
        <v>11</v>
      </c>
      <c r="F23" s="109"/>
      <c r="G23" s="12"/>
      <c r="H23" s="12"/>
      <c r="I23" s="77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74">
        <v>11</v>
      </c>
      <c r="B24" s="99"/>
      <c r="C24" s="264" t="s">
        <v>526</v>
      </c>
      <c r="D24" s="74" t="s">
        <v>86</v>
      </c>
      <c r="E24" s="168">
        <v>11</v>
      </c>
      <c r="F24" s="109"/>
      <c r="G24" s="12"/>
      <c r="H24" s="12"/>
      <c r="I24" s="77"/>
      <c r="J24" s="12"/>
      <c r="K24" s="12"/>
      <c r="L24" s="12"/>
      <c r="M24" s="12"/>
      <c r="N24" s="12"/>
      <c r="O24" s="12"/>
      <c r="P24" s="12"/>
      <c r="Q24" s="12"/>
    </row>
    <row r="25" spans="1:17" ht="22.5" x14ac:dyDescent="0.2">
      <c r="A25" s="74">
        <v>12</v>
      </c>
      <c r="B25" s="99"/>
      <c r="C25" s="264" t="s">
        <v>527</v>
      </c>
      <c r="D25" s="74" t="s">
        <v>375</v>
      </c>
      <c r="E25" s="168">
        <v>8</v>
      </c>
      <c r="F25" s="33"/>
      <c r="G25" s="12"/>
      <c r="H25" s="12"/>
      <c r="I25" s="77"/>
      <c r="J25" s="12"/>
      <c r="K25" s="12"/>
      <c r="L25" s="12"/>
      <c r="M25" s="12"/>
      <c r="N25" s="12"/>
      <c r="O25" s="12"/>
      <c r="P25" s="12"/>
      <c r="Q25" s="12"/>
    </row>
    <row r="26" spans="1:17" x14ac:dyDescent="0.2">
      <c r="A26" s="74">
        <v>13</v>
      </c>
      <c r="B26" s="99"/>
      <c r="C26" s="264" t="s">
        <v>528</v>
      </c>
      <c r="D26" s="74" t="s">
        <v>86</v>
      </c>
      <c r="E26" s="168">
        <v>200</v>
      </c>
      <c r="F26" s="109"/>
      <c r="G26" s="12"/>
      <c r="H26" s="12"/>
      <c r="I26" s="77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74">
        <v>14</v>
      </c>
      <c r="B27" s="99"/>
      <c r="C27" s="264" t="s">
        <v>529</v>
      </c>
      <c r="D27" s="74" t="s">
        <v>86</v>
      </c>
      <c r="E27" s="168">
        <v>6</v>
      </c>
      <c r="F27" s="109"/>
      <c r="G27" s="12"/>
      <c r="H27" s="12"/>
      <c r="I27" s="77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74">
        <v>15</v>
      </c>
      <c r="B28" s="99"/>
      <c r="C28" s="264" t="s">
        <v>530</v>
      </c>
      <c r="D28" s="74" t="s">
        <v>86</v>
      </c>
      <c r="E28" s="168">
        <v>24</v>
      </c>
      <c r="F28" s="33"/>
      <c r="G28" s="12"/>
      <c r="H28" s="12"/>
      <c r="I28" s="77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74">
        <v>16</v>
      </c>
      <c r="B29" s="99"/>
      <c r="C29" s="264" t="s">
        <v>531</v>
      </c>
      <c r="D29" s="74" t="s">
        <v>86</v>
      </c>
      <c r="E29" s="168">
        <v>8</v>
      </c>
      <c r="F29" s="33"/>
      <c r="G29" s="12"/>
      <c r="H29" s="12"/>
      <c r="I29" s="77"/>
      <c r="J29" s="12"/>
      <c r="K29" s="12"/>
      <c r="L29" s="12"/>
      <c r="M29" s="12"/>
      <c r="N29" s="12"/>
      <c r="O29" s="12"/>
      <c r="P29" s="12"/>
      <c r="Q29" s="12"/>
    </row>
    <row r="30" spans="1:17" x14ac:dyDescent="0.2">
      <c r="A30" s="74">
        <v>17</v>
      </c>
      <c r="B30" s="99"/>
      <c r="C30" s="264" t="s">
        <v>532</v>
      </c>
      <c r="D30" s="74" t="s">
        <v>86</v>
      </c>
      <c r="E30" s="168">
        <v>8</v>
      </c>
      <c r="F30" s="33"/>
      <c r="G30" s="12"/>
      <c r="H30" s="12"/>
      <c r="I30" s="77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74">
        <v>18</v>
      </c>
      <c r="B31" s="99"/>
      <c r="C31" s="264" t="s">
        <v>533</v>
      </c>
      <c r="D31" s="74" t="s">
        <v>86</v>
      </c>
      <c r="E31" s="168">
        <v>8</v>
      </c>
      <c r="F31" s="33"/>
      <c r="G31" s="12"/>
      <c r="H31" s="12"/>
      <c r="I31" s="77"/>
      <c r="J31" s="12"/>
      <c r="K31" s="12"/>
      <c r="L31" s="12"/>
      <c r="M31" s="12"/>
      <c r="N31" s="12"/>
      <c r="O31" s="12"/>
      <c r="P31" s="12"/>
      <c r="Q31" s="12"/>
    </row>
    <row r="32" spans="1:17" x14ac:dyDescent="0.2">
      <c r="A32" s="74">
        <v>19</v>
      </c>
      <c r="B32" s="99"/>
      <c r="C32" s="264" t="s">
        <v>534</v>
      </c>
      <c r="D32" s="74" t="s">
        <v>376</v>
      </c>
      <c r="E32" s="168">
        <v>1</v>
      </c>
      <c r="F32" s="109"/>
      <c r="G32" s="12"/>
      <c r="H32" s="12"/>
      <c r="I32" s="77"/>
      <c r="J32" s="12"/>
      <c r="K32" s="12"/>
      <c r="L32" s="12"/>
      <c r="M32" s="12"/>
      <c r="N32" s="12"/>
      <c r="O32" s="12"/>
      <c r="P32" s="12"/>
      <c r="Q32" s="12"/>
    </row>
    <row r="33" spans="1:1012" x14ac:dyDescent="0.2">
      <c r="A33" s="74">
        <v>20</v>
      </c>
      <c r="B33" s="99"/>
      <c r="C33" s="264" t="s">
        <v>377</v>
      </c>
      <c r="D33" s="74" t="s">
        <v>50</v>
      </c>
      <c r="E33" s="168">
        <v>180</v>
      </c>
      <c r="F33" s="33"/>
      <c r="G33" s="12"/>
      <c r="H33" s="12"/>
      <c r="I33" s="77"/>
      <c r="J33" s="12"/>
      <c r="K33" s="12"/>
      <c r="L33" s="12"/>
      <c r="M33" s="12"/>
      <c r="N33" s="12"/>
      <c r="O33" s="12"/>
      <c r="P33" s="12"/>
      <c r="Q33" s="12"/>
    </row>
    <row r="34" spans="1:1012" x14ac:dyDescent="0.2">
      <c r="A34" s="74">
        <v>21</v>
      </c>
      <c r="B34" s="99"/>
      <c r="C34" s="264" t="s">
        <v>349</v>
      </c>
      <c r="D34" s="74" t="s">
        <v>375</v>
      </c>
      <c r="E34" s="168">
        <v>1</v>
      </c>
      <c r="F34" s="33"/>
      <c r="G34" s="12"/>
      <c r="H34" s="12"/>
      <c r="I34" s="77"/>
      <c r="J34" s="12"/>
      <c r="K34" s="12"/>
      <c r="L34" s="12"/>
      <c r="M34" s="12"/>
      <c r="N34" s="12"/>
      <c r="O34" s="12"/>
      <c r="P34" s="12"/>
      <c r="Q34" s="12"/>
    </row>
    <row r="35" spans="1:1012" x14ac:dyDescent="0.2">
      <c r="A35" s="74">
        <v>22</v>
      </c>
      <c r="B35" s="99"/>
      <c r="C35" s="264" t="s">
        <v>378</v>
      </c>
      <c r="D35" s="74" t="s">
        <v>50</v>
      </c>
      <c r="E35" s="168">
        <v>190</v>
      </c>
      <c r="F35" s="33"/>
      <c r="G35" s="12"/>
      <c r="H35" s="12"/>
      <c r="I35" s="77"/>
      <c r="J35" s="12"/>
      <c r="K35" s="12"/>
      <c r="L35" s="12"/>
      <c r="M35" s="12"/>
      <c r="N35" s="12"/>
      <c r="O35" s="12"/>
      <c r="P35" s="12"/>
      <c r="Q35" s="12"/>
    </row>
    <row r="36" spans="1:1012" x14ac:dyDescent="0.2">
      <c r="A36" s="74">
        <v>23</v>
      </c>
      <c r="B36" s="99"/>
      <c r="C36" s="264" t="s">
        <v>379</v>
      </c>
      <c r="D36" s="74" t="s">
        <v>86</v>
      </c>
      <c r="E36" s="168">
        <v>24</v>
      </c>
      <c r="F36" s="33"/>
      <c r="G36" s="12"/>
      <c r="H36" s="12"/>
      <c r="I36" s="77"/>
      <c r="J36" s="12"/>
      <c r="K36" s="12"/>
      <c r="L36" s="12"/>
      <c r="M36" s="12"/>
      <c r="N36" s="12"/>
      <c r="O36" s="12"/>
      <c r="P36" s="12"/>
      <c r="Q36" s="12"/>
    </row>
    <row r="37" spans="1:1012" x14ac:dyDescent="0.2">
      <c r="A37" s="74">
        <v>24</v>
      </c>
      <c r="B37" s="99"/>
      <c r="C37" s="264" t="s">
        <v>380</v>
      </c>
      <c r="D37" s="74" t="s">
        <v>375</v>
      </c>
      <c r="E37" s="168">
        <v>1</v>
      </c>
      <c r="F37" s="33"/>
      <c r="G37" s="12"/>
      <c r="H37" s="12"/>
      <c r="I37" s="77"/>
      <c r="J37" s="12"/>
      <c r="K37" s="12"/>
      <c r="L37" s="12"/>
      <c r="M37" s="12"/>
      <c r="N37" s="12"/>
      <c r="O37" s="12"/>
      <c r="P37" s="12"/>
      <c r="Q37" s="12"/>
    </row>
    <row r="38" spans="1:1012" x14ac:dyDescent="0.2">
      <c r="A38" s="74">
        <v>25</v>
      </c>
      <c r="B38" s="99"/>
      <c r="C38" s="264" t="s">
        <v>381</v>
      </c>
      <c r="D38" s="74" t="s">
        <v>56</v>
      </c>
      <c r="E38" s="168">
        <v>90</v>
      </c>
      <c r="F38" s="33"/>
      <c r="G38" s="12"/>
      <c r="H38" s="12"/>
      <c r="I38" s="77"/>
      <c r="J38" s="12"/>
      <c r="K38" s="12"/>
      <c r="L38" s="12"/>
      <c r="M38" s="12"/>
      <c r="N38" s="12"/>
      <c r="O38" s="12"/>
      <c r="P38" s="12"/>
      <c r="Q38" s="12"/>
    </row>
    <row r="39" spans="1:1012" x14ac:dyDescent="0.2">
      <c r="A39" s="74">
        <v>26</v>
      </c>
      <c r="B39" s="99"/>
      <c r="C39" s="264" t="s">
        <v>382</v>
      </c>
      <c r="D39" s="74" t="s">
        <v>375</v>
      </c>
      <c r="E39" s="168">
        <v>1</v>
      </c>
      <c r="F39" s="33"/>
      <c r="G39" s="12"/>
      <c r="H39" s="12"/>
      <c r="I39" s="77"/>
      <c r="J39" s="12"/>
      <c r="K39" s="12"/>
      <c r="L39" s="12"/>
      <c r="M39" s="12"/>
      <c r="N39" s="12"/>
      <c r="O39" s="12"/>
      <c r="P39" s="12"/>
      <c r="Q39" s="12"/>
    </row>
    <row r="40" spans="1:1012" x14ac:dyDescent="0.2">
      <c r="A40" s="74">
        <v>27</v>
      </c>
      <c r="B40" s="99"/>
      <c r="C40" s="264" t="s">
        <v>383</v>
      </c>
      <c r="D40" s="74" t="s">
        <v>375</v>
      </c>
      <c r="E40" s="168">
        <v>1</v>
      </c>
      <c r="F40" s="33"/>
      <c r="G40" s="12"/>
      <c r="H40" s="12"/>
      <c r="I40" s="77"/>
      <c r="J40" s="12"/>
      <c r="K40" s="12"/>
      <c r="L40" s="12"/>
      <c r="M40" s="12"/>
      <c r="N40" s="12"/>
      <c r="O40" s="12"/>
      <c r="P40" s="12"/>
      <c r="Q40" s="12"/>
    </row>
    <row r="41" spans="1:1012" x14ac:dyDescent="0.2">
      <c r="D41" s="5"/>
      <c r="E41" s="162"/>
      <c r="F41" s="5"/>
    </row>
    <row r="42" spans="1:1012" ht="22.5" x14ac:dyDescent="0.2">
      <c r="C42" s="225" t="s">
        <v>423</v>
      </c>
      <c r="E42" s="162"/>
      <c r="F42" s="5"/>
      <c r="G42" s="4"/>
      <c r="H42" s="4"/>
      <c r="I42" s="4"/>
      <c r="J42" s="4"/>
      <c r="K42" s="4"/>
      <c r="L42" s="83"/>
      <c r="M42" s="83">
        <f>SUM(M13:M40)</f>
        <v>0</v>
      </c>
      <c r="N42" s="83">
        <f>SUM(N13:N40)</f>
        <v>0</v>
      </c>
      <c r="O42" s="83">
        <f>SUM(O13:O40)</f>
        <v>0</v>
      </c>
      <c r="P42" s="83">
        <f>SUM(P13:P40)</f>
        <v>0</v>
      </c>
      <c r="Q42" s="83">
        <f>SUM(Q13:Q40)</f>
        <v>0</v>
      </c>
    </row>
    <row r="43" spans="1:1012" x14ac:dyDescent="0.2">
      <c r="C43" s="25"/>
      <c r="M43" s="1"/>
      <c r="N43" s="1"/>
      <c r="O43" s="1"/>
      <c r="P43" s="1"/>
      <c r="Q43" s="1"/>
    </row>
    <row r="44" spans="1:1012" x14ac:dyDescent="0.2">
      <c r="C44" s="25"/>
      <c r="M44" s="1"/>
      <c r="N44" s="1"/>
      <c r="O44" s="1"/>
      <c r="P44" s="1"/>
      <c r="Q44" s="107"/>
      <c r="ALU44" s="1"/>
      <c r="ALV44" s="1"/>
      <c r="ALW44" s="1"/>
      <c r="ALX44" s="1"/>
    </row>
    <row r="45" spans="1:1012" x14ac:dyDescent="0.2">
      <c r="M45" s="1"/>
      <c r="N45" s="1"/>
      <c r="O45" s="1"/>
      <c r="P45" s="1"/>
      <c r="Q45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view="pageBreakPreview" zoomScaleNormal="85" zoomScaleSheetLayoutView="100" workbookViewId="0">
      <selection activeCell="C16" sqref="C16"/>
    </sheetView>
  </sheetViews>
  <sheetFormatPr defaultColWidth="9" defaultRowHeight="11.25" x14ac:dyDescent="0.2"/>
  <cols>
    <col min="1" max="1" width="9" style="147"/>
    <col min="2" max="2" width="27.28515625" style="147" customWidth="1"/>
    <col min="3" max="3" width="12.85546875" style="147" customWidth="1"/>
    <col min="4" max="4" width="9" style="147"/>
    <col min="5" max="5" width="11.85546875" style="172" bestFit="1" customWidth="1"/>
    <col min="6" max="20" width="9" style="147"/>
    <col min="21" max="21" width="43.28515625" style="147" customWidth="1"/>
    <col min="22" max="16384" width="9" style="147"/>
  </cols>
  <sheetData>
    <row r="1" spans="1:7" x14ac:dyDescent="0.2">
      <c r="A1" s="141"/>
      <c r="B1" s="1" t="s">
        <v>0</v>
      </c>
      <c r="E1" s="162"/>
    </row>
    <row r="2" spans="1:7" x14ac:dyDescent="0.2">
      <c r="A2" s="2"/>
      <c r="B2" s="2" t="s">
        <v>1</v>
      </c>
      <c r="C2" s="2"/>
      <c r="D2" s="2"/>
      <c r="E2" s="162"/>
      <c r="F2" s="2"/>
      <c r="G2" s="2"/>
    </row>
    <row r="3" spans="1:7" x14ac:dyDescent="0.2">
      <c r="A3" s="2"/>
      <c r="B3" s="2" t="s">
        <v>2</v>
      </c>
      <c r="C3" s="2"/>
      <c r="D3" s="2"/>
      <c r="E3" s="162"/>
      <c r="F3" s="2"/>
      <c r="G3" s="2"/>
    </row>
    <row r="4" spans="1:7" x14ac:dyDescent="0.2">
      <c r="A4" s="2"/>
      <c r="B4" s="2"/>
      <c r="C4" s="2"/>
      <c r="D4" s="2"/>
      <c r="E4" s="162"/>
      <c r="F4" s="2"/>
      <c r="G4" s="2"/>
    </row>
    <row r="5" spans="1:7" x14ac:dyDescent="0.2">
      <c r="A5" s="2" t="s">
        <v>3</v>
      </c>
      <c r="B5" s="2"/>
      <c r="C5" s="2"/>
      <c r="D5" s="3"/>
      <c r="E5" s="163"/>
      <c r="F5" s="3"/>
      <c r="G5" s="3"/>
    </row>
    <row r="6" spans="1:7" x14ac:dyDescent="0.2">
      <c r="A6" s="2" t="s">
        <v>4</v>
      </c>
      <c r="B6" s="2"/>
      <c r="C6" s="2"/>
      <c r="D6" s="2"/>
      <c r="E6" s="162"/>
      <c r="F6" s="2"/>
      <c r="G6" s="2"/>
    </row>
    <row r="7" spans="1:7" x14ac:dyDescent="0.2">
      <c r="A7" s="2" t="s">
        <v>5</v>
      </c>
      <c r="B7" s="2"/>
      <c r="C7" s="2"/>
      <c r="D7" s="2"/>
      <c r="E7" s="162"/>
      <c r="F7" s="2"/>
      <c r="G7" s="2"/>
    </row>
    <row r="8" spans="1:7" x14ac:dyDescent="0.2">
      <c r="A8" s="2" t="s">
        <v>6</v>
      </c>
      <c r="B8" s="2"/>
      <c r="C8" s="2"/>
      <c r="D8" s="3"/>
      <c r="E8" s="163"/>
      <c r="F8" s="3"/>
      <c r="G8" s="2"/>
    </row>
    <row r="9" spans="1:7" x14ac:dyDescent="0.2">
      <c r="A9" s="2"/>
      <c r="B9" s="2"/>
      <c r="C9" s="2"/>
      <c r="D9" s="4"/>
      <c r="E9" s="163"/>
      <c r="F9" s="3"/>
      <c r="G9" s="5"/>
    </row>
    <row r="10" spans="1:7" x14ac:dyDescent="0.2">
      <c r="A10" s="1" t="s">
        <v>7</v>
      </c>
      <c r="B10" s="1"/>
      <c r="C10" s="22"/>
      <c r="D10" s="22"/>
      <c r="E10" s="162"/>
      <c r="F10" s="1"/>
      <c r="G10" s="1"/>
    </row>
    <row r="11" spans="1:7" x14ac:dyDescent="0.2">
      <c r="A11" s="1" t="s">
        <v>8</v>
      </c>
      <c r="B11" s="1"/>
      <c r="C11" s="154"/>
      <c r="D11" s="22"/>
      <c r="E11" s="162"/>
      <c r="F11" s="1"/>
      <c r="G11" s="1"/>
    </row>
    <row r="12" spans="1:7" x14ac:dyDescent="0.2">
      <c r="A12" s="22" t="str">
        <f>K!B10</f>
        <v>Tāme sastādīta 2019.gada</v>
      </c>
      <c r="B12" s="1"/>
      <c r="C12" s="1"/>
      <c r="D12" s="1"/>
      <c r="E12" s="162"/>
      <c r="F12" s="1"/>
      <c r="G12" s="1"/>
    </row>
    <row r="13" spans="1:7" x14ac:dyDescent="0.2">
      <c r="A13" s="1"/>
      <c r="B13" s="1"/>
      <c r="C13" s="1"/>
      <c r="D13" s="1"/>
      <c r="E13" s="162"/>
      <c r="F13" s="1"/>
      <c r="G13" s="1"/>
    </row>
    <row r="14" spans="1:7" x14ac:dyDescent="0.2">
      <c r="A14" s="315" t="s">
        <v>9</v>
      </c>
      <c r="B14" s="315" t="s">
        <v>10</v>
      </c>
      <c r="C14" s="317" t="s">
        <v>11</v>
      </c>
      <c r="D14" s="312" t="s">
        <v>12</v>
      </c>
      <c r="E14" s="313"/>
      <c r="F14" s="314"/>
      <c r="G14" s="317" t="s">
        <v>13</v>
      </c>
    </row>
    <row r="15" spans="1:7" ht="33.75" x14ac:dyDescent="0.2">
      <c r="A15" s="316"/>
      <c r="B15" s="316"/>
      <c r="C15" s="318"/>
      <c r="D15" s="7" t="s">
        <v>14</v>
      </c>
      <c r="E15" s="224" t="s">
        <v>15</v>
      </c>
      <c r="F15" s="7" t="s">
        <v>16</v>
      </c>
      <c r="G15" s="318"/>
    </row>
    <row r="16" spans="1:7" x14ac:dyDescent="0.2">
      <c r="A16" s="8">
        <v>1</v>
      </c>
      <c r="B16" s="9" t="str">
        <f>'AR '!C2</f>
        <v>Ārsienu siltināšanas darbi</v>
      </c>
      <c r="C16" s="10"/>
      <c r="D16" s="10"/>
      <c r="E16" s="10"/>
      <c r="F16" s="10"/>
      <c r="G16" s="10"/>
    </row>
    <row r="17" spans="1:7" x14ac:dyDescent="0.2">
      <c r="A17" s="8">
        <f>A16+1</f>
        <v>2</v>
      </c>
      <c r="B17" s="9" t="str">
        <f>logi!C2</f>
        <v>Logu nomaiņa</v>
      </c>
      <c r="C17" s="10"/>
      <c r="D17" s="10"/>
      <c r="E17" s="10"/>
      <c r="F17" s="10"/>
      <c r="G17" s="10"/>
    </row>
    <row r="18" spans="1:7" x14ac:dyDescent="0.2">
      <c r="A18" s="8">
        <f t="shared" ref="A18:A26" si="0">A17+1</f>
        <v>3</v>
      </c>
      <c r="B18" s="9" t="str">
        <f>lodzijas!C2</f>
        <v>Lodžijas</v>
      </c>
      <c r="C18" s="10"/>
      <c r="D18" s="10"/>
      <c r="E18" s="10"/>
      <c r="F18" s="10"/>
      <c r="G18" s="10"/>
    </row>
    <row r="19" spans="1:7" x14ac:dyDescent="0.2">
      <c r="A19" s="8">
        <f t="shared" si="0"/>
        <v>4</v>
      </c>
      <c r="B19" s="11" t="str">
        <f>'C'!C2</f>
        <v>Cokola siltināšanas darbi</v>
      </c>
      <c r="C19" s="12"/>
      <c r="D19" s="12"/>
      <c r="E19" s="12"/>
      <c r="F19" s="12"/>
      <c r="G19" s="12"/>
    </row>
    <row r="20" spans="1:7" x14ac:dyDescent="0.2">
      <c r="A20" s="8">
        <f t="shared" si="0"/>
        <v>5</v>
      </c>
      <c r="B20" s="11" t="str">
        <f>IM!C2</f>
        <v>Ieejas mezglu rekonstrukcijas darbi</v>
      </c>
      <c r="C20" s="12"/>
      <c r="D20" s="12"/>
      <c r="E20" s="12"/>
      <c r="F20" s="12"/>
      <c r="G20" s="12"/>
    </row>
    <row r="21" spans="1:7" ht="22.5" x14ac:dyDescent="0.2">
      <c r="A21" s="8">
        <f t="shared" si="0"/>
        <v>6</v>
      </c>
      <c r="B21" s="11" t="str">
        <f>PS!C2</f>
        <v>Pagraba pārseguma siltināšanas darbi</v>
      </c>
      <c r="C21" s="12"/>
      <c r="D21" s="12"/>
      <c r="E21" s="12"/>
      <c r="F21" s="12"/>
      <c r="G21" s="12"/>
    </row>
    <row r="22" spans="1:7" x14ac:dyDescent="0.2">
      <c r="A22" s="8">
        <f t="shared" si="0"/>
        <v>7</v>
      </c>
      <c r="B22" s="11" t="str">
        <f>BS!C2</f>
        <v>Bēniņu siltināšanas darbi</v>
      </c>
      <c r="C22" s="12"/>
      <c r="D22" s="12"/>
      <c r="E22" s="12"/>
      <c r="F22" s="12"/>
      <c r="G22" s="12"/>
    </row>
    <row r="23" spans="1:7" x14ac:dyDescent="0.2">
      <c r="A23" s="8">
        <f t="shared" si="0"/>
        <v>8</v>
      </c>
      <c r="B23" s="11" t="str">
        <f>Jumts!C2</f>
        <v>Jumta rekonstrukcijas darbi</v>
      </c>
      <c r="C23" s="12"/>
      <c r="D23" s="12"/>
      <c r="E23" s="12"/>
      <c r="F23" s="12"/>
      <c r="G23" s="12"/>
    </row>
    <row r="24" spans="1:7" ht="22.5" x14ac:dyDescent="0.2">
      <c r="A24" s="8">
        <f t="shared" si="0"/>
        <v>9</v>
      </c>
      <c r="B24" s="11" t="str">
        <f>'5 stava jumts'!C2</f>
        <v>5.stāva jumtu siltināšana rekonstrukcijas darbi</v>
      </c>
      <c r="C24" s="12"/>
      <c r="D24" s="12"/>
      <c r="E24" s="12"/>
      <c r="F24" s="12"/>
      <c r="G24" s="12"/>
    </row>
    <row r="25" spans="1:7" x14ac:dyDescent="0.2">
      <c r="A25" s="8">
        <f t="shared" si="0"/>
        <v>10</v>
      </c>
      <c r="B25" s="13" t="str">
        <f>AVK!C2</f>
        <v>Ēkas apkure, iekšējie tīkli</v>
      </c>
      <c r="C25" s="12"/>
      <c r="D25" s="12"/>
      <c r="E25" s="12"/>
      <c r="F25" s="12"/>
      <c r="G25" s="12"/>
    </row>
    <row r="26" spans="1:7" x14ac:dyDescent="0.2">
      <c r="A26" s="8">
        <f t="shared" si="0"/>
        <v>11</v>
      </c>
      <c r="B26" s="13" t="str">
        <f>Zibens!C2</f>
        <v>Zibens aizsardzība</v>
      </c>
      <c r="C26" s="12"/>
      <c r="D26" s="12"/>
      <c r="E26" s="12"/>
      <c r="F26" s="12"/>
      <c r="G26" s="12"/>
    </row>
    <row r="27" spans="1:7" x14ac:dyDescent="0.2">
      <c r="A27" s="4"/>
      <c r="B27" s="14" t="s">
        <v>17</v>
      </c>
      <c r="C27" s="15"/>
      <c r="D27" s="15"/>
      <c r="E27" s="15"/>
      <c r="F27" s="15"/>
      <c r="G27" s="15"/>
    </row>
    <row r="28" spans="1:7" x14ac:dyDescent="0.2">
      <c r="A28" s="1"/>
      <c r="B28" s="1"/>
      <c r="C28" s="16"/>
      <c r="D28" s="16"/>
      <c r="E28" s="263" t="s">
        <v>18</v>
      </c>
      <c r="F28" s="17"/>
      <c r="G28" s="18"/>
    </row>
    <row r="29" spans="1:7" x14ac:dyDescent="0.2">
      <c r="A29" s="1"/>
      <c r="B29" s="1"/>
      <c r="C29" s="16"/>
      <c r="D29" s="16"/>
      <c r="E29" s="226" t="s">
        <v>424</v>
      </c>
      <c r="F29" s="17"/>
      <c r="G29" s="18"/>
    </row>
    <row r="30" spans="1:7" x14ac:dyDescent="0.2">
      <c r="A30" s="1"/>
      <c r="B30" s="1"/>
      <c r="C30" s="16"/>
      <c r="D30" s="16"/>
      <c r="E30" s="263" t="s">
        <v>19</v>
      </c>
      <c r="F30" s="17"/>
      <c r="G30" s="18"/>
    </row>
    <row r="31" spans="1:7" x14ac:dyDescent="0.2">
      <c r="A31" s="1"/>
      <c r="B31" s="1"/>
      <c r="C31" s="1"/>
      <c r="D31" s="1"/>
      <c r="E31" s="262" t="s">
        <v>20</v>
      </c>
      <c r="F31" s="20" t="s">
        <v>21</v>
      </c>
      <c r="G31" s="21"/>
    </row>
    <row r="32" spans="1:7" x14ac:dyDescent="0.2">
      <c r="A32" s="1"/>
      <c r="B32" s="1"/>
      <c r="C32" s="1"/>
      <c r="D32" s="1"/>
      <c r="E32" s="262" t="s">
        <v>22</v>
      </c>
      <c r="F32" s="19">
        <v>0.02</v>
      </c>
      <c r="G32" s="21"/>
    </row>
    <row r="33" spans="1:7" x14ac:dyDescent="0.2">
      <c r="A33" s="1"/>
      <c r="B33" s="1"/>
      <c r="C33" s="1"/>
      <c r="D33" s="1"/>
      <c r="E33" s="262" t="s">
        <v>23</v>
      </c>
      <c r="F33" s="20"/>
      <c r="G33" s="21"/>
    </row>
    <row r="34" spans="1:7" x14ac:dyDescent="0.2">
      <c r="A34" s="1"/>
      <c r="B34" s="1"/>
      <c r="C34" s="1"/>
      <c r="D34" s="2"/>
      <c r="E34" s="164"/>
      <c r="F34" s="23"/>
      <c r="G34" s="24"/>
    </row>
    <row r="35" spans="1:7" x14ac:dyDescent="0.2">
      <c r="A35" s="1"/>
      <c r="B35" s="25"/>
      <c r="C35" s="1"/>
      <c r="D35" s="1"/>
      <c r="E35" s="162"/>
      <c r="F35" s="1"/>
      <c r="G35" s="1"/>
    </row>
    <row r="36" spans="1:7" x14ac:dyDescent="0.2">
      <c r="A36" s="1"/>
      <c r="B36" s="25"/>
      <c r="C36" s="1"/>
      <c r="D36" s="1"/>
      <c r="E36" s="162"/>
      <c r="F36" s="1"/>
      <c r="G36" s="1"/>
    </row>
    <row r="37" spans="1:7" x14ac:dyDescent="0.2">
      <c r="A37" s="1"/>
      <c r="B37" s="25"/>
      <c r="C37" s="1"/>
      <c r="D37" s="1"/>
      <c r="E37" s="162"/>
      <c r="F37" s="1"/>
      <c r="G37" s="1"/>
    </row>
    <row r="38" spans="1:7" x14ac:dyDescent="0.2">
      <c r="A38" s="1"/>
      <c r="B38" s="25"/>
      <c r="C38" s="1"/>
      <c r="D38" s="1"/>
      <c r="E38" s="162"/>
      <c r="F38" s="1"/>
      <c r="G38" s="1"/>
    </row>
    <row r="39" spans="1:7" x14ac:dyDescent="0.2">
      <c r="A39" s="1"/>
      <c r="B39" s="25"/>
      <c r="C39" s="1"/>
      <c r="D39" s="1"/>
      <c r="E39" s="162"/>
      <c r="F39" s="1"/>
      <c r="G39" s="1"/>
    </row>
    <row r="41" spans="1:7" x14ac:dyDescent="0.2">
      <c r="A41" s="1"/>
      <c r="C41" s="155"/>
      <c r="D41" s="155"/>
      <c r="E41" s="165"/>
      <c r="F41" s="155"/>
      <c r="G41" s="155"/>
    </row>
  </sheetData>
  <mergeCells count="5">
    <mergeCell ref="D14:F14"/>
    <mergeCell ref="A14:A15"/>
    <mergeCell ref="B14:B15"/>
    <mergeCell ref="C14:C15"/>
    <mergeCell ref="G14:G15"/>
  </mergeCells>
  <pageMargins left="0.7" right="0.7" top="0.75" bottom="0.75" header="0.3" footer="0.3"/>
  <pageSetup paperSize="9" orientation="landscape" r:id="rId1"/>
  <ignoredErrors>
    <ignoredError sqref="C30:E30 C31:F33" unlockedFormula="1"/>
    <ignoredError sqref="C28:E28 C12" evalError="1" unlockedFormula="1"/>
    <ignoredError sqref="C13:G15 D10:G10 D11:G1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4"/>
  <sheetViews>
    <sheetView tabSelected="1" view="pageBreakPreview" zoomScale="85" zoomScaleNormal="85" zoomScaleSheetLayoutView="85" workbookViewId="0">
      <selection activeCell="E26" sqref="E26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70" customWidth="1"/>
    <col min="6" max="12" width="5.28515625" style="147" customWidth="1"/>
    <col min="13" max="15" width="6.42578125" style="147" customWidth="1"/>
    <col min="16" max="16" width="9.5703125" style="147" customWidth="1"/>
    <col min="17" max="17" width="7.285156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5"/>
      <c r="F1" s="25"/>
      <c r="G1" s="25"/>
      <c r="H1" s="5">
        <f>KPDV!A16</f>
        <v>1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27</v>
      </c>
      <c r="D2" s="2"/>
      <c r="E2" s="296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4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4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297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296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296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26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81"/>
      <c r="D9" s="108"/>
      <c r="E9" s="29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28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29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v>2</v>
      </c>
      <c r="C12" s="87">
        <f>B12+1</f>
        <v>3</v>
      </c>
      <c r="D12" s="86">
        <f>C12+1</f>
        <v>4</v>
      </c>
      <c r="E12" s="299">
        <f>D12+1</f>
        <v>5</v>
      </c>
      <c r="F12" s="112"/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ht="22.5" x14ac:dyDescent="0.2">
      <c r="A13" s="99">
        <f>IF(COUNTBLANK(B13)=1," ",COUNTA($B$13:B13))</f>
        <v>1</v>
      </c>
      <c r="B13" s="114" t="s">
        <v>48</v>
      </c>
      <c r="C13" s="264" t="s">
        <v>49</v>
      </c>
      <c r="D13" s="265" t="s">
        <v>50</v>
      </c>
      <c r="E13" s="300">
        <v>152</v>
      </c>
      <c r="F13" s="102"/>
      <c r="G13" s="12"/>
      <c r="H13" s="12"/>
      <c r="I13" s="77"/>
      <c r="J13" s="12"/>
      <c r="K13" s="12"/>
      <c r="L13" s="12"/>
      <c r="M13" s="12"/>
      <c r="N13" s="12"/>
      <c r="O13" s="12"/>
      <c r="P13" s="12"/>
      <c r="Q13" s="102"/>
    </row>
    <row r="14" spans="1:17" x14ac:dyDescent="0.2">
      <c r="A14" s="99" t="str">
        <f>IF(COUNTBLANK(B14)=1," ",COUNTA($B$13:B14))</f>
        <v xml:space="preserve"> </v>
      </c>
      <c r="B14" s="114"/>
      <c r="C14" s="264" t="s">
        <v>51</v>
      </c>
      <c r="D14" s="265" t="s">
        <v>52</v>
      </c>
      <c r="E14" s="300">
        <f>ROUNDUP(E13/3.5,0)</f>
        <v>44</v>
      </c>
      <c r="F14" s="102">
        <v>3.5</v>
      </c>
      <c r="G14" s="12"/>
      <c r="H14" s="12"/>
      <c r="I14" s="77"/>
      <c r="J14" s="12"/>
      <c r="K14" s="12"/>
      <c r="L14" s="12"/>
      <c r="M14" s="12"/>
      <c r="N14" s="12"/>
      <c r="O14" s="12"/>
      <c r="P14" s="12"/>
      <c r="Q14" s="102"/>
    </row>
    <row r="15" spans="1:17" x14ac:dyDescent="0.2">
      <c r="A15" s="99" t="str">
        <f>IF(COUNTBLANK(B15)=1," ",COUNTA($B$13:B15))</f>
        <v xml:space="preserve"> </v>
      </c>
      <c r="B15" s="114"/>
      <c r="C15" s="264" t="s">
        <v>53</v>
      </c>
      <c r="D15" s="265" t="s">
        <v>52</v>
      </c>
      <c r="E15" s="300">
        <f>E14+1</f>
        <v>45</v>
      </c>
      <c r="F15" s="102">
        <f>F14</f>
        <v>3.5</v>
      </c>
      <c r="G15" s="12"/>
      <c r="H15" s="12"/>
      <c r="I15" s="77"/>
      <c r="J15" s="12"/>
      <c r="K15" s="12"/>
      <c r="L15" s="12"/>
      <c r="M15" s="12"/>
      <c r="N15" s="12"/>
      <c r="O15" s="12"/>
      <c r="P15" s="12"/>
      <c r="Q15" s="102"/>
    </row>
    <row r="16" spans="1:17" ht="22.5" x14ac:dyDescent="0.2">
      <c r="A16" s="99">
        <f>IF(COUNTBLANK(B16)=1," ",COUNTA($B$13:B16))</f>
        <v>2</v>
      </c>
      <c r="B16" s="114" t="s">
        <v>48</v>
      </c>
      <c r="C16" s="264" t="s">
        <v>54</v>
      </c>
      <c r="D16" s="265" t="s">
        <v>50</v>
      </c>
      <c r="E16" s="300">
        <f>E13</f>
        <v>152</v>
      </c>
      <c r="F16" s="102"/>
      <c r="G16" s="12"/>
      <c r="H16" s="12"/>
      <c r="I16" s="77"/>
      <c r="J16" s="12"/>
      <c r="K16" s="12"/>
      <c r="L16" s="12"/>
      <c r="M16" s="12"/>
      <c r="N16" s="12"/>
      <c r="O16" s="12"/>
      <c r="P16" s="12"/>
      <c r="Q16" s="102"/>
    </row>
    <row r="17" spans="1:17" ht="22.5" x14ac:dyDescent="0.2">
      <c r="A17" s="99">
        <f>IF(COUNTBLANK(B17)=1," ",COUNTA($B$13:B17))</f>
        <v>3</v>
      </c>
      <c r="B17" s="114" t="s">
        <v>48</v>
      </c>
      <c r="C17" s="264" t="s">
        <v>55</v>
      </c>
      <c r="D17" s="265" t="s">
        <v>56</v>
      </c>
      <c r="E17" s="300">
        <f>apjomi!W27*16.9</f>
        <v>2535</v>
      </c>
      <c r="F17" s="102"/>
      <c r="G17" s="12"/>
      <c r="H17" s="12"/>
      <c r="I17" s="77"/>
      <c r="J17" s="12"/>
      <c r="K17" s="12"/>
      <c r="L17" s="12"/>
      <c r="M17" s="12"/>
      <c r="N17" s="12"/>
      <c r="O17" s="12"/>
      <c r="P17" s="12"/>
      <c r="Q17" s="102"/>
    </row>
    <row r="18" spans="1:17" x14ac:dyDescent="0.2">
      <c r="A18" s="99" t="str">
        <f>IF(COUNTBLANK(B18)=1," ",COUNTA($B$13:B18))</f>
        <v xml:space="preserve"> </v>
      </c>
      <c r="B18" s="114"/>
      <c r="C18" s="264" t="s">
        <v>539</v>
      </c>
      <c r="D18" s="265" t="s">
        <v>56</v>
      </c>
      <c r="E18" s="300">
        <f>E17</f>
        <v>2535</v>
      </c>
      <c r="F18" s="102">
        <v>1</v>
      </c>
      <c r="G18" s="12"/>
      <c r="H18" s="12"/>
      <c r="I18" s="77"/>
      <c r="J18" s="12"/>
      <c r="K18" s="12"/>
      <c r="L18" s="12"/>
      <c r="M18" s="12"/>
      <c r="N18" s="12"/>
      <c r="O18" s="12"/>
      <c r="P18" s="12"/>
      <c r="Q18" s="102"/>
    </row>
    <row r="19" spans="1:17" ht="22.5" x14ac:dyDescent="0.2">
      <c r="A19" s="99">
        <f>IF(COUNTBLANK(B19)=1," ",COUNTA($B$13:B19))</f>
        <v>4</v>
      </c>
      <c r="B19" s="114" t="s">
        <v>48</v>
      </c>
      <c r="C19" s="264" t="s">
        <v>57</v>
      </c>
      <c r="D19" s="265" t="s">
        <v>52</v>
      </c>
      <c r="E19" s="301">
        <v>1</v>
      </c>
      <c r="F19" s="102"/>
      <c r="G19" s="12"/>
      <c r="H19" s="12"/>
      <c r="I19" s="77"/>
      <c r="J19" s="12"/>
      <c r="K19" s="12"/>
      <c r="L19" s="12"/>
      <c r="M19" s="12"/>
      <c r="N19" s="12"/>
      <c r="O19" s="12"/>
      <c r="P19" s="12"/>
      <c r="Q19" s="102"/>
    </row>
    <row r="20" spans="1:17" x14ac:dyDescent="0.2">
      <c r="A20" s="99" t="str">
        <f>IF(COUNTBLANK(B20)=1," ",COUNTA($B$13:B20))</f>
        <v xml:space="preserve"> </v>
      </c>
      <c r="B20" s="114"/>
      <c r="C20" s="264" t="s">
        <v>58</v>
      </c>
      <c r="D20" s="265" t="s">
        <v>59</v>
      </c>
      <c r="E20" s="301">
        <v>7</v>
      </c>
      <c r="F20" s="102"/>
      <c r="G20" s="12"/>
      <c r="H20" s="12"/>
      <c r="I20" s="77"/>
      <c r="J20" s="12"/>
      <c r="K20" s="12"/>
      <c r="L20" s="12"/>
      <c r="M20" s="12"/>
      <c r="N20" s="12"/>
      <c r="O20" s="12"/>
      <c r="P20" s="12"/>
      <c r="Q20" s="102"/>
    </row>
    <row r="21" spans="1:17" ht="22.5" x14ac:dyDescent="0.2">
      <c r="A21" s="99">
        <f>IF(COUNTBLANK(B21)=1," ",COUNTA($B$13:B21))</f>
        <v>5</v>
      </c>
      <c r="B21" s="114" t="s">
        <v>48</v>
      </c>
      <c r="C21" s="264" t="s">
        <v>60</v>
      </c>
      <c r="D21" s="265" t="s">
        <v>52</v>
      </c>
      <c r="E21" s="301">
        <v>1</v>
      </c>
      <c r="F21" s="102"/>
      <c r="G21" s="12"/>
      <c r="H21" s="12"/>
      <c r="I21" s="77"/>
      <c r="J21" s="12"/>
      <c r="K21" s="12"/>
      <c r="L21" s="12"/>
      <c r="M21" s="12"/>
      <c r="N21" s="12"/>
      <c r="O21" s="12"/>
      <c r="P21" s="12"/>
      <c r="Q21" s="102"/>
    </row>
    <row r="22" spans="1:17" ht="22.5" x14ac:dyDescent="0.2">
      <c r="A22" s="99">
        <f>IF(COUNTBLANK(B22)=1," ",COUNTA($B$13:B22))</f>
        <v>6</v>
      </c>
      <c r="B22" s="114" t="s">
        <v>48</v>
      </c>
      <c r="C22" s="264" t="s">
        <v>61</v>
      </c>
      <c r="D22" s="265" t="s">
        <v>52</v>
      </c>
      <c r="E22" s="301">
        <v>1</v>
      </c>
      <c r="F22" s="115"/>
      <c r="G22" s="12"/>
      <c r="H22" s="12"/>
      <c r="I22" s="77"/>
      <c r="J22" s="12"/>
      <c r="K22" s="12"/>
      <c r="L22" s="12"/>
      <c r="M22" s="12"/>
      <c r="N22" s="12"/>
      <c r="O22" s="12"/>
      <c r="P22" s="12"/>
      <c r="Q22" s="102"/>
    </row>
    <row r="23" spans="1:17" ht="22.5" x14ac:dyDescent="0.2">
      <c r="A23" s="99">
        <f>IF(COUNTBLANK(B23)=1," ",COUNTA($B$13:B23))</f>
        <v>7</v>
      </c>
      <c r="B23" s="114" t="s">
        <v>48</v>
      </c>
      <c r="C23" s="264" t="s">
        <v>62</v>
      </c>
      <c r="D23" s="265" t="s">
        <v>52</v>
      </c>
      <c r="E23" s="301">
        <v>1</v>
      </c>
      <c r="F23" s="32"/>
      <c r="G23" s="12"/>
      <c r="H23" s="12"/>
      <c r="I23" s="77"/>
      <c r="J23" s="12"/>
      <c r="K23" s="12"/>
      <c r="L23" s="12"/>
      <c r="M23" s="12"/>
      <c r="N23" s="12"/>
      <c r="O23" s="12"/>
      <c r="P23" s="12"/>
      <c r="Q23" s="102"/>
    </row>
    <row r="24" spans="1:17" ht="22.5" x14ac:dyDescent="0.2">
      <c r="A24" s="99">
        <f>IF(COUNTBLANK(B24)=1," ",COUNTA($B$13:B24))</f>
        <v>8</v>
      </c>
      <c r="B24" s="114" t="s">
        <v>48</v>
      </c>
      <c r="C24" s="292" t="s">
        <v>546</v>
      </c>
      <c r="D24" s="40" t="s">
        <v>56</v>
      </c>
      <c r="E24" s="310">
        <f>E26*0.25</f>
        <v>471.72487500000005</v>
      </c>
      <c r="F24" s="294"/>
      <c r="G24" s="12"/>
      <c r="H24" s="12"/>
      <c r="I24" s="77"/>
      <c r="J24" s="12"/>
      <c r="K24" s="12"/>
      <c r="L24" s="12"/>
      <c r="M24" s="12"/>
      <c r="N24" s="12"/>
      <c r="O24" s="12"/>
      <c r="P24" s="12"/>
      <c r="Q24" s="102"/>
    </row>
    <row r="25" spans="1:17" ht="22.5" x14ac:dyDescent="0.2">
      <c r="A25" s="99"/>
      <c r="B25" s="114"/>
      <c r="C25" s="292" t="s">
        <v>547</v>
      </c>
      <c r="D25" s="40" t="s">
        <v>544</v>
      </c>
      <c r="E25" s="310">
        <f>E24*F25</f>
        <v>70.758731250000011</v>
      </c>
      <c r="F25" s="294">
        <v>0.15</v>
      </c>
      <c r="G25" s="12"/>
      <c r="H25" s="12"/>
      <c r="I25" s="77"/>
      <c r="J25" s="12"/>
      <c r="K25" s="12"/>
      <c r="L25" s="12"/>
      <c r="M25" s="12"/>
      <c r="N25" s="12"/>
      <c r="O25" s="12"/>
      <c r="P25" s="12"/>
      <c r="Q25" s="102"/>
    </row>
    <row r="26" spans="1:17" ht="33.75" x14ac:dyDescent="0.2">
      <c r="A26" s="99">
        <f>IF(COUNTBLANK(B26)=1," ",COUNTA($B$13:B26))</f>
        <v>9</v>
      </c>
      <c r="B26" s="114" t="s">
        <v>48</v>
      </c>
      <c r="C26" s="266" t="s">
        <v>63</v>
      </c>
      <c r="D26" s="267" t="s">
        <v>56</v>
      </c>
      <c r="E26" s="302">
        <f>SUM(E29:E35)+E37+E38+E39+E40</f>
        <v>1886.8995000000002</v>
      </c>
      <c r="F26" s="32"/>
      <c r="G26" s="12"/>
      <c r="H26" s="12"/>
      <c r="I26" s="77"/>
      <c r="J26" s="12"/>
      <c r="K26" s="12"/>
      <c r="L26" s="12"/>
      <c r="M26" s="12"/>
      <c r="N26" s="12"/>
      <c r="O26" s="12"/>
      <c r="P26" s="12"/>
      <c r="Q26" s="102"/>
    </row>
    <row r="27" spans="1:17" ht="33.75" x14ac:dyDescent="0.2">
      <c r="A27" s="99" t="str">
        <f>IF(COUNTBLANK(B27)=1," ",COUNTA($B$13:B27))</f>
        <v xml:space="preserve"> </v>
      </c>
      <c r="B27" s="99"/>
      <c r="C27" s="295" t="s">
        <v>545</v>
      </c>
      <c r="D27" s="265" t="s">
        <v>64</v>
      </c>
      <c r="E27" s="303">
        <f>E26*F27</f>
        <v>566.06985000000009</v>
      </c>
      <c r="F27" s="294">
        <v>0.3</v>
      </c>
      <c r="G27" s="12"/>
      <c r="H27" s="12"/>
      <c r="I27" s="77"/>
      <c r="J27" s="12"/>
      <c r="K27" s="12"/>
      <c r="L27" s="12"/>
      <c r="M27" s="12"/>
      <c r="N27" s="12"/>
      <c r="O27" s="12"/>
      <c r="P27" s="12"/>
      <c r="Q27" s="102"/>
    </row>
    <row r="28" spans="1:17" x14ac:dyDescent="0.2">
      <c r="A28" s="99" t="str">
        <f>IF(COUNTBLANK(B28)=1," ",COUNTA($B$13:B28))</f>
        <v xml:space="preserve"> </v>
      </c>
      <c r="B28" s="99"/>
      <c r="C28" s="264" t="s">
        <v>216</v>
      </c>
      <c r="D28" s="265" t="s">
        <v>64</v>
      </c>
      <c r="E28" s="304">
        <f>ROUNDUP(E26*F28,2)</f>
        <v>10377.950000000001</v>
      </c>
      <c r="F28" s="102">
        <v>5.5</v>
      </c>
      <c r="G28" s="12"/>
      <c r="H28" s="12"/>
      <c r="I28" s="77"/>
      <c r="J28" s="12"/>
      <c r="K28" s="12"/>
      <c r="L28" s="12"/>
      <c r="M28" s="12"/>
      <c r="N28" s="12"/>
      <c r="O28" s="12"/>
      <c r="P28" s="12"/>
      <c r="Q28" s="102"/>
    </row>
    <row r="29" spans="1:17" ht="56.25" x14ac:dyDescent="0.2">
      <c r="A29" s="99">
        <v>9</v>
      </c>
      <c r="B29" s="99" t="str">
        <f>apjomi!A31</f>
        <v>S0</v>
      </c>
      <c r="C29" s="268" t="str">
        <f>apjomi!B31</f>
        <v>Vieglbetona paneļu ārējās sānu sienu siltinājums  Apmetuma sistēma virs siltinājuma ( Siltinājums – putpolistirols Kooltherm K5 vai ekvivalents); λ=0,020W/mK b=60mm. Līmjava Gruntējums, Esošā siena vieglbetona bloki b=240mm, Šķēlums S-0</v>
      </c>
      <c r="D29" s="265" t="str">
        <f>apjomi!C31</f>
        <v>m²</v>
      </c>
      <c r="E29" s="304">
        <v>6</v>
      </c>
      <c r="F29" s="102">
        <v>1.05</v>
      </c>
      <c r="G29" s="12"/>
      <c r="H29" s="12"/>
      <c r="I29" s="77"/>
      <c r="J29" s="12"/>
      <c r="K29" s="12"/>
      <c r="L29" s="12"/>
      <c r="M29" s="12"/>
      <c r="N29" s="12"/>
      <c r="O29" s="12"/>
      <c r="P29" s="12"/>
      <c r="Q29" s="102"/>
    </row>
    <row r="30" spans="1:17" ht="56.25" x14ac:dyDescent="0.2">
      <c r="A30" s="99">
        <f>IF(COUNTBLANK(B30)=1," ",COUNTA($B$13:B30))</f>
        <v>11</v>
      </c>
      <c r="B30" s="99" t="str">
        <f>apjomi!A32</f>
        <v>S1</v>
      </c>
      <c r="C30" s="268" t="str">
        <f>apjomi!B32</f>
        <v>Vieglbetona paneļu galu ārsienas siltinājums  Apmetuma sistēma virs siltinājuma (AS-1 vai  AS-2) Siltinājums - fasādes akmensvate (FRONTROCK S vai ekvivalents); λ=0,037W/mK b=180mm. Līmjava Gruntējums, Esošā siena vieglbetona bloki b=420mm, Šķēlums S-1</v>
      </c>
      <c r="D30" s="267" t="s">
        <v>56</v>
      </c>
      <c r="E30" s="305">
        <f>apjomi!D32*F30</f>
        <v>501.90000000000003</v>
      </c>
      <c r="F30" s="32">
        <v>1.05</v>
      </c>
      <c r="G30" s="12"/>
      <c r="H30" s="12"/>
      <c r="I30" s="77"/>
      <c r="J30" s="12"/>
      <c r="K30" s="12"/>
      <c r="L30" s="12"/>
      <c r="M30" s="12"/>
      <c r="N30" s="12"/>
      <c r="O30" s="12"/>
      <c r="P30" s="12"/>
      <c r="Q30" s="102"/>
    </row>
    <row r="31" spans="1:17" ht="56.25" x14ac:dyDescent="0.2">
      <c r="A31" s="99">
        <f>IF(COUNTBLANK(B31)=1," ",COUNTA($B$13:B31))</f>
        <v>12</v>
      </c>
      <c r="B31" s="99" t="str">
        <f>apjomi!A33</f>
        <v>S2</v>
      </c>
      <c r="C31" s="268" t="str">
        <f>apjomi!B33</f>
        <v>Vieglbetona paneļu sānu sienas siltinājums  Apmetuma sistēma virs siltinājuma (AS-1 vai  AS-2) Siltinājums - fasādes akmensvate (FRONTROCK S vai ekvivalents); λ=0,037W/mK b=180mm. Līmjava Gruntējums, Esošā siena vieglbetona bloki b=250mm, Šķēlums S-2</v>
      </c>
      <c r="D31" s="267" t="s">
        <v>56</v>
      </c>
      <c r="E31" s="305">
        <f>apjomi!D33*F31</f>
        <v>408.45000000000005</v>
      </c>
      <c r="F31" s="32">
        <v>1.05</v>
      </c>
      <c r="G31" s="12"/>
      <c r="H31" s="12"/>
      <c r="I31" s="77"/>
      <c r="J31" s="12"/>
      <c r="K31" s="12"/>
      <c r="L31" s="12"/>
      <c r="M31" s="12"/>
      <c r="N31" s="12"/>
      <c r="O31" s="12"/>
      <c r="P31" s="12"/>
      <c r="Q31" s="102"/>
    </row>
    <row r="32" spans="1:17" ht="56.25" x14ac:dyDescent="0.2">
      <c r="A32" s="103">
        <v>12</v>
      </c>
      <c r="B32" s="103" t="s">
        <v>67</v>
      </c>
      <c r="C32" s="268" t="str">
        <f>apjomi!B34</f>
        <v>Lodžijas sānu sienu siltinājums. Apmetuma sistēma virs siltinājuma ( AS-2)  (siltinājums putpolistirols Kooltherm K5 vai ekvivalents); λ=0,020W/mK b=60mm. Līmjava Gruntējums, Esošā siena vieglbetona bloki b=160mm. Šķēlums S-3</v>
      </c>
      <c r="D32" s="269" t="str">
        <f>D30</f>
        <v>m²</v>
      </c>
      <c r="E32" s="305">
        <f>apjomi!D34*F32</f>
        <v>331.6635</v>
      </c>
      <c r="F32" s="150">
        <v>1.05</v>
      </c>
      <c r="G32" s="12"/>
      <c r="H32" s="12"/>
      <c r="I32" s="77"/>
      <c r="J32" s="12"/>
      <c r="K32" s="12"/>
      <c r="L32" s="12"/>
      <c r="M32" s="12"/>
      <c r="N32" s="12"/>
      <c r="O32" s="12"/>
      <c r="P32" s="12"/>
      <c r="Q32" s="102"/>
    </row>
    <row r="33" spans="1:17" ht="45" x14ac:dyDescent="0.2">
      <c r="A33" s="99">
        <v>13</v>
      </c>
      <c r="B33" s="103" t="str">
        <f>apjomi!A37</f>
        <v>S6</v>
      </c>
      <c r="C33" s="268" t="str">
        <f>apjomi!B37</f>
        <v>Tehniskās stāva siltinājums. Apmetuma sistēma virs siltinājuma (AS-2). Siltumizolācija, λ=0,034 W/mK, b=50 mm. Līmjava. Gruntējums. Esošā betona bloku siena b= 250 mm</v>
      </c>
      <c r="D33" s="269" t="str">
        <f>D32</f>
        <v>m²</v>
      </c>
      <c r="E33" s="305">
        <f>apjomi!D37*F33</f>
        <v>330.54</v>
      </c>
      <c r="F33" s="150">
        <v>1.05</v>
      </c>
      <c r="G33" s="12"/>
      <c r="H33" s="12"/>
      <c r="I33" s="77"/>
      <c r="J33" s="12"/>
      <c r="K33" s="12"/>
      <c r="L33" s="12"/>
      <c r="M33" s="12"/>
      <c r="N33" s="12"/>
      <c r="O33" s="12"/>
      <c r="P33" s="12"/>
      <c r="Q33" s="102"/>
    </row>
    <row r="34" spans="1:17" ht="45" x14ac:dyDescent="0.2">
      <c r="A34" s="103">
        <v>14</v>
      </c>
      <c r="B34" s="103" t="str">
        <f>apjomi!A38</f>
        <v>S7</v>
      </c>
      <c r="C34" s="268" t="str">
        <f>apjomi!B38</f>
        <v>Kāpņu telpas sienas bēniņos siltinājums. Grunts. Līmjava, fasādes akmensvate (FRONTROCK S vai ekvivalents); λ=0,037W/mK b=170mm, līmjava, grunts, Esošā siena vieglbetona panelis b = 250 mm</v>
      </c>
      <c r="D34" s="269" t="str">
        <f>apjomi!C38</f>
        <v>m²</v>
      </c>
      <c r="E34" s="305">
        <f>apjomi!D38*F34</f>
        <v>77.616</v>
      </c>
      <c r="F34" s="150">
        <v>1.05</v>
      </c>
      <c r="G34" s="12"/>
      <c r="H34" s="12"/>
      <c r="I34" s="77"/>
      <c r="J34" s="12"/>
      <c r="K34" s="12"/>
      <c r="L34" s="12"/>
      <c r="M34" s="12"/>
      <c r="N34" s="12"/>
      <c r="O34" s="12"/>
      <c r="P34" s="12"/>
      <c r="Q34" s="102"/>
    </row>
    <row r="35" spans="1:17" ht="33.75" x14ac:dyDescent="0.2">
      <c r="A35" s="99">
        <v>15</v>
      </c>
      <c r="B35" s="114" t="s">
        <v>48</v>
      </c>
      <c r="C35" s="268" t="s">
        <v>438</v>
      </c>
      <c r="D35" s="269" t="str">
        <f>D34</f>
        <v>m²</v>
      </c>
      <c r="E35" s="305">
        <v>83.4</v>
      </c>
      <c r="F35" s="150"/>
      <c r="G35" s="12"/>
      <c r="H35" s="12"/>
      <c r="I35" s="77"/>
      <c r="J35" s="12"/>
      <c r="K35" s="12"/>
      <c r="L35" s="12"/>
      <c r="M35" s="12"/>
      <c r="N35" s="12"/>
      <c r="O35" s="12"/>
      <c r="P35" s="12"/>
      <c r="Q35" s="102"/>
    </row>
    <row r="36" spans="1:17" x14ac:dyDescent="0.2">
      <c r="A36" s="103"/>
      <c r="B36" s="103"/>
      <c r="C36" s="268" t="s">
        <v>69</v>
      </c>
      <c r="D36" s="269" t="s">
        <v>50</v>
      </c>
      <c r="E36" s="305">
        <v>361</v>
      </c>
      <c r="F36" s="150"/>
      <c r="G36" s="12"/>
      <c r="H36" s="12"/>
      <c r="I36" s="77"/>
      <c r="J36" s="12"/>
      <c r="K36" s="12"/>
      <c r="L36" s="12"/>
      <c r="M36" s="12"/>
      <c r="N36" s="12"/>
      <c r="O36" s="12"/>
      <c r="P36" s="12"/>
      <c r="Q36" s="102"/>
    </row>
    <row r="37" spans="1:17" ht="22.5" x14ac:dyDescent="0.2">
      <c r="A37" s="99">
        <v>16</v>
      </c>
      <c r="B37" s="114" t="s">
        <v>48</v>
      </c>
      <c r="C37" s="270" t="s">
        <v>439</v>
      </c>
      <c r="D37" s="267" t="s">
        <v>56</v>
      </c>
      <c r="E37" s="38">
        <v>5.04</v>
      </c>
      <c r="F37" s="115"/>
      <c r="G37" s="12"/>
      <c r="H37" s="12"/>
      <c r="I37" s="77"/>
      <c r="J37" s="12"/>
      <c r="K37" s="12"/>
      <c r="L37" s="12"/>
      <c r="M37" s="12"/>
      <c r="N37" s="12"/>
      <c r="O37" s="12"/>
      <c r="P37" s="12"/>
      <c r="Q37" s="102"/>
    </row>
    <row r="38" spans="1:17" ht="45" x14ac:dyDescent="0.2">
      <c r="A38" s="103">
        <v>17</v>
      </c>
      <c r="B38" s="103" t="s">
        <v>70</v>
      </c>
      <c r="C38" s="268" t="str">
        <f>apjomi!B42</f>
        <v>Pārsegums virs ieejas siltinājums. Esošais dzelzs betona pārsegums b=220mm, Līmjava. fasādes akmensvate (FRONTROCK S vai ekvivalents); λ=0,037W/mK b=150mm, līmjava uz stiklšķiedra sieta, ārējā apdare</v>
      </c>
      <c r="D38" s="269" t="str">
        <f>D32</f>
        <v>m²</v>
      </c>
      <c r="E38" s="305">
        <f>apjomi!D42*F38</f>
        <v>12.39</v>
      </c>
      <c r="F38" s="150">
        <v>1.05</v>
      </c>
      <c r="G38" s="12"/>
      <c r="H38" s="12"/>
      <c r="I38" s="77"/>
      <c r="J38" s="12"/>
      <c r="K38" s="12"/>
      <c r="L38" s="12"/>
      <c r="M38" s="12"/>
      <c r="N38" s="12"/>
      <c r="O38" s="12"/>
      <c r="P38" s="12"/>
      <c r="Q38" s="102"/>
    </row>
    <row r="39" spans="1:17" ht="22.5" x14ac:dyDescent="0.2">
      <c r="A39" s="103">
        <v>18</v>
      </c>
      <c r="B39" s="103" t="s">
        <v>48</v>
      </c>
      <c r="C39" s="268" t="s">
        <v>440</v>
      </c>
      <c r="D39" s="269" t="str">
        <f>D35</f>
        <v>m²</v>
      </c>
      <c r="E39" s="305">
        <v>48</v>
      </c>
      <c r="F39" s="150"/>
      <c r="G39" s="12"/>
      <c r="H39" s="12"/>
      <c r="I39" s="77"/>
      <c r="J39" s="12"/>
      <c r="K39" s="12"/>
      <c r="L39" s="12"/>
      <c r="M39" s="12"/>
      <c r="N39" s="12"/>
      <c r="O39" s="12"/>
      <c r="P39" s="12"/>
      <c r="Q39" s="102"/>
    </row>
    <row r="40" spans="1:17" ht="22.5" x14ac:dyDescent="0.2">
      <c r="A40" s="103">
        <v>19</v>
      </c>
      <c r="B40" s="103" t="s">
        <v>48</v>
      </c>
      <c r="C40" s="268" t="s">
        <v>441</v>
      </c>
      <c r="D40" s="269" t="s">
        <v>56</v>
      </c>
      <c r="E40" s="305">
        <v>81.900000000000006</v>
      </c>
      <c r="F40" s="150"/>
      <c r="G40" s="12"/>
      <c r="H40" s="12"/>
      <c r="I40" s="77"/>
      <c r="J40" s="12"/>
      <c r="K40" s="12"/>
      <c r="L40" s="12"/>
      <c r="M40" s="12"/>
      <c r="N40" s="12"/>
      <c r="O40" s="12"/>
      <c r="P40" s="12"/>
      <c r="Q40" s="102"/>
    </row>
    <row r="41" spans="1:17" ht="45" x14ac:dyDescent="0.2">
      <c r="A41" s="103"/>
      <c r="B41" s="103"/>
      <c r="C41" s="268" t="s">
        <v>384</v>
      </c>
      <c r="D41" s="269"/>
      <c r="E41" s="306"/>
      <c r="F41" s="150"/>
      <c r="G41" s="12"/>
      <c r="H41" s="12"/>
      <c r="I41" s="77"/>
      <c r="J41" s="12"/>
      <c r="K41" s="12"/>
      <c r="L41" s="12"/>
      <c r="M41" s="12"/>
      <c r="N41" s="12"/>
      <c r="O41" s="12"/>
      <c r="P41" s="12"/>
      <c r="Q41" s="102"/>
    </row>
    <row r="42" spans="1:17" ht="22.5" x14ac:dyDescent="0.2">
      <c r="A42" s="103">
        <v>20</v>
      </c>
      <c r="B42" s="103" t="s">
        <v>48</v>
      </c>
      <c r="C42" s="264" t="s">
        <v>406</v>
      </c>
      <c r="D42" s="265" t="s">
        <v>52</v>
      </c>
      <c r="E42" s="307">
        <f>ROUNDUP(E30/F30*F42,0)+(E31/F31*F42)+(E34/F34*F42)+(E38/F38*F42)+(E39*F42)</f>
        <v>6004.3200000000006</v>
      </c>
      <c r="F42" s="102">
        <v>6</v>
      </c>
      <c r="G42" s="12"/>
      <c r="H42" s="12"/>
      <c r="I42" s="77"/>
      <c r="J42" s="12"/>
      <c r="K42" s="12"/>
      <c r="L42" s="12"/>
      <c r="M42" s="12"/>
      <c r="N42" s="12"/>
      <c r="O42" s="12"/>
      <c r="P42" s="12"/>
      <c r="Q42" s="102"/>
    </row>
    <row r="43" spans="1:17" ht="22.5" x14ac:dyDescent="0.2">
      <c r="A43" s="103">
        <v>21</v>
      </c>
      <c r="B43" s="103" t="s">
        <v>48</v>
      </c>
      <c r="C43" s="264" t="s">
        <v>385</v>
      </c>
      <c r="D43" s="265" t="s">
        <v>52</v>
      </c>
      <c r="E43" s="307">
        <f>ROUNDUP(E35*F43,0)+ROUNDUP(E32/F32*F43,0)</f>
        <v>2397</v>
      </c>
      <c r="F43" s="102">
        <v>6</v>
      </c>
      <c r="G43" s="12"/>
      <c r="H43" s="12"/>
      <c r="I43" s="77"/>
      <c r="J43" s="12"/>
      <c r="K43" s="12"/>
      <c r="L43" s="12"/>
      <c r="M43" s="12"/>
      <c r="N43" s="12"/>
      <c r="O43" s="12"/>
      <c r="P43" s="12"/>
      <c r="Q43" s="102"/>
    </row>
    <row r="44" spans="1:17" ht="22.5" x14ac:dyDescent="0.2">
      <c r="A44" s="103">
        <v>22</v>
      </c>
      <c r="B44" s="103" t="s">
        <v>48</v>
      </c>
      <c r="C44" s="264" t="s">
        <v>386</v>
      </c>
      <c r="D44" s="265" t="s">
        <v>52</v>
      </c>
      <c r="E44" s="307">
        <f>ROUNDUP(E37*F44,0)</f>
        <v>31</v>
      </c>
      <c r="F44" s="102">
        <v>6</v>
      </c>
      <c r="G44" s="12"/>
      <c r="H44" s="12"/>
      <c r="I44" s="77"/>
      <c r="J44" s="12"/>
      <c r="K44" s="12"/>
      <c r="L44" s="12"/>
      <c r="M44" s="12"/>
      <c r="N44" s="12"/>
      <c r="O44" s="12"/>
      <c r="P44" s="12"/>
      <c r="Q44" s="102"/>
    </row>
    <row r="45" spans="1:17" ht="22.5" x14ac:dyDescent="0.2">
      <c r="A45" s="103">
        <v>23</v>
      </c>
      <c r="B45" s="103" t="s">
        <v>48</v>
      </c>
      <c r="C45" s="264" t="s">
        <v>387</v>
      </c>
      <c r="D45" s="265" t="s">
        <v>52</v>
      </c>
      <c r="E45" s="307">
        <f>ROUNDUP(E33/F33*F45,0)+12*6</f>
        <v>1961</v>
      </c>
      <c r="F45" s="102">
        <v>6</v>
      </c>
      <c r="G45" s="12"/>
      <c r="H45" s="12"/>
      <c r="I45" s="77"/>
      <c r="J45" s="12"/>
      <c r="K45" s="12"/>
      <c r="L45" s="12"/>
      <c r="M45" s="12"/>
      <c r="N45" s="12"/>
      <c r="O45" s="12"/>
      <c r="P45" s="12"/>
      <c r="Q45" s="102"/>
    </row>
    <row r="46" spans="1:17" ht="22.5" x14ac:dyDescent="0.2">
      <c r="A46" s="103">
        <v>24</v>
      </c>
      <c r="B46" s="103" t="s">
        <v>48</v>
      </c>
      <c r="C46" s="264" t="s">
        <v>388</v>
      </c>
      <c r="D46" s="265" t="s">
        <v>52</v>
      </c>
      <c r="E46" s="307">
        <f>ROUNDUP(E40*F46,0)</f>
        <v>492</v>
      </c>
      <c r="F46" s="102">
        <v>6</v>
      </c>
      <c r="G46" s="12"/>
      <c r="H46" s="12"/>
      <c r="I46" s="77"/>
      <c r="J46" s="12"/>
      <c r="K46" s="12"/>
      <c r="L46" s="12"/>
      <c r="M46" s="12"/>
      <c r="N46" s="12"/>
      <c r="O46" s="12"/>
      <c r="P46" s="12"/>
      <c r="Q46" s="102"/>
    </row>
    <row r="47" spans="1:17" ht="22.5" x14ac:dyDescent="0.2">
      <c r="A47" s="103">
        <v>25</v>
      </c>
      <c r="B47" s="103" t="s">
        <v>48</v>
      </c>
      <c r="C47" s="271" t="s">
        <v>442</v>
      </c>
      <c r="D47" s="265" t="s">
        <v>64</v>
      </c>
      <c r="E47" s="308">
        <f>ROUNDUP(E26*F47+10+561,2)</f>
        <v>10948.95</v>
      </c>
      <c r="F47" s="102">
        <v>5.5</v>
      </c>
      <c r="G47" s="12"/>
      <c r="H47" s="12"/>
      <c r="I47" s="77"/>
      <c r="J47" s="12"/>
      <c r="K47" s="12"/>
      <c r="L47" s="12"/>
      <c r="M47" s="12"/>
      <c r="N47" s="12"/>
      <c r="O47" s="12"/>
      <c r="P47" s="12"/>
      <c r="Q47" s="102"/>
    </row>
    <row r="48" spans="1:17" ht="22.5" x14ac:dyDescent="0.2">
      <c r="A48" s="103">
        <v>26</v>
      </c>
      <c r="B48" s="103" t="s">
        <v>48</v>
      </c>
      <c r="C48" s="271" t="s">
        <v>71</v>
      </c>
      <c r="D48" s="267" t="s">
        <v>56</v>
      </c>
      <c r="E48" s="308">
        <f>ROUNDUP(E26*F48+10+561,2)</f>
        <v>2589.9900000000002</v>
      </c>
      <c r="F48" s="102">
        <v>1.07</v>
      </c>
      <c r="G48" s="12"/>
      <c r="H48" s="12"/>
      <c r="I48" s="77"/>
      <c r="J48" s="12"/>
      <c r="K48" s="12"/>
      <c r="L48" s="12"/>
      <c r="M48" s="12"/>
      <c r="N48" s="12"/>
      <c r="O48" s="12"/>
      <c r="P48" s="12"/>
      <c r="Q48" s="102"/>
    </row>
    <row r="49" spans="1:17" ht="22.5" x14ac:dyDescent="0.2">
      <c r="A49" s="103">
        <v>27</v>
      </c>
      <c r="B49" s="103" t="s">
        <v>48</v>
      </c>
      <c r="C49" s="272" t="s">
        <v>443</v>
      </c>
      <c r="D49" s="265" t="s">
        <v>64</v>
      </c>
      <c r="E49" s="308">
        <f>(E26+10+561)*F49</f>
        <v>442.42191000000008</v>
      </c>
      <c r="F49" s="102">
        <v>0.18</v>
      </c>
      <c r="G49" s="12"/>
      <c r="H49" s="12"/>
      <c r="I49" s="77"/>
      <c r="J49" s="12"/>
      <c r="K49" s="12"/>
      <c r="L49" s="12"/>
      <c r="M49" s="12"/>
      <c r="N49" s="12"/>
      <c r="O49" s="12"/>
      <c r="P49" s="12"/>
      <c r="Q49" s="102"/>
    </row>
    <row r="50" spans="1:17" ht="22.5" x14ac:dyDescent="0.2">
      <c r="A50" s="103">
        <v>28</v>
      </c>
      <c r="B50" s="103" t="s">
        <v>48</v>
      </c>
      <c r="C50" s="264" t="s">
        <v>72</v>
      </c>
      <c r="D50" s="267" t="s">
        <v>56</v>
      </c>
      <c r="E50" s="308">
        <f>ROUNDUP((E26+E54+10+561),2)</f>
        <v>3172.9500000000003</v>
      </c>
      <c r="F50" s="115"/>
      <c r="G50" s="12"/>
      <c r="H50" s="12"/>
      <c r="I50" s="77"/>
      <c r="J50" s="12"/>
      <c r="K50" s="12"/>
      <c r="L50" s="12"/>
      <c r="M50" s="12"/>
      <c r="N50" s="12"/>
      <c r="O50" s="12"/>
      <c r="P50" s="12"/>
      <c r="Q50" s="102"/>
    </row>
    <row r="51" spans="1:17" x14ac:dyDescent="0.2">
      <c r="A51" s="99"/>
      <c r="B51" s="114"/>
      <c r="C51" s="264" t="s">
        <v>444</v>
      </c>
      <c r="D51" s="293" t="s">
        <v>544</v>
      </c>
      <c r="E51" s="308">
        <f>E50*0.18</f>
        <v>571.13099999999997</v>
      </c>
      <c r="F51" s="33">
        <f>E51/E50</f>
        <v>0.17999999999999997</v>
      </c>
      <c r="G51" s="12"/>
      <c r="H51" s="12"/>
      <c r="I51" s="77"/>
      <c r="J51" s="12"/>
      <c r="K51" s="12"/>
      <c r="L51" s="12"/>
      <c r="M51" s="12"/>
      <c r="N51" s="12"/>
      <c r="O51" s="12"/>
      <c r="P51" s="12"/>
      <c r="Q51" s="102"/>
    </row>
    <row r="52" spans="1:17" ht="22.5" x14ac:dyDescent="0.2">
      <c r="A52" s="99">
        <v>29</v>
      </c>
      <c r="B52" s="114" t="s">
        <v>48</v>
      </c>
      <c r="C52" s="264" t="s">
        <v>75</v>
      </c>
      <c r="D52" s="267" t="s">
        <v>56</v>
      </c>
      <c r="E52" s="308">
        <f>E50</f>
        <v>3172.9500000000003</v>
      </c>
      <c r="F52" s="115"/>
      <c r="G52" s="12"/>
      <c r="H52" s="12"/>
      <c r="I52" s="77"/>
      <c r="J52" s="12"/>
      <c r="K52" s="12"/>
      <c r="L52" s="12"/>
      <c r="M52" s="12"/>
      <c r="N52" s="12"/>
      <c r="O52" s="12"/>
      <c r="P52" s="12"/>
      <c r="Q52" s="102"/>
    </row>
    <row r="53" spans="1:17" ht="22.5" x14ac:dyDescent="0.2">
      <c r="A53" s="99" t="str">
        <f>IF(COUNTBLANK(B53)=1," ",COUNTA($B$13:B53))</f>
        <v xml:space="preserve"> </v>
      </c>
      <c r="B53" s="99"/>
      <c r="C53" s="268" t="s">
        <v>445</v>
      </c>
      <c r="D53" s="265" t="s">
        <v>64</v>
      </c>
      <c r="E53" s="308">
        <f>ROUNDUP((E26+E54+10+561)*F53,2)</f>
        <v>8249.67</v>
      </c>
      <c r="F53" s="102">
        <v>2.6</v>
      </c>
      <c r="G53" s="12"/>
      <c r="H53" s="12"/>
      <c r="I53" s="77"/>
      <c r="J53" s="12"/>
      <c r="K53" s="12"/>
      <c r="L53" s="12"/>
      <c r="M53" s="12"/>
      <c r="N53" s="12"/>
      <c r="O53" s="12"/>
      <c r="P53" s="12"/>
      <c r="Q53" s="102"/>
    </row>
    <row r="54" spans="1:17" ht="33.75" x14ac:dyDescent="0.2">
      <c r="A54" s="99">
        <v>30</v>
      </c>
      <c r="B54" s="114" t="s">
        <v>48</v>
      </c>
      <c r="C54" s="273" t="s">
        <v>536</v>
      </c>
      <c r="D54" s="269" t="s">
        <v>56</v>
      </c>
      <c r="E54" s="302">
        <f>apjomi!O27</f>
        <v>715.05</v>
      </c>
      <c r="F54" s="129"/>
      <c r="G54" s="12"/>
      <c r="H54" s="12"/>
      <c r="I54" s="77"/>
      <c r="J54" s="12"/>
      <c r="K54" s="12"/>
      <c r="L54" s="12"/>
      <c r="M54" s="12"/>
      <c r="N54" s="12"/>
      <c r="O54" s="12"/>
      <c r="P54" s="12"/>
      <c r="Q54" s="102"/>
    </row>
    <row r="55" spans="1:17" x14ac:dyDescent="0.2">
      <c r="A55" s="99" t="str">
        <f>IF(COUNTBLANK(B55)=1," ",COUNTA($B$13:B55))</f>
        <v xml:space="preserve"> </v>
      </c>
      <c r="B55" s="99"/>
      <c r="C55" s="268" t="s">
        <v>217</v>
      </c>
      <c r="D55" s="274" t="s">
        <v>64</v>
      </c>
      <c r="E55" s="304">
        <f>E54*F55</f>
        <v>128.70899999999997</v>
      </c>
      <c r="F55" s="102">
        <v>0.18</v>
      </c>
      <c r="G55" s="12"/>
      <c r="H55" s="12"/>
      <c r="I55" s="77"/>
      <c r="J55" s="12"/>
      <c r="K55" s="12"/>
      <c r="L55" s="12"/>
      <c r="M55" s="12"/>
      <c r="N55" s="12"/>
      <c r="O55" s="12"/>
      <c r="P55" s="12"/>
      <c r="Q55" s="102"/>
    </row>
    <row r="56" spans="1:17" x14ac:dyDescent="0.2">
      <c r="A56" s="99" t="str">
        <f>IF(COUNTBLANK(B56)=1," ",COUNTA($B$13:B56))</f>
        <v xml:space="preserve"> </v>
      </c>
      <c r="B56" s="99"/>
      <c r="C56" s="268" t="s">
        <v>76</v>
      </c>
      <c r="D56" s="274" t="s">
        <v>73</v>
      </c>
      <c r="E56" s="308">
        <f>E54*F56</f>
        <v>750.80250000000001</v>
      </c>
      <c r="F56" s="129">
        <v>1.05</v>
      </c>
      <c r="G56" s="12"/>
      <c r="H56" s="12"/>
      <c r="I56" s="77"/>
      <c r="J56" s="12"/>
      <c r="K56" s="12"/>
      <c r="L56" s="12"/>
      <c r="M56" s="12"/>
      <c r="N56" s="12"/>
      <c r="O56" s="12"/>
      <c r="P56" s="12"/>
      <c r="Q56" s="102"/>
    </row>
    <row r="57" spans="1:17" x14ac:dyDescent="0.2">
      <c r="A57" s="99" t="str">
        <f>IF(COUNTBLANK(B57)=1," ",COUNTA($B$13:B57))</f>
        <v xml:space="preserve"> </v>
      </c>
      <c r="B57" s="99"/>
      <c r="C57" s="268" t="s">
        <v>216</v>
      </c>
      <c r="D57" s="274" t="s">
        <v>64</v>
      </c>
      <c r="E57" s="308">
        <f>E54*F57</f>
        <v>4290.2999999999993</v>
      </c>
      <c r="F57" s="129">
        <v>6</v>
      </c>
      <c r="G57" s="12"/>
      <c r="H57" s="12"/>
      <c r="I57" s="77"/>
      <c r="J57" s="12"/>
      <c r="K57" s="12"/>
      <c r="L57" s="12"/>
      <c r="M57" s="12"/>
      <c r="N57" s="12"/>
      <c r="O57" s="12"/>
      <c r="P57" s="12"/>
      <c r="Q57" s="102"/>
    </row>
    <row r="58" spans="1:17" x14ac:dyDescent="0.2">
      <c r="A58" s="99" t="str">
        <f>IF(COUNTBLANK(B58)=1," ",COUNTA($B$13:B58))</f>
        <v xml:space="preserve"> </v>
      </c>
      <c r="B58" s="99"/>
      <c r="C58" s="268" t="s">
        <v>446</v>
      </c>
      <c r="D58" s="274" t="s">
        <v>52</v>
      </c>
      <c r="E58" s="307">
        <f>E54*F58</f>
        <v>4290.2999999999993</v>
      </c>
      <c r="F58" s="129">
        <v>6</v>
      </c>
      <c r="G58" s="12"/>
      <c r="H58" s="12"/>
      <c r="I58" s="77"/>
      <c r="J58" s="12"/>
      <c r="K58" s="12"/>
      <c r="L58" s="12"/>
      <c r="M58" s="12"/>
      <c r="N58" s="12"/>
      <c r="O58" s="12"/>
      <c r="P58" s="12"/>
      <c r="Q58" s="102"/>
    </row>
    <row r="59" spans="1:17" x14ac:dyDescent="0.2">
      <c r="A59" s="99" t="str">
        <f>IF(COUNTBLANK(B59)=1," ",COUNTA($B$13:B59))</f>
        <v xml:space="preserve"> </v>
      </c>
      <c r="B59" s="99"/>
      <c r="C59" s="268" t="s">
        <v>447</v>
      </c>
      <c r="D59" s="274" t="s">
        <v>64</v>
      </c>
      <c r="E59" s="308">
        <f>E54*F59</f>
        <v>3932.7749999999996</v>
      </c>
      <c r="F59" s="129">
        <v>5.5</v>
      </c>
      <c r="G59" s="12"/>
      <c r="H59" s="12"/>
      <c r="I59" s="77"/>
      <c r="J59" s="12"/>
      <c r="K59" s="12"/>
      <c r="L59" s="12"/>
      <c r="M59" s="12"/>
      <c r="N59" s="12"/>
      <c r="O59" s="12"/>
      <c r="P59" s="12"/>
      <c r="Q59" s="102"/>
    </row>
    <row r="60" spans="1:17" x14ac:dyDescent="0.2">
      <c r="A60" s="99" t="str">
        <f>IF(COUNTBLANK(B60)=1," ",COUNTA($B$13:B60))</f>
        <v xml:space="preserve"> </v>
      </c>
      <c r="B60" s="99"/>
      <c r="C60" s="268" t="s">
        <v>77</v>
      </c>
      <c r="D60" s="274" t="s">
        <v>73</v>
      </c>
      <c r="E60" s="308">
        <f>E54*F60</f>
        <v>765.10349999999994</v>
      </c>
      <c r="F60" s="129">
        <v>1.07</v>
      </c>
      <c r="G60" s="12"/>
      <c r="H60" s="12"/>
      <c r="I60" s="77"/>
      <c r="J60" s="12"/>
      <c r="K60" s="12"/>
      <c r="L60" s="12"/>
      <c r="M60" s="12"/>
      <c r="N60" s="12"/>
      <c r="O60" s="12"/>
      <c r="P60" s="12"/>
      <c r="Q60" s="102"/>
    </row>
    <row r="61" spans="1:17" ht="22.5" x14ac:dyDescent="0.2">
      <c r="A61" s="99">
        <v>31</v>
      </c>
      <c r="B61" s="114" t="s">
        <v>48</v>
      </c>
      <c r="C61" s="268" t="s">
        <v>448</v>
      </c>
      <c r="D61" s="269" t="s">
        <v>56</v>
      </c>
      <c r="E61" s="305">
        <f>E54</f>
        <v>715.05</v>
      </c>
      <c r="F61" s="129"/>
      <c r="G61" s="12"/>
      <c r="H61" s="12"/>
      <c r="I61" s="77"/>
      <c r="J61" s="12"/>
      <c r="K61" s="12"/>
      <c r="L61" s="12"/>
      <c r="M61" s="12"/>
      <c r="N61" s="12"/>
      <c r="O61" s="12"/>
      <c r="P61" s="12"/>
      <c r="Q61" s="102"/>
    </row>
    <row r="62" spans="1:17" x14ac:dyDescent="0.2">
      <c r="A62" s="99" t="str">
        <f>IF(COUNTBLANK(B62)=1," ",COUNTA($B$13:B62))</f>
        <v xml:space="preserve"> </v>
      </c>
      <c r="B62" s="99"/>
      <c r="C62" s="268" t="s">
        <v>447</v>
      </c>
      <c r="D62" s="274" t="s">
        <v>64</v>
      </c>
      <c r="E62" s="304">
        <f>E61*F62</f>
        <v>686.44799999999998</v>
      </c>
      <c r="F62" s="129">
        <v>0.96</v>
      </c>
      <c r="G62" s="12"/>
      <c r="H62" s="12"/>
      <c r="I62" s="77"/>
      <c r="J62" s="12"/>
      <c r="K62" s="12"/>
      <c r="L62" s="12"/>
      <c r="M62" s="12"/>
      <c r="N62" s="12"/>
      <c r="O62" s="12"/>
      <c r="P62" s="12"/>
      <c r="Q62" s="102"/>
    </row>
    <row r="63" spans="1:17" x14ac:dyDescent="0.2">
      <c r="A63" s="99" t="str">
        <f>IF(COUNTBLANK(B63)=1," ",COUNTA($B$13:B63))</f>
        <v xml:space="preserve"> </v>
      </c>
      <c r="B63" s="99"/>
      <c r="C63" s="268" t="s">
        <v>77</v>
      </c>
      <c r="D63" s="274" t="s">
        <v>73</v>
      </c>
      <c r="E63" s="304">
        <f>E61*F63</f>
        <v>107.25749999999999</v>
      </c>
      <c r="F63" s="129">
        <v>0.15</v>
      </c>
      <c r="G63" s="12"/>
      <c r="H63" s="12"/>
      <c r="I63" s="77"/>
      <c r="J63" s="12"/>
      <c r="K63" s="12"/>
      <c r="L63" s="12"/>
      <c r="M63" s="12"/>
      <c r="N63" s="12"/>
      <c r="O63" s="12"/>
      <c r="P63" s="12"/>
      <c r="Q63" s="102"/>
    </row>
    <row r="64" spans="1:17" ht="45" x14ac:dyDescent="0.2">
      <c r="A64" s="99">
        <v>32</v>
      </c>
      <c r="B64" s="114" t="s">
        <v>48</v>
      </c>
      <c r="C64" s="268" t="s">
        <v>449</v>
      </c>
      <c r="D64" s="269" t="s">
        <v>56</v>
      </c>
      <c r="E64" s="301">
        <f>0.3*0.5*4*apjomi!F27</f>
        <v>272.39999999999998</v>
      </c>
      <c r="F64" s="153"/>
      <c r="G64" s="12"/>
      <c r="H64" s="12"/>
      <c r="I64" s="77"/>
      <c r="J64" s="12"/>
      <c r="K64" s="12"/>
      <c r="L64" s="12"/>
      <c r="M64" s="12"/>
      <c r="N64" s="12"/>
      <c r="O64" s="12"/>
      <c r="P64" s="12"/>
      <c r="Q64" s="102"/>
    </row>
    <row r="65" spans="1:17" x14ac:dyDescent="0.2">
      <c r="A65" s="99" t="str">
        <f>IF(COUNTBLANK(B65)=1," ",COUNTA($B$13:B65))</f>
        <v xml:space="preserve"> </v>
      </c>
      <c r="B65" s="99"/>
      <c r="C65" s="268" t="s">
        <v>447</v>
      </c>
      <c r="D65" s="274" t="s">
        <v>64</v>
      </c>
      <c r="E65" s="304">
        <f>E64*F65</f>
        <v>261.50399999999996</v>
      </c>
      <c r="F65" s="129">
        <v>0.96</v>
      </c>
      <c r="G65" s="12"/>
      <c r="H65" s="12"/>
      <c r="I65" s="77"/>
      <c r="J65" s="12"/>
      <c r="K65" s="12"/>
      <c r="L65" s="12"/>
      <c r="M65" s="12"/>
      <c r="N65" s="12"/>
      <c r="O65" s="12"/>
      <c r="P65" s="12"/>
      <c r="Q65" s="102"/>
    </row>
    <row r="66" spans="1:17" x14ac:dyDescent="0.2">
      <c r="A66" s="99" t="str">
        <f>IF(COUNTBLANK(B66)=1," ",COUNTA($B$13:B66))</f>
        <v xml:space="preserve"> </v>
      </c>
      <c r="B66" s="99"/>
      <c r="C66" s="268" t="s">
        <v>77</v>
      </c>
      <c r="D66" s="274" t="s">
        <v>73</v>
      </c>
      <c r="E66" s="304">
        <f>ROUNDUP(E64*F66,0)</f>
        <v>41</v>
      </c>
      <c r="F66" s="129">
        <v>0.15</v>
      </c>
      <c r="G66" s="12"/>
      <c r="H66" s="12"/>
      <c r="I66" s="77"/>
      <c r="J66" s="12"/>
      <c r="K66" s="12"/>
      <c r="L66" s="12"/>
      <c r="M66" s="12"/>
      <c r="N66" s="12"/>
      <c r="O66" s="12"/>
      <c r="P66" s="12"/>
      <c r="Q66" s="102"/>
    </row>
    <row r="67" spans="1:17" ht="33.75" x14ac:dyDescent="0.2">
      <c r="A67" s="99">
        <v>33</v>
      </c>
      <c r="B67" s="99" t="s">
        <v>48</v>
      </c>
      <c r="C67" s="272" t="s">
        <v>78</v>
      </c>
      <c r="D67" s="274" t="s">
        <v>50</v>
      </c>
      <c r="E67" s="308">
        <v>56</v>
      </c>
      <c r="F67" s="129"/>
      <c r="G67" s="12"/>
      <c r="H67" s="12"/>
      <c r="I67" s="77"/>
      <c r="J67" s="12"/>
      <c r="K67" s="12"/>
      <c r="L67" s="12"/>
      <c r="M67" s="12"/>
      <c r="N67" s="12"/>
      <c r="O67" s="12"/>
      <c r="P67" s="12"/>
      <c r="Q67" s="102"/>
    </row>
    <row r="68" spans="1:17" ht="22.5" x14ac:dyDescent="0.2">
      <c r="A68" s="99">
        <v>34</v>
      </c>
      <c r="B68" s="114" t="s">
        <v>48</v>
      </c>
      <c r="C68" s="268" t="s">
        <v>450</v>
      </c>
      <c r="D68" s="265" t="s">
        <v>50</v>
      </c>
      <c r="E68" s="300">
        <f>apjomi!N27</f>
        <v>1708.65</v>
      </c>
      <c r="F68" s="32"/>
      <c r="G68" s="12"/>
      <c r="H68" s="12"/>
      <c r="I68" s="77"/>
      <c r="J68" s="12"/>
      <c r="K68" s="12"/>
      <c r="L68" s="12"/>
      <c r="M68" s="12"/>
      <c r="N68" s="12"/>
      <c r="O68" s="12"/>
      <c r="P68" s="12"/>
      <c r="Q68" s="102"/>
    </row>
    <row r="69" spans="1:17" ht="22.5" x14ac:dyDescent="0.2">
      <c r="A69" s="99">
        <v>35</v>
      </c>
      <c r="B69" s="114" t="s">
        <v>48</v>
      </c>
      <c r="C69" s="264" t="s">
        <v>451</v>
      </c>
      <c r="D69" s="265" t="s">
        <v>50</v>
      </c>
      <c r="E69" s="301">
        <f>apjomi!S27</f>
        <v>2410.8000000000002</v>
      </c>
      <c r="F69" s="32"/>
      <c r="G69" s="12"/>
      <c r="H69" s="12"/>
      <c r="I69" s="77"/>
      <c r="J69" s="12"/>
      <c r="K69" s="12"/>
      <c r="L69" s="12"/>
      <c r="M69" s="12"/>
      <c r="N69" s="12"/>
      <c r="O69" s="12"/>
      <c r="P69" s="12"/>
      <c r="Q69" s="102"/>
    </row>
    <row r="70" spans="1:17" ht="22.5" x14ac:dyDescent="0.2">
      <c r="A70" s="99">
        <v>36</v>
      </c>
      <c r="B70" s="114" t="s">
        <v>48</v>
      </c>
      <c r="C70" s="264" t="s">
        <v>452</v>
      </c>
      <c r="D70" s="265" t="s">
        <v>50</v>
      </c>
      <c r="E70" s="301">
        <f>apjomi!T27</f>
        <v>2410.8000000000002</v>
      </c>
      <c r="F70" s="32"/>
      <c r="G70" s="12"/>
      <c r="H70" s="12"/>
      <c r="I70" s="77"/>
      <c r="J70" s="12"/>
      <c r="K70" s="12"/>
      <c r="L70" s="12"/>
      <c r="M70" s="12"/>
      <c r="N70" s="12"/>
      <c r="O70" s="12"/>
      <c r="P70" s="12"/>
      <c r="Q70" s="102"/>
    </row>
    <row r="71" spans="1:17" ht="22.5" x14ac:dyDescent="0.2">
      <c r="A71" s="99">
        <v>37</v>
      </c>
      <c r="B71" s="114" t="s">
        <v>48</v>
      </c>
      <c r="C71" s="268" t="s">
        <v>453</v>
      </c>
      <c r="D71" s="265" t="s">
        <v>50</v>
      </c>
      <c r="E71" s="301">
        <f>apjomi!U27</f>
        <v>1041.9000000000001</v>
      </c>
      <c r="F71" s="32"/>
      <c r="G71" s="12"/>
      <c r="H71" s="12"/>
      <c r="I71" s="77"/>
      <c r="J71" s="12"/>
      <c r="K71" s="12"/>
      <c r="L71" s="12"/>
      <c r="M71" s="12"/>
      <c r="N71" s="12"/>
      <c r="O71" s="12"/>
      <c r="P71" s="12"/>
      <c r="Q71" s="102"/>
    </row>
    <row r="72" spans="1:17" ht="22.5" x14ac:dyDescent="0.2">
      <c r="A72" s="99">
        <v>38</v>
      </c>
      <c r="B72" s="114" t="s">
        <v>48</v>
      </c>
      <c r="C72" s="268" t="s">
        <v>454</v>
      </c>
      <c r="D72" s="265" t="s">
        <v>50</v>
      </c>
      <c r="E72" s="301">
        <f>apjomi!V27</f>
        <v>1041.9000000000001</v>
      </c>
      <c r="F72" s="32"/>
      <c r="G72" s="12"/>
      <c r="H72" s="12"/>
      <c r="I72" s="77"/>
      <c r="J72" s="12"/>
      <c r="K72" s="12"/>
      <c r="L72" s="12"/>
      <c r="M72" s="12"/>
      <c r="N72" s="12"/>
      <c r="O72" s="12"/>
      <c r="P72" s="12"/>
      <c r="Q72" s="102"/>
    </row>
    <row r="73" spans="1:17" ht="22.5" x14ac:dyDescent="0.2">
      <c r="A73" s="99">
        <v>39</v>
      </c>
      <c r="B73" s="114" t="s">
        <v>48</v>
      </c>
      <c r="C73" s="264" t="s">
        <v>455</v>
      </c>
      <c r="D73" s="265" t="s">
        <v>50</v>
      </c>
      <c r="E73" s="308">
        <f>142+F73</f>
        <v>151.6</v>
      </c>
      <c r="F73" s="32">
        <v>9.6</v>
      </c>
      <c r="G73" s="12"/>
      <c r="H73" s="12"/>
      <c r="I73" s="77"/>
      <c r="J73" s="12"/>
      <c r="K73" s="12"/>
      <c r="L73" s="12"/>
      <c r="M73" s="12"/>
      <c r="N73" s="12"/>
      <c r="O73" s="12"/>
      <c r="P73" s="12"/>
      <c r="Q73" s="102"/>
    </row>
    <row r="74" spans="1:17" ht="22.5" x14ac:dyDescent="0.2">
      <c r="A74" s="99">
        <v>40</v>
      </c>
      <c r="B74" s="114" t="s">
        <v>48</v>
      </c>
      <c r="C74" s="264" t="s">
        <v>79</v>
      </c>
      <c r="D74" s="267" t="s">
        <v>50</v>
      </c>
      <c r="E74" s="301">
        <f>apjomi!W27</f>
        <v>150</v>
      </c>
      <c r="F74" s="102"/>
      <c r="G74" s="12"/>
      <c r="H74" s="12"/>
      <c r="I74" s="77"/>
      <c r="J74" s="12"/>
      <c r="K74" s="12"/>
      <c r="L74" s="12"/>
      <c r="M74" s="12"/>
      <c r="N74" s="12"/>
      <c r="O74" s="12"/>
      <c r="P74" s="12"/>
      <c r="Q74" s="102"/>
    </row>
    <row r="75" spans="1:17" ht="22.5" x14ac:dyDescent="0.2">
      <c r="A75" s="99">
        <v>41</v>
      </c>
      <c r="B75" s="114" t="s">
        <v>48</v>
      </c>
      <c r="C75" s="264" t="s">
        <v>80</v>
      </c>
      <c r="D75" s="267" t="s">
        <v>50</v>
      </c>
      <c r="E75" s="301">
        <f>E74</f>
        <v>150</v>
      </c>
      <c r="F75" s="102"/>
      <c r="G75" s="12"/>
      <c r="H75" s="12"/>
      <c r="I75" s="77"/>
      <c r="J75" s="12"/>
      <c r="K75" s="12"/>
      <c r="L75" s="12"/>
      <c r="M75" s="12"/>
      <c r="N75" s="12"/>
      <c r="O75" s="12"/>
      <c r="P75" s="12"/>
      <c r="Q75" s="102"/>
    </row>
    <row r="76" spans="1:17" ht="22.5" x14ac:dyDescent="0.2">
      <c r="A76" s="99">
        <v>42</v>
      </c>
      <c r="B76" s="114" t="s">
        <v>48</v>
      </c>
      <c r="C76" s="268" t="s">
        <v>81</v>
      </c>
      <c r="D76" s="274" t="s">
        <v>73</v>
      </c>
      <c r="E76" s="300">
        <v>244</v>
      </c>
      <c r="F76" s="102"/>
      <c r="G76" s="12"/>
      <c r="H76" s="12"/>
      <c r="I76" s="77"/>
      <c r="J76" s="12"/>
      <c r="K76" s="12"/>
      <c r="L76" s="12"/>
      <c r="M76" s="12"/>
      <c r="N76" s="12"/>
      <c r="O76" s="12"/>
      <c r="P76" s="12"/>
      <c r="Q76" s="102"/>
    </row>
    <row r="77" spans="1:17" ht="22.5" x14ac:dyDescent="0.2">
      <c r="A77" s="99">
        <v>43</v>
      </c>
      <c r="B77" s="114" t="s">
        <v>48</v>
      </c>
      <c r="C77" s="271" t="s">
        <v>82</v>
      </c>
      <c r="D77" s="275" t="s">
        <v>52</v>
      </c>
      <c r="E77" s="309">
        <v>1</v>
      </c>
      <c r="F77" s="32"/>
      <c r="G77" s="12"/>
      <c r="H77" s="12"/>
      <c r="I77" s="77"/>
      <c r="J77" s="12"/>
      <c r="K77" s="12"/>
      <c r="L77" s="12"/>
      <c r="M77" s="12"/>
      <c r="N77" s="12"/>
      <c r="O77" s="12"/>
      <c r="P77" s="12"/>
      <c r="Q77" s="102"/>
    </row>
    <row r="78" spans="1:17" ht="22.5" x14ac:dyDescent="0.2">
      <c r="A78" s="99">
        <v>44</v>
      </c>
      <c r="B78" s="114" t="s">
        <v>48</v>
      </c>
      <c r="C78" s="264" t="s">
        <v>83</v>
      </c>
      <c r="D78" s="265" t="s">
        <v>84</v>
      </c>
      <c r="E78" s="304">
        <v>42</v>
      </c>
      <c r="F78" s="102"/>
      <c r="G78" s="12"/>
      <c r="H78" s="12"/>
      <c r="I78" s="77"/>
      <c r="J78" s="12"/>
      <c r="K78" s="12"/>
      <c r="L78" s="12"/>
      <c r="M78" s="12"/>
      <c r="N78" s="12"/>
      <c r="O78" s="12"/>
      <c r="P78" s="12"/>
      <c r="Q78" s="102"/>
    </row>
    <row r="79" spans="1:17" x14ac:dyDescent="0.2">
      <c r="A79" s="99" t="str">
        <f>IF(COUNTBLANK(B79)=1," ",COUNTA($B$13:B79))</f>
        <v xml:space="preserve"> </v>
      </c>
      <c r="B79" s="114"/>
      <c r="C79" s="264" t="s">
        <v>85</v>
      </c>
      <c r="D79" s="265" t="s">
        <v>86</v>
      </c>
      <c r="E79" s="304">
        <f>E78*F79</f>
        <v>6.0000000000000053</v>
      </c>
      <c r="F79" s="102">
        <v>0.14285714285714299</v>
      </c>
      <c r="G79" s="12"/>
      <c r="H79" s="12"/>
      <c r="I79" s="77"/>
      <c r="J79" s="12"/>
      <c r="K79" s="12"/>
      <c r="L79" s="12"/>
      <c r="M79" s="12"/>
      <c r="N79" s="12"/>
      <c r="O79" s="12"/>
      <c r="P79" s="12"/>
      <c r="Q79" s="102"/>
    </row>
    <row r="80" spans="1:17" x14ac:dyDescent="0.2">
      <c r="A80" s="4"/>
      <c r="B80" s="4"/>
      <c r="C80" s="3"/>
      <c r="D80" s="5"/>
      <c r="E80" s="296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</row>
    <row r="81" spans="1:17" ht="22.5" x14ac:dyDescent="0.2">
      <c r="A81" s="4"/>
      <c r="B81" s="4"/>
      <c r="C81" s="225" t="s">
        <v>423</v>
      </c>
      <c r="D81" s="4"/>
      <c r="E81" s="297"/>
      <c r="F81" s="4"/>
      <c r="G81" s="4"/>
      <c r="H81" s="4"/>
      <c r="I81" s="4"/>
      <c r="J81" s="4"/>
      <c r="K81" s="4"/>
      <c r="L81" s="83"/>
      <c r="M81" s="83">
        <f>SUM(M13:M79)</f>
        <v>0</v>
      </c>
      <c r="N81" s="83">
        <f>SUM(N13:N79)</f>
        <v>0</v>
      </c>
      <c r="O81" s="83">
        <f>SUM(O13:O79)</f>
        <v>0</v>
      </c>
      <c r="P81" s="83">
        <f>SUM(P13:P79)</f>
        <v>0</v>
      </c>
      <c r="Q81" s="83">
        <f>SUM(Q13:Q79)</f>
        <v>0</v>
      </c>
    </row>
    <row r="82" spans="1:17" x14ac:dyDescent="0.2">
      <c r="A82" s="5"/>
      <c r="B82" s="1"/>
      <c r="C82" s="25"/>
      <c r="D82" s="1"/>
      <c r="E82" s="296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5"/>
      <c r="B83" s="1"/>
      <c r="C83" s="25"/>
      <c r="D83" s="1"/>
      <c r="E83" s="296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M84" s="1"/>
      <c r="N84" s="1"/>
      <c r="O84" s="1"/>
      <c r="P84" s="1"/>
      <c r="Q84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  <ignoredErrors>
    <ignoredError sqref="D12:Q12 D26:F26 D53:F79 E50:F50 E51 E52:F52 D28:F49 D27:E27 D13:F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2"/>
  <sheetViews>
    <sheetView view="pageBreakPreview" zoomScaleNormal="85" zoomScaleSheetLayoutView="100" workbookViewId="0">
      <selection activeCell="J48" sqref="J48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3" width="6.42578125" style="147" customWidth="1"/>
    <col min="14" max="14" width="8" style="147" customWidth="1"/>
    <col min="15" max="17" width="7.710937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26">
        <f>KPDV!A17</f>
        <v>2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"/>
      <c r="B2" s="2"/>
      <c r="C2" s="29" t="s">
        <v>87</v>
      </c>
      <c r="D2" s="2"/>
      <c r="E2" s="198"/>
      <c r="F2" s="2"/>
      <c r="G2" s="2"/>
      <c r="H2" s="2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2" t="s">
        <v>88</v>
      </c>
      <c r="B3" s="2"/>
      <c r="C3" s="2"/>
      <c r="D3" s="3"/>
      <c r="E3" s="199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26"/>
    </row>
    <row r="4" spans="1:17" x14ac:dyDescent="0.2">
      <c r="A4" s="2" t="s">
        <v>89</v>
      </c>
      <c r="B4" s="2"/>
      <c r="C4" s="2"/>
      <c r="D4" s="3"/>
      <c r="E4" s="199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26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99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26"/>
    </row>
    <row r="6" spans="1:17" x14ac:dyDescent="0.2">
      <c r="A6" s="2" t="str">
        <f>'AR '!A6</f>
        <v>Pasūtījuma Nr. : EA-33-16</v>
      </c>
      <c r="B6" s="2"/>
      <c r="C6" s="2"/>
      <c r="D6" s="2"/>
      <c r="E6" s="198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26"/>
    </row>
    <row r="7" spans="1:17" x14ac:dyDescent="0.2">
      <c r="A7" s="2"/>
      <c r="B7" s="2"/>
      <c r="C7" s="2"/>
      <c r="D7" s="2"/>
      <c r="E7" s="198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26"/>
    </row>
    <row r="8" spans="1:17" x14ac:dyDescent="0.2">
      <c r="A8" s="2" t="s">
        <v>535</v>
      </c>
      <c r="B8" s="25"/>
      <c r="C8" s="25"/>
      <c r="D8" s="25"/>
      <c r="E8" s="164" t="s">
        <v>28</v>
      </c>
      <c r="F8" s="26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2"/>
      <c r="B9" s="26"/>
      <c r="C9" s="2"/>
      <c r="D9" s="26"/>
      <c r="E9" s="198"/>
      <c r="F9" s="26"/>
      <c r="G9" s="26"/>
      <c r="H9" s="26"/>
      <c r="I9" s="26"/>
      <c r="J9" s="26"/>
      <c r="K9" s="26"/>
      <c r="L9" s="26"/>
      <c r="M9" s="26"/>
      <c r="N9" s="83"/>
      <c r="O9" s="83"/>
      <c r="P9" s="83"/>
      <c r="Q9" s="83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28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29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128">
        <v>1</v>
      </c>
      <c r="B12" s="74">
        <f>A12+1</f>
        <v>2</v>
      </c>
      <c r="C12" s="125">
        <f>B12+1</f>
        <v>3</v>
      </c>
      <c r="D12" s="74">
        <f>C12+1</f>
        <v>4</v>
      </c>
      <c r="E12" s="188">
        <f>D12+1</f>
        <v>5</v>
      </c>
      <c r="F12" s="33"/>
      <c r="G12" s="33">
        <f>E12+1</f>
        <v>6</v>
      </c>
      <c r="H12" s="33">
        <f t="shared" ref="H12:Q12" si="0">G12+1</f>
        <v>7</v>
      </c>
      <c r="I12" s="33">
        <f t="shared" si="0"/>
        <v>8</v>
      </c>
      <c r="J12" s="33">
        <f t="shared" si="0"/>
        <v>9</v>
      </c>
      <c r="K12" s="33">
        <f t="shared" si="0"/>
        <v>10</v>
      </c>
      <c r="L12" s="33">
        <f t="shared" si="0"/>
        <v>11</v>
      </c>
      <c r="M12" s="33">
        <f t="shared" si="0"/>
        <v>12</v>
      </c>
      <c r="N12" s="33">
        <f t="shared" si="0"/>
        <v>13</v>
      </c>
      <c r="O12" s="33">
        <f t="shared" si="0"/>
        <v>14</v>
      </c>
      <c r="P12" s="33">
        <f t="shared" si="0"/>
        <v>15</v>
      </c>
      <c r="Q12" s="33">
        <f t="shared" si="0"/>
        <v>16</v>
      </c>
    </row>
    <row r="13" spans="1:17" ht="22.5" x14ac:dyDescent="0.2">
      <c r="A13" s="99">
        <f>IF(COUNTBLANK(B13)=1," ",COUNTA($B$13:B13))</f>
        <v>1</v>
      </c>
      <c r="B13" s="114" t="s">
        <v>48</v>
      </c>
      <c r="C13" s="36" t="s">
        <v>90</v>
      </c>
      <c r="D13" s="99" t="s">
        <v>56</v>
      </c>
      <c r="E13" s="213">
        <f>apjomi!K27</f>
        <v>211.5095</v>
      </c>
      <c r="F13" s="12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22.5" x14ac:dyDescent="0.2">
      <c r="A14" s="99">
        <v>2</v>
      </c>
      <c r="B14" s="114" t="s">
        <v>48</v>
      </c>
      <c r="C14" s="36" t="s">
        <v>91</v>
      </c>
      <c r="D14" s="99" t="s">
        <v>92</v>
      </c>
      <c r="E14" s="213">
        <v>30</v>
      </c>
      <c r="F14" s="12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22.5" x14ac:dyDescent="0.2">
      <c r="A15" s="99">
        <v>3</v>
      </c>
      <c r="B15" s="114" t="s">
        <v>48</v>
      </c>
      <c r="C15" s="36" t="s">
        <v>93</v>
      </c>
      <c r="D15" s="99" t="s">
        <v>52</v>
      </c>
      <c r="E15" s="188">
        <f>12*5-3+12*5</f>
        <v>117</v>
      </c>
      <c r="F15" s="12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22.5" x14ac:dyDescent="0.2">
      <c r="A16" s="99">
        <f>IF(COUNTBLANK(B16)=1," ",COUNTA($B$13:B16))</f>
        <v>4</v>
      </c>
      <c r="B16" s="114" t="s">
        <v>48</v>
      </c>
      <c r="C16" s="36" t="s">
        <v>94</v>
      </c>
      <c r="D16" s="99" t="s">
        <v>50</v>
      </c>
      <c r="E16" s="213">
        <f>E15*3.2</f>
        <v>374.40000000000003</v>
      </c>
      <c r="F16" s="12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78.75" x14ac:dyDescent="0.2">
      <c r="A17" s="99" t="str">
        <f>IF(COUNTBLANK(B17)=1," ",COUNTA($B$13:B17))</f>
        <v xml:space="preserve"> </v>
      </c>
      <c r="B17" s="114"/>
      <c r="C17" s="127" t="s">
        <v>95</v>
      </c>
      <c r="D17" s="36"/>
      <c r="E17" s="202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ht="22.5" x14ac:dyDescent="0.2">
      <c r="A18" s="99">
        <f>IF(COUNTBLANK(B18)=1," ",COUNTA($B$13:B18))</f>
        <v>5</v>
      </c>
      <c r="B18" s="114" t="s">
        <v>48</v>
      </c>
      <c r="C18" s="135" t="s">
        <v>96</v>
      </c>
      <c r="D18" s="131" t="s">
        <v>56</v>
      </c>
      <c r="E18" s="190">
        <f>apjomi!K3+apjomi!K4</f>
        <v>6.67</v>
      </c>
      <c r="F18" s="3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22.5" x14ac:dyDescent="0.2">
      <c r="A19" s="99">
        <f>IF(COUNTBLANK(B19)=1," ",COUNTA($B$13:B19))</f>
        <v>6</v>
      </c>
      <c r="B19" s="114" t="s">
        <v>48</v>
      </c>
      <c r="C19" s="135" t="s">
        <v>97</v>
      </c>
      <c r="D19" s="131" t="s">
        <v>56</v>
      </c>
      <c r="E19" s="190">
        <f>apjomi!K5+apjomi!K6</f>
        <v>26.68</v>
      </c>
      <c r="F19" s="3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22.5" x14ac:dyDescent="0.2">
      <c r="A20" s="99">
        <f>IF(COUNTBLANK(B20)=1," ",COUNTA($B$13:B20))</f>
        <v>7</v>
      </c>
      <c r="B20" s="114" t="s">
        <v>48</v>
      </c>
      <c r="C20" s="135" t="s">
        <v>98</v>
      </c>
      <c r="D20" s="131" t="s">
        <v>56</v>
      </c>
      <c r="E20" s="190">
        <f>apjomi!K7</f>
        <v>2.8129999999999997</v>
      </c>
      <c r="F20" s="3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22.5" x14ac:dyDescent="0.2">
      <c r="A21" s="99">
        <f>IF(COUNTBLANK(B21)=1," ",COUNTA($B$13:B21))</f>
        <v>8</v>
      </c>
      <c r="B21" s="114" t="s">
        <v>48</v>
      </c>
      <c r="C21" s="135" t="s">
        <v>99</v>
      </c>
      <c r="D21" s="131" t="s">
        <v>56</v>
      </c>
      <c r="E21" s="190">
        <f>apjomi!K8</f>
        <v>2.3779999999999997</v>
      </c>
      <c r="F21" s="3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2.5" x14ac:dyDescent="0.2">
      <c r="A22" s="99">
        <f>IF(COUNTBLANK(B22)=1," ",COUNTA($B$13:B22))</f>
        <v>9</v>
      </c>
      <c r="B22" s="114" t="s">
        <v>48</v>
      </c>
      <c r="C22" s="135" t="s">
        <v>100</v>
      </c>
      <c r="D22" s="131" t="s">
        <v>56</v>
      </c>
      <c r="E22" s="190">
        <f>apjomi!K9</f>
        <v>23.692500000000003</v>
      </c>
      <c r="F22" s="3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22.5" x14ac:dyDescent="0.2">
      <c r="A23" s="99">
        <f>IF(COUNTBLANK(B23)=1," ",COUNTA($B$13:B23))</f>
        <v>10</v>
      </c>
      <c r="B23" s="114" t="s">
        <v>48</v>
      </c>
      <c r="C23" s="135" t="s">
        <v>101</v>
      </c>
      <c r="D23" s="131" t="s">
        <v>56</v>
      </c>
      <c r="E23" s="190">
        <f>apjomi!K10</f>
        <v>6.4960000000000004</v>
      </c>
      <c r="F23" s="3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22.5" x14ac:dyDescent="0.2">
      <c r="A24" s="99">
        <f>IF(COUNTBLANK(B24)=1," ",COUNTA($B$13:B24))</f>
        <v>11</v>
      </c>
      <c r="B24" s="114" t="s">
        <v>48</v>
      </c>
      <c r="C24" s="135" t="s">
        <v>102</v>
      </c>
      <c r="D24" s="131" t="s">
        <v>56</v>
      </c>
      <c r="E24" s="190">
        <f>apjomi!K11+apjomi!K12</f>
        <v>17.18</v>
      </c>
      <c r="F24" s="3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22.5" x14ac:dyDescent="0.2">
      <c r="A25" s="99">
        <f>IF(COUNTBLANK(B25)=1," ",COUNTA($B$13:B25))</f>
        <v>12</v>
      </c>
      <c r="B25" s="114" t="s">
        <v>48</v>
      </c>
      <c r="C25" s="135" t="s">
        <v>103</v>
      </c>
      <c r="D25" s="131" t="s">
        <v>56</v>
      </c>
      <c r="E25" s="190">
        <f>apjomi!K13+apjomi!K14</f>
        <v>25.77</v>
      </c>
      <c r="F25" s="3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ht="22.5" x14ac:dyDescent="0.2">
      <c r="A26" s="99">
        <f>IF(COUNTBLANK(B26)=1," ",COUNTA($B$13:B26))</f>
        <v>13</v>
      </c>
      <c r="B26" s="114" t="s">
        <v>48</v>
      </c>
      <c r="C26" s="36" t="s">
        <v>104</v>
      </c>
      <c r="D26" s="99" t="s">
        <v>56</v>
      </c>
      <c r="E26" s="190">
        <f>apjomi!L15</f>
        <v>21.330000000000002</v>
      </c>
      <c r="F26" s="3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22.5" x14ac:dyDescent="0.2">
      <c r="A27" s="99">
        <f>IF(COUNTBLANK(B27)=1," ",COUNTA($B$13:B27))</f>
        <v>14</v>
      </c>
      <c r="B27" s="114" t="s">
        <v>48</v>
      </c>
      <c r="C27" s="36" t="s">
        <v>105</v>
      </c>
      <c r="D27" s="99" t="s">
        <v>56</v>
      </c>
      <c r="E27" s="190">
        <v>6</v>
      </c>
      <c r="F27" s="3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22.5" x14ac:dyDescent="0.2">
      <c r="A28" s="99">
        <f>IF(COUNTBLANK(B28)=1," ",COUNTA($B$13:B28))</f>
        <v>15</v>
      </c>
      <c r="B28" s="114" t="s">
        <v>48</v>
      </c>
      <c r="C28" s="36" t="s">
        <v>106</v>
      </c>
      <c r="D28" s="99" t="s">
        <v>56</v>
      </c>
      <c r="E28" s="190">
        <f>apjomi!K17</f>
        <v>6.1620000000000008</v>
      </c>
      <c r="F28" s="3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22.5" x14ac:dyDescent="0.2">
      <c r="A29" s="99">
        <f>IF(COUNTBLANK(B29)=1," ",COUNTA($B$13:B29))</f>
        <v>16</v>
      </c>
      <c r="B29" s="114" t="s">
        <v>48</v>
      </c>
      <c r="C29" s="36" t="s">
        <v>107</v>
      </c>
      <c r="D29" s="99" t="s">
        <v>56</v>
      </c>
      <c r="E29" s="190">
        <f>apjomi!K18</f>
        <v>85.5</v>
      </c>
      <c r="F29" s="3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22.5" x14ac:dyDescent="0.2">
      <c r="A30" s="99">
        <f>IF(COUNTBLANK(B30)=1," ",COUNTA($B$13:B30))</f>
        <v>17</v>
      </c>
      <c r="B30" s="114" t="s">
        <v>48</v>
      </c>
      <c r="C30" s="36" t="s">
        <v>407</v>
      </c>
      <c r="D30" s="99" t="s">
        <v>56</v>
      </c>
      <c r="E30" s="190">
        <f>apjomi!K19</f>
        <v>270</v>
      </c>
      <c r="F30" s="3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22.5" x14ac:dyDescent="0.2">
      <c r="A31" s="99">
        <f>IF(COUNTBLANK(B31)=1," ",COUNTA($B$13:B31))</f>
        <v>18</v>
      </c>
      <c r="B31" s="114" t="s">
        <v>48</v>
      </c>
      <c r="C31" s="36" t="s">
        <v>114</v>
      </c>
      <c r="D31" s="99" t="s">
        <v>56</v>
      </c>
      <c r="E31" s="203">
        <f>apjomi!K21</f>
        <v>23.808000000000003</v>
      </c>
      <c r="F31" s="3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22.5" x14ac:dyDescent="0.2">
      <c r="A32" s="99">
        <f>IF(COUNTBLANK(B32)=1," ",COUNTA($B$13:B32))</f>
        <v>19</v>
      </c>
      <c r="B32" s="114" t="s">
        <v>48</v>
      </c>
      <c r="C32" s="36" t="s">
        <v>115</v>
      </c>
      <c r="D32" s="99" t="s">
        <v>56</v>
      </c>
      <c r="E32" s="203">
        <f>apjomi!K22</f>
        <v>6.9300000000000015</v>
      </c>
      <c r="F32" s="3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22.5" x14ac:dyDescent="0.2">
      <c r="A33" s="99">
        <f>IF(COUNTBLANK(B33)=1," ",COUNTA($B$13:B33))</f>
        <v>20</v>
      </c>
      <c r="B33" s="114" t="s">
        <v>48</v>
      </c>
      <c r="C33" s="36" t="s">
        <v>116</v>
      </c>
      <c r="D33" s="99" t="s">
        <v>56</v>
      </c>
      <c r="E33" s="203">
        <f>apjomi!K23</f>
        <v>8.1900000000000013</v>
      </c>
      <c r="F33" s="3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22.5" x14ac:dyDescent="0.2">
      <c r="A34" s="99">
        <f>IF(COUNTBLANK(B34)=1," ",COUNTA($B$13:B34))</f>
        <v>21</v>
      </c>
      <c r="B34" s="114" t="s">
        <v>48</v>
      </c>
      <c r="C34" s="36" t="s">
        <v>117</v>
      </c>
      <c r="D34" s="99" t="s">
        <v>56</v>
      </c>
      <c r="E34" s="203">
        <f>apjomi!K24</f>
        <v>6</v>
      </c>
      <c r="F34" s="3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ht="22.5" x14ac:dyDescent="0.2">
      <c r="A35" s="99">
        <f>IF(COUNTBLANK(B35)=1," ",COUNTA($B$13:B35))</f>
        <v>22</v>
      </c>
      <c r="B35" s="114" t="s">
        <v>48</v>
      </c>
      <c r="C35" s="36" t="s">
        <v>118</v>
      </c>
      <c r="D35" s="99" t="s">
        <v>56</v>
      </c>
      <c r="E35" s="203">
        <f>apjomi!K25</f>
        <v>1.6099999999999999</v>
      </c>
      <c r="F35" s="3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22.5" x14ac:dyDescent="0.2">
      <c r="A36" s="99">
        <f>IF(COUNTBLANK(B36)=1," ",COUNTA($B$13:B36))</f>
        <v>23</v>
      </c>
      <c r="B36" s="114" t="s">
        <v>48</v>
      </c>
      <c r="C36" s="36" t="s">
        <v>119</v>
      </c>
      <c r="D36" s="99" t="s">
        <v>56</v>
      </c>
      <c r="E36" s="203">
        <f>apjomi!L26</f>
        <v>5.13</v>
      </c>
      <c r="F36" s="3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22.5" x14ac:dyDescent="0.2">
      <c r="A37" s="99">
        <f>IF(COUNTBLANK(B37)=1," ",COUNTA($B$13:B37))</f>
        <v>24</v>
      </c>
      <c r="B37" s="114" t="s">
        <v>48</v>
      </c>
      <c r="C37" s="117" t="s">
        <v>120</v>
      </c>
      <c r="D37" s="99" t="s">
        <v>56</v>
      </c>
      <c r="E37" s="205">
        <f>SUM(E31:E36)</f>
        <v>51.668000000000013</v>
      </c>
      <c r="F37" s="102">
        <f>SUM(F31:F36)</f>
        <v>0</v>
      </c>
      <c r="G37" s="12"/>
      <c r="H37" s="12"/>
      <c r="I37" s="102"/>
      <c r="J37" s="102"/>
      <c r="K37" s="102"/>
      <c r="L37" s="12"/>
      <c r="M37" s="12"/>
      <c r="N37" s="12"/>
      <c r="O37" s="12"/>
      <c r="P37" s="12"/>
      <c r="Q37" s="12"/>
    </row>
    <row r="38" spans="1:17" x14ac:dyDescent="0.2">
      <c r="A38" s="99" t="str">
        <f>IF(COUNTBLANK(B38)=1," ",COUNTA($B$13:B38))</f>
        <v xml:space="preserve"> </v>
      </c>
      <c r="B38" s="99"/>
      <c r="C38" s="11" t="s">
        <v>108</v>
      </c>
      <c r="D38" s="99" t="s">
        <v>52</v>
      </c>
      <c r="E38" s="205">
        <f>ROUNDUP(E37*F38,0)</f>
        <v>135</v>
      </c>
      <c r="F38" s="102">
        <v>2.6</v>
      </c>
      <c r="G38" s="12"/>
      <c r="H38" s="12"/>
      <c r="I38" s="102"/>
      <c r="J38" s="12"/>
      <c r="K38" s="102"/>
      <c r="L38" s="12"/>
      <c r="M38" s="12"/>
      <c r="N38" s="12"/>
      <c r="O38" s="12"/>
      <c r="P38" s="12"/>
      <c r="Q38" s="12"/>
    </row>
    <row r="39" spans="1:17" x14ac:dyDescent="0.2">
      <c r="A39" s="99" t="str">
        <f>IF(COUNTBLANK(B39)=1," ",COUNTA($B$13:B39))</f>
        <v xml:space="preserve"> </v>
      </c>
      <c r="B39" s="99"/>
      <c r="C39" s="117" t="s">
        <v>109</v>
      </c>
      <c r="D39" s="116" t="s">
        <v>52</v>
      </c>
      <c r="E39" s="205">
        <f>ROUNDUP(E37*F39,0)</f>
        <v>104</v>
      </c>
      <c r="F39" s="102">
        <v>2</v>
      </c>
      <c r="G39" s="12"/>
      <c r="H39" s="12"/>
      <c r="I39" s="102"/>
      <c r="J39" s="12"/>
      <c r="K39" s="102"/>
      <c r="L39" s="12"/>
      <c r="M39" s="12"/>
      <c r="N39" s="12"/>
      <c r="O39" s="12"/>
      <c r="P39" s="12"/>
      <c r="Q39" s="12"/>
    </row>
    <row r="40" spans="1:17" x14ac:dyDescent="0.2">
      <c r="A40" s="99" t="str">
        <f>IF(COUNTBLANK(B40)=1," ",COUNTA($B$13:B40))</f>
        <v xml:space="preserve"> </v>
      </c>
      <c r="B40" s="114"/>
      <c r="C40" s="11" t="s">
        <v>110</v>
      </c>
      <c r="D40" s="99" t="s">
        <v>111</v>
      </c>
      <c r="E40" s="205">
        <f>ROUNDUP(E37*F40,0)</f>
        <v>21</v>
      </c>
      <c r="F40" s="102">
        <v>0.4</v>
      </c>
      <c r="G40" s="12"/>
      <c r="H40" s="12"/>
      <c r="I40" s="102"/>
      <c r="J40" s="12"/>
      <c r="K40" s="102"/>
      <c r="L40" s="12"/>
      <c r="M40" s="12"/>
      <c r="N40" s="12"/>
      <c r="O40" s="12"/>
      <c r="P40" s="12"/>
      <c r="Q40" s="12"/>
    </row>
    <row r="41" spans="1:17" x14ac:dyDescent="0.2">
      <c r="A41" s="99" t="str">
        <f>IF(COUNTBLANK(B41)=1," ",COUNTA($B$13:B41))</f>
        <v xml:space="preserve"> </v>
      </c>
      <c r="B41" s="114"/>
      <c r="C41" s="11" t="s">
        <v>112</v>
      </c>
      <c r="D41" s="99" t="s">
        <v>52</v>
      </c>
      <c r="E41" s="205">
        <f>ROUNDUP(E37*F41,0)</f>
        <v>130</v>
      </c>
      <c r="F41" s="102">
        <v>2.5</v>
      </c>
      <c r="G41" s="12"/>
      <c r="H41" s="12"/>
      <c r="I41" s="102"/>
      <c r="J41" s="12"/>
      <c r="K41" s="102"/>
      <c r="L41" s="12"/>
      <c r="M41" s="12"/>
      <c r="N41" s="12"/>
      <c r="O41" s="12"/>
      <c r="P41" s="12"/>
      <c r="Q41" s="12"/>
    </row>
    <row r="42" spans="1:17" x14ac:dyDescent="0.2">
      <c r="A42" s="99" t="str">
        <f>IF(COUNTBLANK(B42)=1," ",COUNTA($B$13:B42))</f>
        <v xml:space="preserve"> </v>
      </c>
      <c r="B42" s="114"/>
      <c r="C42" s="11" t="s">
        <v>113</v>
      </c>
      <c r="D42" s="99" t="s">
        <v>111</v>
      </c>
      <c r="E42" s="205">
        <f>ROUNDUP(E37*F42,2)</f>
        <v>10.34</v>
      </c>
      <c r="F42" s="102">
        <v>0.2</v>
      </c>
      <c r="G42" s="12"/>
      <c r="H42" s="12"/>
      <c r="I42" s="102"/>
      <c r="J42" s="12"/>
      <c r="K42" s="102"/>
      <c r="L42" s="12"/>
      <c r="M42" s="12"/>
      <c r="N42" s="12"/>
      <c r="O42" s="12"/>
      <c r="P42" s="12"/>
      <c r="Q42" s="12"/>
    </row>
    <row r="43" spans="1:17" ht="22.5" x14ac:dyDescent="0.2">
      <c r="A43" s="99">
        <f>IF(COUNTBLANK(B43)=1," ",COUNTA($B$13:B43))</f>
        <v>25</v>
      </c>
      <c r="B43" s="114" t="s">
        <v>48</v>
      </c>
      <c r="C43" s="36" t="s">
        <v>121</v>
      </c>
      <c r="D43" s="99" t="s">
        <v>50</v>
      </c>
      <c r="E43" s="203">
        <f>apjomi!M27</f>
        <v>2860.2</v>
      </c>
      <c r="F43" s="3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22.5" x14ac:dyDescent="0.2">
      <c r="A44" s="99">
        <f>IF(COUNTBLANK(B44)=1," ",COUNTA($B$13:B44))</f>
        <v>26</v>
      </c>
      <c r="B44" s="114" t="s">
        <v>48</v>
      </c>
      <c r="C44" s="36" t="s">
        <v>122</v>
      </c>
      <c r="D44" s="99" t="s">
        <v>50</v>
      </c>
      <c r="E44" s="203">
        <f>apjomi!N27</f>
        <v>1708.65</v>
      </c>
      <c r="F44" s="3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ht="22.5" x14ac:dyDescent="0.2">
      <c r="A45" s="99">
        <f>IF(COUNTBLANK(B45)=1," ",COUNTA($B$13:B45))</f>
        <v>27</v>
      </c>
      <c r="B45" s="114" t="s">
        <v>48</v>
      </c>
      <c r="C45" s="36" t="s">
        <v>123</v>
      </c>
      <c r="D45" s="99" t="s">
        <v>50</v>
      </c>
      <c r="E45" s="203">
        <f>apjomi!R27</f>
        <v>338.12100000000004</v>
      </c>
      <c r="F45" s="13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22.5" x14ac:dyDescent="0.2">
      <c r="A46" s="99">
        <f>IF(COUNTBLANK(B46)=1," ",COUNTA($B$13:B46))</f>
        <v>28</v>
      </c>
      <c r="B46" s="114" t="s">
        <v>48</v>
      </c>
      <c r="C46" s="36" t="s">
        <v>124</v>
      </c>
      <c r="D46" s="99" t="s">
        <v>50</v>
      </c>
      <c r="E46" s="203">
        <f>apjomi!Q27</f>
        <v>388.19499999999994</v>
      </c>
      <c r="F46" s="3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ht="22.5" x14ac:dyDescent="0.2">
      <c r="A47" s="99">
        <f>IF(COUNTBLANK(B47)=1," ",COUNTA($B$13:B47))</f>
        <v>29</v>
      </c>
      <c r="B47" s="114" t="s">
        <v>48</v>
      </c>
      <c r="C47" s="36" t="s">
        <v>125</v>
      </c>
      <c r="D47" s="99" t="s">
        <v>56</v>
      </c>
      <c r="E47" s="203">
        <f>apjomi!P27</f>
        <v>100.41749999999999</v>
      </c>
      <c r="F47" s="13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">
      <c r="A48" s="99" t="str">
        <f>IF(COUNTBLANK(B48)=1," ",COUNTA($B$13:B48))</f>
        <v xml:space="preserve"> </v>
      </c>
      <c r="B48" s="6"/>
      <c r="C48" s="137" t="s">
        <v>126</v>
      </c>
      <c r="D48" s="116" t="s">
        <v>50</v>
      </c>
      <c r="E48" s="205">
        <f>ROUNDUP(E47*F48,0)</f>
        <v>31</v>
      </c>
      <c r="F48" s="102">
        <v>0.3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">
      <c r="A49" s="99" t="str">
        <f>IF(COUNTBLANK(B49)=1," ",COUNTA($B$13:B49))</f>
        <v xml:space="preserve"> </v>
      </c>
      <c r="B49" s="6"/>
      <c r="C49" s="137" t="s">
        <v>127</v>
      </c>
      <c r="D49" s="116" t="s">
        <v>73</v>
      </c>
      <c r="E49" s="205">
        <f>ROUNDUP(E47*F49,0)</f>
        <v>121</v>
      </c>
      <c r="F49" s="102">
        <v>1.2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">
      <c r="A50" s="99" t="str">
        <f>IF(COUNTBLANK(B50)=1," ",COUNTA($B$13:B50))</f>
        <v xml:space="preserve"> </v>
      </c>
      <c r="B50" s="6"/>
      <c r="C50" s="137" t="s">
        <v>128</v>
      </c>
      <c r="D50" s="116" t="s">
        <v>64</v>
      </c>
      <c r="E50" s="205">
        <f>ROUNDUP(E47*F50,0)</f>
        <v>101</v>
      </c>
      <c r="F50" s="102">
        <v>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99" t="str">
        <f>IF(COUNTBLANK(B51)=1," ",COUNTA($B$13:B51))</f>
        <v xml:space="preserve"> </v>
      </c>
      <c r="B51" s="6"/>
      <c r="C51" s="11" t="s">
        <v>129</v>
      </c>
      <c r="D51" s="116" t="s">
        <v>64</v>
      </c>
      <c r="E51" s="205">
        <f>ROUNDUP(E47*F51,0)</f>
        <v>81</v>
      </c>
      <c r="F51" s="102">
        <v>0.8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A52" s="99" t="str">
        <f>IF(COUNTBLANK(B52)=1," ",COUNTA($B$13:B52))</f>
        <v xml:space="preserve"> </v>
      </c>
      <c r="B52" s="6"/>
      <c r="C52" s="137" t="s">
        <v>130</v>
      </c>
      <c r="D52" s="116" t="s">
        <v>64</v>
      </c>
      <c r="E52" s="205">
        <f>ROUNDUP(E47*F52,2)</f>
        <v>40.169999999999995</v>
      </c>
      <c r="F52" s="102">
        <v>0.4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99" t="str">
        <f>IF(COUNTBLANK(B53)=1," ",COUNTA($B$13:B53))</f>
        <v xml:space="preserve"> </v>
      </c>
      <c r="B53" s="6"/>
      <c r="C53" s="137" t="s">
        <v>131</v>
      </c>
      <c r="D53" s="116" t="s">
        <v>52</v>
      </c>
      <c r="E53" s="205">
        <f>ROUNDUP(E47*F53,2)</f>
        <v>10.049999999999999</v>
      </c>
      <c r="F53" s="102">
        <v>0.1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ht="33.75" x14ac:dyDescent="0.2">
      <c r="A54" s="99">
        <v>32</v>
      </c>
      <c r="B54" s="114" t="s">
        <v>48</v>
      </c>
      <c r="C54" s="36" t="s">
        <v>132</v>
      </c>
      <c r="D54" s="99" t="s">
        <v>133</v>
      </c>
      <c r="E54" s="203">
        <v>6</v>
      </c>
      <c r="F54" s="3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38"/>
      <c r="B55" s="139"/>
      <c r="C55" s="140"/>
      <c r="D55" s="138"/>
      <c r="E55" s="214"/>
      <c r="F55" s="4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1:17" ht="22.5" x14ac:dyDescent="0.2">
      <c r="A56" s="3" t="str">
        <f>IF(COUNTBLANK(I56)=1," ",COUNTA($I$56:I56))</f>
        <v xml:space="preserve"> </v>
      </c>
      <c r="B56" s="4"/>
      <c r="C56" s="225" t="s">
        <v>423</v>
      </c>
      <c r="D56" s="4"/>
      <c r="E56" s="198"/>
      <c r="G56" s="4"/>
      <c r="H56" s="4"/>
      <c r="I56" s="4"/>
      <c r="J56" s="4"/>
      <c r="K56" s="4"/>
      <c r="L56" s="4"/>
      <c r="M56" s="83">
        <f>SUM(M13:M54)</f>
        <v>0</v>
      </c>
      <c r="N56" s="83">
        <f>SUM(N13:N54)</f>
        <v>0</v>
      </c>
      <c r="O56" s="83">
        <f>SUM(O13:O54)</f>
        <v>0</v>
      </c>
      <c r="P56" s="83">
        <f>SUM(P13:P54)</f>
        <v>0</v>
      </c>
      <c r="Q56" s="83">
        <f>SUM(Q13:Q54)</f>
        <v>0</v>
      </c>
    </row>
    <row r="57" spans="1:17" x14ac:dyDescent="0.2">
      <c r="A57" s="3" t="str">
        <f>IF(COUNTBLANK(I57)=1," ",COUNTA($I$56:I57))</f>
        <v xml:space="preserve"> </v>
      </c>
      <c r="B57" s="4"/>
      <c r="C57" s="25"/>
      <c r="D57" s="4"/>
      <c r="E57" s="199"/>
      <c r="F57" s="4"/>
      <c r="G57" s="106"/>
      <c r="H57" s="4"/>
      <c r="I57" s="4"/>
      <c r="J57" s="4"/>
      <c r="K57" s="4"/>
      <c r="L57" s="4"/>
      <c r="M57" s="83"/>
      <c r="N57" s="83"/>
      <c r="O57" s="83"/>
      <c r="P57" s="83"/>
      <c r="Q57" s="83"/>
    </row>
    <row r="58" spans="1:17" x14ac:dyDescent="0.2">
      <c r="A58" s="3" t="str">
        <f>IF(COUNTBLANK(I58)=1," ",COUNTA($I$56:I58))</f>
        <v xml:space="preserve"> </v>
      </c>
      <c r="B58" s="4"/>
      <c r="C58" s="110"/>
      <c r="D58" s="4"/>
      <c r="E58" s="198"/>
      <c r="G58" s="4"/>
      <c r="I58" s="4"/>
      <c r="J58" s="4"/>
      <c r="K58" s="4"/>
      <c r="L58" s="4"/>
      <c r="M58" s="83"/>
      <c r="N58" s="83"/>
      <c r="O58" s="83"/>
      <c r="P58" s="83"/>
      <c r="Q58" s="83"/>
    </row>
    <row r="59" spans="1:17" x14ac:dyDescent="0.2">
      <c r="A59" s="2"/>
      <c r="C59" s="110"/>
      <c r="E59" s="198"/>
      <c r="G59" s="5"/>
      <c r="M59" s="1"/>
      <c r="N59" s="1"/>
      <c r="O59" s="1"/>
      <c r="P59" s="1"/>
      <c r="Q59" s="1"/>
    </row>
    <row r="60" spans="1:17" x14ac:dyDescent="0.2">
      <c r="A60" s="2"/>
      <c r="C60" s="25"/>
      <c r="E60" s="198"/>
      <c r="G60" s="5"/>
      <c r="M60" s="1"/>
      <c r="N60" s="1"/>
      <c r="O60" s="1"/>
      <c r="P60" s="1"/>
      <c r="Q60" s="1"/>
    </row>
    <row r="61" spans="1:17" x14ac:dyDescent="0.2">
      <c r="A61" s="2"/>
      <c r="C61" s="25"/>
      <c r="E61" s="198"/>
      <c r="G61" s="5"/>
      <c r="M61" s="1"/>
      <c r="N61" s="1"/>
      <c r="O61" s="1"/>
      <c r="P61" s="1"/>
      <c r="Q61" s="1"/>
    </row>
    <row r="62" spans="1:17" x14ac:dyDescent="0.2">
      <c r="M62" s="1"/>
      <c r="N62" s="1"/>
      <c r="O62" s="1"/>
      <c r="P62" s="1"/>
      <c r="Q62" s="1"/>
    </row>
  </sheetData>
  <mergeCells count="7">
    <mergeCell ref="A10:A11"/>
    <mergeCell ref="M10:Q10"/>
    <mergeCell ref="G10:K10"/>
    <mergeCell ref="E10:E11"/>
    <mergeCell ref="D10:D11"/>
    <mergeCell ref="C10:C11"/>
    <mergeCell ref="B10:B11"/>
  </mergeCells>
  <pageMargins left="0.7" right="0.7" top="0.75" bottom="0.75" header="0.3" footer="0.3"/>
  <pageSetup paperSize="9" orientation="landscape" r:id="rId1"/>
  <ignoredErrors>
    <ignoredError sqref="G12:R12 R31:R54 R13:R3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7D42-FBD3-4349-882D-A4E76A151F7D}">
  <dimension ref="A1:P53"/>
  <sheetViews>
    <sheetView view="pageBreakPreview" topLeftCell="A19" zoomScaleNormal="85" zoomScaleSheetLayoutView="100" workbookViewId="0">
      <selection activeCell="G25" sqref="G25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70" customWidth="1"/>
    <col min="5" max="5" width="6.5703125" style="172" customWidth="1"/>
    <col min="6" max="11" width="5.28515625" style="70" customWidth="1"/>
    <col min="12" max="12" width="6.42578125" style="70" customWidth="1"/>
    <col min="13" max="16" width="7.85546875" style="70" customWidth="1"/>
    <col min="17" max="16384" width="9" style="147"/>
  </cols>
  <sheetData>
    <row r="1" spans="1:16" x14ac:dyDescent="0.2">
      <c r="A1" s="2" t="s">
        <v>26</v>
      </c>
      <c r="B1" s="25"/>
      <c r="C1" s="25"/>
      <c r="D1" s="5"/>
      <c r="E1" s="162"/>
      <c r="F1" s="5"/>
      <c r="G1" s="26">
        <v>3</v>
      </c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">
      <c r="A2" s="2"/>
      <c r="B2" s="2"/>
      <c r="C2" s="276" t="s">
        <v>456</v>
      </c>
      <c r="D2" s="5"/>
      <c r="E2" s="162"/>
      <c r="F2" s="5"/>
      <c r="G2" s="5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">
      <c r="A3" s="2" t="s">
        <v>88</v>
      </c>
      <c r="B3" s="2"/>
      <c r="C3" s="2"/>
      <c r="D3" s="4"/>
      <c r="E3" s="163"/>
      <c r="F3" s="4"/>
      <c r="G3" s="4"/>
      <c r="H3" s="4"/>
      <c r="I3" s="4"/>
      <c r="J3" s="4"/>
      <c r="K3" s="4"/>
      <c r="L3" s="4"/>
      <c r="M3" s="4"/>
      <c r="N3" s="4"/>
      <c r="O3" s="4"/>
      <c r="P3" s="26"/>
    </row>
    <row r="4" spans="1:16" x14ac:dyDescent="0.2">
      <c r="A4" s="2" t="s">
        <v>89</v>
      </c>
      <c r="B4" s="2"/>
      <c r="C4" s="2"/>
      <c r="D4" s="4"/>
      <c r="E4" s="163"/>
      <c r="F4" s="4"/>
      <c r="G4" s="4"/>
      <c r="H4" s="5"/>
      <c r="I4" s="5"/>
      <c r="J4" s="4"/>
      <c r="K4" s="4"/>
      <c r="L4" s="4"/>
      <c r="M4" s="4"/>
      <c r="N4" s="4"/>
      <c r="O4" s="4"/>
      <c r="P4" s="26"/>
    </row>
    <row r="5" spans="1:16" x14ac:dyDescent="0.2">
      <c r="A5" s="2" t="str">
        <f>KPDV!A7</f>
        <v>Objekta adrese: Eduarda Tisē iela 60, Liepāja</v>
      </c>
      <c r="B5" s="2"/>
      <c r="C5" s="2"/>
      <c r="D5" s="5"/>
      <c r="E5" s="163"/>
      <c r="F5" s="5"/>
      <c r="G5" s="5"/>
      <c r="H5" s="5"/>
      <c r="I5" s="5"/>
      <c r="J5" s="4"/>
      <c r="K5" s="4"/>
      <c r="L5" s="4"/>
      <c r="M5" s="4"/>
      <c r="N5" s="4"/>
      <c r="O5" s="4"/>
      <c r="P5" s="26"/>
    </row>
    <row r="6" spans="1:16" x14ac:dyDescent="0.2">
      <c r="A6" s="2" t="str">
        <f>'AR '!A6</f>
        <v>Pasūtījuma Nr. : EA-33-16</v>
      </c>
      <c r="B6" s="2"/>
      <c r="C6" s="2"/>
      <c r="D6" s="5"/>
      <c r="E6" s="162"/>
      <c r="F6" s="5"/>
      <c r="G6" s="5"/>
      <c r="H6" s="5"/>
      <c r="I6" s="5"/>
      <c r="J6" s="4"/>
      <c r="K6" s="4"/>
      <c r="L6" s="4"/>
      <c r="M6" s="4"/>
      <c r="N6" s="4"/>
      <c r="O6" s="4"/>
      <c r="P6" s="26"/>
    </row>
    <row r="7" spans="1:16" x14ac:dyDescent="0.2">
      <c r="A7" s="2"/>
      <c r="B7" s="2"/>
      <c r="C7" s="2"/>
      <c r="D7" s="5"/>
      <c r="E7" s="162"/>
      <c r="F7" s="5"/>
      <c r="G7" s="5"/>
      <c r="H7" s="5"/>
      <c r="I7" s="5"/>
      <c r="J7" s="4"/>
      <c r="K7" s="4"/>
      <c r="L7" s="4"/>
      <c r="M7" s="4"/>
      <c r="N7" s="4"/>
      <c r="O7" s="4"/>
      <c r="P7" s="26"/>
    </row>
    <row r="8" spans="1:16" x14ac:dyDescent="0.2">
      <c r="A8" s="2" t="s">
        <v>535</v>
      </c>
      <c r="B8" s="25"/>
      <c r="C8" s="25"/>
      <c r="D8" s="5"/>
      <c r="E8" s="262" t="s">
        <v>28</v>
      </c>
      <c r="F8" s="2" t="s">
        <v>29</v>
      </c>
      <c r="G8" s="5"/>
      <c r="H8" s="5"/>
      <c r="I8" s="5"/>
      <c r="J8" s="5"/>
      <c r="K8" s="5"/>
      <c r="L8" s="5"/>
      <c r="M8" s="5" t="s">
        <v>30</v>
      </c>
      <c r="N8" s="5"/>
      <c r="O8" s="30"/>
      <c r="P8" s="5" t="s">
        <v>31</v>
      </c>
    </row>
    <row r="9" spans="1:16" x14ac:dyDescent="0.2">
      <c r="A9" s="2"/>
      <c r="B9" s="26"/>
      <c r="C9" s="2"/>
      <c r="D9" s="26"/>
      <c r="E9" s="162"/>
      <c r="F9" s="26"/>
      <c r="G9" s="26"/>
      <c r="H9" s="26"/>
      <c r="I9" s="26"/>
      <c r="J9" s="26"/>
      <c r="K9" s="26"/>
      <c r="L9" s="26"/>
      <c r="M9" s="83"/>
      <c r="N9" s="83"/>
      <c r="O9" s="83"/>
      <c r="P9" s="83"/>
    </row>
    <row r="10" spans="1:16" x14ac:dyDescent="0.2">
      <c r="A10" s="331" t="s">
        <v>32</v>
      </c>
      <c r="B10" s="331" t="s">
        <v>33</v>
      </c>
      <c r="C10" s="332" t="s">
        <v>34</v>
      </c>
      <c r="D10" s="333" t="s">
        <v>35</v>
      </c>
      <c r="E10" s="334" t="s">
        <v>36</v>
      </c>
      <c r="F10" s="330" t="s">
        <v>37</v>
      </c>
      <c r="G10" s="330"/>
      <c r="H10" s="330"/>
      <c r="I10" s="330"/>
      <c r="J10" s="330"/>
      <c r="K10" s="33"/>
      <c r="L10" s="330" t="s">
        <v>38</v>
      </c>
      <c r="M10" s="330"/>
      <c r="N10" s="330"/>
      <c r="O10" s="330"/>
      <c r="P10" s="330"/>
    </row>
    <row r="11" spans="1:16" ht="66" x14ac:dyDescent="0.2">
      <c r="A11" s="331"/>
      <c r="B11" s="331"/>
      <c r="C11" s="332"/>
      <c r="D11" s="333"/>
      <c r="E11" s="334"/>
      <c r="F11" s="31" t="s">
        <v>39</v>
      </c>
      <c r="G11" s="31" t="s">
        <v>40</v>
      </c>
      <c r="H11" s="34" t="s">
        <v>41</v>
      </c>
      <c r="I11" s="34" t="s">
        <v>42</v>
      </c>
      <c r="J11" s="34" t="s">
        <v>43</v>
      </c>
      <c r="K11" s="34" t="s">
        <v>44</v>
      </c>
      <c r="L11" s="31" t="s">
        <v>45</v>
      </c>
      <c r="M11" s="34" t="s">
        <v>41</v>
      </c>
      <c r="N11" s="34" t="s">
        <v>42</v>
      </c>
      <c r="O11" s="34" t="s">
        <v>43</v>
      </c>
      <c r="P11" s="34" t="s">
        <v>46</v>
      </c>
    </row>
    <row r="12" spans="1:16" x14ac:dyDescent="0.2">
      <c r="A12" s="128">
        <v>1</v>
      </c>
      <c r="B12" s="74">
        <f>A12+1</f>
        <v>2</v>
      </c>
      <c r="C12" s="125">
        <f>B12+1</f>
        <v>3</v>
      </c>
      <c r="D12" s="74">
        <f>C12+1</f>
        <v>4</v>
      </c>
      <c r="E12" s="186">
        <f>D12+1</f>
        <v>5</v>
      </c>
      <c r="F12" s="33">
        <f>E12+1</f>
        <v>6</v>
      </c>
      <c r="G12" s="33">
        <f t="shared" ref="G12:P12" si="0">F12+1</f>
        <v>7</v>
      </c>
      <c r="H12" s="33">
        <f t="shared" si="0"/>
        <v>8</v>
      </c>
      <c r="I12" s="33">
        <f t="shared" si="0"/>
        <v>9</v>
      </c>
      <c r="J12" s="33">
        <f t="shared" si="0"/>
        <v>10</v>
      </c>
      <c r="K12" s="33">
        <f t="shared" si="0"/>
        <v>11</v>
      </c>
      <c r="L12" s="33">
        <f t="shared" si="0"/>
        <v>12</v>
      </c>
      <c r="M12" s="33">
        <f t="shared" si="0"/>
        <v>13</v>
      </c>
      <c r="N12" s="33">
        <f t="shared" si="0"/>
        <v>14</v>
      </c>
      <c r="O12" s="33">
        <f t="shared" si="0"/>
        <v>15</v>
      </c>
      <c r="P12" s="33">
        <f t="shared" si="0"/>
        <v>16</v>
      </c>
    </row>
    <row r="13" spans="1:16" x14ac:dyDescent="0.2">
      <c r="A13" s="128"/>
      <c r="B13" s="74"/>
      <c r="C13" s="125"/>
      <c r="D13" s="74"/>
      <c r="E13" s="186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">
      <c r="A14" s="99"/>
      <c r="B14" s="120"/>
      <c r="C14" s="156" t="s">
        <v>408</v>
      </c>
      <c r="D14" s="74" t="s">
        <v>222</v>
      </c>
      <c r="E14" s="192">
        <v>44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">
      <c r="A15" s="74">
        <v>1</v>
      </c>
      <c r="B15" s="120"/>
      <c r="C15" s="128" t="s">
        <v>420</v>
      </c>
      <c r="D15" s="74" t="s">
        <v>136</v>
      </c>
      <c r="E15" s="192">
        <v>5.3504000000000014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">
      <c r="A16" s="74">
        <f>A15+1</f>
        <v>2</v>
      </c>
      <c r="B16" s="120"/>
      <c r="C16" s="128" t="s">
        <v>421</v>
      </c>
      <c r="D16" s="74" t="s">
        <v>136</v>
      </c>
      <c r="E16" s="170">
        <v>2.1901000000000002</v>
      </c>
      <c r="F16" s="12"/>
      <c r="G16" s="12"/>
      <c r="H16" s="12"/>
      <c r="I16" s="99"/>
      <c r="J16" s="12"/>
      <c r="K16" s="12"/>
      <c r="L16" s="12"/>
      <c r="M16" s="12"/>
      <c r="N16" s="12"/>
      <c r="O16" s="12"/>
      <c r="P16" s="12"/>
    </row>
    <row r="17" spans="1:16" x14ac:dyDescent="0.2">
      <c r="A17" s="74">
        <f>A16+1</f>
        <v>3</v>
      </c>
      <c r="B17" s="120"/>
      <c r="C17" s="11" t="s">
        <v>418</v>
      </c>
      <c r="D17" s="74" t="s">
        <v>222</v>
      </c>
      <c r="E17" s="185">
        <v>1672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33.75" x14ac:dyDescent="0.2">
      <c r="A18" s="74">
        <f t="shared" ref="A18:A31" si="1">A17+1</f>
        <v>4</v>
      </c>
      <c r="B18" s="120"/>
      <c r="C18" s="11" t="s">
        <v>419</v>
      </c>
      <c r="D18" s="74" t="s">
        <v>153</v>
      </c>
      <c r="E18" s="185">
        <v>484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">
      <c r="A19" s="74">
        <f t="shared" si="1"/>
        <v>5</v>
      </c>
      <c r="B19" s="120"/>
      <c r="C19" s="11" t="s">
        <v>457</v>
      </c>
      <c r="D19" s="74" t="s">
        <v>417</v>
      </c>
      <c r="E19" s="185">
        <v>21780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A20" s="74">
        <f t="shared" si="1"/>
        <v>6</v>
      </c>
      <c r="B20" s="120"/>
      <c r="C20" s="128" t="s">
        <v>459</v>
      </c>
      <c r="D20" s="74" t="s">
        <v>56</v>
      </c>
      <c r="E20" s="185">
        <v>440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2">
      <c r="A21" s="74">
        <f t="shared" si="1"/>
        <v>7</v>
      </c>
      <c r="B21" s="120"/>
      <c r="C21" s="128" t="s">
        <v>458</v>
      </c>
      <c r="D21" s="74" t="s">
        <v>56</v>
      </c>
      <c r="E21" s="185">
        <v>440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22.5" x14ac:dyDescent="0.2">
      <c r="A22" s="74">
        <f t="shared" si="1"/>
        <v>8</v>
      </c>
      <c r="B22" s="120"/>
      <c r="C22" s="11" t="s">
        <v>460</v>
      </c>
      <c r="D22" s="74" t="s">
        <v>56</v>
      </c>
      <c r="E22" s="185">
        <v>299.62240000000003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2">
      <c r="A23" s="74">
        <f t="shared" si="1"/>
        <v>9</v>
      </c>
      <c r="B23" s="120"/>
      <c r="C23" s="11" t="s">
        <v>409</v>
      </c>
      <c r="D23" s="74" t="s">
        <v>222</v>
      </c>
      <c r="E23" s="185">
        <v>1804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2.5" x14ac:dyDescent="0.2">
      <c r="A24" s="74">
        <f t="shared" si="1"/>
        <v>10</v>
      </c>
      <c r="B24" s="120"/>
      <c r="C24" s="11" t="s">
        <v>461</v>
      </c>
      <c r="D24" s="74" t="s">
        <v>222</v>
      </c>
      <c r="E24" s="185">
        <v>44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2.5" x14ac:dyDescent="0.2">
      <c r="A25" s="74">
        <f t="shared" si="1"/>
        <v>11</v>
      </c>
      <c r="B25" s="120"/>
      <c r="C25" s="11" t="s">
        <v>410</v>
      </c>
      <c r="D25" s="74" t="s">
        <v>56</v>
      </c>
      <c r="E25" s="185">
        <v>376.66815999999994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">
      <c r="A26" s="74">
        <f t="shared" si="1"/>
        <v>12</v>
      </c>
      <c r="B26" s="120"/>
      <c r="C26" s="11" t="s">
        <v>411</v>
      </c>
      <c r="D26" s="74" t="s">
        <v>222</v>
      </c>
      <c r="E26" s="185">
        <v>2816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">
      <c r="A27" s="74">
        <f t="shared" si="1"/>
        <v>13</v>
      </c>
      <c r="B27" s="120"/>
      <c r="C27" s="11" t="s">
        <v>462</v>
      </c>
      <c r="D27" s="74" t="s">
        <v>222</v>
      </c>
      <c r="E27" s="185">
        <v>176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">
      <c r="A28" s="74">
        <f t="shared" si="1"/>
        <v>14</v>
      </c>
      <c r="B28" s="120"/>
      <c r="C28" s="11" t="s">
        <v>412</v>
      </c>
      <c r="D28" s="74" t="s">
        <v>222</v>
      </c>
      <c r="E28" s="185">
        <v>2288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">
      <c r="A29" s="74">
        <f t="shared" si="1"/>
        <v>15</v>
      </c>
      <c r="B29" s="120"/>
      <c r="C29" s="128" t="s">
        <v>413</v>
      </c>
      <c r="D29" s="74" t="s">
        <v>222</v>
      </c>
      <c r="E29" s="185">
        <v>528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">
      <c r="A30" s="74">
        <f t="shared" si="1"/>
        <v>16</v>
      </c>
      <c r="B30" s="120"/>
      <c r="C30" s="128" t="s">
        <v>414</v>
      </c>
      <c r="D30" s="74" t="s">
        <v>222</v>
      </c>
      <c r="E30" s="185">
        <v>44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">
      <c r="A31" s="74">
        <f t="shared" si="1"/>
        <v>17</v>
      </c>
      <c r="B31" s="120"/>
      <c r="C31" s="128" t="s">
        <v>415</v>
      </c>
      <c r="D31" s="74" t="s">
        <v>222</v>
      </c>
      <c r="E31" s="185">
        <v>44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">
      <c r="A32" s="99"/>
      <c r="B32" s="120"/>
      <c r="C32" s="156" t="s">
        <v>416</v>
      </c>
      <c r="D32" s="74" t="s">
        <v>222</v>
      </c>
      <c r="E32" s="192">
        <v>24</v>
      </c>
      <c r="F32" s="12"/>
      <c r="G32" s="12"/>
      <c r="H32" s="102"/>
      <c r="I32" s="12"/>
      <c r="J32" s="102"/>
      <c r="K32" s="12"/>
      <c r="L32" s="12"/>
      <c r="M32" s="12"/>
      <c r="N32" s="12"/>
      <c r="O32" s="12"/>
      <c r="P32" s="12"/>
    </row>
    <row r="33" spans="1:16" x14ac:dyDescent="0.2">
      <c r="A33" s="74">
        <v>1</v>
      </c>
      <c r="B33" s="120"/>
      <c r="C33" s="128" t="s">
        <v>422</v>
      </c>
      <c r="D33" s="74" t="s">
        <v>222</v>
      </c>
      <c r="E33" s="183">
        <v>2.6752000000000007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">
      <c r="A34" s="74">
        <f>A33+1</f>
        <v>2</v>
      </c>
      <c r="B34" s="120"/>
      <c r="C34" s="128" t="s">
        <v>421</v>
      </c>
      <c r="D34" s="74" t="s">
        <v>222</v>
      </c>
      <c r="E34" s="183">
        <v>2.1901000000000002</v>
      </c>
      <c r="F34" s="12"/>
      <c r="G34" s="12"/>
      <c r="H34" s="12"/>
      <c r="I34" s="99"/>
      <c r="J34" s="12"/>
      <c r="K34" s="12"/>
      <c r="L34" s="12"/>
      <c r="M34" s="12"/>
      <c r="N34" s="12"/>
      <c r="O34" s="12"/>
      <c r="P34" s="12"/>
    </row>
    <row r="35" spans="1:16" x14ac:dyDescent="0.2">
      <c r="A35" s="74">
        <f>A34+1</f>
        <v>3</v>
      </c>
      <c r="B35" s="120"/>
      <c r="C35" s="11" t="s">
        <v>418</v>
      </c>
      <c r="D35" s="74" t="s">
        <v>222</v>
      </c>
      <c r="E35" s="183">
        <v>1672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33.75" x14ac:dyDescent="0.2">
      <c r="A36" s="74">
        <f t="shared" ref="A36:A49" si="2">A35+1</f>
        <v>4</v>
      </c>
      <c r="B36" s="120"/>
      <c r="C36" s="11" t="s">
        <v>419</v>
      </c>
      <c r="D36" s="74" t="s">
        <v>153</v>
      </c>
      <c r="E36" s="183">
        <v>264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2">
      <c r="A37" s="74">
        <f t="shared" si="2"/>
        <v>5</v>
      </c>
      <c r="B37" s="120"/>
      <c r="C37" s="11" t="s">
        <v>457</v>
      </c>
      <c r="D37" s="74" t="s">
        <v>417</v>
      </c>
      <c r="E37" s="183">
        <v>11880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2">
      <c r="A38" s="74">
        <f t="shared" si="2"/>
        <v>6</v>
      </c>
      <c r="B38" s="120"/>
      <c r="C38" s="128" t="s">
        <v>459</v>
      </c>
      <c r="D38" s="74" t="s">
        <v>56</v>
      </c>
      <c r="E38" s="183">
        <v>440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">
      <c r="A39" s="74">
        <f t="shared" si="2"/>
        <v>7</v>
      </c>
      <c r="B39" s="120"/>
      <c r="C39" s="128" t="s">
        <v>463</v>
      </c>
      <c r="D39" s="74" t="s">
        <v>56</v>
      </c>
      <c r="E39" s="183">
        <v>440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ht="22.5" x14ac:dyDescent="0.2">
      <c r="A40" s="74">
        <f t="shared" si="2"/>
        <v>8</v>
      </c>
      <c r="B40" s="120"/>
      <c r="C40" s="11" t="s">
        <v>460</v>
      </c>
      <c r="D40" s="74" t="s">
        <v>56</v>
      </c>
      <c r="E40" s="183">
        <v>299.62240000000003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x14ac:dyDescent="0.2">
      <c r="A41" s="74">
        <f t="shared" si="2"/>
        <v>9</v>
      </c>
      <c r="B41" s="120"/>
      <c r="C41" s="11" t="s">
        <v>409</v>
      </c>
      <c r="D41" s="74" t="s">
        <v>222</v>
      </c>
      <c r="E41" s="183">
        <v>1804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x14ac:dyDescent="0.2">
      <c r="A42" s="74">
        <f t="shared" si="2"/>
        <v>10</v>
      </c>
      <c r="B42" s="120"/>
      <c r="C42" s="128" t="s">
        <v>461</v>
      </c>
      <c r="D42" s="74" t="s">
        <v>222</v>
      </c>
      <c r="E42" s="183">
        <v>44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22.5" x14ac:dyDescent="0.2">
      <c r="A43" s="74">
        <f t="shared" si="2"/>
        <v>11</v>
      </c>
      <c r="B43" s="120"/>
      <c r="C43" s="11" t="s">
        <v>410</v>
      </c>
      <c r="D43" s="74" t="s">
        <v>56</v>
      </c>
      <c r="E43" s="183">
        <v>188.33407999999997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A44" s="74">
        <f t="shared" si="2"/>
        <v>12</v>
      </c>
      <c r="B44" s="120"/>
      <c r="C44" s="11" t="s">
        <v>411</v>
      </c>
      <c r="D44" s="74" t="s">
        <v>222</v>
      </c>
      <c r="E44" s="183">
        <v>1408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A45" s="74">
        <f t="shared" si="2"/>
        <v>13</v>
      </c>
      <c r="B45" s="120"/>
      <c r="C45" s="11" t="s">
        <v>462</v>
      </c>
      <c r="D45" s="74" t="s">
        <v>222</v>
      </c>
      <c r="E45" s="211">
        <v>176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A46" s="74">
        <f t="shared" si="2"/>
        <v>14</v>
      </c>
      <c r="B46" s="120"/>
      <c r="C46" s="11" t="s">
        <v>412</v>
      </c>
      <c r="D46" s="74" t="s">
        <v>222</v>
      </c>
      <c r="E46" s="211">
        <v>1144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A47" s="74">
        <f t="shared" si="2"/>
        <v>15</v>
      </c>
      <c r="B47" s="120"/>
      <c r="C47" s="128" t="s">
        <v>413</v>
      </c>
      <c r="D47" s="74" t="s">
        <v>222</v>
      </c>
      <c r="E47" s="211">
        <v>264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x14ac:dyDescent="0.2">
      <c r="A48" s="74">
        <f t="shared" si="2"/>
        <v>16</v>
      </c>
      <c r="B48" s="120"/>
      <c r="C48" s="128" t="s">
        <v>414</v>
      </c>
      <c r="D48" s="74" t="s">
        <v>222</v>
      </c>
      <c r="E48" s="211">
        <v>44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x14ac:dyDescent="0.2">
      <c r="A49" s="74">
        <f t="shared" si="2"/>
        <v>17</v>
      </c>
      <c r="B49" s="120"/>
      <c r="C49" s="128" t="s">
        <v>415</v>
      </c>
      <c r="D49" s="74" t="s">
        <v>222</v>
      </c>
      <c r="E49" s="211">
        <v>44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x14ac:dyDescent="0.2">
      <c r="A50" s="138"/>
      <c r="B50" s="139"/>
      <c r="C50" s="140"/>
      <c r="D50" s="138"/>
      <c r="E50" s="21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22.5" x14ac:dyDescent="0.2">
      <c r="A51" s="3" t="str">
        <f>IF(COUNTBLANK(H51)=1," ",COUNTA($H$51:H51))</f>
        <v xml:space="preserve"> </v>
      </c>
      <c r="B51" s="4"/>
      <c r="C51" s="225" t="s">
        <v>423</v>
      </c>
      <c r="D51" s="4"/>
      <c r="E51" s="162"/>
      <c r="F51" s="4"/>
      <c r="G51" s="4"/>
      <c r="H51" s="4"/>
      <c r="I51" s="4"/>
      <c r="J51" s="4"/>
      <c r="K51" s="4"/>
      <c r="L51" s="83">
        <f>SUM(L14:L49)</f>
        <v>0</v>
      </c>
      <c r="M51" s="83">
        <f>SUM(M14:M49)</f>
        <v>0</v>
      </c>
      <c r="N51" s="83">
        <f>SUM(N14:N49)</f>
        <v>0</v>
      </c>
      <c r="O51" s="83">
        <f>SUM(O14:O49)</f>
        <v>0</v>
      </c>
      <c r="P51" s="83">
        <f>SUM(P14:P49)</f>
        <v>0</v>
      </c>
    </row>
    <row r="52" spans="1:16" x14ac:dyDescent="0.2">
      <c r="A52" s="2"/>
      <c r="C52" s="25"/>
      <c r="E52" s="162"/>
      <c r="F52" s="5"/>
      <c r="L52" s="5"/>
      <c r="M52" s="5"/>
      <c r="N52" s="5"/>
      <c r="O52" s="5"/>
      <c r="P52" s="5"/>
    </row>
    <row r="53" spans="1:16" x14ac:dyDescent="0.2">
      <c r="L53" s="5"/>
      <c r="M53" s="5"/>
      <c r="N53" s="5"/>
      <c r="O53" s="5"/>
      <c r="P53" s="5"/>
    </row>
  </sheetData>
  <mergeCells count="7">
    <mergeCell ref="L10:P10"/>
    <mergeCell ref="A10:A11"/>
    <mergeCell ref="B10:B11"/>
    <mergeCell ref="C10:C11"/>
    <mergeCell ref="D10:D11"/>
    <mergeCell ref="E10:E11"/>
    <mergeCell ref="F10:J10"/>
  </mergeCells>
  <pageMargins left="0.7" right="0.7" top="0.75" bottom="0.75" header="0.3" footer="0.3"/>
  <pageSetup paperSize="9" orientation="landscape" r:id="rId1"/>
  <ignoredErrors>
    <ignoredError sqref="F12:P12 A5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view="pageBreakPreview" topLeftCell="A19" zoomScaleNormal="70" zoomScaleSheetLayoutView="100" workbookViewId="0">
      <selection activeCell="C14" sqref="C14:C44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5" width="6.42578125" style="147" customWidth="1"/>
    <col min="16" max="16" width="7.5703125" style="147" customWidth="1"/>
    <col min="17" max="17" width="7.710937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f>KPDV!A19</f>
        <v>4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134</v>
      </c>
      <c r="D2" s="2"/>
      <c r="E2" s="198"/>
      <c r="F2" s="5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99"/>
      <c r="F5" s="4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98"/>
      <c r="F6" s="5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98"/>
      <c r="F7" s="5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108"/>
      <c r="D9" s="108"/>
      <c r="E9" s="200"/>
      <c r="F9" s="26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87">
        <f>B12+1</f>
        <v>3</v>
      </c>
      <c r="D12" s="86">
        <f>C12+1</f>
        <v>4</v>
      </c>
      <c r="E12" s="201">
        <f>D12+1</f>
        <v>5</v>
      </c>
      <c r="F12" s="12">
        <v>1</v>
      </c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ht="22.5" x14ac:dyDescent="0.2">
      <c r="A13" s="99">
        <f>IF(COUNTBLANK(B13)=1," ",COUNTA($B$13:B13))</f>
        <v>1</v>
      </c>
      <c r="B13" s="114" t="s">
        <v>48</v>
      </c>
      <c r="C13" s="36" t="s">
        <v>135</v>
      </c>
      <c r="D13" s="74" t="s">
        <v>136</v>
      </c>
      <c r="E13" s="204">
        <f>apjomi!W27*1.3*1</f>
        <v>195</v>
      </c>
      <c r="F13" s="10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02"/>
    </row>
    <row r="14" spans="1:17" ht="22.5" x14ac:dyDescent="0.2">
      <c r="A14" s="99">
        <f>IF(COUNTBLANK(B14)=1," ",COUNTA($B$13:B14))</f>
        <v>2</v>
      </c>
      <c r="B14" s="114" t="s">
        <v>48</v>
      </c>
      <c r="C14" s="277" t="s">
        <v>464</v>
      </c>
      <c r="D14" s="74" t="s">
        <v>56</v>
      </c>
      <c r="E14" s="204">
        <f>E18*2</f>
        <v>180.5</v>
      </c>
      <c r="F14" s="10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02"/>
    </row>
    <row r="15" spans="1:17" x14ac:dyDescent="0.2">
      <c r="A15" s="99" t="str">
        <f>IF(COUNTBLANK(B15)=1," ",COUNTA($B$13:B15))</f>
        <v xml:space="preserve"> </v>
      </c>
      <c r="B15" s="99"/>
      <c r="C15" s="277" t="s">
        <v>465</v>
      </c>
      <c r="D15" s="99" t="s">
        <v>64</v>
      </c>
      <c r="E15" s="205">
        <f>E14*F15</f>
        <v>72.2</v>
      </c>
      <c r="F15" s="102">
        <v>0.4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02"/>
    </row>
    <row r="16" spans="1:17" ht="22.5" x14ac:dyDescent="0.2">
      <c r="A16" s="99">
        <f>IF(COUNTBLANK(B16)=1," ",COUNTA($B$13:B16))</f>
        <v>3</v>
      </c>
      <c r="B16" s="114" t="s">
        <v>48</v>
      </c>
      <c r="C16" s="277" t="s">
        <v>466</v>
      </c>
      <c r="D16" s="74" t="s">
        <v>56</v>
      </c>
      <c r="E16" s="204">
        <f>E18</f>
        <v>90.25</v>
      </c>
      <c r="F16" s="10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02"/>
    </row>
    <row r="17" spans="1:17" x14ac:dyDescent="0.2">
      <c r="A17" s="99" t="str">
        <f>IF(COUNTBLANK(B17)=1," ",COUNTA($B$13:B17))</f>
        <v xml:space="preserve"> </v>
      </c>
      <c r="B17" s="99"/>
      <c r="C17" s="277" t="s">
        <v>467</v>
      </c>
      <c r="D17" s="116" t="s">
        <v>64</v>
      </c>
      <c r="E17" s="205">
        <f>E16*F17</f>
        <v>270.75</v>
      </c>
      <c r="F17" s="102">
        <v>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2"/>
    </row>
    <row r="18" spans="1:17" ht="45" x14ac:dyDescent="0.2">
      <c r="A18" s="99">
        <f>IF(COUNTBLANK(B18)=1," ",COUNTA($B$13:B18))</f>
        <v>4</v>
      </c>
      <c r="B18" s="36" t="str">
        <f>apjomi!A35</f>
        <v>S4</v>
      </c>
      <c r="C18" s="278" t="str">
        <f>apjomi!B35</f>
        <v>Pamatu sienu siltinājums. Apmetuma sistēma virs siltinājuma (AS-1), Siltumizolācija, λ=0,031 W/mK, b= 150 mm. Līmjava. Vertikālā hidroizolācija. Gruntējums. Esošā vieglbetona paneļa ārsiena b=490 mm</v>
      </c>
      <c r="D18" s="74" t="s">
        <v>56</v>
      </c>
      <c r="E18" s="197">
        <f>apjomi!D35</f>
        <v>90.25</v>
      </c>
      <c r="F18" s="3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02"/>
    </row>
    <row r="19" spans="1:17" x14ac:dyDescent="0.2">
      <c r="A19" s="99" t="str">
        <f>IF(COUNTBLANK(B19)=1," ",COUNTA($B$13:B19))</f>
        <v xml:space="preserve"> </v>
      </c>
      <c r="B19" s="99"/>
      <c r="C19" s="277" t="s">
        <v>137</v>
      </c>
      <c r="D19" s="74" t="s">
        <v>56</v>
      </c>
      <c r="E19" s="205">
        <f>E18*F19</f>
        <v>126.35</v>
      </c>
      <c r="F19" s="32">
        <v>1.4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02"/>
    </row>
    <row r="20" spans="1:17" x14ac:dyDescent="0.2">
      <c r="A20" s="99" t="str">
        <f>IF(COUNTBLANK(B20)=1," ",COUNTA($B$13:B20))</f>
        <v xml:space="preserve"> </v>
      </c>
      <c r="B20" s="99"/>
      <c r="C20" s="277" t="s">
        <v>216</v>
      </c>
      <c r="D20" s="99" t="s">
        <v>64</v>
      </c>
      <c r="E20" s="205">
        <f>E18*F20</f>
        <v>631.75</v>
      </c>
      <c r="F20" s="102">
        <v>7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02"/>
    </row>
    <row r="21" spans="1:17" x14ac:dyDescent="0.2">
      <c r="A21" s="99" t="str">
        <f>IF(COUNTBLANK(B21)=1," ",COUNTA($B$13:B21))</f>
        <v xml:space="preserve"> </v>
      </c>
      <c r="B21" s="99"/>
      <c r="C21" s="277" t="s">
        <v>468</v>
      </c>
      <c r="D21" s="99" t="s">
        <v>52</v>
      </c>
      <c r="E21" s="205">
        <f>E18*F21</f>
        <v>541.5</v>
      </c>
      <c r="F21" s="102">
        <v>6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02"/>
    </row>
    <row r="22" spans="1:17" ht="45" x14ac:dyDescent="0.2">
      <c r="A22" s="99">
        <v>6</v>
      </c>
      <c r="B22" s="99" t="str">
        <f>apjomi!A36</f>
        <v>S5</v>
      </c>
      <c r="C22" s="277" t="str">
        <f>apjomi!B36</f>
        <v>Pamatu sienu siltinājums. Apmetuma sistēma virs siltinājuma (AS-1), Siltumizolācija, λ=0,031 W/mK, b= 150 mm. Līmjava. Vertikālā hidroizolācija. Gruntējums. Esošā vieglbetona paneļa ārsiena b= 250 mm</v>
      </c>
      <c r="D22" s="99" t="str">
        <f>D18</f>
        <v>m²</v>
      </c>
      <c r="E22" s="205">
        <f>apjomi!D36</f>
        <v>172.5</v>
      </c>
      <c r="F22" s="10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02"/>
    </row>
    <row r="23" spans="1:17" x14ac:dyDescent="0.2">
      <c r="A23" s="99" t="str">
        <f>IF(COUNTBLANK(B23)=1," ",COUNTA($B$13:B23))</f>
        <v xml:space="preserve"> </v>
      </c>
      <c r="B23" s="99"/>
      <c r="C23" s="277" t="s">
        <v>137</v>
      </c>
      <c r="D23" s="74" t="s">
        <v>56</v>
      </c>
      <c r="E23" s="205">
        <f>E22*F23</f>
        <v>276</v>
      </c>
      <c r="F23" s="32">
        <v>1.6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02"/>
    </row>
    <row r="24" spans="1:17" x14ac:dyDescent="0.2">
      <c r="A24" s="99" t="str">
        <f>IF(COUNTBLANK(B24)=1," ",COUNTA($B$13:B24))</f>
        <v xml:space="preserve"> </v>
      </c>
      <c r="B24" s="99"/>
      <c r="C24" s="277" t="s">
        <v>216</v>
      </c>
      <c r="D24" s="99" t="s">
        <v>64</v>
      </c>
      <c r="E24" s="205">
        <f>E22*F24</f>
        <v>1207.5</v>
      </c>
      <c r="F24" s="102">
        <v>7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02"/>
    </row>
    <row r="25" spans="1:17" x14ac:dyDescent="0.2">
      <c r="A25" s="99" t="str">
        <f>IF(COUNTBLANK(B25)=1," ",COUNTA($B$13:B25))</f>
        <v xml:space="preserve"> </v>
      </c>
      <c r="B25" s="99"/>
      <c r="C25" s="277" t="s">
        <v>468</v>
      </c>
      <c r="D25" s="99" t="s">
        <v>52</v>
      </c>
      <c r="E25" s="206">
        <f>E22*F25</f>
        <v>1035</v>
      </c>
      <c r="F25" s="102">
        <v>6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02"/>
    </row>
    <row r="26" spans="1:17" ht="33.75" x14ac:dyDescent="0.2">
      <c r="A26" s="99">
        <f>IF(COUNTBLANK(B26)=1," ",COUNTA($B$13:B26))</f>
        <v>6</v>
      </c>
      <c r="B26" s="132" t="s">
        <v>48</v>
      </c>
      <c r="C26" s="268" t="s">
        <v>138</v>
      </c>
      <c r="D26" s="103" t="s">
        <v>56</v>
      </c>
      <c r="E26" s="207">
        <f>(E18+E22+30)/1.5</f>
        <v>195.16666666666666</v>
      </c>
      <c r="F26" s="10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02"/>
    </row>
    <row r="27" spans="1:17" x14ac:dyDescent="0.2">
      <c r="A27" s="99" t="str">
        <f>IF(COUNTBLANK(B27)=1," ",COUNTA($B$13:B27))</f>
        <v xml:space="preserve"> </v>
      </c>
      <c r="B27" s="99"/>
      <c r="C27" s="277" t="s">
        <v>216</v>
      </c>
      <c r="D27" s="99" t="s">
        <v>64</v>
      </c>
      <c r="E27" s="205">
        <v>6</v>
      </c>
      <c r="F27" s="102">
        <v>9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02"/>
    </row>
    <row r="28" spans="1:17" x14ac:dyDescent="0.2">
      <c r="A28" s="99" t="str">
        <f>IF(COUNTBLANK(B28)=1," ",COUNTA($B$13:B28))</f>
        <v xml:space="preserve"> </v>
      </c>
      <c r="B28" s="99"/>
      <c r="C28" s="264" t="s">
        <v>77</v>
      </c>
      <c r="D28" s="99" t="s">
        <v>73</v>
      </c>
      <c r="E28" s="205">
        <f>E26*F28</f>
        <v>214.68333333333334</v>
      </c>
      <c r="F28" s="102">
        <v>1.1000000000000001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02"/>
    </row>
    <row r="29" spans="1:17" x14ac:dyDescent="0.2">
      <c r="A29" s="99" t="str">
        <f>IF(COUNTBLANK(B29)=1," ",COUNTA($B$13:B29))</f>
        <v xml:space="preserve"> </v>
      </c>
      <c r="B29" s="99"/>
      <c r="C29" s="264" t="s">
        <v>139</v>
      </c>
      <c r="D29" s="99" t="s">
        <v>140</v>
      </c>
      <c r="E29" s="205">
        <f>F29*E26</f>
        <v>17.564999999999998</v>
      </c>
      <c r="F29" s="102">
        <v>0.09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02"/>
    </row>
    <row r="30" spans="1:17" x14ac:dyDescent="0.2">
      <c r="A30" s="99" t="str">
        <f>IF(COUNTBLANK(B30)=1," ",COUNTA($B$13:B30))</f>
        <v xml:space="preserve"> </v>
      </c>
      <c r="B30" s="99"/>
      <c r="C30" s="264" t="s">
        <v>217</v>
      </c>
      <c r="D30" s="99" t="s">
        <v>64</v>
      </c>
      <c r="E30" s="205">
        <f>E26*F30</f>
        <v>48.791666666666664</v>
      </c>
      <c r="F30" s="102">
        <v>0.25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02"/>
    </row>
    <row r="31" spans="1:17" x14ac:dyDescent="0.2">
      <c r="A31" s="99" t="str">
        <f>IF(COUNTBLANK(B31)=1," ",COUNTA($B$13:B31))</f>
        <v xml:space="preserve"> </v>
      </c>
      <c r="B31" s="99"/>
      <c r="C31" s="264" t="s">
        <v>129</v>
      </c>
      <c r="D31" s="99" t="s">
        <v>64</v>
      </c>
      <c r="E31" s="205">
        <f>E26*F31</f>
        <v>780.66666666666663</v>
      </c>
      <c r="F31" s="102">
        <v>4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02"/>
    </row>
    <row r="32" spans="1:17" x14ac:dyDescent="0.2">
      <c r="A32" s="99" t="str">
        <f>IF(COUNTBLANK(B32)=1," ",COUNTA($B$13:B32))</f>
        <v xml:space="preserve"> </v>
      </c>
      <c r="B32" s="99"/>
      <c r="C32" s="264" t="s">
        <v>141</v>
      </c>
      <c r="D32" s="99" t="s">
        <v>64</v>
      </c>
      <c r="E32" s="205">
        <f>E26*F32</f>
        <v>117.1</v>
      </c>
      <c r="F32" s="102">
        <v>0.6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02"/>
    </row>
    <row r="33" spans="1:17" x14ac:dyDescent="0.2">
      <c r="A33" s="99"/>
      <c r="B33" s="99"/>
      <c r="C33" s="273" t="s">
        <v>142</v>
      </c>
      <c r="D33" s="103"/>
      <c r="E33" s="208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</row>
    <row r="34" spans="1:17" ht="22.5" x14ac:dyDescent="0.2">
      <c r="A34" s="99">
        <v>7</v>
      </c>
      <c r="B34" s="99" t="s">
        <v>48</v>
      </c>
      <c r="C34" s="277" t="s">
        <v>143</v>
      </c>
      <c r="D34" s="99" t="s">
        <v>56</v>
      </c>
      <c r="E34" s="205">
        <f>apjomi!W27*0.8</f>
        <v>120</v>
      </c>
      <c r="F34" s="129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02"/>
    </row>
    <row r="35" spans="1:17" ht="22.5" x14ac:dyDescent="0.2">
      <c r="A35" s="99">
        <v>8</v>
      </c>
      <c r="B35" s="99" t="s">
        <v>48</v>
      </c>
      <c r="C35" s="277" t="s">
        <v>144</v>
      </c>
      <c r="D35" s="99" t="s">
        <v>136</v>
      </c>
      <c r="E35" s="205">
        <f>E34*0.1</f>
        <v>12</v>
      </c>
      <c r="F35" s="129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02"/>
    </row>
    <row r="36" spans="1:17" x14ac:dyDescent="0.2">
      <c r="A36" s="99"/>
      <c r="B36" s="99"/>
      <c r="C36" s="277" t="s">
        <v>145</v>
      </c>
      <c r="D36" s="99" t="s">
        <v>136</v>
      </c>
      <c r="E36" s="205">
        <f>E35*F36</f>
        <v>13.200000000000001</v>
      </c>
      <c r="F36" s="133">
        <v>1.1000000000000001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02"/>
    </row>
    <row r="37" spans="1:17" ht="22.5" x14ac:dyDescent="0.2">
      <c r="A37" s="99">
        <v>9</v>
      </c>
      <c r="B37" s="99" t="s">
        <v>48</v>
      </c>
      <c r="C37" s="277" t="s">
        <v>146</v>
      </c>
      <c r="D37" s="99" t="s">
        <v>136</v>
      </c>
      <c r="E37" s="205">
        <v>6.2</v>
      </c>
      <c r="F37" s="13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02"/>
    </row>
    <row r="38" spans="1:17" ht="22.5" x14ac:dyDescent="0.2">
      <c r="A38" s="99">
        <v>10</v>
      </c>
      <c r="B38" s="99" t="s">
        <v>48</v>
      </c>
      <c r="C38" s="277" t="s">
        <v>147</v>
      </c>
      <c r="D38" s="99" t="s">
        <v>136</v>
      </c>
      <c r="E38" s="205">
        <f>E35/2</f>
        <v>6</v>
      </c>
      <c r="F38" s="129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2"/>
    </row>
    <row r="39" spans="1:17" x14ac:dyDescent="0.2">
      <c r="A39" s="99"/>
      <c r="B39" s="99"/>
      <c r="C39" s="277" t="s">
        <v>145</v>
      </c>
      <c r="D39" s="99" t="s">
        <v>136</v>
      </c>
      <c r="E39" s="205">
        <f>E36/2</f>
        <v>6.6000000000000005</v>
      </c>
      <c r="F39" s="129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2"/>
    </row>
    <row r="40" spans="1:17" ht="22.5" x14ac:dyDescent="0.2">
      <c r="A40" s="99">
        <v>11</v>
      </c>
      <c r="B40" s="99" t="s">
        <v>48</v>
      </c>
      <c r="C40" s="277" t="s">
        <v>148</v>
      </c>
      <c r="D40" s="99" t="s">
        <v>136</v>
      </c>
      <c r="E40" s="205">
        <f>E38</f>
        <v>6</v>
      </c>
      <c r="F40" s="129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02"/>
    </row>
    <row r="41" spans="1:17" x14ac:dyDescent="0.2">
      <c r="A41" s="99"/>
      <c r="B41" s="99"/>
      <c r="C41" s="277" t="s">
        <v>149</v>
      </c>
      <c r="D41" s="99" t="s">
        <v>136</v>
      </c>
      <c r="E41" s="205">
        <f>E39</f>
        <v>6.6000000000000005</v>
      </c>
      <c r="F41" s="129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2"/>
    </row>
    <row r="42" spans="1:17" ht="22.5" x14ac:dyDescent="0.2">
      <c r="A42" s="99">
        <v>12</v>
      </c>
      <c r="B42" s="99" t="s">
        <v>48</v>
      </c>
      <c r="C42" s="277" t="s">
        <v>469</v>
      </c>
      <c r="D42" s="99" t="s">
        <v>50</v>
      </c>
      <c r="E42" s="205">
        <f>apjomi!W27-6*3-3.5*3</f>
        <v>121.5</v>
      </c>
      <c r="F42" s="129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02"/>
    </row>
    <row r="43" spans="1:17" ht="22.5" x14ac:dyDescent="0.2">
      <c r="A43" s="99">
        <f>IF(COUNTBLANK(B43)=1," ",COUNTA($B$13:B43))</f>
        <v>13</v>
      </c>
      <c r="B43" s="114" t="s">
        <v>48</v>
      </c>
      <c r="C43" s="268" t="s">
        <v>150</v>
      </c>
      <c r="D43" s="103" t="s">
        <v>56</v>
      </c>
      <c r="E43" s="209">
        <f>E42*1</f>
        <v>121.5</v>
      </c>
      <c r="F43" s="129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02"/>
    </row>
    <row r="44" spans="1:17" x14ac:dyDescent="0.2">
      <c r="A44" s="99" t="str">
        <f>IF(COUNTBLANK(B44)=1," ",COUNTA($B$13:B44))</f>
        <v xml:space="preserve"> </v>
      </c>
      <c r="B44" s="99"/>
      <c r="C44" s="268" t="s">
        <v>151</v>
      </c>
      <c r="D44" s="103" t="s">
        <v>64</v>
      </c>
      <c r="E44" s="209">
        <f>E43*F44</f>
        <v>2.673</v>
      </c>
      <c r="F44" s="129">
        <v>2.1999999999999999E-2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02"/>
    </row>
    <row r="45" spans="1:17" x14ac:dyDescent="0.2">
      <c r="A45" s="4"/>
      <c r="B45" s="4"/>
      <c r="C45" s="23"/>
      <c r="D45" s="4"/>
      <c r="E45" s="210"/>
      <c r="F45" s="83"/>
      <c r="G45" s="83"/>
      <c r="H45" s="83"/>
      <c r="I45" s="83"/>
      <c r="J45" s="83"/>
      <c r="K45" s="134"/>
      <c r="L45" s="83"/>
      <c r="M45" s="83"/>
      <c r="N45" s="83"/>
      <c r="O45" s="83"/>
      <c r="P45" s="83"/>
      <c r="Q45" s="83"/>
    </row>
    <row r="46" spans="1:17" ht="22.5" x14ac:dyDescent="0.2">
      <c r="A46" s="4"/>
      <c r="B46" s="4"/>
      <c r="C46" s="225" t="s">
        <v>423</v>
      </c>
      <c r="D46" s="4"/>
      <c r="E46" s="199"/>
      <c r="F46" s="4"/>
      <c r="G46" s="4"/>
      <c r="H46" s="4"/>
      <c r="I46" s="4"/>
      <c r="J46" s="4"/>
      <c r="K46" s="4"/>
      <c r="L46" s="83"/>
      <c r="M46" s="83">
        <f>SUM(M13:M44)</f>
        <v>0</v>
      </c>
      <c r="N46" s="83">
        <f>SUM(N13:N44)</f>
        <v>0</v>
      </c>
      <c r="O46" s="83">
        <f>SUM(O13:O44)</f>
        <v>0</v>
      </c>
      <c r="P46" s="83">
        <f>SUM(P13:P44)</f>
        <v>0</v>
      </c>
      <c r="Q46" s="83">
        <f>SUM(Q13:Q44)</f>
        <v>0</v>
      </c>
    </row>
    <row r="47" spans="1:17" x14ac:dyDescent="0.2">
      <c r="A47" s="1"/>
      <c r="B47" s="1"/>
      <c r="C47" s="25"/>
      <c r="D47" s="1"/>
      <c r="E47" s="198"/>
      <c r="F47" s="5"/>
      <c r="G47" s="25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C48" s="25"/>
      <c r="D48" s="1"/>
      <c r="E48" s="198"/>
      <c r="F48" s="5"/>
      <c r="G48" s="25"/>
      <c r="M48" s="1"/>
      <c r="N48" s="1"/>
      <c r="O48" s="1"/>
      <c r="P48" s="1"/>
      <c r="Q48" s="107"/>
    </row>
    <row r="49" spans="13:17" x14ac:dyDescent="0.2">
      <c r="M49" s="1"/>
      <c r="N49" s="1"/>
      <c r="O49" s="1"/>
      <c r="P49" s="1"/>
      <c r="Q49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A41"/>
  <sheetViews>
    <sheetView view="pageBreakPreview" topLeftCell="A19" zoomScaleNormal="70" zoomScaleSheetLayoutView="100" workbookViewId="0">
      <selection activeCell="I25" sqref="I25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f>KPDV!A20</f>
        <v>5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152</v>
      </c>
      <c r="D2" s="2"/>
      <c r="E2" s="198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99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98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98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5"/>
      <c r="N8" s="5" t="s">
        <v>30</v>
      </c>
      <c r="O8" s="5"/>
      <c r="P8" s="30"/>
      <c r="Q8" s="5" t="s">
        <v>31</v>
      </c>
    </row>
    <row r="9" spans="1:17" x14ac:dyDescent="0.2">
      <c r="A9" s="2"/>
      <c r="B9" s="108"/>
      <c r="C9" s="108"/>
      <c r="D9" s="108"/>
      <c r="E9" s="200"/>
      <c r="F9" s="108"/>
      <c r="G9" s="108"/>
      <c r="H9" s="108"/>
      <c r="I9" s="108"/>
      <c r="J9" s="108"/>
      <c r="K9" s="108"/>
      <c r="L9" s="108"/>
      <c r="M9" s="26"/>
      <c r="N9" s="26"/>
      <c r="O9" s="26"/>
      <c r="P9" s="26"/>
      <c r="Q9" s="5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87">
        <f>B12+1</f>
        <v>3</v>
      </c>
      <c r="D12" s="86">
        <f>C12+1</f>
        <v>4</v>
      </c>
      <c r="E12" s="201">
        <f>D12+1</f>
        <v>5</v>
      </c>
      <c r="F12" s="112">
        <v>1</v>
      </c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x14ac:dyDescent="0.2">
      <c r="A13" s="99" t="str">
        <f>IF(COUNTBLANK(B13)=1," ",COUNTA($B$13:B13))</f>
        <v xml:space="preserve"> </v>
      </c>
      <c r="B13" s="37"/>
      <c r="C13" s="266" t="s">
        <v>478</v>
      </c>
      <c r="D13" s="28"/>
      <c r="E13" s="20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22.5" x14ac:dyDescent="0.2">
      <c r="A14" s="99">
        <f>IF(COUNTBLANK(B14)=1," ",COUNTA($B$13:B14))</f>
        <v>1</v>
      </c>
      <c r="B14" s="114" t="s">
        <v>48</v>
      </c>
      <c r="C14" s="264" t="s">
        <v>155</v>
      </c>
      <c r="D14" s="74" t="s">
        <v>56</v>
      </c>
      <c r="E14" s="203">
        <f>E15</f>
        <v>17.760000000000002</v>
      </c>
      <c r="F14" s="115"/>
      <c r="G14" s="102"/>
      <c r="H14" s="102"/>
      <c r="I14" s="12"/>
      <c r="J14" s="12"/>
      <c r="K14" s="12"/>
      <c r="L14" s="102"/>
      <c r="M14" s="102"/>
      <c r="N14" s="102"/>
      <c r="O14" s="102"/>
      <c r="P14" s="102"/>
      <c r="Q14" s="102"/>
    </row>
    <row r="15" spans="1:17" ht="22.5" x14ac:dyDescent="0.2">
      <c r="A15" s="99">
        <f>IF(COUNTBLANK(B15)=1," ",COUNTA($B$13:B15))</f>
        <v>2</v>
      </c>
      <c r="B15" s="114" t="s">
        <v>48</v>
      </c>
      <c r="C15" s="279" t="s">
        <v>470</v>
      </c>
      <c r="D15" s="74" t="s">
        <v>56</v>
      </c>
      <c r="E15" s="204">
        <f>1.85*3.2*3</f>
        <v>17.760000000000002</v>
      </c>
      <c r="F15" s="115"/>
      <c r="G15" s="102"/>
      <c r="H15" s="102"/>
      <c r="I15" s="12"/>
      <c r="J15" s="12"/>
      <c r="K15" s="12"/>
      <c r="L15" s="102"/>
      <c r="M15" s="102"/>
      <c r="N15" s="102"/>
      <c r="O15" s="102"/>
      <c r="P15" s="102"/>
      <c r="Q15" s="102"/>
    </row>
    <row r="16" spans="1:17" ht="22.5" x14ac:dyDescent="0.2">
      <c r="A16" s="99">
        <f>IF(COUNTBLANK(B16)=1," ",COUNTA($B$13:B16))</f>
        <v>3</v>
      </c>
      <c r="B16" s="114" t="s">
        <v>48</v>
      </c>
      <c r="C16" s="279" t="s">
        <v>156</v>
      </c>
      <c r="D16" s="74" t="s">
        <v>136</v>
      </c>
      <c r="E16" s="190">
        <f>E15*0.02</f>
        <v>0.35520000000000002</v>
      </c>
      <c r="F16" s="12"/>
      <c r="G16" s="102"/>
      <c r="H16" s="102"/>
      <c r="I16" s="12"/>
      <c r="J16" s="12"/>
      <c r="K16" s="12"/>
      <c r="L16" s="102"/>
      <c r="M16" s="102"/>
      <c r="N16" s="102"/>
      <c r="O16" s="102"/>
      <c r="P16" s="102"/>
      <c r="Q16" s="102"/>
    </row>
    <row r="17" spans="1:235" x14ac:dyDescent="0.2">
      <c r="A17" s="99" t="str">
        <f>IF(COUNTBLANK(B17)=1," ",COUNTA($B$13:B17))</f>
        <v xml:space="preserve"> </v>
      </c>
      <c r="B17" s="74"/>
      <c r="C17" s="264" t="s">
        <v>157</v>
      </c>
      <c r="D17" s="74" t="s">
        <v>84</v>
      </c>
      <c r="E17" s="205">
        <f>E16*F17</f>
        <v>0.37296000000000001</v>
      </c>
      <c r="F17" s="12">
        <v>1.05</v>
      </c>
      <c r="G17" s="102"/>
      <c r="H17" s="102"/>
      <c r="I17" s="12"/>
      <c r="J17" s="12"/>
      <c r="K17" s="12"/>
      <c r="L17" s="102"/>
      <c r="M17" s="102"/>
      <c r="N17" s="102"/>
      <c r="O17" s="102"/>
      <c r="P17" s="102"/>
      <c r="Q17" s="102"/>
      <c r="IA17" s="1"/>
    </row>
    <row r="18" spans="1:235" ht="22.5" x14ac:dyDescent="0.2">
      <c r="A18" s="99">
        <f>IF(COUNTBLANK(B18)=1," ",COUNTA($B$13:B18))</f>
        <v>4</v>
      </c>
      <c r="B18" s="114" t="s">
        <v>48</v>
      </c>
      <c r="C18" s="279" t="s">
        <v>158</v>
      </c>
      <c r="D18" s="74" t="s">
        <v>56</v>
      </c>
      <c r="E18" s="204">
        <f>E15</f>
        <v>17.760000000000002</v>
      </c>
      <c r="F18" s="102"/>
      <c r="G18" s="102"/>
      <c r="H18" s="102"/>
      <c r="I18" s="12"/>
      <c r="J18" s="12"/>
      <c r="K18" s="12"/>
      <c r="L18" s="102"/>
      <c r="M18" s="102"/>
      <c r="N18" s="102"/>
      <c r="O18" s="102"/>
      <c r="P18" s="102"/>
      <c r="Q18" s="102"/>
      <c r="IA18" s="1"/>
    </row>
    <row r="19" spans="1:235" x14ac:dyDescent="0.2">
      <c r="A19" s="99" t="str">
        <f>IF(COUNTBLANK(B19)=1," ",COUNTA($B$13:B19))</f>
        <v xml:space="preserve"> </v>
      </c>
      <c r="B19" s="99"/>
      <c r="C19" s="264" t="s">
        <v>471</v>
      </c>
      <c r="D19" s="74" t="s">
        <v>56</v>
      </c>
      <c r="E19" s="205">
        <f>E18*F19</f>
        <v>20.423999999999999</v>
      </c>
      <c r="F19" s="102">
        <v>1.1499999999999999</v>
      </c>
      <c r="G19" s="102"/>
      <c r="H19" s="102"/>
      <c r="I19" s="12"/>
      <c r="J19" s="12"/>
      <c r="K19" s="12"/>
      <c r="L19" s="102"/>
      <c r="M19" s="102"/>
      <c r="N19" s="102"/>
      <c r="O19" s="102"/>
      <c r="P19" s="102"/>
      <c r="Q19" s="102"/>
    </row>
    <row r="20" spans="1:235" x14ac:dyDescent="0.2">
      <c r="A20" s="99" t="str">
        <f>IF(COUNTBLANK(B20)=1," ",COUNTA($B$13:B20))</f>
        <v xml:space="preserve"> </v>
      </c>
      <c r="B20" s="99"/>
      <c r="C20" s="264" t="s">
        <v>159</v>
      </c>
      <c r="D20" s="74" t="s">
        <v>56</v>
      </c>
      <c r="E20" s="205">
        <f>E18*F20</f>
        <v>20.423999999999999</v>
      </c>
      <c r="F20" s="102">
        <v>1.1499999999999999</v>
      </c>
      <c r="G20" s="102"/>
      <c r="H20" s="102"/>
      <c r="I20" s="12"/>
      <c r="J20" s="12"/>
      <c r="K20" s="12"/>
      <c r="L20" s="102"/>
      <c r="M20" s="102"/>
      <c r="N20" s="102"/>
      <c r="O20" s="102"/>
      <c r="P20" s="102"/>
      <c r="Q20" s="102"/>
    </row>
    <row r="21" spans="1:235" x14ac:dyDescent="0.2">
      <c r="A21" s="99" t="str">
        <f>IF(COUNTBLANK(B21)=1," ",COUNTA($B$13:B21))</f>
        <v xml:space="preserve"> </v>
      </c>
      <c r="B21" s="99"/>
      <c r="C21" s="264" t="s">
        <v>472</v>
      </c>
      <c r="D21" s="99" t="s">
        <v>161</v>
      </c>
      <c r="E21" s="205">
        <f>E18*F21</f>
        <v>0.44400000000000006</v>
      </c>
      <c r="F21" s="102">
        <v>2.5000000000000001E-2</v>
      </c>
      <c r="G21" s="102"/>
      <c r="H21" s="102"/>
      <c r="I21" s="12"/>
      <c r="J21" s="12"/>
      <c r="K21" s="12"/>
      <c r="L21" s="102"/>
      <c r="M21" s="102"/>
      <c r="N21" s="102"/>
      <c r="O21" s="102"/>
      <c r="P21" s="102"/>
      <c r="Q21" s="102"/>
    </row>
    <row r="22" spans="1:235" ht="22.5" x14ac:dyDescent="0.2">
      <c r="A22" s="99">
        <f>IF(COUNTBLANK(B22)=1," ",COUNTA($B$13:B22))</f>
        <v>5</v>
      </c>
      <c r="B22" s="114" t="s">
        <v>48</v>
      </c>
      <c r="C22" s="271" t="s">
        <v>162</v>
      </c>
      <c r="D22" s="74" t="s">
        <v>50</v>
      </c>
      <c r="E22" s="205">
        <v>6</v>
      </c>
      <c r="F22" s="102"/>
      <c r="G22" s="102"/>
      <c r="H22" s="102"/>
      <c r="I22" s="12"/>
      <c r="J22" s="12"/>
      <c r="K22" s="12"/>
      <c r="L22" s="102"/>
      <c r="M22" s="102"/>
      <c r="N22" s="102"/>
      <c r="O22" s="102"/>
      <c r="P22" s="102"/>
      <c r="Q22" s="102"/>
    </row>
    <row r="23" spans="1:235" x14ac:dyDescent="0.2">
      <c r="A23" s="99" t="str">
        <f>IF(COUNTBLANK(B23)=1," ",COUNTA($B$13:B23))</f>
        <v xml:space="preserve"> </v>
      </c>
      <c r="B23" s="114"/>
      <c r="C23" s="264" t="s">
        <v>163</v>
      </c>
      <c r="D23" s="74" t="s">
        <v>50</v>
      </c>
      <c r="E23" s="205">
        <f>E22*F23</f>
        <v>6.3000000000000007</v>
      </c>
      <c r="F23" s="102">
        <v>1.05</v>
      </c>
      <c r="G23" s="102"/>
      <c r="H23" s="102"/>
      <c r="I23" s="12"/>
      <c r="J23" s="12"/>
      <c r="K23" s="12"/>
      <c r="L23" s="102"/>
      <c r="M23" s="102"/>
      <c r="N23" s="102"/>
      <c r="O23" s="102"/>
      <c r="P23" s="102"/>
      <c r="Q23" s="102"/>
    </row>
    <row r="24" spans="1:235" x14ac:dyDescent="0.2">
      <c r="A24" s="99" t="str">
        <f>IF(COUNTBLANK(B24)=1," ",COUNTA($B$13:B24))</f>
        <v xml:space="preserve"> </v>
      </c>
      <c r="B24" s="114"/>
      <c r="C24" s="280" t="s">
        <v>139</v>
      </c>
      <c r="D24" s="116" t="s">
        <v>140</v>
      </c>
      <c r="E24" s="205">
        <v>3</v>
      </c>
      <c r="F24" s="102"/>
      <c r="G24" s="102"/>
      <c r="H24" s="102"/>
      <c r="I24" s="12"/>
      <c r="J24" s="12"/>
      <c r="K24" s="12"/>
      <c r="L24" s="102"/>
      <c r="M24" s="102"/>
      <c r="N24" s="102"/>
      <c r="O24" s="102"/>
      <c r="P24" s="102"/>
      <c r="Q24" s="102"/>
    </row>
    <row r="25" spans="1:235" ht="22.5" x14ac:dyDescent="0.2">
      <c r="A25" s="99">
        <f>IF(COUNTBLANK(B25)=1," ",COUNTA($B$13:B25))</f>
        <v>6</v>
      </c>
      <c r="B25" s="114" t="s">
        <v>48</v>
      </c>
      <c r="C25" s="281" t="s">
        <v>164</v>
      </c>
      <c r="D25" s="74" t="s">
        <v>50</v>
      </c>
      <c r="E25" s="205">
        <f>3*3.2</f>
        <v>9.6000000000000014</v>
      </c>
      <c r="F25" s="102"/>
      <c r="G25" s="102"/>
      <c r="H25" s="102"/>
      <c r="I25" s="12"/>
      <c r="J25" s="12"/>
      <c r="K25" s="12"/>
      <c r="L25" s="102"/>
      <c r="M25" s="102"/>
      <c r="N25" s="102"/>
      <c r="O25" s="102"/>
      <c r="P25" s="102"/>
      <c r="Q25" s="102"/>
    </row>
    <row r="26" spans="1:235" x14ac:dyDescent="0.2">
      <c r="A26" s="99" t="str">
        <f>IF(COUNTBLANK(B26)=1," ",COUNTA($B$13:B26))</f>
        <v xml:space="preserve"> </v>
      </c>
      <c r="B26" s="114"/>
      <c r="C26" s="280" t="s">
        <v>165</v>
      </c>
      <c r="D26" s="116" t="s">
        <v>50</v>
      </c>
      <c r="E26" s="205">
        <f>E25*F26</f>
        <v>10.080000000000002</v>
      </c>
      <c r="F26" s="102">
        <v>1.05</v>
      </c>
      <c r="G26" s="102"/>
      <c r="H26" s="102"/>
      <c r="I26" s="12"/>
      <c r="J26" s="12"/>
      <c r="K26" s="12"/>
      <c r="L26" s="102"/>
      <c r="M26" s="102"/>
      <c r="N26" s="102"/>
      <c r="O26" s="102"/>
      <c r="P26" s="102"/>
      <c r="Q26" s="102"/>
    </row>
    <row r="27" spans="1:235" x14ac:dyDescent="0.2">
      <c r="A27" s="99" t="str">
        <f>IF(COUNTBLANK(B27)=1," ",COUNTA($B$13:B27))</f>
        <v xml:space="preserve"> </v>
      </c>
      <c r="B27" s="114"/>
      <c r="C27" s="280" t="s">
        <v>139</v>
      </c>
      <c r="D27" s="116" t="s">
        <v>140</v>
      </c>
      <c r="E27" s="205">
        <v>3</v>
      </c>
      <c r="F27" s="102"/>
      <c r="G27" s="102"/>
      <c r="H27" s="102"/>
      <c r="I27" s="12"/>
      <c r="J27" s="12"/>
      <c r="K27" s="12"/>
      <c r="L27" s="102"/>
      <c r="M27" s="102"/>
      <c r="N27" s="102"/>
      <c r="O27" s="102"/>
      <c r="P27" s="102"/>
      <c r="Q27" s="102"/>
    </row>
    <row r="28" spans="1:235" ht="22.5" x14ac:dyDescent="0.2">
      <c r="A28" s="99">
        <f>IF(COUNTBLANK(B28)=1," ",COUNTA($B$13:B28))</f>
        <v>7</v>
      </c>
      <c r="B28" s="114" t="s">
        <v>48</v>
      </c>
      <c r="C28" s="282" t="s">
        <v>166</v>
      </c>
      <c r="D28" s="74" t="s">
        <v>50</v>
      </c>
      <c r="E28" s="188">
        <f>3*3.2</f>
        <v>9.6000000000000014</v>
      </c>
      <c r="F28" s="115"/>
      <c r="G28" s="102"/>
      <c r="H28" s="102"/>
      <c r="I28" s="12"/>
      <c r="J28" s="12"/>
      <c r="K28" s="12"/>
      <c r="L28" s="102"/>
      <c r="M28" s="102"/>
      <c r="N28" s="102"/>
      <c r="O28" s="102"/>
      <c r="P28" s="102"/>
      <c r="Q28" s="102"/>
    </row>
    <row r="29" spans="1:235" ht="22.5" x14ac:dyDescent="0.2">
      <c r="A29" s="99">
        <f>IF(COUNTBLANK(B29)=1," ",COUNTA($B$13:B29))</f>
        <v>8</v>
      </c>
      <c r="B29" s="114" t="s">
        <v>48</v>
      </c>
      <c r="C29" s="282" t="s">
        <v>473</v>
      </c>
      <c r="D29" s="74" t="s">
        <v>56</v>
      </c>
      <c r="E29" s="188">
        <f>1.6*3.2</f>
        <v>5.120000000000001</v>
      </c>
      <c r="F29" s="115"/>
      <c r="G29" s="102"/>
      <c r="H29" s="102"/>
      <c r="I29" s="12"/>
      <c r="J29" s="12"/>
      <c r="K29" s="12"/>
      <c r="L29" s="102"/>
      <c r="M29" s="102"/>
      <c r="N29" s="102"/>
      <c r="O29" s="102"/>
      <c r="P29" s="102"/>
      <c r="Q29" s="102"/>
    </row>
    <row r="30" spans="1:235" ht="22.5" x14ac:dyDescent="0.2">
      <c r="A30" s="99">
        <f>IF(COUNTBLANK(B30)=1," ",COUNTA($B$13:B30))</f>
        <v>9</v>
      </c>
      <c r="B30" s="114" t="s">
        <v>48</v>
      </c>
      <c r="C30" s="283" t="s">
        <v>167</v>
      </c>
      <c r="D30" s="74" t="s">
        <v>50</v>
      </c>
      <c r="E30" s="204">
        <f>3*(3.2+0.2)</f>
        <v>10.200000000000001</v>
      </c>
      <c r="F30" s="102">
        <v>0.9</v>
      </c>
      <c r="G30" s="102"/>
      <c r="H30" s="102"/>
      <c r="I30" s="12"/>
      <c r="J30" s="12"/>
      <c r="K30" s="12"/>
      <c r="L30" s="102"/>
      <c r="M30" s="102"/>
      <c r="N30" s="102"/>
      <c r="O30" s="102"/>
      <c r="P30" s="102"/>
      <c r="Q30" s="102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</row>
    <row r="31" spans="1:235" ht="22.5" x14ac:dyDescent="0.2">
      <c r="A31" s="99">
        <f>IF(COUNTBLANK(B31)=1," ",COUNTA($B$13:B31))</f>
        <v>10</v>
      </c>
      <c r="B31" s="114" t="s">
        <v>48</v>
      </c>
      <c r="C31" s="283" t="s">
        <v>168</v>
      </c>
      <c r="D31" s="74" t="s">
        <v>50</v>
      </c>
      <c r="E31" s="204">
        <f>2.7*3</f>
        <v>8.1000000000000014</v>
      </c>
      <c r="F31" s="102">
        <v>0.9</v>
      </c>
      <c r="G31" s="102"/>
      <c r="H31" s="102"/>
      <c r="I31" s="12"/>
      <c r="J31" s="12"/>
      <c r="K31" s="12"/>
      <c r="L31" s="102"/>
      <c r="M31" s="102"/>
      <c r="N31" s="102"/>
      <c r="O31" s="102"/>
      <c r="P31" s="102"/>
      <c r="Q31" s="10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</row>
    <row r="32" spans="1:235" x14ac:dyDescent="0.2">
      <c r="A32" s="99" t="str">
        <f>IF(COUNTBLANK(B32)=1," ",COUNTA($B$13:B32))</f>
        <v xml:space="preserve"> </v>
      </c>
      <c r="B32" s="114"/>
      <c r="C32" s="279" t="s">
        <v>169</v>
      </c>
      <c r="D32" s="128"/>
      <c r="E32" s="186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</row>
    <row r="33" spans="1:235" ht="22.5" x14ac:dyDescent="0.2">
      <c r="A33" s="99">
        <f>IF(COUNTBLANK(B33)=1," ",COUNTA($B$13:B33))</f>
        <v>11</v>
      </c>
      <c r="B33" s="114" t="s">
        <v>48</v>
      </c>
      <c r="C33" s="264" t="s">
        <v>170</v>
      </c>
      <c r="D33" s="74" t="s">
        <v>56</v>
      </c>
      <c r="E33" s="204">
        <f>E15</f>
        <v>17.760000000000002</v>
      </c>
      <c r="F33" s="115"/>
      <c r="G33" s="102"/>
      <c r="H33" s="102"/>
      <c r="I33" s="12"/>
      <c r="J33" s="12"/>
      <c r="K33" s="12"/>
      <c r="L33" s="102"/>
      <c r="M33" s="102"/>
      <c r="N33" s="102"/>
      <c r="O33" s="102"/>
      <c r="P33" s="102"/>
      <c r="Q33" s="10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</row>
    <row r="34" spans="1:235" ht="22.5" x14ac:dyDescent="0.2">
      <c r="A34" s="99">
        <f>IF(COUNTBLANK(B34)=1," ",COUNTA($B$13:B34))</f>
        <v>12</v>
      </c>
      <c r="B34" s="114" t="s">
        <v>48</v>
      </c>
      <c r="C34" s="264" t="s">
        <v>474</v>
      </c>
      <c r="D34" s="74" t="s">
        <v>56</v>
      </c>
      <c r="E34" s="204">
        <f>E33</f>
        <v>17.760000000000002</v>
      </c>
      <c r="F34" s="102"/>
      <c r="G34" s="102"/>
      <c r="H34" s="102"/>
      <c r="I34" s="12"/>
      <c r="J34" s="12"/>
      <c r="K34" s="12"/>
      <c r="L34" s="102"/>
      <c r="M34" s="102"/>
      <c r="N34" s="102"/>
      <c r="O34" s="102"/>
      <c r="P34" s="102"/>
      <c r="Q34" s="10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</row>
    <row r="35" spans="1:235" ht="22.5" x14ac:dyDescent="0.2">
      <c r="A35" s="99">
        <f>IF(COUNTBLANK(B35)=1," ",COUNTA($B$13:B35))</f>
        <v>13</v>
      </c>
      <c r="B35" s="114" t="s">
        <v>48</v>
      </c>
      <c r="C35" s="264" t="s">
        <v>475</v>
      </c>
      <c r="D35" s="74" t="s">
        <v>56</v>
      </c>
      <c r="E35" s="204">
        <f>E34</f>
        <v>17.760000000000002</v>
      </c>
      <c r="F35" s="32"/>
      <c r="G35" s="102"/>
      <c r="H35" s="102"/>
      <c r="I35" s="12"/>
      <c r="J35" s="12"/>
      <c r="K35" s="12"/>
      <c r="L35" s="102"/>
      <c r="M35" s="102"/>
      <c r="N35" s="102"/>
      <c r="O35" s="102"/>
      <c r="P35" s="102"/>
      <c r="Q35" s="102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</row>
    <row r="36" spans="1:235" ht="22.5" x14ac:dyDescent="0.2">
      <c r="A36" s="99">
        <f>IF(COUNTBLANK(B36)=1," ",COUNTA($B$13:B36))</f>
        <v>14</v>
      </c>
      <c r="B36" s="114" t="s">
        <v>48</v>
      </c>
      <c r="C36" s="264" t="s">
        <v>476</v>
      </c>
      <c r="D36" s="74" t="s">
        <v>56</v>
      </c>
      <c r="E36" s="204">
        <f>E35</f>
        <v>17.760000000000002</v>
      </c>
      <c r="F36" s="32"/>
      <c r="G36" s="102"/>
      <c r="H36" s="102"/>
      <c r="I36" s="12"/>
      <c r="J36" s="12"/>
      <c r="K36" s="12"/>
      <c r="L36" s="102"/>
      <c r="M36" s="102"/>
      <c r="N36" s="102"/>
      <c r="O36" s="102"/>
      <c r="P36" s="102"/>
      <c r="Q36" s="102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</row>
    <row r="37" spans="1:235" ht="22.5" x14ac:dyDescent="0.2">
      <c r="A37" s="99">
        <f>IF(COUNTBLANK(B37)=1," ",COUNTA($B$13:B37))</f>
        <v>15</v>
      </c>
      <c r="B37" s="114" t="s">
        <v>48</v>
      </c>
      <c r="C37" s="264" t="s">
        <v>477</v>
      </c>
      <c r="D37" s="74" t="s">
        <v>56</v>
      </c>
      <c r="E37" s="204">
        <f>E36</f>
        <v>17.760000000000002</v>
      </c>
      <c r="F37" s="32"/>
      <c r="G37" s="102"/>
      <c r="H37" s="102"/>
      <c r="I37" s="12"/>
      <c r="J37" s="12"/>
      <c r="K37" s="12"/>
      <c r="L37" s="102"/>
      <c r="M37" s="102"/>
      <c r="N37" s="102"/>
      <c r="O37" s="102"/>
      <c r="P37" s="102"/>
      <c r="Q37" s="10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</row>
    <row r="38" spans="1:235" x14ac:dyDescent="0.2">
      <c r="A38" s="23"/>
      <c r="B38" s="23"/>
      <c r="C38" s="23"/>
      <c r="D38" s="23"/>
      <c r="E38" s="199"/>
      <c r="F38" s="23"/>
      <c r="G38" s="23"/>
      <c r="H38" s="23"/>
      <c r="I38" s="23"/>
      <c r="J38" s="23"/>
      <c r="K38" s="23"/>
      <c r="L38" s="23"/>
      <c r="M38" s="4"/>
      <c r="N38" s="4"/>
      <c r="O38" s="4"/>
      <c r="P38" s="4"/>
      <c r="Q38" s="4"/>
      <c r="IA38" s="1"/>
    </row>
    <row r="39" spans="1:235" ht="22.5" x14ac:dyDescent="0.2">
      <c r="A39" s="4"/>
      <c r="B39" s="4"/>
      <c r="C39" s="225" t="s">
        <v>423</v>
      </c>
      <c r="D39" s="4"/>
      <c r="E39" s="199"/>
      <c r="F39" s="4"/>
      <c r="G39" s="4"/>
      <c r="H39" s="4"/>
      <c r="I39" s="4"/>
      <c r="J39" s="4"/>
      <c r="K39" s="4"/>
      <c r="L39" s="83"/>
      <c r="M39" s="83">
        <f>SUM(M13:M37)</f>
        <v>0</v>
      </c>
      <c r="N39" s="83">
        <f>SUM(N13:N37)</f>
        <v>0</v>
      </c>
      <c r="O39" s="83">
        <f>SUM(O13:O37)</f>
        <v>0</v>
      </c>
      <c r="P39" s="83">
        <f>SUM(P13:P37)</f>
        <v>0</v>
      </c>
      <c r="Q39" s="83">
        <f>SUM(Q13:Q37)</f>
        <v>0</v>
      </c>
      <c r="IA39" s="1"/>
    </row>
    <row r="40" spans="1:235" x14ac:dyDescent="0.2">
      <c r="A40" s="1"/>
      <c r="B40" s="1"/>
      <c r="C40" s="25"/>
      <c r="D40" s="1"/>
      <c r="E40" s="198"/>
      <c r="G40" s="25"/>
      <c r="H40" s="1"/>
      <c r="I40" s="1"/>
      <c r="J40" s="1"/>
      <c r="K40" s="1"/>
      <c r="L40" s="1"/>
      <c r="M40" s="1"/>
      <c r="N40" s="1"/>
      <c r="O40" s="1"/>
      <c r="P40" s="1"/>
      <c r="Q40" s="107"/>
      <c r="IA40" s="1"/>
    </row>
    <row r="41" spans="1:235" x14ac:dyDescent="0.2">
      <c r="M41" s="1"/>
      <c r="N41" s="1"/>
      <c r="O41" s="1"/>
      <c r="P41" s="1"/>
      <c r="Q41" s="1"/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"/>
  <sheetViews>
    <sheetView view="pageBreakPreview" zoomScaleNormal="70" zoomScaleSheetLayoutView="100" workbookViewId="0">
      <selection activeCell="H16" sqref="H16"/>
    </sheetView>
  </sheetViews>
  <sheetFormatPr defaultColWidth="9" defaultRowHeight="11.25" x14ac:dyDescent="0.2"/>
  <cols>
    <col min="1" max="2" width="3.5703125" style="147" customWidth="1"/>
    <col min="3" max="3" width="41.7109375" style="147" customWidth="1"/>
    <col min="4" max="4" width="5.28515625" style="147" customWidth="1"/>
    <col min="5" max="5" width="6.5703125" style="172" customWidth="1"/>
    <col min="6" max="12" width="5.28515625" style="147" customWidth="1"/>
    <col min="13" max="17" width="6.42578125" style="147" customWidth="1"/>
    <col min="18" max="16384" width="9" style="147"/>
  </cols>
  <sheetData>
    <row r="1" spans="1:17" x14ac:dyDescent="0.2">
      <c r="A1" s="2" t="s">
        <v>26</v>
      </c>
      <c r="B1" s="25"/>
      <c r="C1" s="25"/>
      <c r="D1" s="25"/>
      <c r="E1" s="162"/>
      <c r="F1" s="25"/>
      <c r="G1" s="25"/>
      <c r="H1" s="5">
        <f>KPDV!A21</f>
        <v>6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2"/>
      <c r="B2" s="2"/>
      <c r="C2" s="29" t="s">
        <v>171</v>
      </c>
      <c r="D2" s="2"/>
      <c r="E2" s="162"/>
      <c r="F2" s="2"/>
      <c r="G2" s="2"/>
      <c r="H2" s="2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2" t="str">
        <f>KPDV!A5</f>
        <v>Būves nosaukums: Daudzdzīvokļu dzīvojamā ēka</v>
      </c>
      <c r="B3" s="2"/>
      <c r="C3" s="2"/>
      <c r="D3" s="3"/>
      <c r="E3" s="163"/>
      <c r="F3" s="3"/>
      <c r="G3" s="3"/>
      <c r="H3" s="3"/>
      <c r="I3" s="23"/>
      <c r="J3" s="23"/>
      <c r="K3" s="23"/>
      <c r="L3" s="23"/>
      <c r="M3" s="4"/>
      <c r="N3" s="4"/>
      <c r="O3" s="4"/>
      <c r="P3" s="4"/>
      <c r="Q3" s="5"/>
    </row>
    <row r="4" spans="1:17" x14ac:dyDescent="0.2">
      <c r="A4" s="2" t="str">
        <f>KPDV!A6</f>
        <v>Objekta nosaukums: Dzīvojamās ēkas vienkāršota atjaunošana</v>
      </c>
      <c r="B4" s="2"/>
      <c r="C4" s="2"/>
      <c r="D4" s="3"/>
      <c r="E4" s="163"/>
      <c r="F4" s="3"/>
      <c r="G4" s="3"/>
      <c r="H4" s="3"/>
      <c r="I4" s="5"/>
      <c r="J4" s="5"/>
      <c r="K4" s="4"/>
      <c r="L4" s="4"/>
      <c r="M4" s="4"/>
      <c r="N4" s="4"/>
      <c r="O4" s="4"/>
      <c r="P4" s="4"/>
      <c r="Q4" s="5"/>
    </row>
    <row r="5" spans="1:17" x14ac:dyDescent="0.2">
      <c r="A5" s="2" t="str">
        <f>KPDV!A7</f>
        <v>Objekta adrese: Eduarda Tisē iela 60, Liepāja</v>
      </c>
      <c r="B5" s="2"/>
      <c r="C5" s="2"/>
      <c r="D5" s="2"/>
      <c r="E5" s="163"/>
      <c r="F5" s="3"/>
      <c r="G5" s="2"/>
      <c r="H5" s="2"/>
      <c r="I5" s="5"/>
      <c r="J5" s="5"/>
      <c r="K5" s="4"/>
      <c r="L5" s="4"/>
      <c r="M5" s="4"/>
      <c r="N5" s="4"/>
      <c r="O5" s="4"/>
      <c r="P5" s="4"/>
      <c r="Q5" s="5"/>
    </row>
    <row r="6" spans="1:17" x14ac:dyDescent="0.2">
      <c r="A6" s="2" t="str">
        <f>KPDV!A8</f>
        <v>Pasūtījuma Nr. : EA-33-16</v>
      </c>
      <c r="B6" s="2"/>
      <c r="C6" s="2"/>
      <c r="D6" s="2"/>
      <c r="E6" s="162"/>
      <c r="F6" s="2"/>
      <c r="G6" s="2"/>
      <c r="H6" s="2"/>
      <c r="I6" s="5"/>
      <c r="J6" s="5"/>
      <c r="K6" s="4"/>
      <c r="L6" s="4"/>
      <c r="M6" s="4"/>
      <c r="N6" s="4"/>
      <c r="O6" s="4"/>
      <c r="P6" s="4"/>
      <c r="Q6" s="5"/>
    </row>
    <row r="7" spans="1:17" x14ac:dyDescent="0.2">
      <c r="A7" s="2"/>
      <c r="B7" s="2"/>
      <c r="C7" s="2"/>
      <c r="D7" s="2"/>
      <c r="E7" s="162"/>
      <c r="F7" s="2"/>
      <c r="G7" s="2"/>
      <c r="H7" s="2"/>
      <c r="I7" s="5"/>
      <c r="J7" s="5"/>
      <c r="K7" s="4"/>
      <c r="L7" s="4"/>
      <c r="M7" s="4"/>
      <c r="N7" s="4"/>
      <c r="O7" s="4"/>
      <c r="P7" s="4"/>
      <c r="Q7" s="5"/>
    </row>
    <row r="8" spans="1:17" x14ac:dyDescent="0.2">
      <c r="A8" s="2" t="s">
        <v>535</v>
      </c>
      <c r="B8" s="25"/>
      <c r="C8" s="25"/>
      <c r="D8" s="25"/>
      <c r="E8" s="164" t="s">
        <v>28</v>
      </c>
      <c r="F8" s="5"/>
      <c r="G8" s="2" t="s">
        <v>29</v>
      </c>
      <c r="H8" s="2"/>
      <c r="I8" s="2"/>
      <c r="J8" s="2"/>
      <c r="K8" s="1"/>
      <c r="L8" s="1"/>
      <c r="M8" s="1"/>
      <c r="N8" s="1" t="s">
        <v>30</v>
      </c>
      <c r="O8" s="1"/>
      <c r="P8" s="30"/>
      <c r="Q8" s="5" t="s">
        <v>31</v>
      </c>
    </row>
    <row r="9" spans="1:17" x14ac:dyDescent="0.2">
      <c r="A9" s="141"/>
      <c r="B9" s="108"/>
      <c r="C9" s="108"/>
      <c r="D9" s="108"/>
      <c r="E9" s="164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</row>
    <row r="10" spans="1:17" x14ac:dyDescent="0.2">
      <c r="A10" s="322" t="s">
        <v>32</v>
      </c>
      <c r="B10" s="322" t="s">
        <v>33</v>
      </c>
      <c r="C10" s="324" t="s">
        <v>34</v>
      </c>
      <c r="D10" s="326" t="s">
        <v>35</v>
      </c>
      <c r="E10" s="335" t="s">
        <v>36</v>
      </c>
      <c r="F10" s="31"/>
      <c r="G10" s="319" t="s">
        <v>37</v>
      </c>
      <c r="H10" s="320"/>
      <c r="I10" s="320"/>
      <c r="J10" s="320"/>
      <c r="K10" s="321"/>
      <c r="L10" s="33"/>
      <c r="M10" s="319" t="s">
        <v>38</v>
      </c>
      <c r="N10" s="320"/>
      <c r="O10" s="320"/>
      <c r="P10" s="320"/>
      <c r="Q10" s="321"/>
    </row>
    <row r="11" spans="1:17" ht="66" x14ac:dyDescent="0.2">
      <c r="A11" s="323"/>
      <c r="B11" s="323"/>
      <c r="C11" s="325"/>
      <c r="D11" s="327"/>
      <c r="E11" s="336"/>
      <c r="F11" s="31"/>
      <c r="G11" s="31" t="s">
        <v>39</v>
      </c>
      <c r="H11" s="31" t="s">
        <v>40</v>
      </c>
      <c r="I11" s="34" t="s">
        <v>41</v>
      </c>
      <c r="J11" s="34" t="s">
        <v>42</v>
      </c>
      <c r="K11" s="34" t="s">
        <v>43</v>
      </c>
      <c r="L11" s="34" t="s">
        <v>44</v>
      </c>
      <c r="M11" s="31" t="s">
        <v>45</v>
      </c>
      <c r="N11" s="34" t="s">
        <v>41</v>
      </c>
      <c r="O11" s="34" t="s">
        <v>42</v>
      </c>
      <c r="P11" s="34" t="s">
        <v>43</v>
      </c>
      <c r="Q11" s="34" t="s">
        <v>46</v>
      </c>
    </row>
    <row r="12" spans="1:17" x14ac:dyDescent="0.2">
      <c r="A12" s="86">
        <v>1</v>
      </c>
      <c r="B12" s="86">
        <f>A12+1</f>
        <v>2</v>
      </c>
      <c r="C12" s="87">
        <f>B12+1</f>
        <v>3</v>
      </c>
      <c r="D12" s="86">
        <f>C12+1</f>
        <v>4</v>
      </c>
      <c r="E12" s="166">
        <f>D12+1</f>
        <v>5</v>
      </c>
      <c r="F12" s="112">
        <v>1</v>
      </c>
      <c r="G12" s="86">
        <f>E12+1</f>
        <v>6</v>
      </c>
      <c r="H12" s="86">
        <f t="shared" ref="H12:Q12" si="0">G12+1</f>
        <v>7</v>
      </c>
      <c r="I12" s="86">
        <f t="shared" si="0"/>
        <v>8</v>
      </c>
      <c r="J12" s="86">
        <f t="shared" si="0"/>
        <v>9</v>
      </c>
      <c r="K12" s="86">
        <f t="shared" si="0"/>
        <v>10</v>
      </c>
      <c r="L12" s="86">
        <f t="shared" si="0"/>
        <v>11</v>
      </c>
      <c r="M12" s="86">
        <f t="shared" si="0"/>
        <v>12</v>
      </c>
      <c r="N12" s="86">
        <f t="shared" si="0"/>
        <v>13</v>
      </c>
      <c r="O12" s="86">
        <f t="shared" si="0"/>
        <v>14</v>
      </c>
      <c r="P12" s="86">
        <f t="shared" si="0"/>
        <v>15</v>
      </c>
      <c r="Q12" s="86">
        <f t="shared" si="0"/>
        <v>16</v>
      </c>
    </row>
    <row r="13" spans="1:17" ht="22.5" x14ac:dyDescent="0.2">
      <c r="A13" s="99">
        <f>IF(COUNTBLANK(B13)=1," ",COUNTA($B$13:B13))</f>
        <v>1</v>
      </c>
      <c r="B13" s="114" t="s">
        <v>48</v>
      </c>
      <c r="C13" s="28" t="s">
        <v>172</v>
      </c>
      <c r="D13" s="74" t="s">
        <v>136</v>
      </c>
      <c r="E13" s="184">
        <v>1.2</v>
      </c>
      <c r="F13" s="10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22.5" x14ac:dyDescent="0.2">
      <c r="A14" s="99">
        <f>IF(COUNTBLANK(B14)=1," ",COUNTA($B$13:B14))</f>
        <v>2</v>
      </c>
      <c r="B14" s="114" t="s">
        <v>48</v>
      </c>
      <c r="C14" s="279" t="s">
        <v>173</v>
      </c>
      <c r="D14" s="75" t="s">
        <v>56</v>
      </c>
      <c r="E14" s="196">
        <f>apjomi!D40</f>
        <v>469.1</v>
      </c>
      <c r="F14" s="129"/>
      <c r="G14" s="12"/>
      <c r="H14" s="12"/>
      <c r="I14" s="100"/>
      <c r="J14" s="100"/>
      <c r="K14" s="100"/>
      <c r="L14" s="12"/>
      <c r="M14" s="12"/>
      <c r="N14" s="12"/>
      <c r="O14" s="12"/>
      <c r="P14" s="12"/>
      <c r="Q14" s="12"/>
    </row>
    <row r="15" spans="1:17" x14ac:dyDescent="0.2">
      <c r="A15" s="99" t="str">
        <f>IF(COUNTBLANK(B15)=1," ",COUNTA($B$13:B15))</f>
        <v xml:space="preserve"> </v>
      </c>
      <c r="B15" s="99"/>
      <c r="C15" s="277" t="s">
        <v>217</v>
      </c>
      <c r="D15" s="103" t="s">
        <v>64</v>
      </c>
      <c r="E15" s="194">
        <f>E14*F15</f>
        <v>46.910000000000004</v>
      </c>
      <c r="F15" s="129">
        <v>0.1</v>
      </c>
      <c r="G15" s="12"/>
      <c r="H15" s="12"/>
      <c r="I15" s="100"/>
      <c r="J15" s="100"/>
      <c r="K15" s="100"/>
      <c r="L15" s="12"/>
      <c r="M15" s="12"/>
      <c r="N15" s="12"/>
      <c r="O15" s="12"/>
      <c r="P15" s="12"/>
      <c r="Q15" s="12"/>
    </row>
    <row r="16" spans="1:17" ht="56.25" x14ac:dyDescent="0.2">
      <c r="A16" s="99">
        <f>IF(COUNTBLANK(B16)=1," ",COUNTA($B$13:B16))</f>
        <v>3</v>
      </c>
      <c r="B16" s="130" t="str">
        <f>apjomi!A42</f>
        <v>P3</v>
      </c>
      <c r="C16" s="284" t="str">
        <f>apjomi!B40</f>
        <v>Pārsegums virs pagraba siltinājums. Esošs grīdas sastāvs b=60 Esošais pāsegums dzelzs-betona panelis ar grīdas segumu  b=220mm, Līmjava. Gruntējums. Akmensvates lamele  ekvivalents. Rockwool Fasrock G (0,037W/m²K) b=150mm.</v>
      </c>
      <c r="D16" s="75" t="s">
        <v>56</v>
      </c>
      <c r="E16" s="196">
        <f>E14</f>
        <v>469.1</v>
      </c>
      <c r="F16" s="129"/>
      <c r="G16" s="12"/>
      <c r="H16" s="12"/>
      <c r="I16" s="100"/>
      <c r="J16" s="100"/>
      <c r="K16" s="100"/>
      <c r="L16" s="12"/>
      <c r="M16" s="12"/>
      <c r="N16" s="12"/>
      <c r="O16" s="12"/>
      <c r="P16" s="12"/>
      <c r="Q16" s="12"/>
    </row>
    <row r="17" spans="1:17" x14ac:dyDescent="0.2">
      <c r="A17" s="99" t="str">
        <f>IF(COUNTBLANK(B17)=1," ",COUNTA($B$13:B17))</f>
        <v xml:space="preserve"> </v>
      </c>
      <c r="B17" s="99"/>
      <c r="C17" s="277" t="s">
        <v>137</v>
      </c>
      <c r="D17" s="75" t="s">
        <v>56</v>
      </c>
      <c r="E17" s="194">
        <f>E16*F17</f>
        <v>492.55500000000006</v>
      </c>
      <c r="F17" s="129">
        <v>1.05</v>
      </c>
      <c r="G17" s="12"/>
      <c r="H17" s="12"/>
      <c r="I17" s="100"/>
      <c r="J17" s="100"/>
      <c r="K17" s="100"/>
      <c r="L17" s="12"/>
      <c r="M17" s="12"/>
      <c r="N17" s="12"/>
      <c r="O17" s="12"/>
      <c r="P17" s="12"/>
      <c r="Q17" s="12"/>
    </row>
    <row r="18" spans="1:17" x14ac:dyDescent="0.2">
      <c r="A18" s="99" t="str">
        <f>IF(COUNTBLANK(B18)=1," ",COUNTA($B$13:B18))</f>
        <v xml:space="preserve"> </v>
      </c>
      <c r="B18" s="99"/>
      <c r="C18" s="277" t="s">
        <v>216</v>
      </c>
      <c r="D18" s="103" t="s">
        <v>64</v>
      </c>
      <c r="E18" s="194">
        <f>E16*F18</f>
        <v>2814.6000000000004</v>
      </c>
      <c r="F18" s="129">
        <v>6</v>
      </c>
      <c r="G18" s="12"/>
      <c r="H18" s="12"/>
      <c r="I18" s="100"/>
      <c r="J18" s="100"/>
      <c r="K18" s="100"/>
      <c r="L18" s="12"/>
      <c r="M18" s="12"/>
      <c r="N18" s="12"/>
      <c r="O18" s="12"/>
      <c r="P18" s="12"/>
      <c r="Q18" s="12"/>
    </row>
    <row r="19" spans="1:17" ht="22.5" x14ac:dyDescent="0.2">
      <c r="C19" s="225" t="s">
        <v>423</v>
      </c>
      <c r="D19" s="4"/>
      <c r="E19" s="163"/>
      <c r="F19" s="4"/>
      <c r="G19" s="4"/>
      <c r="H19" s="4"/>
      <c r="I19" s="4"/>
      <c r="J19" s="4"/>
      <c r="K19" s="4"/>
      <c r="L19" s="83"/>
      <c r="M19" s="83">
        <f>SUM(M13:M18)</f>
        <v>0</v>
      </c>
      <c r="N19" s="83">
        <f>SUM(N13:N18)</f>
        <v>0</v>
      </c>
      <c r="O19" s="83">
        <f>SUM(O13:O18)</f>
        <v>0</v>
      </c>
      <c r="P19" s="83">
        <f>SUM(P13:P18)</f>
        <v>0</v>
      </c>
      <c r="Q19" s="83">
        <f>SUM(Q13:Q18)</f>
        <v>0</v>
      </c>
    </row>
  </sheetData>
  <mergeCells count="7">
    <mergeCell ref="M10:Q10"/>
    <mergeCell ref="A10:A11"/>
    <mergeCell ref="B10:B11"/>
    <mergeCell ref="C10:C11"/>
    <mergeCell ref="D10:D11"/>
    <mergeCell ref="E10:E11"/>
    <mergeCell ref="G10:K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X91"/>
  <sheetViews>
    <sheetView zoomScale="85" zoomScaleNormal="85" workbookViewId="0">
      <selection activeCell="B42" sqref="B42"/>
    </sheetView>
  </sheetViews>
  <sheetFormatPr defaultColWidth="9" defaultRowHeight="11.25" x14ac:dyDescent="0.2"/>
  <cols>
    <col min="1" max="1" width="5" style="147" customWidth="1"/>
    <col min="2" max="2" width="40.140625" style="147" customWidth="1"/>
    <col min="3" max="3" width="5" style="147" customWidth="1"/>
    <col min="4" max="4" width="9" style="147"/>
    <col min="5" max="5" width="9" style="172"/>
    <col min="6" max="16384" width="9" style="147"/>
  </cols>
  <sheetData>
    <row r="1" spans="1:24" ht="22.5" x14ac:dyDescent="0.2">
      <c r="B1" s="43" t="s">
        <v>236</v>
      </c>
      <c r="C1" s="42" t="s">
        <v>237</v>
      </c>
      <c r="G1" s="42" t="s">
        <v>238</v>
      </c>
      <c r="I1" s="42" t="s">
        <v>239</v>
      </c>
      <c r="O1" s="42" t="s">
        <v>240</v>
      </c>
      <c r="P1" s="42" t="s">
        <v>241</v>
      </c>
      <c r="Q1" s="42" t="s">
        <v>241</v>
      </c>
      <c r="R1" s="42" t="s">
        <v>240</v>
      </c>
      <c r="S1" s="42" t="s">
        <v>242</v>
      </c>
      <c r="T1" s="44" t="s">
        <v>243</v>
      </c>
      <c r="U1" s="44" t="s">
        <v>244</v>
      </c>
      <c r="V1" s="44" t="s">
        <v>245</v>
      </c>
      <c r="W1" s="44" t="s">
        <v>246</v>
      </c>
    </row>
    <row r="2" spans="1:24" x14ac:dyDescent="0.2">
      <c r="A2" s="42"/>
      <c r="B2" s="43"/>
      <c r="C2" s="42" t="s">
        <v>247</v>
      </c>
      <c r="D2" s="42" t="s">
        <v>248</v>
      </c>
      <c r="E2" s="215" t="s">
        <v>249</v>
      </c>
      <c r="F2" s="42" t="s">
        <v>250</v>
      </c>
      <c r="G2" s="42" t="s">
        <v>74</v>
      </c>
      <c r="H2" s="42" t="s">
        <v>251</v>
      </c>
      <c r="I2" s="42" t="s">
        <v>252</v>
      </c>
      <c r="J2" s="42" t="str">
        <f>C2</f>
        <v>PVC</v>
      </c>
      <c r="K2" s="45" t="str">
        <f>D2</f>
        <v>koka</v>
      </c>
      <c r="L2" s="42" t="s">
        <v>47</v>
      </c>
      <c r="M2" s="42" t="s">
        <v>253</v>
      </c>
      <c r="N2" s="42" t="s">
        <v>254</v>
      </c>
      <c r="O2" s="46">
        <v>0.25</v>
      </c>
      <c r="P2" s="46">
        <v>0.15</v>
      </c>
      <c r="Q2" s="42"/>
      <c r="R2" s="42"/>
      <c r="S2" s="42"/>
      <c r="T2" s="44"/>
      <c r="U2" s="44"/>
      <c r="V2" s="44"/>
      <c r="W2" s="44"/>
      <c r="X2" s="42"/>
    </row>
    <row r="3" spans="1:24" x14ac:dyDescent="0.2">
      <c r="B3" s="43" t="s">
        <v>255</v>
      </c>
      <c r="C3" s="47">
        <f t="shared" ref="C3:C26" si="0">F3-D3</f>
        <v>13</v>
      </c>
      <c r="D3" s="46">
        <v>2</v>
      </c>
      <c r="E3" s="216">
        <v>2</v>
      </c>
      <c r="F3" s="46">
        <v>15</v>
      </c>
      <c r="G3" s="46">
        <v>1.1499999999999999</v>
      </c>
      <c r="H3" s="46">
        <v>1.5</v>
      </c>
      <c r="I3" s="42">
        <f t="shared" ref="I3:I26" si="1">G3*H3</f>
        <v>1.7249999999999999</v>
      </c>
      <c r="J3" s="42">
        <f t="shared" ref="J3:J26" si="2">I3*C3</f>
        <v>22.424999999999997</v>
      </c>
      <c r="K3" s="48">
        <f t="shared" ref="K3:K26" si="3">I3*D3</f>
        <v>3.4499999999999997</v>
      </c>
      <c r="L3" s="42">
        <f t="shared" ref="L3:L26" si="4">J3+K3</f>
        <v>25.874999999999996</v>
      </c>
      <c r="M3" s="42">
        <f t="shared" ref="M3:M18" si="5">(G3*2+H3*2)*F3</f>
        <v>79.5</v>
      </c>
      <c r="N3" s="42">
        <f t="shared" ref="N3:N17" si="6">(G3*2+H3*2)*D3</f>
        <v>10.6</v>
      </c>
      <c r="O3" s="42">
        <f t="shared" ref="O3:O26" si="7">M3*$O$2</f>
        <v>19.875</v>
      </c>
      <c r="P3" s="42">
        <f t="shared" ref="P3:P17" si="8">N3*$P$2</f>
        <v>1.5899999999999999</v>
      </c>
      <c r="Q3" s="42">
        <f t="shared" ref="Q3:Q19" si="9">G3*D3</f>
        <v>2.2999999999999998</v>
      </c>
      <c r="R3" s="42">
        <f t="shared" ref="R3:R17" si="10">F3*G3*1.05</f>
        <v>18.112500000000001</v>
      </c>
      <c r="S3" s="42">
        <f t="shared" ref="S3:S24" si="11">F3*(G3+2*H3)</f>
        <v>62.250000000000007</v>
      </c>
      <c r="T3" s="42">
        <f t="shared" ref="T3:T24" si="12">S3</f>
        <v>62.250000000000007</v>
      </c>
      <c r="U3" s="42">
        <f t="shared" ref="U3:U24" si="13">F3*G3</f>
        <v>17.25</v>
      </c>
      <c r="V3" s="42">
        <f t="shared" ref="V3:V24" si="14">U3</f>
        <v>17.25</v>
      </c>
      <c r="W3" s="44"/>
      <c r="X3" s="141"/>
    </row>
    <row r="4" spans="1:24" x14ac:dyDescent="0.2">
      <c r="B4" s="43"/>
      <c r="C4" s="47">
        <f t="shared" si="0"/>
        <v>13</v>
      </c>
      <c r="D4" s="46">
        <v>2</v>
      </c>
      <c r="E4" s="216">
        <v>2</v>
      </c>
      <c r="F4" s="46">
        <v>15</v>
      </c>
      <c r="G4" s="46">
        <v>0.7</v>
      </c>
      <c r="H4" s="46">
        <v>2.2999999999999998</v>
      </c>
      <c r="I4" s="42">
        <f t="shared" si="1"/>
        <v>1.6099999999999999</v>
      </c>
      <c r="J4" s="42">
        <f t="shared" si="2"/>
        <v>20.93</v>
      </c>
      <c r="K4" s="48">
        <f t="shared" si="3"/>
        <v>3.2199999999999998</v>
      </c>
      <c r="L4" s="42">
        <f t="shared" si="4"/>
        <v>24.15</v>
      </c>
      <c r="M4" s="42">
        <f t="shared" si="5"/>
        <v>90</v>
      </c>
      <c r="N4" s="42">
        <f t="shared" si="6"/>
        <v>12</v>
      </c>
      <c r="O4" s="42">
        <f t="shared" si="7"/>
        <v>22.5</v>
      </c>
      <c r="P4" s="42">
        <f t="shared" si="8"/>
        <v>1.7999999999999998</v>
      </c>
      <c r="Q4" s="42">
        <f t="shared" si="9"/>
        <v>1.4</v>
      </c>
      <c r="R4" s="42">
        <f t="shared" si="10"/>
        <v>11.025</v>
      </c>
      <c r="S4" s="42">
        <f t="shared" si="11"/>
        <v>79.5</v>
      </c>
      <c r="T4" s="42">
        <f t="shared" si="12"/>
        <v>79.5</v>
      </c>
      <c r="U4" s="42">
        <f t="shared" si="13"/>
        <v>10.5</v>
      </c>
      <c r="V4" s="42">
        <f t="shared" si="14"/>
        <v>10.5</v>
      </c>
      <c r="W4" s="44"/>
      <c r="X4" s="141"/>
    </row>
    <row r="5" spans="1:24" x14ac:dyDescent="0.2">
      <c r="B5" s="43" t="s">
        <v>256</v>
      </c>
      <c r="C5" s="47">
        <f t="shared" si="0"/>
        <v>22</v>
      </c>
      <c r="D5" s="46">
        <v>8</v>
      </c>
      <c r="E5" s="216">
        <v>8</v>
      </c>
      <c r="F5" s="46">
        <v>30</v>
      </c>
      <c r="G5" s="46">
        <v>1.1499999999999999</v>
      </c>
      <c r="H5" s="46">
        <v>1.5</v>
      </c>
      <c r="I5" s="42">
        <f t="shared" si="1"/>
        <v>1.7249999999999999</v>
      </c>
      <c r="J5" s="42">
        <f t="shared" si="2"/>
        <v>37.949999999999996</v>
      </c>
      <c r="K5" s="48">
        <f t="shared" si="3"/>
        <v>13.799999999999999</v>
      </c>
      <c r="L5" s="42">
        <f t="shared" si="4"/>
        <v>51.749999999999993</v>
      </c>
      <c r="M5" s="42">
        <f t="shared" si="5"/>
        <v>159</v>
      </c>
      <c r="N5" s="42">
        <f t="shared" si="6"/>
        <v>42.4</v>
      </c>
      <c r="O5" s="42">
        <f t="shared" si="7"/>
        <v>39.75</v>
      </c>
      <c r="P5" s="42">
        <f t="shared" si="8"/>
        <v>6.3599999999999994</v>
      </c>
      <c r="Q5" s="42">
        <f t="shared" si="9"/>
        <v>9.1999999999999993</v>
      </c>
      <c r="R5" s="42">
        <f t="shared" si="10"/>
        <v>36.225000000000001</v>
      </c>
      <c r="S5" s="42">
        <f t="shared" si="11"/>
        <v>124.50000000000001</v>
      </c>
      <c r="T5" s="42">
        <f t="shared" si="12"/>
        <v>124.50000000000001</v>
      </c>
      <c r="U5" s="42">
        <f t="shared" si="13"/>
        <v>34.5</v>
      </c>
      <c r="V5" s="42">
        <f t="shared" si="14"/>
        <v>34.5</v>
      </c>
      <c r="W5" s="44"/>
      <c r="X5" s="141"/>
    </row>
    <row r="6" spans="1:24" x14ac:dyDescent="0.2">
      <c r="B6" s="43"/>
      <c r="C6" s="47">
        <f t="shared" si="0"/>
        <v>22</v>
      </c>
      <c r="D6" s="46">
        <v>8</v>
      </c>
      <c r="E6" s="216">
        <v>8</v>
      </c>
      <c r="F6" s="46">
        <v>30</v>
      </c>
      <c r="G6" s="46">
        <v>0.7</v>
      </c>
      <c r="H6" s="46">
        <v>2.2999999999999998</v>
      </c>
      <c r="I6" s="42">
        <f t="shared" si="1"/>
        <v>1.6099999999999999</v>
      </c>
      <c r="J6" s="42">
        <f t="shared" si="2"/>
        <v>35.419999999999995</v>
      </c>
      <c r="K6" s="48">
        <f t="shared" si="3"/>
        <v>12.879999999999999</v>
      </c>
      <c r="L6" s="42">
        <f t="shared" si="4"/>
        <v>48.3</v>
      </c>
      <c r="M6" s="42">
        <f t="shared" si="5"/>
        <v>180</v>
      </c>
      <c r="N6" s="42">
        <f t="shared" si="6"/>
        <v>48</v>
      </c>
      <c r="O6" s="42">
        <f t="shared" si="7"/>
        <v>45</v>
      </c>
      <c r="P6" s="42">
        <f t="shared" si="8"/>
        <v>7.1999999999999993</v>
      </c>
      <c r="Q6" s="42">
        <f t="shared" si="9"/>
        <v>5.6</v>
      </c>
      <c r="R6" s="42">
        <f t="shared" si="10"/>
        <v>22.05</v>
      </c>
      <c r="S6" s="42">
        <f t="shared" si="11"/>
        <v>159</v>
      </c>
      <c r="T6" s="42">
        <f t="shared" si="12"/>
        <v>159</v>
      </c>
      <c r="U6" s="42">
        <f t="shared" si="13"/>
        <v>21</v>
      </c>
      <c r="V6" s="42">
        <f t="shared" si="14"/>
        <v>21</v>
      </c>
      <c r="W6" s="44"/>
      <c r="X6" s="141"/>
    </row>
    <row r="7" spans="1:24" x14ac:dyDescent="0.2">
      <c r="B7" s="43" t="s">
        <v>257</v>
      </c>
      <c r="C7" s="47">
        <f t="shared" si="0"/>
        <v>4</v>
      </c>
      <c r="D7" s="46">
        <v>1</v>
      </c>
      <c r="E7" s="216">
        <v>1</v>
      </c>
      <c r="F7" s="46">
        <v>5</v>
      </c>
      <c r="G7" s="46">
        <v>1.94</v>
      </c>
      <c r="H7" s="46">
        <v>1.45</v>
      </c>
      <c r="I7" s="42">
        <f t="shared" si="1"/>
        <v>2.8129999999999997</v>
      </c>
      <c r="J7" s="42">
        <f t="shared" si="2"/>
        <v>11.251999999999999</v>
      </c>
      <c r="K7" s="48">
        <f t="shared" si="3"/>
        <v>2.8129999999999997</v>
      </c>
      <c r="L7" s="42">
        <f t="shared" si="4"/>
        <v>14.064999999999998</v>
      </c>
      <c r="M7" s="42">
        <f t="shared" si="5"/>
        <v>33.9</v>
      </c>
      <c r="N7" s="42">
        <f t="shared" si="6"/>
        <v>6.7799999999999994</v>
      </c>
      <c r="O7" s="42">
        <f t="shared" si="7"/>
        <v>8.4749999999999996</v>
      </c>
      <c r="P7" s="42">
        <f t="shared" si="8"/>
        <v>1.0169999999999999</v>
      </c>
      <c r="Q7" s="42">
        <f t="shared" si="9"/>
        <v>1.94</v>
      </c>
      <c r="R7" s="42">
        <f t="shared" si="10"/>
        <v>10.185</v>
      </c>
      <c r="S7" s="42">
        <f t="shared" si="11"/>
        <v>24.2</v>
      </c>
      <c r="T7" s="42">
        <f t="shared" si="12"/>
        <v>24.2</v>
      </c>
      <c r="U7" s="42">
        <f t="shared" si="13"/>
        <v>9.6999999999999993</v>
      </c>
      <c r="V7" s="42">
        <f t="shared" si="14"/>
        <v>9.6999999999999993</v>
      </c>
      <c r="W7" s="44"/>
      <c r="X7" s="141"/>
    </row>
    <row r="8" spans="1:24" x14ac:dyDescent="0.2">
      <c r="B8" s="43" t="s">
        <v>258</v>
      </c>
      <c r="C8" s="47">
        <f t="shared" si="0"/>
        <v>4</v>
      </c>
      <c r="D8" s="46">
        <v>1</v>
      </c>
      <c r="E8" s="216">
        <v>1</v>
      </c>
      <c r="F8" s="46">
        <v>5</v>
      </c>
      <c r="G8" s="46">
        <v>1.64</v>
      </c>
      <c r="H8" s="46">
        <v>1.45</v>
      </c>
      <c r="I8" s="42">
        <f t="shared" si="1"/>
        <v>2.3779999999999997</v>
      </c>
      <c r="J8" s="42">
        <f t="shared" si="2"/>
        <v>9.5119999999999987</v>
      </c>
      <c r="K8" s="48">
        <f t="shared" si="3"/>
        <v>2.3779999999999997</v>
      </c>
      <c r="L8" s="42">
        <f t="shared" si="4"/>
        <v>11.889999999999999</v>
      </c>
      <c r="M8" s="42">
        <f t="shared" si="5"/>
        <v>30.9</v>
      </c>
      <c r="N8" s="42">
        <f t="shared" si="6"/>
        <v>6.18</v>
      </c>
      <c r="O8" s="42">
        <f t="shared" si="7"/>
        <v>7.7249999999999996</v>
      </c>
      <c r="P8" s="42">
        <f t="shared" si="8"/>
        <v>0.92699999999999994</v>
      </c>
      <c r="Q8" s="42">
        <f t="shared" si="9"/>
        <v>1.64</v>
      </c>
      <c r="R8" s="42">
        <f t="shared" si="10"/>
        <v>8.61</v>
      </c>
      <c r="S8" s="42">
        <f t="shared" si="11"/>
        <v>22.7</v>
      </c>
      <c r="T8" s="42">
        <f t="shared" si="12"/>
        <v>22.7</v>
      </c>
      <c r="U8" s="42">
        <f t="shared" si="13"/>
        <v>8.1999999999999993</v>
      </c>
      <c r="V8" s="42">
        <f t="shared" si="14"/>
        <v>8.1999999999999993</v>
      </c>
      <c r="W8" s="44"/>
      <c r="X8" s="141"/>
    </row>
    <row r="9" spans="1:24" x14ac:dyDescent="0.2">
      <c r="B9" s="43" t="s">
        <v>259</v>
      </c>
      <c r="C9" s="47">
        <f t="shared" si="0"/>
        <v>29</v>
      </c>
      <c r="D9" s="46">
        <v>13</v>
      </c>
      <c r="E9" s="216">
        <v>13</v>
      </c>
      <c r="F9" s="46">
        <v>42</v>
      </c>
      <c r="G9" s="46">
        <v>1.2150000000000001</v>
      </c>
      <c r="H9" s="46">
        <v>1.5</v>
      </c>
      <c r="I9" s="42">
        <f t="shared" si="1"/>
        <v>1.8225000000000002</v>
      </c>
      <c r="J9" s="42">
        <f t="shared" si="2"/>
        <v>52.852500000000006</v>
      </c>
      <c r="K9" s="48">
        <f t="shared" si="3"/>
        <v>23.692500000000003</v>
      </c>
      <c r="L9" s="42">
        <f t="shared" si="4"/>
        <v>76.545000000000016</v>
      </c>
      <c r="M9" s="42">
        <f t="shared" si="5"/>
        <v>228.06</v>
      </c>
      <c r="N9" s="42">
        <f t="shared" si="6"/>
        <v>70.59</v>
      </c>
      <c r="O9" s="42">
        <f t="shared" si="7"/>
        <v>57.015000000000001</v>
      </c>
      <c r="P9" s="42">
        <f t="shared" si="8"/>
        <v>10.5885</v>
      </c>
      <c r="Q9" s="42">
        <f t="shared" si="9"/>
        <v>15.795000000000002</v>
      </c>
      <c r="R9" s="42">
        <f t="shared" si="10"/>
        <v>53.581500000000005</v>
      </c>
      <c r="S9" s="42">
        <f t="shared" si="11"/>
        <v>177.03</v>
      </c>
      <c r="T9" s="42">
        <f t="shared" si="12"/>
        <v>177.03</v>
      </c>
      <c r="U9" s="42">
        <f t="shared" si="13"/>
        <v>51.03</v>
      </c>
      <c r="V9" s="42">
        <f t="shared" si="14"/>
        <v>51.03</v>
      </c>
      <c r="W9" s="44"/>
      <c r="X9" s="141"/>
    </row>
    <row r="10" spans="1:24" x14ac:dyDescent="0.2">
      <c r="B10" s="43" t="s">
        <v>260</v>
      </c>
      <c r="C10" s="47">
        <f t="shared" si="0"/>
        <v>3</v>
      </c>
      <c r="D10" s="46">
        <v>2</v>
      </c>
      <c r="E10" s="216">
        <v>2</v>
      </c>
      <c r="F10" s="46">
        <v>5</v>
      </c>
      <c r="G10" s="46">
        <v>2.2400000000000002</v>
      </c>
      <c r="H10" s="46">
        <v>1.45</v>
      </c>
      <c r="I10" s="42">
        <f t="shared" si="1"/>
        <v>3.2480000000000002</v>
      </c>
      <c r="J10" s="42">
        <f t="shared" si="2"/>
        <v>9.7439999999999998</v>
      </c>
      <c r="K10" s="48">
        <f t="shared" si="3"/>
        <v>6.4960000000000004</v>
      </c>
      <c r="L10" s="42">
        <f t="shared" si="4"/>
        <v>16.240000000000002</v>
      </c>
      <c r="M10" s="42">
        <f t="shared" si="5"/>
        <v>36.900000000000006</v>
      </c>
      <c r="N10" s="42">
        <f t="shared" si="6"/>
        <v>14.760000000000002</v>
      </c>
      <c r="O10" s="42">
        <f t="shared" si="7"/>
        <v>9.2250000000000014</v>
      </c>
      <c r="P10" s="42">
        <f t="shared" si="8"/>
        <v>2.214</v>
      </c>
      <c r="Q10" s="42">
        <f t="shared" si="9"/>
        <v>4.4800000000000004</v>
      </c>
      <c r="R10" s="42">
        <f t="shared" si="10"/>
        <v>11.760000000000002</v>
      </c>
      <c r="S10" s="42">
        <f t="shared" si="11"/>
        <v>25.700000000000003</v>
      </c>
      <c r="T10" s="42">
        <f t="shared" si="12"/>
        <v>25.700000000000003</v>
      </c>
      <c r="U10" s="42">
        <f t="shared" si="13"/>
        <v>11.200000000000001</v>
      </c>
      <c r="V10" s="42">
        <f t="shared" si="14"/>
        <v>11.200000000000001</v>
      </c>
      <c r="W10" s="44"/>
      <c r="X10" s="141"/>
    </row>
    <row r="11" spans="1:24" x14ac:dyDescent="0.2">
      <c r="B11" s="43" t="s">
        <v>261</v>
      </c>
      <c r="C11" s="47">
        <f t="shared" si="0"/>
        <v>11</v>
      </c>
      <c r="D11" s="46">
        <v>4</v>
      </c>
      <c r="E11" s="216">
        <v>4</v>
      </c>
      <c r="F11" s="46">
        <v>15</v>
      </c>
      <c r="G11" s="46">
        <v>1.79</v>
      </c>
      <c r="H11" s="46">
        <v>1.5</v>
      </c>
      <c r="I11" s="42">
        <f t="shared" si="1"/>
        <v>2.6850000000000001</v>
      </c>
      <c r="J11" s="42">
        <f t="shared" si="2"/>
        <v>29.535</v>
      </c>
      <c r="K11" s="48">
        <f t="shared" si="3"/>
        <v>10.74</v>
      </c>
      <c r="L11" s="42">
        <f t="shared" si="4"/>
        <v>40.274999999999999</v>
      </c>
      <c r="M11" s="42">
        <f t="shared" si="5"/>
        <v>98.7</v>
      </c>
      <c r="N11" s="42">
        <f t="shared" si="6"/>
        <v>26.32</v>
      </c>
      <c r="O11" s="42">
        <f t="shared" si="7"/>
        <v>24.675000000000001</v>
      </c>
      <c r="P11" s="42">
        <f t="shared" si="8"/>
        <v>3.948</v>
      </c>
      <c r="Q11" s="42">
        <f t="shared" si="9"/>
        <v>7.16</v>
      </c>
      <c r="R11" s="42">
        <f t="shared" si="10"/>
        <v>28.192500000000003</v>
      </c>
      <c r="S11" s="42">
        <f t="shared" si="11"/>
        <v>71.849999999999994</v>
      </c>
      <c r="T11" s="42">
        <f t="shared" si="12"/>
        <v>71.849999999999994</v>
      </c>
      <c r="U11" s="42">
        <f t="shared" si="13"/>
        <v>26.85</v>
      </c>
      <c r="V11" s="42">
        <f t="shared" si="14"/>
        <v>26.85</v>
      </c>
      <c r="W11" s="44"/>
      <c r="X11" s="141"/>
    </row>
    <row r="12" spans="1:24" x14ac:dyDescent="0.2">
      <c r="B12" s="43"/>
      <c r="C12" s="47">
        <f t="shared" si="0"/>
        <v>11</v>
      </c>
      <c r="D12" s="46">
        <v>4</v>
      </c>
      <c r="E12" s="216">
        <v>4</v>
      </c>
      <c r="F12" s="46">
        <v>15</v>
      </c>
      <c r="G12" s="46">
        <v>0.7</v>
      </c>
      <c r="H12" s="46">
        <v>2.2999999999999998</v>
      </c>
      <c r="I12" s="42">
        <f t="shared" si="1"/>
        <v>1.6099999999999999</v>
      </c>
      <c r="J12" s="42">
        <f t="shared" si="2"/>
        <v>17.709999999999997</v>
      </c>
      <c r="K12" s="48">
        <f t="shared" si="3"/>
        <v>6.4399999999999995</v>
      </c>
      <c r="L12" s="42">
        <f t="shared" si="4"/>
        <v>24.15</v>
      </c>
      <c r="M12" s="42">
        <f t="shared" si="5"/>
        <v>90</v>
      </c>
      <c r="N12" s="42">
        <f t="shared" si="6"/>
        <v>24</v>
      </c>
      <c r="O12" s="42">
        <f t="shared" si="7"/>
        <v>22.5</v>
      </c>
      <c r="P12" s="42">
        <f t="shared" si="8"/>
        <v>3.5999999999999996</v>
      </c>
      <c r="Q12" s="42">
        <f t="shared" si="9"/>
        <v>2.8</v>
      </c>
      <c r="R12" s="42">
        <f t="shared" si="10"/>
        <v>11.025</v>
      </c>
      <c r="S12" s="42">
        <f t="shared" si="11"/>
        <v>79.5</v>
      </c>
      <c r="T12" s="42">
        <f t="shared" si="12"/>
        <v>79.5</v>
      </c>
      <c r="U12" s="42">
        <f t="shared" si="13"/>
        <v>10.5</v>
      </c>
      <c r="V12" s="42">
        <f t="shared" si="14"/>
        <v>10.5</v>
      </c>
      <c r="W12" s="44"/>
      <c r="X12" s="141"/>
    </row>
    <row r="13" spans="1:24" x14ac:dyDescent="0.2">
      <c r="B13" s="43" t="s">
        <v>262</v>
      </c>
      <c r="C13" s="47">
        <f t="shared" si="0"/>
        <v>9</v>
      </c>
      <c r="D13" s="46">
        <v>6</v>
      </c>
      <c r="E13" s="216">
        <v>6</v>
      </c>
      <c r="F13" s="46">
        <v>15</v>
      </c>
      <c r="G13" s="46">
        <v>1.79</v>
      </c>
      <c r="H13" s="46">
        <v>1.5</v>
      </c>
      <c r="I13" s="42">
        <f t="shared" si="1"/>
        <v>2.6850000000000001</v>
      </c>
      <c r="J13" s="42">
        <f t="shared" si="2"/>
        <v>24.164999999999999</v>
      </c>
      <c r="K13" s="48">
        <f t="shared" si="3"/>
        <v>16.11</v>
      </c>
      <c r="L13" s="42">
        <f t="shared" si="4"/>
        <v>40.274999999999999</v>
      </c>
      <c r="M13" s="42">
        <f t="shared" si="5"/>
        <v>98.7</v>
      </c>
      <c r="N13" s="42">
        <f t="shared" si="6"/>
        <v>39.480000000000004</v>
      </c>
      <c r="O13" s="42">
        <f t="shared" si="7"/>
        <v>24.675000000000001</v>
      </c>
      <c r="P13" s="42">
        <f t="shared" si="8"/>
        <v>5.9220000000000006</v>
      </c>
      <c r="Q13" s="42">
        <f t="shared" si="9"/>
        <v>10.74</v>
      </c>
      <c r="R13" s="42">
        <f t="shared" si="10"/>
        <v>28.192500000000003</v>
      </c>
      <c r="S13" s="42">
        <f t="shared" si="11"/>
        <v>71.849999999999994</v>
      </c>
      <c r="T13" s="42">
        <f t="shared" si="12"/>
        <v>71.849999999999994</v>
      </c>
      <c r="U13" s="42">
        <f t="shared" si="13"/>
        <v>26.85</v>
      </c>
      <c r="V13" s="42">
        <f t="shared" si="14"/>
        <v>26.85</v>
      </c>
      <c r="W13" s="44"/>
      <c r="X13" s="141"/>
    </row>
    <row r="14" spans="1:24" x14ac:dyDescent="0.2">
      <c r="B14" s="43"/>
      <c r="C14" s="47">
        <f t="shared" si="0"/>
        <v>9</v>
      </c>
      <c r="D14" s="46">
        <v>6</v>
      </c>
      <c r="E14" s="216">
        <v>6</v>
      </c>
      <c r="F14" s="46">
        <v>15</v>
      </c>
      <c r="G14" s="46">
        <v>0.7</v>
      </c>
      <c r="H14" s="46">
        <v>2.2999999999999998</v>
      </c>
      <c r="I14" s="42">
        <f t="shared" si="1"/>
        <v>1.6099999999999999</v>
      </c>
      <c r="J14" s="42">
        <f t="shared" si="2"/>
        <v>14.489999999999998</v>
      </c>
      <c r="K14" s="48">
        <f t="shared" si="3"/>
        <v>9.66</v>
      </c>
      <c r="L14" s="42">
        <f t="shared" si="4"/>
        <v>24.15</v>
      </c>
      <c r="M14" s="42">
        <f t="shared" si="5"/>
        <v>90</v>
      </c>
      <c r="N14" s="42">
        <f t="shared" si="6"/>
        <v>36</v>
      </c>
      <c r="O14" s="42">
        <f t="shared" si="7"/>
        <v>22.5</v>
      </c>
      <c r="P14" s="42">
        <f t="shared" si="8"/>
        <v>5.3999999999999995</v>
      </c>
      <c r="Q14" s="42">
        <f t="shared" si="9"/>
        <v>4.1999999999999993</v>
      </c>
      <c r="R14" s="42">
        <f t="shared" si="10"/>
        <v>11.025</v>
      </c>
      <c r="S14" s="42">
        <f t="shared" si="11"/>
        <v>79.5</v>
      </c>
      <c r="T14" s="42">
        <f t="shared" si="12"/>
        <v>79.5</v>
      </c>
      <c r="U14" s="42">
        <f t="shared" si="13"/>
        <v>10.5</v>
      </c>
      <c r="V14" s="42">
        <f t="shared" si="14"/>
        <v>10.5</v>
      </c>
      <c r="W14" s="44"/>
      <c r="X14" s="141"/>
    </row>
    <row r="15" spans="1:24" x14ac:dyDescent="0.2">
      <c r="B15" s="43" t="s">
        <v>263</v>
      </c>
      <c r="C15" s="47">
        <f t="shared" si="0"/>
        <v>0</v>
      </c>
      <c r="D15" s="46">
        <v>27</v>
      </c>
      <c r="E15" s="216">
        <v>27</v>
      </c>
      <c r="F15" s="46">
        <v>27</v>
      </c>
      <c r="G15" s="46">
        <v>1.58</v>
      </c>
      <c r="H15" s="46">
        <v>0.5</v>
      </c>
      <c r="I15" s="42">
        <f t="shared" si="1"/>
        <v>0.79</v>
      </c>
      <c r="J15" s="42">
        <f t="shared" si="2"/>
        <v>0</v>
      </c>
      <c r="K15" s="48">
        <f t="shared" si="3"/>
        <v>21.330000000000002</v>
      </c>
      <c r="L15" s="42">
        <f t="shared" si="4"/>
        <v>21.330000000000002</v>
      </c>
      <c r="M15" s="42">
        <f t="shared" si="5"/>
        <v>112.32000000000001</v>
      </c>
      <c r="N15" s="42">
        <f t="shared" si="6"/>
        <v>112.32000000000001</v>
      </c>
      <c r="O15" s="42">
        <f t="shared" si="7"/>
        <v>28.080000000000002</v>
      </c>
      <c r="P15" s="42">
        <f t="shared" si="8"/>
        <v>16.847999999999999</v>
      </c>
      <c r="Q15" s="42">
        <f t="shared" si="9"/>
        <v>42.660000000000004</v>
      </c>
      <c r="R15" s="42">
        <f t="shared" si="10"/>
        <v>44.793000000000006</v>
      </c>
      <c r="S15" s="42">
        <f t="shared" si="11"/>
        <v>69.66</v>
      </c>
      <c r="T15" s="42">
        <f t="shared" si="12"/>
        <v>69.66</v>
      </c>
      <c r="U15" s="42">
        <f t="shared" si="13"/>
        <v>42.660000000000004</v>
      </c>
      <c r="V15" s="42">
        <f t="shared" si="14"/>
        <v>42.660000000000004</v>
      </c>
      <c r="W15" s="44"/>
      <c r="X15" s="141"/>
    </row>
    <row r="16" spans="1:24" x14ac:dyDescent="0.2">
      <c r="B16" s="43" t="s">
        <v>264</v>
      </c>
      <c r="C16" s="47">
        <f t="shared" si="0"/>
        <v>0</v>
      </c>
      <c r="D16" s="46">
        <v>12</v>
      </c>
      <c r="E16" s="216"/>
      <c r="F16" s="46">
        <v>12</v>
      </c>
      <c r="G16" s="46">
        <v>2.65</v>
      </c>
      <c r="H16" s="46">
        <v>0.65</v>
      </c>
      <c r="I16" s="42">
        <f t="shared" si="1"/>
        <v>1.7224999999999999</v>
      </c>
      <c r="J16" s="42">
        <f t="shared" si="2"/>
        <v>0</v>
      </c>
      <c r="K16" s="48">
        <f t="shared" si="3"/>
        <v>20.669999999999998</v>
      </c>
      <c r="L16" s="42">
        <f t="shared" si="4"/>
        <v>20.669999999999998</v>
      </c>
      <c r="M16" s="42">
        <f t="shared" si="5"/>
        <v>79.199999999999989</v>
      </c>
      <c r="N16" s="42">
        <f t="shared" si="6"/>
        <v>79.199999999999989</v>
      </c>
      <c r="O16" s="42">
        <f t="shared" si="7"/>
        <v>19.799999999999997</v>
      </c>
      <c r="P16" s="42">
        <f t="shared" si="8"/>
        <v>11.879999999999997</v>
      </c>
      <c r="Q16" s="42">
        <f t="shared" si="9"/>
        <v>31.799999999999997</v>
      </c>
      <c r="R16" s="42">
        <f t="shared" si="10"/>
        <v>33.39</v>
      </c>
      <c r="S16" s="42">
        <f t="shared" si="11"/>
        <v>47.400000000000006</v>
      </c>
      <c r="T16" s="42">
        <f t="shared" si="12"/>
        <v>47.400000000000006</v>
      </c>
      <c r="U16" s="42">
        <f t="shared" si="13"/>
        <v>31.799999999999997</v>
      </c>
      <c r="V16" s="42">
        <f t="shared" si="14"/>
        <v>31.799999999999997</v>
      </c>
      <c r="W16" s="44"/>
      <c r="X16" s="141"/>
    </row>
    <row r="17" spans="1:24" x14ac:dyDescent="0.2">
      <c r="B17" s="43" t="s">
        <v>265</v>
      </c>
      <c r="C17" s="47">
        <f t="shared" si="0"/>
        <v>0</v>
      </c>
      <c r="D17" s="46">
        <v>6</v>
      </c>
      <c r="E17" s="216"/>
      <c r="F17" s="46">
        <v>6</v>
      </c>
      <c r="G17" s="46">
        <v>1.58</v>
      </c>
      <c r="H17" s="46">
        <v>0.65</v>
      </c>
      <c r="I17" s="42">
        <f t="shared" si="1"/>
        <v>1.0270000000000001</v>
      </c>
      <c r="J17" s="42">
        <f t="shared" si="2"/>
        <v>0</v>
      </c>
      <c r="K17" s="48">
        <f t="shared" si="3"/>
        <v>6.1620000000000008</v>
      </c>
      <c r="L17" s="42">
        <f t="shared" si="4"/>
        <v>6.1620000000000008</v>
      </c>
      <c r="M17" s="42">
        <f t="shared" si="5"/>
        <v>26.759999999999998</v>
      </c>
      <c r="N17" s="42">
        <f t="shared" si="6"/>
        <v>26.759999999999998</v>
      </c>
      <c r="O17" s="42">
        <f t="shared" si="7"/>
        <v>6.6899999999999995</v>
      </c>
      <c r="P17" s="42">
        <f t="shared" si="8"/>
        <v>4.0139999999999993</v>
      </c>
      <c r="Q17" s="42">
        <f t="shared" si="9"/>
        <v>9.48</v>
      </c>
      <c r="R17" s="42">
        <f t="shared" si="10"/>
        <v>9.9540000000000006</v>
      </c>
      <c r="S17" s="42">
        <f t="shared" si="11"/>
        <v>17.28</v>
      </c>
      <c r="T17" s="42">
        <f t="shared" si="12"/>
        <v>17.28</v>
      </c>
      <c r="U17" s="42">
        <f t="shared" si="13"/>
        <v>9.48</v>
      </c>
      <c r="V17" s="42">
        <f t="shared" si="14"/>
        <v>9.48</v>
      </c>
      <c r="W17" s="44"/>
      <c r="X17" s="141"/>
    </row>
    <row r="18" spans="1:24" x14ac:dyDescent="0.2">
      <c r="B18" s="43" t="s">
        <v>266</v>
      </c>
      <c r="C18" s="47">
        <f t="shared" si="0"/>
        <v>10</v>
      </c>
      <c r="D18" s="46">
        <v>19</v>
      </c>
      <c r="E18" s="216"/>
      <c r="F18" s="46">
        <v>29</v>
      </c>
      <c r="G18" s="46">
        <v>3</v>
      </c>
      <c r="H18" s="46">
        <v>1.5</v>
      </c>
      <c r="I18" s="42">
        <f t="shared" si="1"/>
        <v>4.5</v>
      </c>
      <c r="J18" s="42">
        <f t="shared" si="2"/>
        <v>45</v>
      </c>
      <c r="K18" s="48">
        <f t="shared" si="3"/>
        <v>85.5</v>
      </c>
      <c r="L18" s="42">
        <f t="shared" si="4"/>
        <v>130.5</v>
      </c>
      <c r="M18" s="42">
        <f t="shared" si="5"/>
        <v>261</v>
      </c>
      <c r="N18" s="42">
        <f>(G18+H18*2)*D18</f>
        <v>114</v>
      </c>
      <c r="O18" s="42">
        <f t="shared" si="7"/>
        <v>65.25</v>
      </c>
      <c r="P18" s="42">
        <v>0</v>
      </c>
      <c r="Q18" s="42">
        <f t="shared" si="9"/>
        <v>57</v>
      </c>
      <c r="R18" s="42">
        <v>0</v>
      </c>
      <c r="S18" s="42">
        <f t="shared" si="11"/>
        <v>174</v>
      </c>
      <c r="T18" s="42">
        <f t="shared" si="12"/>
        <v>174</v>
      </c>
      <c r="U18" s="42">
        <f t="shared" si="13"/>
        <v>87</v>
      </c>
      <c r="V18" s="42">
        <f t="shared" si="14"/>
        <v>87</v>
      </c>
      <c r="W18" s="44"/>
      <c r="X18" s="141"/>
    </row>
    <row r="19" spans="1:24" x14ac:dyDescent="0.2">
      <c r="B19" s="43" t="s">
        <v>267</v>
      </c>
      <c r="C19" s="47">
        <f t="shared" si="0"/>
        <v>14</v>
      </c>
      <c r="D19" s="46">
        <v>30</v>
      </c>
      <c r="E19" s="216"/>
      <c r="F19" s="46">
        <v>44</v>
      </c>
      <c r="G19" s="46">
        <v>6</v>
      </c>
      <c r="H19" s="46">
        <v>1.5</v>
      </c>
      <c r="I19" s="42">
        <f t="shared" si="1"/>
        <v>9</v>
      </c>
      <c r="J19" s="42">
        <f t="shared" si="2"/>
        <v>126</v>
      </c>
      <c r="K19" s="48">
        <f t="shared" si="3"/>
        <v>270</v>
      </c>
      <c r="L19" s="42">
        <f t="shared" si="4"/>
        <v>396</v>
      </c>
      <c r="M19" s="42">
        <f>(G19+H19*2)*F19</f>
        <v>396</v>
      </c>
      <c r="N19" s="42">
        <f>(G19+H19*2)*D19</f>
        <v>270</v>
      </c>
      <c r="O19" s="42">
        <f t="shared" si="7"/>
        <v>99</v>
      </c>
      <c r="P19" s="42">
        <v>0</v>
      </c>
      <c r="Q19" s="42">
        <f t="shared" si="9"/>
        <v>180</v>
      </c>
      <c r="R19" s="42">
        <v>0</v>
      </c>
      <c r="S19" s="42">
        <f t="shared" si="11"/>
        <v>396</v>
      </c>
      <c r="T19" s="42">
        <f t="shared" si="12"/>
        <v>396</v>
      </c>
      <c r="U19" s="42">
        <f t="shared" si="13"/>
        <v>264</v>
      </c>
      <c r="V19" s="42">
        <f t="shared" si="14"/>
        <v>264</v>
      </c>
      <c r="W19" s="44"/>
      <c r="X19" s="141"/>
    </row>
    <row r="20" spans="1:24" x14ac:dyDescent="0.2">
      <c r="B20" s="43" t="s">
        <v>268</v>
      </c>
      <c r="C20" s="47">
        <f t="shared" si="0"/>
        <v>0</v>
      </c>
      <c r="D20" s="46">
        <v>117</v>
      </c>
      <c r="E20" s="216"/>
      <c r="F20" s="46">
        <v>117</v>
      </c>
      <c r="G20" s="46">
        <v>3</v>
      </c>
      <c r="H20" s="46">
        <v>1.3</v>
      </c>
      <c r="I20" s="42">
        <f t="shared" si="1"/>
        <v>3.9000000000000004</v>
      </c>
      <c r="J20" s="42">
        <f t="shared" si="2"/>
        <v>0</v>
      </c>
      <c r="K20" s="48">
        <f t="shared" si="3"/>
        <v>456.30000000000007</v>
      </c>
      <c r="L20" s="42">
        <f t="shared" si="4"/>
        <v>456.30000000000007</v>
      </c>
      <c r="M20" s="42">
        <f>(G20+H20*2)*F20</f>
        <v>655.19999999999993</v>
      </c>
      <c r="N20" s="42">
        <f>(G20+H20*2)*D20</f>
        <v>655.19999999999993</v>
      </c>
      <c r="O20" s="42">
        <f t="shared" si="7"/>
        <v>163.79999999999998</v>
      </c>
      <c r="P20" s="42">
        <v>0</v>
      </c>
      <c r="Q20" s="42">
        <v>0</v>
      </c>
      <c r="R20" s="42">
        <v>0</v>
      </c>
      <c r="S20" s="42">
        <f t="shared" si="11"/>
        <v>655.19999999999993</v>
      </c>
      <c r="T20" s="42">
        <f t="shared" si="12"/>
        <v>655.19999999999993</v>
      </c>
      <c r="U20" s="42">
        <f t="shared" si="13"/>
        <v>351</v>
      </c>
      <c r="V20" s="42">
        <f t="shared" si="14"/>
        <v>351</v>
      </c>
      <c r="W20" s="44"/>
      <c r="X20" s="141"/>
    </row>
    <row r="21" spans="1:24" x14ac:dyDescent="0.2">
      <c r="B21" s="49" t="s">
        <v>269</v>
      </c>
      <c r="C21" s="50">
        <f t="shared" si="0"/>
        <v>0</v>
      </c>
      <c r="D21" s="51">
        <v>3</v>
      </c>
      <c r="E21" s="217"/>
      <c r="F21" s="51">
        <v>3</v>
      </c>
      <c r="G21" s="51">
        <v>2.56</v>
      </c>
      <c r="H21" s="51">
        <v>3.1</v>
      </c>
      <c r="I21" s="52">
        <f t="shared" si="1"/>
        <v>7.9360000000000008</v>
      </c>
      <c r="J21" s="52">
        <f t="shared" si="2"/>
        <v>0</v>
      </c>
      <c r="K21" s="45">
        <f t="shared" si="3"/>
        <v>23.808000000000003</v>
      </c>
      <c r="L21" s="52">
        <f t="shared" si="4"/>
        <v>23.808000000000003</v>
      </c>
      <c r="M21" s="52">
        <f t="shared" ref="M21:M26" si="15">(G21*2+H21*2)*F21</f>
        <v>33.96</v>
      </c>
      <c r="N21" s="52">
        <f t="shared" ref="N21:N26" si="16">(G21*2+H21*2)*D21</f>
        <v>33.96</v>
      </c>
      <c r="O21" s="52">
        <f t="shared" si="7"/>
        <v>8.49</v>
      </c>
      <c r="P21" s="52">
        <f t="shared" ref="P21:P26" si="17">N21*$P$2</f>
        <v>5.0940000000000003</v>
      </c>
      <c r="Q21" s="52">
        <v>0</v>
      </c>
      <c r="R21" s="52">
        <v>0</v>
      </c>
      <c r="S21" s="52">
        <f t="shared" si="11"/>
        <v>26.28</v>
      </c>
      <c r="T21" s="52">
        <f t="shared" si="12"/>
        <v>26.28</v>
      </c>
      <c r="U21" s="52">
        <f t="shared" si="13"/>
        <v>7.68</v>
      </c>
      <c r="V21" s="53">
        <f t="shared" si="14"/>
        <v>7.68</v>
      </c>
      <c r="W21" s="44"/>
      <c r="X21" s="141"/>
    </row>
    <row r="22" spans="1:24" x14ac:dyDescent="0.2">
      <c r="B22" s="54" t="s">
        <v>270</v>
      </c>
      <c r="C22" s="47">
        <f t="shared" si="0"/>
        <v>0</v>
      </c>
      <c r="D22" s="46">
        <v>3</v>
      </c>
      <c r="E22" s="216"/>
      <c r="F22" s="46">
        <v>3</v>
      </c>
      <c r="G22" s="46">
        <v>1.1000000000000001</v>
      </c>
      <c r="H22" s="46">
        <v>2.1</v>
      </c>
      <c r="I22" s="42">
        <f t="shared" si="1"/>
        <v>2.3100000000000005</v>
      </c>
      <c r="J22" s="42">
        <f t="shared" si="2"/>
        <v>0</v>
      </c>
      <c r="K22" s="48">
        <f t="shared" si="3"/>
        <v>6.9300000000000015</v>
      </c>
      <c r="L22" s="42">
        <f t="shared" si="4"/>
        <v>6.9300000000000015</v>
      </c>
      <c r="M22" s="42">
        <f t="shared" si="15"/>
        <v>19.200000000000003</v>
      </c>
      <c r="N22" s="42">
        <f t="shared" si="16"/>
        <v>19.200000000000003</v>
      </c>
      <c r="O22" s="42">
        <f t="shared" si="7"/>
        <v>4.8000000000000007</v>
      </c>
      <c r="P22" s="42">
        <f t="shared" si="17"/>
        <v>2.8800000000000003</v>
      </c>
      <c r="Q22" s="42">
        <v>0</v>
      </c>
      <c r="R22" s="42">
        <v>0</v>
      </c>
      <c r="S22" s="42">
        <f t="shared" si="11"/>
        <v>15.900000000000002</v>
      </c>
      <c r="T22" s="42">
        <f t="shared" si="12"/>
        <v>15.900000000000002</v>
      </c>
      <c r="U22" s="42">
        <f t="shared" si="13"/>
        <v>3.3000000000000003</v>
      </c>
      <c r="V22" s="55">
        <f t="shared" si="14"/>
        <v>3.3000000000000003</v>
      </c>
      <c r="W22" s="44"/>
      <c r="X22" s="141"/>
    </row>
    <row r="23" spans="1:24" x14ac:dyDescent="0.2">
      <c r="B23" s="54" t="s">
        <v>271</v>
      </c>
      <c r="C23" s="47">
        <f t="shared" si="0"/>
        <v>0</v>
      </c>
      <c r="D23" s="46">
        <v>3</v>
      </c>
      <c r="E23" s="216"/>
      <c r="F23" s="46">
        <v>3</v>
      </c>
      <c r="G23" s="46">
        <v>1.3</v>
      </c>
      <c r="H23" s="46">
        <v>2.1</v>
      </c>
      <c r="I23" s="42">
        <f t="shared" si="1"/>
        <v>2.7300000000000004</v>
      </c>
      <c r="J23" s="42">
        <f t="shared" si="2"/>
        <v>0</v>
      </c>
      <c r="K23" s="48">
        <f t="shared" si="3"/>
        <v>8.1900000000000013</v>
      </c>
      <c r="L23" s="42">
        <f t="shared" si="4"/>
        <v>8.1900000000000013</v>
      </c>
      <c r="M23" s="42">
        <f t="shared" si="15"/>
        <v>20.400000000000002</v>
      </c>
      <c r="N23" s="42">
        <f t="shared" si="16"/>
        <v>20.400000000000002</v>
      </c>
      <c r="O23" s="42">
        <f t="shared" si="7"/>
        <v>5.1000000000000005</v>
      </c>
      <c r="P23" s="42">
        <f t="shared" si="17"/>
        <v>3.06</v>
      </c>
      <c r="Q23" s="42">
        <v>0</v>
      </c>
      <c r="R23" s="42">
        <v>0</v>
      </c>
      <c r="S23" s="42">
        <f t="shared" si="11"/>
        <v>16.5</v>
      </c>
      <c r="T23" s="42">
        <f t="shared" si="12"/>
        <v>16.5</v>
      </c>
      <c r="U23" s="42">
        <f t="shared" si="13"/>
        <v>3.9000000000000004</v>
      </c>
      <c r="V23" s="55">
        <f t="shared" si="14"/>
        <v>3.9000000000000004</v>
      </c>
    </row>
    <row r="24" spans="1:24" x14ac:dyDescent="0.2">
      <c r="B24" s="54" t="s">
        <v>272</v>
      </c>
      <c r="C24" s="47">
        <f t="shared" si="0"/>
        <v>0</v>
      </c>
      <c r="D24" s="46">
        <v>3</v>
      </c>
      <c r="E24" s="216"/>
      <c r="F24" s="46">
        <v>3</v>
      </c>
      <c r="G24" s="46">
        <v>1</v>
      </c>
      <c r="H24" s="46">
        <v>2</v>
      </c>
      <c r="I24" s="42">
        <f t="shared" si="1"/>
        <v>2</v>
      </c>
      <c r="J24" s="42">
        <f t="shared" si="2"/>
        <v>0</v>
      </c>
      <c r="K24" s="48">
        <f t="shared" si="3"/>
        <v>6</v>
      </c>
      <c r="L24" s="42">
        <f t="shared" si="4"/>
        <v>6</v>
      </c>
      <c r="M24" s="42">
        <f t="shared" si="15"/>
        <v>18</v>
      </c>
      <c r="N24" s="42">
        <f t="shared" si="16"/>
        <v>18</v>
      </c>
      <c r="O24" s="42">
        <f t="shared" si="7"/>
        <v>4.5</v>
      </c>
      <c r="P24" s="42">
        <f t="shared" si="17"/>
        <v>2.6999999999999997</v>
      </c>
      <c r="Q24" s="42">
        <v>0</v>
      </c>
      <c r="R24" s="42">
        <v>0</v>
      </c>
      <c r="S24" s="42">
        <f t="shared" si="11"/>
        <v>15</v>
      </c>
      <c r="T24" s="42">
        <f t="shared" si="12"/>
        <v>15</v>
      </c>
      <c r="U24" s="42">
        <f t="shared" si="13"/>
        <v>3</v>
      </c>
      <c r="V24" s="55">
        <f t="shared" si="14"/>
        <v>3</v>
      </c>
    </row>
    <row r="25" spans="1:24" x14ac:dyDescent="0.2">
      <c r="B25" s="54" t="s">
        <v>273</v>
      </c>
      <c r="C25" s="47">
        <f t="shared" si="0"/>
        <v>0</v>
      </c>
      <c r="D25" s="46">
        <v>1</v>
      </c>
      <c r="E25" s="216"/>
      <c r="F25" s="46">
        <v>1</v>
      </c>
      <c r="G25" s="46">
        <v>0.7</v>
      </c>
      <c r="H25" s="46">
        <v>2.2999999999999998</v>
      </c>
      <c r="I25" s="42">
        <f t="shared" si="1"/>
        <v>1.6099999999999999</v>
      </c>
      <c r="J25" s="42">
        <f t="shared" si="2"/>
        <v>0</v>
      </c>
      <c r="K25" s="48">
        <f t="shared" si="3"/>
        <v>1.6099999999999999</v>
      </c>
      <c r="L25" s="42">
        <f t="shared" si="4"/>
        <v>1.6099999999999999</v>
      </c>
      <c r="M25" s="42">
        <f t="shared" si="15"/>
        <v>6</v>
      </c>
      <c r="N25" s="42">
        <f t="shared" si="16"/>
        <v>6</v>
      </c>
      <c r="O25" s="42">
        <f t="shared" si="7"/>
        <v>1.5</v>
      </c>
      <c r="P25" s="42">
        <f t="shared" si="17"/>
        <v>0.89999999999999991</v>
      </c>
      <c r="Q25" s="42">
        <v>0</v>
      </c>
      <c r="R25" s="42">
        <v>0</v>
      </c>
      <c r="S25" s="42"/>
      <c r="T25" s="42"/>
      <c r="U25" s="42"/>
      <c r="V25" s="55"/>
    </row>
    <row r="26" spans="1:24" x14ac:dyDescent="0.2">
      <c r="B26" s="56" t="s">
        <v>274</v>
      </c>
      <c r="C26" s="57">
        <f t="shared" si="0"/>
        <v>0</v>
      </c>
      <c r="D26" s="58">
        <v>3</v>
      </c>
      <c r="E26" s="218"/>
      <c r="F26" s="58">
        <v>3</v>
      </c>
      <c r="G26" s="58">
        <v>0.95</v>
      </c>
      <c r="H26" s="58">
        <v>1.8</v>
      </c>
      <c r="I26" s="59">
        <f t="shared" si="1"/>
        <v>1.71</v>
      </c>
      <c r="J26" s="59">
        <f t="shared" si="2"/>
        <v>0</v>
      </c>
      <c r="K26" s="60">
        <f t="shared" si="3"/>
        <v>5.13</v>
      </c>
      <c r="L26" s="59">
        <f t="shared" si="4"/>
        <v>5.13</v>
      </c>
      <c r="M26" s="59">
        <f t="shared" si="15"/>
        <v>16.5</v>
      </c>
      <c r="N26" s="59">
        <f t="shared" si="16"/>
        <v>16.5</v>
      </c>
      <c r="O26" s="59">
        <f t="shared" si="7"/>
        <v>4.125</v>
      </c>
      <c r="P26" s="59">
        <f t="shared" si="17"/>
        <v>2.4750000000000001</v>
      </c>
      <c r="Q26" s="59">
        <v>0</v>
      </c>
      <c r="R26" s="59">
        <v>0</v>
      </c>
      <c r="S26" s="59"/>
      <c r="T26" s="59"/>
      <c r="U26" s="59"/>
      <c r="V26" s="61"/>
    </row>
    <row r="27" spans="1:24" x14ac:dyDescent="0.2">
      <c r="B27" s="43"/>
      <c r="D27" s="62"/>
      <c r="E27" s="219">
        <v>6</v>
      </c>
      <c r="F27" s="63">
        <f>SUM(F3:F24)</f>
        <v>454</v>
      </c>
      <c r="G27" s="62"/>
      <c r="H27" s="62"/>
      <c r="I27" s="62"/>
      <c r="J27" s="63">
        <f>SUM(J3:J26)</f>
        <v>456.9855</v>
      </c>
      <c r="K27" s="64">
        <f>SUM(K3:K26)-K18-K19-K20</f>
        <v>211.5095</v>
      </c>
      <c r="L27" s="63"/>
      <c r="M27" s="63">
        <f t="shared" ref="M27:V27" si="18">SUM(M3:M26)</f>
        <v>2860.2</v>
      </c>
      <c r="N27" s="63">
        <f t="shared" si="18"/>
        <v>1708.65</v>
      </c>
      <c r="O27" s="63">
        <f t="shared" si="18"/>
        <v>715.05</v>
      </c>
      <c r="P27" s="63">
        <f t="shared" si="18"/>
        <v>100.41749999999999</v>
      </c>
      <c r="Q27" s="63">
        <f t="shared" si="18"/>
        <v>388.19499999999994</v>
      </c>
      <c r="R27" s="63">
        <f t="shared" si="18"/>
        <v>338.12100000000004</v>
      </c>
      <c r="S27" s="63">
        <f t="shared" si="18"/>
        <v>2410.8000000000002</v>
      </c>
      <c r="T27" s="63">
        <f t="shared" si="18"/>
        <v>2410.8000000000002</v>
      </c>
      <c r="U27" s="63">
        <f t="shared" si="18"/>
        <v>1041.9000000000001</v>
      </c>
      <c r="V27" s="63">
        <f t="shared" si="18"/>
        <v>1041.9000000000001</v>
      </c>
      <c r="W27" s="65">
        <v>150</v>
      </c>
    </row>
    <row r="28" spans="1:24" x14ac:dyDescent="0.2">
      <c r="A28" s="42"/>
      <c r="B28" s="65" t="s">
        <v>275</v>
      </c>
      <c r="L28" s="42">
        <f>SUM(L3:L26)</f>
        <v>1480.2950000000001</v>
      </c>
    </row>
    <row r="29" spans="1:24" x14ac:dyDescent="0.2">
      <c r="A29" s="42" t="s">
        <v>276</v>
      </c>
      <c r="B29" s="42" t="s">
        <v>277</v>
      </c>
      <c r="C29" s="42"/>
      <c r="D29" s="66" t="s">
        <v>278</v>
      </c>
      <c r="E29" s="220"/>
      <c r="G29" s="42">
        <v>1749</v>
      </c>
    </row>
    <row r="30" spans="1:24" x14ac:dyDescent="0.2">
      <c r="A30" s="42"/>
      <c r="B30" s="67" t="s">
        <v>279</v>
      </c>
      <c r="C30" s="42"/>
      <c r="D30" s="68" t="s">
        <v>280</v>
      </c>
      <c r="E30" s="221"/>
      <c r="F30" s="68" t="s">
        <v>281</v>
      </c>
    </row>
    <row r="31" spans="1:24" ht="56.25" x14ac:dyDescent="0.2">
      <c r="A31" s="69" t="s">
        <v>282</v>
      </c>
      <c r="B31" s="142" t="s">
        <v>65</v>
      </c>
      <c r="C31" s="69" t="s">
        <v>56</v>
      </c>
      <c r="D31" s="69">
        <v>12</v>
      </c>
      <c r="E31" s="221"/>
      <c r="F31" s="68"/>
    </row>
    <row r="32" spans="1:24" ht="67.5" x14ac:dyDescent="0.2">
      <c r="A32" s="69" t="s">
        <v>283</v>
      </c>
      <c r="B32" s="144" t="s">
        <v>390</v>
      </c>
      <c r="C32" s="69" t="s">
        <v>56</v>
      </c>
      <c r="D32" s="69">
        <f>239*2</f>
        <v>478</v>
      </c>
      <c r="E32" s="220"/>
      <c r="H32" s="70"/>
      <c r="I32" s="71" t="s">
        <v>284</v>
      </c>
      <c r="J32" s="71"/>
      <c r="K32" s="71"/>
      <c r="L32" s="71"/>
      <c r="M32" s="71"/>
      <c r="N32" s="71"/>
      <c r="O32" s="70"/>
      <c r="P32" s="70"/>
    </row>
    <row r="33" spans="1:17" ht="56.25" x14ac:dyDescent="0.2">
      <c r="A33" s="69" t="s">
        <v>66</v>
      </c>
      <c r="B33" s="261" t="s">
        <v>391</v>
      </c>
      <c r="C33" s="69" t="s">
        <v>56</v>
      </c>
      <c r="D33" s="72">
        <v>389</v>
      </c>
      <c r="E33" s="220"/>
      <c r="H33" s="70"/>
      <c r="I33" s="71"/>
      <c r="J33" s="71"/>
      <c r="K33" s="71"/>
      <c r="L33" s="71"/>
      <c r="M33" s="71"/>
      <c r="N33" s="71"/>
      <c r="O33" s="70"/>
      <c r="P33" s="70"/>
    </row>
    <row r="34" spans="1:17" ht="56.25" x14ac:dyDescent="0.2">
      <c r="A34" s="69" t="s">
        <v>67</v>
      </c>
      <c r="B34" s="143" t="s">
        <v>68</v>
      </c>
      <c r="C34" s="69" t="s">
        <v>56</v>
      </c>
      <c r="D34" s="73">
        <v>315.87</v>
      </c>
      <c r="E34" s="220"/>
      <c r="F34" s="42">
        <f>2.9*0.5*174</f>
        <v>252.29999999999998</v>
      </c>
      <c r="G34" s="42">
        <f>0.16*2.8*87</f>
        <v>38.975999999999999</v>
      </c>
      <c r="H34" s="157" t="s">
        <v>285</v>
      </c>
      <c r="I34" s="158" t="s">
        <v>286</v>
      </c>
      <c r="J34" s="158" t="s">
        <v>35</v>
      </c>
      <c r="K34" s="159" t="s">
        <v>287</v>
      </c>
      <c r="M34" s="157" t="s">
        <v>288</v>
      </c>
      <c r="N34" s="159" t="s">
        <v>289</v>
      </c>
      <c r="O34" s="159" t="s">
        <v>290</v>
      </c>
      <c r="P34" s="160" t="s">
        <v>291</v>
      </c>
      <c r="Q34" s="42">
        <v>80</v>
      </c>
    </row>
    <row r="35" spans="1:17" ht="45" x14ac:dyDescent="0.2">
      <c r="A35" s="69" t="s">
        <v>292</v>
      </c>
      <c r="B35" s="144" t="s">
        <v>434</v>
      </c>
      <c r="C35" s="69" t="s">
        <v>56</v>
      </c>
      <c r="D35" s="73">
        <v>90.25</v>
      </c>
      <c r="E35" s="222"/>
      <c r="F35" s="42">
        <f>45.3*1.5</f>
        <v>67.949999999999989</v>
      </c>
      <c r="H35" s="157"/>
      <c r="I35" s="158"/>
      <c r="J35" s="158"/>
      <c r="K35" s="159"/>
      <c r="M35" s="157"/>
      <c r="N35" s="159"/>
      <c r="O35" s="159"/>
      <c r="P35" s="160"/>
    </row>
    <row r="36" spans="1:17" ht="45" x14ac:dyDescent="0.2">
      <c r="A36" s="69" t="s">
        <v>293</v>
      </c>
      <c r="B36" s="144" t="s">
        <v>435</v>
      </c>
      <c r="C36" s="69" t="s">
        <v>56</v>
      </c>
      <c r="D36" s="73">
        <f>W27*1.15</f>
        <v>172.5</v>
      </c>
      <c r="E36" s="222"/>
      <c r="H36" s="157"/>
      <c r="I36" s="158"/>
      <c r="J36" s="158"/>
      <c r="K36" s="159"/>
      <c r="M36" s="157"/>
      <c r="N36" s="159"/>
      <c r="O36" s="159"/>
      <c r="P36" s="160"/>
    </row>
    <row r="37" spans="1:17" ht="45" x14ac:dyDescent="0.2">
      <c r="A37" s="69" t="s">
        <v>294</v>
      </c>
      <c r="B37" s="144" t="s">
        <v>436</v>
      </c>
      <c r="C37" s="69" t="s">
        <v>56</v>
      </c>
      <c r="D37" s="73">
        <v>314.8</v>
      </c>
      <c r="E37" s="222"/>
      <c r="H37" s="74">
        <v>1</v>
      </c>
      <c r="I37" s="161" t="s">
        <v>295</v>
      </c>
      <c r="J37" s="75" t="s">
        <v>52</v>
      </c>
      <c r="K37" s="74">
        <v>1</v>
      </c>
      <c r="M37" s="8">
        <v>2984</v>
      </c>
      <c r="N37" s="76">
        <f>M37*K37/1000</f>
        <v>2.984</v>
      </c>
      <c r="O37" s="8">
        <v>1.99</v>
      </c>
      <c r="P37" s="77">
        <f>O37*N37</f>
        <v>5.9381599999999999</v>
      </c>
      <c r="Q37" s="78">
        <f>$Q$34*P37</f>
        <v>475.05279999999999</v>
      </c>
    </row>
    <row r="38" spans="1:17" ht="45" x14ac:dyDescent="0.2">
      <c r="A38" s="69" t="s">
        <v>296</v>
      </c>
      <c r="B38" s="144" t="s">
        <v>437</v>
      </c>
      <c r="C38" s="69" t="s">
        <v>56</v>
      </c>
      <c r="D38" s="73">
        <v>73.92</v>
      </c>
      <c r="E38" s="222"/>
      <c r="H38" s="74">
        <v>2</v>
      </c>
      <c r="I38" s="161" t="s">
        <v>295</v>
      </c>
      <c r="J38" s="75" t="s">
        <v>52</v>
      </c>
      <c r="K38" s="74">
        <v>2</v>
      </c>
      <c r="M38" s="8">
        <v>857</v>
      </c>
      <c r="N38" s="76">
        <f>M38*K38/1000</f>
        <v>1.714</v>
      </c>
      <c r="O38" s="8">
        <v>1.99</v>
      </c>
      <c r="P38" s="77">
        <f>O38*N38</f>
        <v>3.41086</v>
      </c>
      <c r="Q38" s="78">
        <f>$Q$34*P38</f>
        <v>272.86880000000002</v>
      </c>
    </row>
    <row r="39" spans="1:17" x14ac:dyDescent="0.2">
      <c r="A39" s="42"/>
      <c r="B39" s="67" t="s">
        <v>297</v>
      </c>
      <c r="C39" s="42"/>
      <c r="D39" s="66"/>
      <c r="E39" s="220"/>
      <c r="H39" s="74">
        <f>H38+1</f>
        <v>3</v>
      </c>
      <c r="I39" s="79" t="s">
        <v>298</v>
      </c>
      <c r="J39" s="75" t="s">
        <v>52</v>
      </c>
      <c r="K39" s="74">
        <v>8</v>
      </c>
      <c r="M39" s="74">
        <v>1068</v>
      </c>
      <c r="N39" s="76">
        <f>M39*K39/1000</f>
        <v>8.5440000000000005</v>
      </c>
      <c r="O39" s="74">
        <v>3.9</v>
      </c>
      <c r="P39" s="77">
        <f>O39*N39</f>
        <v>33.321600000000004</v>
      </c>
      <c r="Q39" s="78">
        <f>$Q$34*P39</f>
        <v>2665.7280000000001</v>
      </c>
    </row>
    <row r="40" spans="1:17" ht="56.25" x14ac:dyDescent="0.2">
      <c r="A40" s="42" t="s">
        <v>299</v>
      </c>
      <c r="B40" s="144" t="s">
        <v>389</v>
      </c>
      <c r="C40" s="69" t="str">
        <f>C38</f>
        <v>m²</v>
      </c>
      <c r="D40" s="69">
        <v>469.1</v>
      </c>
      <c r="E40" s="223"/>
      <c r="H40" s="74">
        <f>H39+1</f>
        <v>4</v>
      </c>
      <c r="I40" s="79" t="s">
        <v>300</v>
      </c>
      <c r="J40" s="75" t="s">
        <v>52</v>
      </c>
      <c r="K40" s="74">
        <v>4</v>
      </c>
      <c r="M40" s="74">
        <v>500</v>
      </c>
      <c r="N40" s="76">
        <f>M40*K40/1000</f>
        <v>2</v>
      </c>
      <c r="O40" s="74">
        <v>3.9</v>
      </c>
      <c r="P40" s="77">
        <f>O40*N40</f>
        <v>7.8</v>
      </c>
      <c r="Q40" s="78">
        <f>$Q$34*P40</f>
        <v>624</v>
      </c>
    </row>
    <row r="41" spans="1:17" ht="67.5" x14ac:dyDescent="0.2">
      <c r="A41" s="42" t="s">
        <v>301</v>
      </c>
      <c r="B41" s="144" t="s">
        <v>537</v>
      </c>
      <c r="C41" s="69" t="str">
        <f>C40</f>
        <v>m²</v>
      </c>
      <c r="D41" s="69">
        <v>477</v>
      </c>
      <c r="E41" s="223"/>
      <c r="H41" s="74"/>
      <c r="I41" s="161"/>
      <c r="J41" s="75"/>
      <c r="K41" s="74"/>
      <c r="M41" s="74"/>
      <c r="N41" s="76"/>
      <c r="O41" s="74"/>
      <c r="P41" s="77"/>
      <c r="Q41" s="78"/>
    </row>
    <row r="42" spans="1:17" ht="56.25" x14ac:dyDescent="0.2">
      <c r="A42" s="42" t="s">
        <v>70</v>
      </c>
      <c r="B42" s="144" t="s">
        <v>392</v>
      </c>
      <c r="C42" s="69" t="str">
        <f>C40</f>
        <v>m²</v>
      </c>
      <c r="D42" s="69">
        <v>11.8</v>
      </c>
      <c r="E42" s="223"/>
      <c r="H42" s="74">
        <f>H40+1</f>
        <v>5</v>
      </c>
      <c r="I42" s="79" t="s">
        <v>300</v>
      </c>
      <c r="J42" s="75" t="s">
        <v>52</v>
      </c>
      <c r="K42" s="74">
        <v>6</v>
      </c>
      <c r="M42" s="74">
        <v>890</v>
      </c>
      <c r="N42" s="76">
        <f>M42*K42/1000</f>
        <v>5.34</v>
      </c>
      <c r="O42" s="74">
        <v>3.9</v>
      </c>
      <c r="P42" s="77">
        <f>O42*N42</f>
        <v>20.826000000000001</v>
      </c>
      <c r="Q42" s="78">
        <f t="shared" ref="Q42:Q47" si="19">$Q$34*P42</f>
        <v>1666.08</v>
      </c>
    </row>
    <row r="43" spans="1:17" ht="78.75" x14ac:dyDescent="0.2">
      <c r="A43" s="42" t="s">
        <v>177</v>
      </c>
      <c r="B43" s="144" t="s">
        <v>479</v>
      </c>
      <c r="C43" s="69" t="str">
        <f>C42</f>
        <v>m²</v>
      </c>
      <c r="D43" s="69">
        <v>37.799999999999997</v>
      </c>
      <c r="E43" s="223"/>
      <c r="H43" s="74">
        <f>H42+1</f>
        <v>6</v>
      </c>
      <c r="I43" s="79" t="s">
        <v>300</v>
      </c>
      <c r="J43" s="75" t="s">
        <v>52</v>
      </c>
      <c r="K43" s="74">
        <v>2</v>
      </c>
      <c r="M43" s="74">
        <v>200</v>
      </c>
      <c r="N43" s="76">
        <f>M43*K43/1000</f>
        <v>0.4</v>
      </c>
      <c r="O43" s="74">
        <v>3.9</v>
      </c>
      <c r="P43" s="77">
        <f>O43*N43</f>
        <v>1.56</v>
      </c>
      <c r="Q43" s="78">
        <f t="shared" si="19"/>
        <v>124.80000000000001</v>
      </c>
    </row>
    <row r="44" spans="1:17" ht="78.75" x14ac:dyDescent="0.2">
      <c r="A44" s="42" t="s">
        <v>302</v>
      </c>
      <c r="B44" s="144" t="s">
        <v>303</v>
      </c>
      <c r="C44" s="69" t="str">
        <f>C43</f>
        <v>m²</v>
      </c>
      <c r="D44" s="69">
        <v>15</v>
      </c>
      <c r="E44" s="223"/>
      <c r="H44" s="74">
        <f>H43+1</f>
        <v>7</v>
      </c>
      <c r="I44" s="79" t="s">
        <v>304</v>
      </c>
      <c r="J44" s="75" t="s">
        <v>52</v>
      </c>
      <c r="K44" s="74">
        <v>2</v>
      </c>
      <c r="M44" s="74">
        <v>2770</v>
      </c>
      <c r="N44" s="76">
        <f>M44*K44/1000</f>
        <v>5.54</v>
      </c>
      <c r="O44" s="74">
        <v>1.4</v>
      </c>
      <c r="P44" s="77">
        <f>O44*N44</f>
        <v>7.7559999999999993</v>
      </c>
      <c r="Q44" s="78">
        <f t="shared" si="19"/>
        <v>620.4799999999999</v>
      </c>
    </row>
    <row r="45" spans="1:17" x14ac:dyDescent="0.2">
      <c r="H45" s="74">
        <f>H44+1</f>
        <v>8</v>
      </c>
      <c r="I45" s="79" t="s">
        <v>304</v>
      </c>
      <c r="J45" s="75" t="s">
        <v>52</v>
      </c>
      <c r="K45" s="74">
        <v>4</v>
      </c>
      <c r="M45" s="74">
        <v>560</v>
      </c>
      <c r="N45" s="76">
        <f>M45*K45/1000</f>
        <v>2.2400000000000002</v>
      </c>
      <c r="O45" s="74">
        <v>1.4</v>
      </c>
      <c r="P45" s="77">
        <f>O45*N45</f>
        <v>3.1360000000000001</v>
      </c>
      <c r="Q45" s="78">
        <f t="shared" si="19"/>
        <v>250.88</v>
      </c>
    </row>
    <row r="46" spans="1:17" x14ac:dyDescent="0.2">
      <c r="H46" s="74">
        <f>H45+1</f>
        <v>9</v>
      </c>
      <c r="I46" s="79" t="s">
        <v>305</v>
      </c>
      <c r="J46" s="75" t="s">
        <v>52</v>
      </c>
      <c r="K46" s="74">
        <v>8</v>
      </c>
      <c r="M46" s="74"/>
      <c r="N46" s="74"/>
      <c r="O46" s="74"/>
      <c r="P46" s="77">
        <v>7.5</v>
      </c>
      <c r="Q46" s="78">
        <f t="shared" si="19"/>
        <v>600</v>
      </c>
    </row>
    <row r="47" spans="1:17" x14ac:dyDescent="0.2">
      <c r="H47" s="74">
        <f>H46+1</f>
        <v>10</v>
      </c>
      <c r="I47" s="79" t="s">
        <v>306</v>
      </c>
      <c r="J47" s="75" t="s">
        <v>52</v>
      </c>
      <c r="K47" s="74">
        <v>2</v>
      </c>
      <c r="M47" s="74"/>
      <c r="N47" s="74"/>
      <c r="O47" s="74"/>
      <c r="P47" s="77">
        <v>3.74</v>
      </c>
      <c r="Q47" s="78">
        <f t="shared" si="19"/>
        <v>299.20000000000005</v>
      </c>
    </row>
    <row r="48" spans="1:17" x14ac:dyDescent="0.2">
      <c r="H48" s="74"/>
      <c r="I48" s="80" t="s">
        <v>307</v>
      </c>
      <c r="J48" s="75" t="s">
        <v>56</v>
      </c>
      <c r="K48" s="74">
        <v>3</v>
      </c>
      <c r="M48" s="74"/>
      <c r="N48" s="74"/>
      <c r="O48" s="74"/>
      <c r="P48" s="74"/>
      <c r="Q48" s="78">
        <f>$Q$34*K48</f>
        <v>240</v>
      </c>
    </row>
    <row r="49" spans="8:16" x14ac:dyDescent="0.2">
      <c r="H49" s="74"/>
      <c r="I49" s="161"/>
      <c r="J49" s="75"/>
      <c r="K49" s="74"/>
      <c r="M49" s="74"/>
      <c r="N49" s="74"/>
      <c r="O49" s="74"/>
      <c r="P49" s="74"/>
    </row>
    <row r="91" spans="5:5" x14ac:dyDescent="0.2">
      <c r="E91" s="172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3</vt:i4>
      </vt:variant>
    </vt:vector>
  </HeadingPairs>
  <TitlesOfParts>
    <vt:vector size="17" baseType="lpstr">
      <vt:lpstr>K</vt:lpstr>
      <vt:lpstr>KPDV</vt:lpstr>
      <vt:lpstr>AR </vt:lpstr>
      <vt:lpstr>logi</vt:lpstr>
      <vt:lpstr>lodzijas</vt:lpstr>
      <vt:lpstr>C</vt:lpstr>
      <vt:lpstr>IM</vt:lpstr>
      <vt:lpstr>PS</vt:lpstr>
      <vt:lpstr>apjomi</vt:lpstr>
      <vt:lpstr>BS</vt:lpstr>
      <vt:lpstr>Jumts</vt:lpstr>
      <vt:lpstr>5 stava jumts</vt:lpstr>
      <vt:lpstr>AVK</vt:lpstr>
      <vt:lpstr>Zibens</vt:lpstr>
      <vt:lpstr>'AR '!Drukas_apgabals</vt:lpstr>
      <vt:lpstr>AVK!Drukas_apgabals</vt:lpstr>
      <vt:lpstr>PS!Drukas_apgabals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Prezenta</cp:lastModifiedBy>
  <cp:revision>18</cp:revision>
  <cp:lastPrinted>2017-12-28T07:41:33Z</cp:lastPrinted>
  <dcterms:created xsi:type="dcterms:W3CDTF">2017-12-18T07:22:34Z</dcterms:created>
  <dcterms:modified xsi:type="dcterms:W3CDTF">2019-04-09T06:10:06Z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