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42_E_Tise_75\"/>
    </mc:Choice>
  </mc:AlternateContent>
  <xr:revisionPtr revIDLastSave="0" documentId="13_ncr:1_{F745445F-95B3-4338-9F3E-2D5D01BD76E2}" xr6:coauthVersionLast="40" xr6:coauthVersionMax="40" xr10:uidLastSave="{00000000-0000-0000-0000-000000000000}"/>
  <bookViews>
    <workbookView xWindow="750" yWindow="210" windowWidth="24390" windowHeight="15345" activeTab="9" xr2:uid="{00000000-000D-0000-FFFF-FFFF00000000}"/>
  </bookViews>
  <sheets>
    <sheet name="KPDV" sheetId="1" r:id="rId1"/>
    <sheet name="AR" sheetId="2" r:id="rId2"/>
    <sheet name="Logi" sheetId="3" r:id="rId3"/>
    <sheet name="apjomi" sheetId="13" state="hidden" r:id="rId4"/>
    <sheet name="pagrabs" sheetId="4" r:id="rId5"/>
    <sheet name="cokols" sheetId="5" r:id="rId6"/>
    <sheet name="BK" sheetId="6" r:id="rId7"/>
    <sheet name="jumts" sheetId="7" r:id="rId8"/>
    <sheet name="ieejas" sheetId="8" r:id="rId9"/>
    <sheet name="AVK" sheetId="10" r:id="rId10"/>
  </sheets>
  <externalReferences>
    <externalReference r:id="rId11"/>
  </externalReferences>
  <definedNames>
    <definedName name="_FilterDatabase_0" localSheetId="1">AR!$A$13:$Q$71</definedName>
    <definedName name="_xlnm._FilterDatabase" localSheetId="1">AR!$A$13:$Q$71</definedName>
    <definedName name="_xlnm._FilterDatabase" localSheetId="8" hidden="1">ieejas!$A$13:$AME$33</definedName>
    <definedName name="_xlnm._FilterDatabase" localSheetId="7" hidden="1">jumts!$A$13:$ALV$120</definedName>
    <definedName name="dat">KPDV!$B$10</definedName>
    <definedName name="_xlnm.Print_Area" localSheetId="3">apjomi!$A$1:$U$44</definedName>
    <definedName name="_xlnm.Print_Area" localSheetId="1">AR!$A$1:$Q$84</definedName>
    <definedName name="_xlnm.Print_Area" localSheetId="6">BK!$A$1:$Q$55</definedName>
    <definedName name="_xlnm.Print_Area" localSheetId="5">cokols!$A$1:$Q$58</definedName>
    <definedName name="_xlnm.Print_Area" localSheetId="8">ieejas!$A$1:$R$45</definedName>
    <definedName name="_xlnm.Print_Area" localSheetId="7">jumts!$A$1:$Q$131</definedName>
    <definedName name="_xlnm.Print_Area" localSheetId="0">KPDV!$A$1:$G$34</definedName>
    <definedName name="_xlnm.Print_Area" localSheetId="4">pagrabs!$A$1:$Q$35</definedName>
    <definedName name="Excel_BuiltIn__FilterDatabase" localSheetId="5">cokols!$A$13:$Q$45</definedName>
    <definedName name="Excel_BuiltIn__FilterDatabase" localSheetId="4">pagrabs!$A$13:$Q$23</definedName>
    <definedName name="okei">[1]kpdv!$C$27</definedName>
    <definedName name="Print_Area_0" localSheetId="1">AR!$A$1:$Q$80</definedName>
    <definedName name="Print_Area_0" localSheetId="9">AVK!$A$1:$Q$167</definedName>
    <definedName name="Print_Area_0" localSheetId="6">BK!$A$1:$Q$12</definedName>
    <definedName name="Print_Area_0" localSheetId="5">cokols!$A$1:$Q$55</definedName>
    <definedName name="Print_Area_0" localSheetId="8">ieejas!$A$1:$Q$12</definedName>
    <definedName name="Print_Area_0" localSheetId="7">jumts!$A$1:$Q$12</definedName>
    <definedName name="Print_Area_0" localSheetId="0">KPDV!$A$1:$G$34</definedName>
    <definedName name="Print_Area_0" localSheetId="4">pagrabs!$A$1:$Q$33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3" l="1"/>
  <c r="N160" i="10" l="1"/>
  <c r="O160" i="10"/>
  <c r="P160" i="10"/>
  <c r="Q160" i="10"/>
  <c r="P9" i="10" s="1"/>
  <c r="M160" i="10"/>
  <c r="N35" i="8"/>
  <c r="O35" i="8"/>
  <c r="P35" i="8"/>
  <c r="Q35" i="8"/>
  <c r="P8" i="8" s="1"/>
  <c r="M35" i="8"/>
  <c r="N122" i="7"/>
  <c r="O122" i="7"/>
  <c r="P122" i="7"/>
  <c r="Q122" i="7"/>
  <c r="P8" i="7" s="1"/>
  <c r="M122" i="7"/>
  <c r="M44" i="6"/>
  <c r="M25" i="4"/>
  <c r="Q61" i="3"/>
  <c r="R61" i="3"/>
  <c r="S61" i="3"/>
  <c r="T61" i="3"/>
  <c r="S8" i="3" s="1"/>
  <c r="P61" i="3"/>
  <c r="N73" i="2"/>
  <c r="O73" i="2"/>
  <c r="P73" i="2"/>
  <c r="Q73" i="2"/>
  <c r="Q9" i="2" s="1"/>
  <c r="M73" i="2"/>
  <c r="C30" i="3"/>
  <c r="A3" i="6"/>
  <c r="A4" i="6"/>
  <c r="A5" i="6"/>
  <c r="A6" i="6"/>
  <c r="A7" i="6"/>
  <c r="B12" i="6"/>
  <c r="C12" i="6" s="1"/>
  <c r="D12" i="6" s="1"/>
  <c r="E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8" i="6"/>
  <c r="E28" i="6"/>
  <c r="A30" i="6"/>
  <c r="A31" i="6"/>
  <c r="A32" i="6"/>
  <c r="A33" i="6"/>
  <c r="A34" i="6"/>
  <c r="A35" i="6"/>
  <c r="A36" i="6"/>
  <c r="E36" i="6"/>
  <c r="A37" i="6"/>
  <c r="A38" i="6"/>
  <c r="E38" i="6"/>
  <c r="A42" i="6"/>
  <c r="A44" i="6"/>
  <c r="A3" i="10"/>
  <c r="A4" i="10"/>
  <c r="A5" i="10"/>
  <c r="A6" i="10"/>
  <c r="A7" i="10"/>
  <c r="O9" i="10"/>
  <c r="P10" i="10"/>
  <c r="B13" i="10"/>
  <c r="C13" i="10" s="1"/>
  <c r="D13" i="10" s="1"/>
  <c r="E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A71" i="10"/>
  <c r="A72" i="10" s="1"/>
  <c r="A73" i="10" s="1"/>
  <c r="A74" i="10" s="1"/>
  <c r="A75" i="10" s="1"/>
  <c r="A76" i="10" s="1"/>
  <c r="A77" i="10" s="1"/>
  <c r="A78" i="10" s="1"/>
  <c r="A79" i="10" s="1"/>
  <c r="A80" i="10" s="1"/>
  <c r="A84" i="10"/>
  <c r="A85" i="10" s="1"/>
  <c r="A86" i="10" s="1"/>
  <c r="A87" i="10" s="1"/>
  <c r="A88" i="10" s="1"/>
  <c r="A89" i="10" s="1"/>
  <c r="A90" i="10" s="1"/>
  <c r="A91" i="10" s="1"/>
  <c r="A92" i="10" s="1"/>
  <c r="A93" i="10" s="1"/>
  <c r="A97" i="10"/>
  <c r="A98" i="10" s="1"/>
  <c r="A99" i="10" s="1"/>
  <c r="A100" i="10" s="1"/>
  <c r="A101" i="10" s="1"/>
  <c r="A102" i="10" s="1"/>
  <c r="A103" i="10" s="1"/>
  <c r="A104" i="10" s="1"/>
  <c r="A105" i="10" s="1"/>
  <c r="A106" i="10" s="1"/>
  <c r="A110" i="10"/>
  <c r="A111" i="10" s="1"/>
  <c r="A112" i="10" s="1"/>
  <c r="A113" i="10" s="1"/>
  <c r="A114" i="10" s="1"/>
  <c r="A115" i="10" s="1"/>
  <c r="A116" i="10" s="1"/>
  <c r="A117" i="10" s="1"/>
  <c r="A118" i="10" s="1"/>
  <c r="A119" i="10" s="1"/>
  <c r="A123" i="10"/>
  <c r="A124" i="10" s="1"/>
  <c r="A125" i="10" s="1"/>
  <c r="A126" i="10" s="1"/>
  <c r="A127" i="10" s="1"/>
  <c r="A128" i="10" s="1"/>
  <c r="A129" i="10" s="1"/>
  <c r="A130" i="10" s="1"/>
  <c r="A131" i="10" s="1"/>
  <c r="A132" i="10" s="1"/>
  <c r="A136" i="10"/>
  <c r="A137" i="10" s="1"/>
  <c r="A138" i="10" s="1"/>
  <c r="A139" i="10" s="1"/>
  <c r="A140" i="10" s="1"/>
  <c r="A141" i="10" s="1"/>
  <c r="A142" i="10" s="1"/>
  <c r="A143" i="10" s="1"/>
  <c r="A144" i="10" s="1"/>
  <c r="A145" i="10" s="1"/>
  <c r="A149" i="10"/>
  <c r="A150" i="10" s="1"/>
  <c r="A151" i="10" s="1"/>
  <c r="A152" i="10" s="1"/>
  <c r="A153" i="10" s="1"/>
  <c r="A154" i="10" s="1"/>
  <c r="A155" i="10" s="1"/>
  <c r="A156" i="10" s="1"/>
  <c r="A157" i="10" s="1"/>
  <c r="A158" i="10" s="1"/>
  <c r="A160" i="10"/>
  <c r="A3" i="8"/>
  <c r="A4" i="8"/>
  <c r="A5" i="8"/>
  <c r="A6" i="8"/>
  <c r="A7" i="8"/>
  <c r="B12" i="8"/>
  <c r="C12" i="8" s="1"/>
  <c r="D12" i="8" s="1"/>
  <c r="E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A14" i="8"/>
  <c r="E14" i="8"/>
  <c r="A15" i="8"/>
  <c r="E15" i="8"/>
  <c r="A16" i="8"/>
  <c r="A18" i="8"/>
  <c r="E18" i="8"/>
  <c r="A19" i="8"/>
  <c r="E19" i="8"/>
  <c r="A22" i="8"/>
  <c r="A25" i="8"/>
  <c r="A27" i="8"/>
  <c r="E29" i="8"/>
  <c r="E31" i="8"/>
  <c r="A35" i="8"/>
  <c r="A3" i="7"/>
  <c r="A4" i="7"/>
  <c r="A5" i="7"/>
  <c r="A6" i="7"/>
  <c r="A7" i="7"/>
  <c r="B12" i="7"/>
  <c r="C12" i="7" s="1"/>
  <c r="D12" i="7" s="1"/>
  <c r="E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A14" i="7"/>
  <c r="A15" i="7"/>
  <c r="A16" i="7"/>
  <c r="A17" i="7"/>
  <c r="E17" i="7"/>
  <c r="A18" i="7"/>
  <c r="A19" i="7"/>
  <c r="A20" i="7"/>
  <c r="A21" i="7"/>
  <c r="A22" i="7"/>
  <c r="A23" i="7"/>
  <c r="E23" i="7"/>
  <c r="A24" i="7"/>
  <c r="A25" i="7"/>
  <c r="A26" i="7"/>
  <c r="A27" i="7"/>
  <c r="A28" i="7"/>
  <c r="E28" i="7"/>
  <c r="A29" i="7"/>
  <c r="E29" i="7"/>
  <c r="A30" i="7"/>
  <c r="E30" i="7"/>
  <c r="A31" i="7"/>
  <c r="E31" i="7"/>
  <c r="A32" i="7"/>
  <c r="E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E51" i="7"/>
  <c r="A52" i="7"/>
  <c r="A53" i="7"/>
  <c r="E53" i="7"/>
  <c r="A54" i="7"/>
  <c r="E54" i="7"/>
  <c r="A55" i="7"/>
  <c r="E55" i="7"/>
  <c r="A56" i="7"/>
  <c r="E56" i="7"/>
  <c r="A57" i="7"/>
  <c r="A58" i="7"/>
  <c r="A59" i="7"/>
  <c r="E59" i="7"/>
  <c r="A60" i="7"/>
  <c r="A61" i="7"/>
  <c r="A62" i="7"/>
  <c r="E62" i="7"/>
  <c r="A63" i="7"/>
  <c r="A64" i="7"/>
  <c r="E64" i="7"/>
  <c r="A65" i="7"/>
  <c r="A66" i="7"/>
  <c r="E66" i="7"/>
  <c r="A67" i="7"/>
  <c r="A68" i="7"/>
  <c r="A69" i="7"/>
  <c r="A70" i="7"/>
  <c r="A71" i="7"/>
  <c r="A72" i="7"/>
  <c r="A73" i="7"/>
  <c r="E73" i="7"/>
  <c r="A74" i="7"/>
  <c r="A75" i="7"/>
  <c r="A76" i="7"/>
  <c r="A77" i="7"/>
  <c r="A78" i="7"/>
  <c r="E78" i="7"/>
  <c r="A79" i="7"/>
  <c r="E79" i="7"/>
  <c r="A80" i="7"/>
  <c r="A81" i="7"/>
  <c r="A82" i="7"/>
  <c r="A83" i="7"/>
  <c r="E83" i="7"/>
  <c r="A84" i="7"/>
  <c r="E84" i="7"/>
  <c r="A85" i="7"/>
  <c r="E85" i="7"/>
  <c r="A86" i="7"/>
  <c r="E86" i="7"/>
  <c r="E87" i="7" s="1"/>
  <c r="A87" i="7"/>
  <c r="A88" i="7"/>
  <c r="A89" i="7"/>
  <c r="A90" i="7"/>
  <c r="E90" i="7"/>
  <c r="A91" i="7"/>
  <c r="E91" i="7"/>
  <c r="A92" i="7"/>
  <c r="A93" i="7"/>
  <c r="A94" i="7"/>
  <c r="E94" i="7"/>
  <c r="A95" i="7"/>
  <c r="E95" i="7"/>
  <c r="A96" i="7"/>
  <c r="A97" i="7"/>
  <c r="E97" i="7"/>
  <c r="A98" i="7"/>
  <c r="E98" i="7"/>
  <c r="A99" i="7"/>
  <c r="E99" i="7"/>
  <c r="A100" i="7"/>
  <c r="A101" i="7"/>
  <c r="E101" i="7"/>
  <c r="A102" i="7"/>
  <c r="E102" i="7"/>
  <c r="A103" i="7"/>
  <c r="A104" i="7"/>
  <c r="E104" i="7"/>
  <c r="A105" i="7"/>
  <c r="E105" i="7"/>
  <c r="A106" i="7"/>
  <c r="E106" i="7"/>
  <c r="A107" i="7"/>
  <c r="A108" i="7"/>
  <c r="E108" i="7"/>
  <c r="A109" i="7"/>
  <c r="E109" i="7"/>
  <c r="A110" i="7"/>
  <c r="A111" i="7"/>
  <c r="E111" i="7"/>
  <c r="A112" i="7"/>
  <c r="E112" i="7"/>
  <c r="A113" i="7"/>
  <c r="E113" i="7"/>
  <c r="A114" i="7"/>
  <c r="A115" i="7"/>
  <c r="E115" i="7"/>
  <c r="A116" i="7"/>
  <c r="E116" i="7"/>
  <c r="A117" i="7"/>
  <c r="A118" i="7"/>
  <c r="E118" i="7"/>
  <c r="A119" i="7"/>
  <c r="A120" i="7"/>
  <c r="A122" i="7"/>
  <c r="A3" i="5"/>
  <c r="A4" i="5"/>
  <c r="A5" i="5"/>
  <c r="A6" i="5"/>
  <c r="A7" i="5"/>
  <c r="C8" i="5"/>
  <c r="D8" i="5"/>
  <c r="G8" i="5"/>
  <c r="Q10" i="5"/>
  <c r="B13" i="5"/>
  <c r="C13" i="5" s="1"/>
  <c r="D13" i="5" s="1"/>
  <c r="E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A14" i="5"/>
  <c r="A15" i="5"/>
  <c r="A16" i="5"/>
  <c r="E16" i="5"/>
  <c r="E17" i="5" s="1"/>
  <c r="A17" i="5"/>
  <c r="A18" i="5"/>
  <c r="A19" i="5"/>
  <c r="A20" i="5"/>
  <c r="A21" i="5"/>
  <c r="B22" i="5"/>
  <c r="A32" i="5" s="1"/>
  <c r="C22" i="5"/>
  <c r="A23" i="5"/>
  <c r="A24" i="5"/>
  <c r="A25" i="5"/>
  <c r="A27" i="5"/>
  <c r="A28" i="5"/>
  <c r="A29" i="5"/>
  <c r="A30" i="5"/>
  <c r="A31" i="5"/>
  <c r="E32" i="5"/>
  <c r="A33" i="5"/>
  <c r="A34" i="5"/>
  <c r="E36" i="5"/>
  <c r="A37" i="5"/>
  <c r="E38" i="5"/>
  <c r="A39" i="5"/>
  <c r="A41" i="5"/>
  <c r="E42" i="5"/>
  <c r="A43" i="5"/>
  <c r="A44" i="5"/>
  <c r="E46" i="5"/>
  <c r="A48" i="5"/>
  <c r="A3" i="4"/>
  <c r="A4" i="4"/>
  <c r="A5" i="4"/>
  <c r="A6" i="4"/>
  <c r="A7" i="4"/>
  <c r="C8" i="4"/>
  <c r="D8" i="4"/>
  <c r="G8" i="4"/>
  <c r="A9" i="4"/>
  <c r="A9" i="5" s="1"/>
  <c r="Q10" i="4"/>
  <c r="B13" i="4"/>
  <c r="C13" i="4" s="1"/>
  <c r="D13" i="4" s="1"/>
  <c r="E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A14" i="4"/>
  <c r="A15" i="4"/>
  <c r="E15" i="4"/>
  <c r="A16" i="4"/>
  <c r="E16" i="4"/>
  <c r="A17" i="4"/>
  <c r="A18" i="4"/>
  <c r="B19" i="4"/>
  <c r="A19" i="4" s="1"/>
  <c r="C19" i="4"/>
  <c r="A20" i="4"/>
  <c r="A21" i="4"/>
  <c r="A22" i="4"/>
  <c r="A23" i="4"/>
  <c r="A25" i="4"/>
  <c r="V1" i="13"/>
  <c r="E4" i="13"/>
  <c r="C4" i="13" s="1"/>
  <c r="H4" i="13"/>
  <c r="K4" i="13"/>
  <c r="L4" i="13"/>
  <c r="N4" i="13" s="1"/>
  <c r="M4" i="13"/>
  <c r="P4" i="13"/>
  <c r="E5" i="13"/>
  <c r="C5" i="13" s="1"/>
  <c r="H5" i="13"/>
  <c r="J5" i="13" s="1"/>
  <c r="H18" i="3" s="1"/>
  <c r="K5" i="13"/>
  <c r="L5" i="13"/>
  <c r="M5" i="13"/>
  <c r="N5" i="13"/>
  <c r="O5" i="13"/>
  <c r="P5" i="13"/>
  <c r="Q5" i="13"/>
  <c r="R5" i="13" s="1"/>
  <c r="E6" i="13"/>
  <c r="H6" i="13"/>
  <c r="J6" i="13" s="1"/>
  <c r="H19" i="3" s="1"/>
  <c r="L6" i="13"/>
  <c r="N6" i="13" s="1"/>
  <c r="P6" i="13"/>
  <c r="D7" i="13"/>
  <c r="L7" i="13" s="1"/>
  <c r="H7" i="13"/>
  <c r="J7" i="13" s="1"/>
  <c r="H20" i="3" s="1"/>
  <c r="E8" i="13"/>
  <c r="Q8" i="13" s="1"/>
  <c r="R8" i="13" s="1"/>
  <c r="H8" i="13"/>
  <c r="J8" i="13" s="1"/>
  <c r="H21" i="3" s="1"/>
  <c r="L8" i="13"/>
  <c r="N8" i="13" s="1"/>
  <c r="P8" i="13"/>
  <c r="E9" i="13"/>
  <c r="Q9" i="13" s="1"/>
  <c r="H9" i="13"/>
  <c r="J9" i="13" s="1"/>
  <c r="H22" i="3" s="1"/>
  <c r="K9" i="13"/>
  <c r="M9" i="13" s="1"/>
  <c r="L9" i="13"/>
  <c r="N9" i="13" s="1"/>
  <c r="O9" i="13"/>
  <c r="P9" i="13"/>
  <c r="R9" i="13"/>
  <c r="D10" i="13"/>
  <c r="D22" i="3" s="1"/>
  <c r="H10" i="13"/>
  <c r="J10" i="13" s="1"/>
  <c r="H23" i="3" s="1"/>
  <c r="D11" i="13"/>
  <c r="L11" i="13" s="1"/>
  <c r="N11" i="13" s="1"/>
  <c r="H11" i="13"/>
  <c r="K11" i="13"/>
  <c r="M11" i="13" s="1"/>
  <c r="O11" i="13"/>
  <c r="Q11" i="13"/>
  <c r="R11" i="13" s="1"/>
  <c r="S11" i="13"/>
  <c r="T11" i="13" s="1"/>
  <c r="D12" i="13"/>
  <c r="P12" i="13" s="1"/>
  <c r="H12" i="13"/>
  <c r="K12" i="13"/>
  <c r="M12" i="13" s="1"/>
  <c r="O12" i="13"/>
  <c r="Q12" i="13"/>
  <c r="R12" i="13" s="1"/>
  <c r="S12" i="13"/>
  <c r="T12" i="13" s="1"/>
  <c r="D13" i="13"/>
  <c r="H13" i="13"/>
  <c r="K13" i="13"/>
  <c r="M13" i="13" s="1"/>
  <c r="O13" i="13"/>
  <c r="Q13" i="13"/>
  <c r="R13" i="13" s="1"/>
  <c r="S13" i="13"/>
  <c r="T13" i="13" s="1"/>
  <c r="C14" i="13"/>
  <c r="H14" i="13"/>
  <c r="I14" i="13" s="1"/>
  <c r="K14" i="13"/>
  <c r="L14" i="13"/>
  <c r="M14" i="13"/>
  <c r="O14" i="13"/>
  <c r="P14" i="13"/>
  <c r="Q14" i="13"/>
  <c r="R14" i="13" s="1"/>
  <c r="S14" i="13"/>
  <c r="T14" i="13" s="1"/>
  <c r="C15" i="13"/>
  <c r="H15" i="13"/>
  <c r="I15" i="13" s="1"/>
  <c r="K15" i="13"/>
  <c r="L15" i="13"/>
  <c r="N15" i="13" s="1"/>
  <c r="M15" i="13"/>
  <c r="O15" i="13"/>
  <c r="P15" i="13"/>
  <c r="Q15" i="13"/>
  <c r="R15" i="13" s="1"/>
  <c r="S15" i="13"/>
  <c r="T15" i="13" s="1"/>
  <c r="E16" i="13"/>
  <c r="S16" i="13" s="1"/>
  <c r="T16" i="13" s="1"/>
  <c r="H16" i="13"/>
  <c r="J16" i="13"/>
  <c r="H27" i="3" s="1"/>
  <c r="L16" i="13"/>
  <c r="E17" i="13"/>
  <c r="Q17" i="13" s="1"/>
  <c r="R17" i="13" s="1"/>
  <c r="H17" i="13"/>
  <c r="J17" i="13"/>
  <c r="H28" i="3" s="1"/>
  <c r="L17" i="13"/>
  <c r="C18" i="13"/>
  <c r="E18" i="13"/>
  <c r="S18" i="13" s="1"/>
  <c r="T18" i="13" s="1"/>
  <c r="H18" i="13"/>
  <c r="J18" i="13" s="1"/>
  <c r="H29" i="3" s="1"/>
  <c r="K18" i="13"/>
  <c r="M18" i="13" s="1"/>
  <c r="L18" i="13"/>
  <c r="Q18" i="13"/>
  <c r="R18" i="13" s="1"/>
  <c r="E19" i="13"/>
  <c r="Q19" i="13" s="1"/>
  <c r="R19" i="13" s="1"/>
  <c r="H19" i="13"/>
  <c r="J19" i="13"/>
  <c r="H30" i="3" s="1"/>
  <c r="M19" i="13"/>
  <c r="S19" i="13"/>
  <c r="T19" i="13" s="1"/>
  <c r="E20" i="13"/>
  <c r="H20" i="13"/>
  <c r="M20" i="13"/>
  <c r="Q20" i="13"/>
  <c r="R20" i="13" s="1"/>
  <c r="E22" i="13"/>
  <c r="D41" i="3" s="1"/>
  <c r="H22" i="13"/>
  <c r="J22" i="13" s="1"/>
  <c r="H41" i="3" s="1"/>
  <c r="C23" i="13"/>
  <c r="E23" i="13"/>
  <c r="H23" i="13"/>
  <c r="I23" i="13" s="1"/>
  <c r="E24" i="13"/>
  <c r="C24" i="13" s="1"/>
  <c r="H24" i="13"/>
  <c r="J24" i="13" s="1"/>
  <c r="H43" i="3" s="1"/>
  <c r="E25" i="13"/>
  <c r="H25" i="13"/>
  <c r="J25" i="13"/>
  <c r="H44" i="3" s="1"/>
  <c r="E26" i="13"/>
  <c r="C26" i="13" s="1"/>
  <c r="H26" i="13"/>
  <c r="J26" i="13" s="1"/>
  <c r="H45" i="3" s="1"/>
  <c r="C27" i="13"/>
  <c r="E27" i="13"/>
  <c r="H27" i="13"/>
  <c r="D36" i="13"/>
  <c r="D37" i="13"/>
  <c r="D38" i="13" s="1"/>
  <c r="D41" i="13"/>
  <c r="E22" i="5" s="1"/>
  <c r="G41" i="13"/>
  <c r="D42" i="13"/>
  <c r="E17" i="4" s="1"/>
  <c r="A3" i="3"/>
  <c r="A4" i="3"/>
  <c r="A5" i="3"/>
  <c r="A6" i="3"/>
  <c r="A7" i="3"/>
  <c r="B12" i="3"/>
  <c r="C12" i="3" s="1"/>
  <c r="G12" i="3" s="1"/>
  <c r="H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A13" i="3"/>
  <c r="A14" i="3"/>
  <c r="A15" i="3"/>
  <c r="A16" i="3"/>
  <c r="A17" i="3"/>
  <c r="C17" i="3"/>
  <c r="D17" i="3"/>
  <c r="E17" i="3"/>
  <c r="F17" i="3"/>
  <c r="A18" i="3"/>
  <c r="C18" i="3"/>
  <c r="D18" i="3"/>
  <c r="E18" i="3"/>
  <c r="F18" i="3"/>
  <c r="G18" i="3"/>
  <c r="G19" i="3" s="1"/>
  <c r="G20" i="3" s="1"/>
  <c r="G21" i="3" s="1"/>
  <c r="A19" i="3"/>
  <c r="C19" i="3"/>
  <c r="D19" i="3"/>
  <c r="E19" i="3"/>
  <c r="F19" i="3"/>
  <c r="A20" i="3"/>
  <c r="C20" i="3"/>
  <c r="D20" i="3"/>
  <c r="E20" i="3"/>
  <c r="F20" i="3"/>
  <c r="A21" i="3"/>
  <c r="C21" i="3"/>
  <c r="D21" i="3"/>
  <c r="E21" i="3"/>
  <c r="F21" i="3"/>
  <c r="A22" i="3"/>
  <c r="C22" i="3"/>
  <c r="E22" i="3"/>
  <c r="F22" i="3"/>
  <c r="A23" i="3"/>
  <c r="C23" i="3"/>
  <c r="E23" i="3"/>
  <c r="F23" i="3"/>
  <c r="A24" i="3"/>
  <c r="C24" i="3"/>
  <c r="D24" i="3"/>
  <c r="E24" i="3"/>
  <c r="F24" i="3"/>
  <c r="A25" i="3"/>
  <c r="C25" i="3"/>
  <c r="E25" i="3"/>
  <c r="F25" i="3"/>
  <c r="A26" i="3"/>
  <c r="C26" i="3"/>
  <c r="E26" i="3"/>
  <c r="F26" i="3"/>
  <c r="A27" i="3"/>
  <c r="C27" i="3"/>
  <c r="D27" i="3"/>
  <c r="E27" i="3"/>
  <c r="F27" i="3"/>
  <c r="A28" i="3"/>
  <c r="C28" i="3"/>
  <c r="D28" i="3"/>
  <c r="E28" i="3"/>
  <c r="F28" i="3"/>
  <c r="A29" i="3"/>
  <c r="D29" i="3"/>
  <c r="E29" i="3"/>
  <c r="F29" i="3"/>
  <c r="A30" i="3"/>
  <c r="D30" i="3"/>
  <c r="E30" i="3"/>
  <c r="F30" i="3"/>
  <c r="A31" i="3"/>
  <c r="A32" i="3"/>
  <c r="A33" i="3"/>
  <c r="A34" i="3"/>
  <c r="A35" i="3"/>
  <c r="A36" i="3"/>
  <c r="A37" i="3"/>
  <c r="A38" i="3"/>
  <c r="A39" i="3"/>
  <c r="A40" i="3"/>
  <c r="A41" i="3"/>
  <c r="C41" i="3"/>
  <c r="E41" i="3"/>
  <c r="F41" i="3"/>
  <c r="A42" i="3"/>
  <c r="C42" i="3"/>
  <c r="D42" i="3"/>
  <c r="E42" i="3"/>
  <c r="F42" i="3"/>
  <c r="G42" i="3"/>
  <c r="A43" i="3"/>
  <c r="C43" i="3"/>
  <c r="E43" i="3"/>
  <c r="F43" i="3"/>
  <c r="G43" i="3"/>
  <c r="G44" i="3" s="1"/>
  <c r="G45" i="3" s="1"/>
  <c r="G46" i="3" s="1"/>
  <c r="A44" i="3"/>
  <c r="C44" i="3"/>
  <c r="E44" i="3"/>
  <c r="F44" i="3"/>
  <c r="A45" i="3"/>
  <c r="C45" i="3"/>
  <c r="D45" i="3"/>
  <c r="E45" i="3"/>
  <c r="F45" i="3"/>
  <c r="A46" i="3"/>
  <c r="C46" i="3"/>
  <c r="D46" i="3"/>
  <c r="E46" i="3"/>
  <c r="F46" i="3"/>
  <c r="A47" i="3"/>
  <c r="A48" i="3"/>
  <c r="A49" i="3"/>
  <c r="A50" i="3"/>
  <c r="A51" i="3"/>
  <c r="A52" i="3"/>
  <c r="A53" i="3"/>
  <c r="A54" i="3"/>
  <c r="I54" i="3"/>
  <c r="A55" i="3"/>
  <c r="A56" i="3"/>
  <c r="A57" i="3"/>
  <c r="A58" i="3"/>
  <c r="A59" i="3"/>
  <c r="A61" i="3"/>
  <c r="H1" i="2"/>
  <c r="A3" i="2"/>
  <c r="A4" i="2"/>
  <c r="A5" i="2"/>
  <c r="A6" i="2"/>
  <c r="A7" i="2"/>
  <c r="Q10" i="2"/>
  <c r="B13" i="2"/>
  <c r="C13" i="2" s="1"/>
  <c r="D13" i="2" s="1"/>
  <c r="E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A14" i="2"/>
  <c r="E14" i="2"/>
  <c r="A15" i="2"/>
  <c r="E15" i="2"/>
  <c r="A16" i="2"/>
  <c r="A17" i="2"/>
  <c r="E17" i="2"/>
  <c r="A18" i="2"/>
  <c r="E20" i="2"/>
  <c r="A21" i="2"/>
  <c r="A22" i="2"/>
  <c r="A23" i="2"/>
  <c r="A24" i="2"/>
  <c r="E24" i="2"/>
  <c r="A25" i="2"/>
  <c r="C25" i="2"/>
  <c r="A26" i="2"/>
  <c r="A27" i="2"/>
  <c r="A28" i="2"/>
  <c r="A29" i="2"/>
  <c r="A30" i="2"/>
  <c r="A31" i="2"/>
  <c r="A32" i="2"/>
  <c r="B34" i="2"/>
  <c r="A34" i="2" s="1"/>
  <c r="C34" i="2"/>
  <c r="E34" i="2"/>
  <c r="B35" i="2"/>
  <c r="C35" i="2"/>
  <c r="E35" i="2"/>
  <c r="B36" i="2"/>
  <c r="C36" i="2"/>
  <c r="A37" i="2"/>
  <c r="A38" i="2"/>
  <c r="A40" i="2"/>
  <c r="A41" i="2"/>
  <c r="A44" i="2"/>
  <c r="A45" i="2"/>
  <c r="A46" i="2"/>
  <c r="A47" i="2"/>
  <c r="A48" i="2"/>
  <c r="A50" i="2"/>
  <c r="A51" i="2"/>
  <c r="A53" i="2"/>
  <c r="A54" i="2"/>
  <c r="C56" i="2"/>
  <c r="C57" i="2"/>
  <c r="C58" i="2"/>
  <c r="C59" i="2"/>
  <c r="C60" i="2"/>
  <c r="E60" i="2"/>
  <c r="E61" i="2"/>
  <c r="A71" i="2"/>
  <c r="E71" i="2"/>
  <c r="A73" i="2"/>
  <c r="B13" i="1"/>
  <c r="A14" i="1"/>
  <c r="A15" i="1" s="1"/>
  <c r="H1" i="4" s="1"/>
  <c r="B14" i="1"/>
  <c r="B15" i="1"/>
  <c r="B16" i="1"/>
  <c r="B17" i="1"/>
  <c r="B18" i="1"/>
  <c r="B19" i="1"/>
  <c r="B20" i="1"/>
  <c r="E25" i="2" l="1"/>
  <c r="D43" i="3"/>
  <c r="D25" i="3"/>
  <c r="I26" i="13"/>
  <c r="J23" i="13"/>
  <c r="H42" i="3" s="1"/>
  <c r="C22" i="13"/>
  <c r="Q16" i="13"/>
  <c r="R16" i="13" s="1"/>
  <c r="K16" i="13"/>
  <c r="M16" i="13" s="1"/>
  <c r="C16" i="13"/>
  <c r="I16" i="13" s="1"/>
  <c r="J15" i="13"/>
  <c r="J14" i="13"/>
  <c r="J11" i="13"/>
  <c r="H24" i="3" s="1"/>
  <c r="C11" i="13"/>
  <c r="E10" i="13"/>
  <c r="S9" i="13"/>
  <c r="T9" i="13" s="1"/>
  <c r="C9" i="13"/>
  <c r="O8" i="13"/>
  <c r="I5" i="13"/>
  <c r="S4" i="13"/>
  <c r="T4" i="13" s="1"/>
  <c r="Q4" i="13"/>
  <c r="R4" i="13" s="1"/>
  <c r="O4" i="13"/>
  <c r="I4" i="13"/>
  <c r="I22" i="13"/>
  <c r="I18" i="13"/>
  <c r="I11" i="13"/>
  <c r="E36" i="2"/>
  <c r="I24" i="13"/>
  <c r="C19" i="13"/>
  <c r="I19" i="13" s="1"/>
  <c r="L12" i="13"/>
  <c r="N12" i="13" s="1"/>
  <c r="C12" i="13"/>
  <c r="S5" i="13"/>
  <c r="J4" i="13"/>
  <c r="A42" i="5"/>
  <c r="A26" i="5"/>
  <c r="A28" i="8"/>
  <c r="A26" i="8"/>
  <c r="E92" i="7"/>
  <c r="A22" i="5"/>
  <c r="A36" i="5"/>
  <c r="A45" i="5"/>
  <c r="A40" i="5"/>
  <c r="E37" i="5"/>
  <c r="A38" i="5"/>
  <c r="A46" i="5"/>
  <c r="A35" i="5"/>
  <c r="D9" i="1"/>
  <c r="A57" i="2"/>
  <c r="E16" i="2"/>
  <c r="G23" i="3"/>
  <c r="G24" i="3" s="1"/>
  <c r="G25" i="3" s="1"/>
  <c r="G26" i="3" s="1"/>
  <c r="G27" i="3" s="1"/>
  <c r="G28" i="3" s="1"/>
  <c r="G29" i="3" s="1"/>
  <c r="G30" i="3" s="1"/>
  <c r="G22" i="3"/>
  <c r="E38" i="2"/>
  <c r="I27" i="13"/>
  <c r="J27" i="13"/>
  <c r="H46" i="3" s="1"/>
  <c r="A16" i="1"/>
  <c r="A70" i="2"/>
  <c r="A49" i="2"/>
  <c r="A36" i="2"/>
  <c r="A35" i="2"/>
  <c r="E30" i="2"/>
  <c r="C25" i="13"/>
  <c r="D44" i="3"/>
  <c r="A63" i="2"/>
  <c r="A60" i="2"/>
  <c r="A58" i="2"/>
  <c r="A56" i="2"/>
  <c r="E18" i="4"/>
  <c r="E19" i="4"/>
  <c r="H17" i="3"/>
  <c r="A43" i="2"/>
  <c r="E62" i="2"/>
  <c r="K6" i="13"/>
  <c r="M6" i="13" s="1"/>
  <c r="S6" i="13"/>
  <c r="T6" i="13" s="1"/>
  <c r="Q6" i="13"/>
  <c r="H38" i="3"/>
  <c r="O6" i="13"/>
  <c r="C6" i="13"/>
  <c r="E7" i="13"/>
  <c r="A39" i="2"/>
  <c r="A62" i="2"/>
  <c r="A52" i="2"/>
  <c r="E37" i="2"/>
  <c r="E18" i="2"/>
  <c r="H39" i="3"/>
  <c r="N7" i="13"/>
  <c r="S17" i="13"/>
  <c r="T17" i="13" s="1"/>
  <c r="K17" i="13"/>
  <c r="M17" i="13" s="1"/>
  <c r="C17" i="13"/>
  <c r="I17" i="13" s="1"/>
  <c r="A61" i="2"/>
  <c r="A59" i="2"/>
  <c r="C13" i="13"/>
  <c r="P13" i="13"/>
  <c r="D26" i="3"/>
  <c r="L13" i="13"/>
  <c r="N13" i="13" s="1"/>
  <c r="J20" i="13"/>
  <c r="O21" i="13"/>
  <c r="C20" i="13"/>
  <c r="I20" i="13" s="1"/>
  <c r="S20" i="13"/>
  <c r="T20" i="13" s="1"/>
  <c r="E28" i="13"/>
  <c r="H47" i="3" s="1"/>
  <c r="I13" i="13"/>
  <c r="J13" i="13"/>
  <c r="H26" i="3" s="1"/>
  <c r="C8" i="13"/>
  <c r="I8" i="13" s="1"/>
  <c r="K8" i="13"/>
  <c r="M8" i="13" s="1"/>
  <c r="S8" i="13"/>
  <c r="T8" i="13" s="1"/>
  <c r="I6" i="13"/>
  <c r="E15" i="5"/>
  <c r="E26" i="5"/>
  <c r="I25" i="13"/>
  <c r="J12" i="13"/>
  <c r="H25" i="3" s="1"/>
  <c r="L10" i="13"/>
  <c r="N10" i="13" s="1"/>
  <c r="D23" i="3"/>
  <c r="I12" i="13"/>
  <c r="I9" i="13"/>
  <c r="T5" i="13"/>
  <c r="E43" i="5"/>
  <c r="E44" i="5"/>
  <c r="E33" i="5"/>
  <c r="P11" i="13"/>
  <c r="P21" i="13" s="1"/>
  <c r="H50" i="3" s="1"/>
  <c r="C10" i="13"/>
  <c r="I10" i="13" s="1"/>
  <c r="E40" i="5"/>
  <c r="E39" i="5"/>
  <c r="E25" i="5"/>
  <c r="E24" i="5"/>
  <c r="E23" i="5"/>
  <c r="A24" i="8"/>
  <c r="E82" i="7"/>
  <c r="E81" i="7"/>
  <c r="E80" i="7"/>
  <c r="A29" i="8"/>
  <c r="A17" i="8"/>
  <c r="A32" i="8"/>
  <c r="A31" i="8"/>
  <c r="A30" i="8"/>
  <c r="A33" i="8"/>
  <c r="E89" i="7"/>
  <c r="E88" i="7"/>
  <c r="A20" i="8"/>
  <c r="A21" i="8"/>
  <c r="A23" i="8"/>
  <c r="P44" i="6"/>
  <c r="O44" i="6"/>
  <c r="S10" i="13" l="1"/>
  <c r="T10" i="13" s="1"/>
  <c r="K10" i="13"/>
  <c r="M10" i="13" s="1"/>
  <c r="Q10" i="13"/>
  <c r="R10" i="13" s="1"/>
  <c r="N21" i="13"/>
  <c r="H51" i="3" s="1"/>
  <c r="H57" i="3" s="1"/>
  <c r="D8" i="1"/>
  <c r="H56" i="3"/>
  <c r="H58" i="3"/>
  <c r="H55" i="3"/>
  <c r="H53" i="3"/>
  <c r="H15" i="3"/>
  <c r="H14" i="3"/>
  <c r="E28" i="5"/>
  <c r="E27" i="5"/>
  <c r="E31" i="5"/>
  <c r="E30" i="5"/>
  <c r="E29" i="5"/>
  <c r="E18" i="5"/>
  <c r="K7" i="13"/>
  <c r="C7" i="13"/>
  <c r="I7" i="13" s="1"/>
  <c r="S7" i="13"/>
  <c r="Q7" i="13"/>
  <c r="R7" i="13" s="1"/>
  <c r="E14" i="4"/>
  <c r="E20" i="4"/>
  <c r="E21" i="4"/>
  <c r="Q44" i="6"/>
  <c r="P8" i="6" s="1"/>
  <c r="N44" i="6"/>
  <c r="E41" i="5"/>
  <c r="E19" i="2"/>
  <c r="H1" i="5"/>
  <c r="A17" i="1"/>
  <c r="A18" i="1" s="1"/>
  <c r="A19" i="1" s="1"/>
  <c r="A20" i="1" s="1"/>
  <c r="E21" i="13"/>
  <c r="E49" i="2" s="1"/>
  <c r="J21" i="13"/>
  <c r="H13" i="3" s="1"/>
  <c r="L21" i="13"/>
  <c r="R6" i="13"/>
  <c r="R21" i="13" s="1"/>
  <c r="E57" i="2" s="1"/>
  <c r="H31" i="3"/>
  <c r="E32" i="2"/>
  <c r="E31" i="2"/>
  <c r="E26" i="2"/>
  <c r="Q21" i="13" l="1"/>
  <c r="E56" i="2" s="1"/>
  <c r="H54" i="3"/>
  <c r="H59" i="3"/>
  <c r="H49" i="3"/>
  <c r="H52" i="3"/>
  <c r="E19" i="5"/>
  <c r="E20" i="5"/>
  <c r="E27" i="2"/>
  <c r="E28" i="2"/>
  <c r="E22" i="4"/>
  <c r="H32" i="3"/>
  <c r="H33" i="3"/>
  <c r="H34" i="3"/>
  <c r="H35" i="3"/>
  <c r="H36" i="3"/>
  <c r="H37" i="3"/>
  <c r="F1" i="10"/>
  <c r="E50" i="2"/>
  <c r="E51" i="2"/>
  <c r="M7" i="13"/>
  <c r="M21" i="13" s="1"/>
  <c r="K21" i="13"/>
  <c r="H48" i="3" s="1"/>
  <c r="T7" i="13"/>
  <c r="T21" i="13" s="1"/>
  <c r="E59" i="2" s="1"/>
  <c r="S21" i="13"/>
  <c r="E58" i="2" s="1"/>
  <c r="M48" i="5" l="1"/>
  <c r="P48" i="5"/>
  <c r="E29" i="2"/>
  <c r="E21" i="5"/>
  <c r="E52" i="2"/>
  <c r="E39" i="2"/>
  <c r="E23" i="4"/>
  <c r="Q48" i="5" l="1"/>
  <c r="Q9" i="5" s="1"/>
  <c r="O48" i="5"/>
  <c r="E42" i="2"/>
  <c r="E41" i="2"/>
  <c r="E40" i="2"/>
  <c r="E43" i="2"/>
  <c r="E53" i="2"/>
  <c r="E54" i="2"/>
  <c r="N48" i="5"/>
  <c r="O25" i="4"/>
  <c r="N25" i="4"/>
  <c r="Q25" i="4" l="1"/>
  <c r="Q9" i="4" s="1"/>
  <c r="P25" i="4"/>
  <c r="E44" i="2"/>
  <c r="E45" i="2"/>
  <c r="E46" i="2"/>
  <c r="E47" i="2"/>
  <c r="E48" i="2"/>
</calcChain>
</file>

<file path=xl/sharedStrings.xml><?xml version="1.0" encoding="utf-8"?>
<sst xmlns="http://schemas.openxmlformats.org/spreadsheetml/2006/main" count="1330" uniqueCount="476">
  <si>
    <t>Kopsavilkuma aprēķini pa darbu vai konstruktīvo elementu veidiem N.1.</t>
  </si>
  <si>
    <t>Celtniecības remontdarbi</t>
  </si>
  <si>
    <t>Būves nosaukums: Daudzdzīvokļu dzīvojamās mājas fasādes vienkāršotā atjaunošana</t>
  </si>
  <si>
    <t>Pasūtītājs: SIA "Liepājas namu apsaimniekotājs"</t>
  </si>
  <si>
    <t>Par kopējo summu, euro:</t>
  </si>
  <si>
    <t>Kopājā darbietilpība, c/h:</t>
  </si>
  <si>
    <t>Lokālās tāmes Nr.</t>
  </si>
  <si>
    <t>Darba veids vai konstruktīvā elementa nosaukums</t>
  </si>
  <si>
    <t>Darba ietilpība, (c/h)</t>
  </si>
  <si>
    <t>Tai skaitā</t>
  </si>
  <si>
    <t>Tāmes izmaksas (euro)</t>
  </si>
  <si>
    <t>Darba alga, (euro)</t>
  </si>
  <si>
    <t>Materiāli, (euro)</t>
  </si>
  <si>
    <t>Mehānismi, (euro)</t>
  </si>
  <si>
    <t>Kopā būvdarbi:</t>
  </si>
  <si>
    <t>Virsizdevumi:</t>
  </si>
  <si>
    <t>Peļņa:</t>
  </si>
  <si>
    <t>kopā</t>
  </si>
  <si>
    <t>bez PVN</t>
  </si>
  <si>
    <t>PVN:</t>
  </si>
  <si>
    <t>Pavisam kopā:</t>
  </si>
  <si>
    <t>Pārbaudīja:</t>
  </si>
  <si>
    <t>sertifikāta Nr.:</t>
  </si>
  <si>
    <t>Lokālā tāme Nr.:</t>
  </si>
  <si>
    <t>Ārsienu siltināšanas darbi</t>
  </si>
  <si>
    <t>daļas rasējumiem</t>
  </si>
  <si>
    <t>Tāmes izmaksas euro: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</si>
  <si>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</si>
  <si>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</si>
  <si>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</si>
  <si>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</si>
  <si>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</si>
  <si>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</si>
  <si>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</si>
  <si>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norma,
(c/h)</t>
  </si>
  <si>
    <t>Darba alga
(euro)</t>
  </si>
  <si>
    <t>Materiāli
(euro)</t>
  </si>
  <si>
    <t>Mehānismi
(euro)</t>
  </si>
  <si>
    <t>Kopā
(euro)</t>
  </si>
  <si>
    <t>Darbietilpība
(c/h)</t>
  </si>
  <si>
    <t>Summa
(euro)</t>
  </si>
  <si>
    <t>līg.c.</t>
  </si>
  <si>
    <t>Metāla nožogojuma montāža, h=2,0 m</t>
  </si>
  <si>
    <t>m</t>
  </si>
  <si>
    <t>Žogs 3,5×2m</t>
  </si>
  <si>
    <t>gb</t>
  </si>
  <si>
    <t>Pēda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</si>
  <si>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</si>
  <si>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</si>
  <si>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</si>
  <si>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</si>
  <si>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</si>
  <si>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</si>
  <si>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Parapetu skārda apšuvumu demontāža</t>
  </si>
  <si>
    <t>Ārsienas sagatavošana siltināšanai - virsmu notīrīšana un gruntēšana</t>
  </si>
  <si>
    <t>kg</t>
  </si>
  <si>
    <t>l</t>
  </si>
  <si>
    <t>Ārsienu  siltināšana ar akmensvati līmējot un piestiprinot to pie ārsienas ar mehāniskajiem stiprinājumiem</t>
  </si>
  <si>
    <t>gab</t>
  </si>
  <si>
    <t>Paligmateriāli</t>
  </si>
  <si>
    <t>komp</t>
  </si>
  <si>
    <t>m2</t>
  </si>
  <si>
    <t>Zemapmetuma PVC  ārējā stūra profila montāža</t>
  </si>
  <si>
    <t>šinas</t>
  </si>
  <si>
    <t>reģipsis</t>
  </si>
  <si>
    <t>Līmlente</t>
  </si>
  <si>
    <t>Iekšējo stūru armējums visā ēkas augstumā</t>
  </si>
  <si>
    <t>Stūra profils ar armējumu visā augstumā visos ēkas stūros</t>
  </si>
  <si>
    <t>Būvgružu savākšana un aizvešana</t>
  </si>
  <si>
    <t>m3</t>
  </si>
  <si>
    <t>Gružu konteiners</t>
  </si>
  <si>
    <t>Logu nomaiņa</t>
  </si>
  <si>
    <t>Tāmes izmaksas</t>
  </si>
  <si>
    <t>euro</t>
  </si>
  <si>
    <t>Esošo koka logu, tsk. ārdurvju demontāža</t>
  </si>
  <si>
    <t>Esošo skārda āra palodžu demontāža, b=0,25.</t>
  </si>
  <si>
    <t>Ārējo palodžu - skārda, montēšana  b=0,5m  (t.sk.1.st.lodžiju apakš. mala)</t>
  </si>
  <si>
    <t>PVC loga  bloks ar  stikla paketi krāsa - balta Stikla paketes 1. Stikla paketes ar siltuma caurlaidības koef.: Ug 1,0 w/m²×K. Rāmja siltuma caurlaidības koef.: Uf 1,1 W / m² K. Uw 1.0 W/m² K.2. PVC profilu ekspluatēšanas klimatiskā zona -zona S. 3. PVC profila montāžas dziļums ( profila biezums ) ≤ 78 mm</t>
  </si>
  <si>
    <t>Skaits</t>
  </si>
  <si>
    <t>A, m</t>
  </si>
  <si>
    <t>B, m</t>
  </si>
  <si>
    <t>Logu montāžas palīgmateriāli uz  apjomu</t>
  </si>
  <si>
    <t>montāžas skavas</t>
  </si>
  <si>
    <t>dibeļi</t>
  </si>
  <si>
    <t>montāžas puta</t>
  </si>
  <si>
    <t>skrūves</t>
  </si>
  <si>
    <t>hermētiķis SILIKON</t>
  </si>
  <si>
    <t>palodzes profils</t>
  </si>
  <si>
    <t>Apmetuma atjaunošana pēc logu nomaiņas telpu iekšpusē, remonts ap logu ailu.</t>
  </si>
  <si>
    <t/>
  </si>
  <si>
    <t>Pagraba siltināšana</t>
  </si>
  <si>
    <t>Gružu izvākšanam, grīdas attīrīšana</t>
  </si>
  <si>
    <t>m³</t>
  </si>
  <si>
    <t>Esošo koku k-ciju augšdaļas nozāģēšana par 0,15m (precizēt uz vietas)</t>
  </si>
  <si>
    <t>Nozāģēto sieniņu enkurošana pie griestiem (precizēt uz vietas)</t>
  </si>
  <si>
    <t>Dzelzsbetona pārsegumu notīrīšana, izlīdzināšana, sagatavošana siltināšanai</t>
  </si>
  <si>
    <t>Siltumizolācija</t>
  </si>
  <si>
    <t>Cokola siltināšanas darbi</t>
  </si>
  <si>
    <t>Betona plātņu noņemšana un atpakaļ atlikšana pēc siltinājuma iestrādes</t>
  </si>
  <si>
    <t>Cokola apmetuma nokalšana</t>
  </si>
  <si>
    <t>Cokola sienas sagatavošana siltināšanai - virsmu notīrīšana un gruntēšana,</t>
  </si>
  <si>
    <t>Jaunas šķidrās hidroizolācijas uzklāšana  visā siltinājuma augstumā</t>
  </si>
  <si>
    <t>Siltumizolācija Tenapor Extra Neo EPS 100 vai ekvivalents</t>
  </si>
  <si>
    <t>Dībeli EJOT H3 195mm vai ekvivalents</t>
  </si>
  <si>
    <t>Cokola apmešana ar apmetumu uz minerālšķiedru sieta (b=7mm) un krāsošana</t>
  </si>
  <si>
    <t>Cementa bāzes hidroizolācijas l=375*mm ieklāšana cokola daļā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</si>
  <si>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</si>
  <si>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</si>
  <si>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</si>
  <si>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</si>
  <si>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</si>
  <si>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 kārtas ieklāšana 50mm</t>
  </si>
  <si>
    <t>grants</t>
  </si>
  <si>
    <t>Bruģakmens 700mm biez.likšana 26gab/m²</t>
  </si>
  <si>
    <t>Betona bruģis</t>
  </si>
  <si>
    <t>Izsijas -50mm</t>
  </si>
  <si>
    <t>Bortakmens 80x200x1000  malas likšana 1gb/t.m</t>
  </si>
  <si>
    <t>Jumta atjaunošana</t>
  </si>
  <si>
    <t>kpl</t>
  </si>
  <si>
    <t>Ieejas mezglu atjaunošana</t>
  </si>
  <si>
    <t>Apkures sistēmas renovācija</t>
  </si>
  <si>
    <t>AVK</t>
  </si>
  <si>
    <t>Apkure. Koplietošanas cauruļvadi</t>
  </si>
  <si>
    <t>k-ts</t>
  </si>
  <si>
    <t>Metāla konstrukcijas cauruļvadu un iekārtu stiprināšanai</t>
  </si>
  <si>
    <t>Cauruļvadu un pievienojumu fasondetaļas un veidgabali</t>
  </si>
  <si>
    <t>Apkures sistēmas ieregulēšana, pārbaude un nodošana ekspluatācijā</t>
  </si>
  <si>
    <t>Ventilācijas sistēma</t>
  </si>
  <si>
    <t>Esošo ventilācijas kanālu (skursteņu, cuku) apskate, tīrīšana</t>
  </si>
  <si>
    <t>Esošo gaisa nosūces restīšu 250*×150* demontāža (virtuvēs un tualetēs)</t>
  </si>
  <si>
    <t>Gaisa nosūces restītes 250*×150*</t>
  </si>
  <si>
    <t>Cauruļvadu un metāla konstrukciju gruntēšana ar grunts krāsu GF-020 un krāsošana ar eļļas krāsu</t>
  </si>
  <si>
    <t>Ventilis lodveida; t=110°C; P=8 bar; Dn15; uzstādīšana</t>
  </si>
  <si>
    <t>Palīgmateriāli</t>
  </si>
  <si>
    <t>Perimetrs lentei, m</t>
  </si>
  <si>
    <t>aiļu apdares m², ailes platums</t>
  </si>
  <si>
    <t>palodzes, m</t>
  </si>
  <si>
    <t>Profili, m</t>
  </si>
  <si>
    <t>ALB-EB / Cokola profils 0,8 mm un 1.0 mm</t>
  </si>
  <si>
    <t>ALB-EW-US(01)-20 / Palodzes montāžas profils ar sietu</t>
  </si>
  <si>
    <t>ALB-EW-CS(01)-20 / Palodzes sāna pieslēguma profils</t>
  </si>
  <si>
    <t>tips</t>
  </si>
  <si>
    <t>skaits</t>
  </si>
  <si>
    <t>Loga izmērs, m</t>
  </si>
  <si>
    <t>Logu platība m²</t>
  </si>
  <si>
    <t>ārējās</t>
  </si>
  <si>
    <t>iekšējās</t>
  </si>
  <si>
    <t>ārējās</t>
  </si>
  <si>
    <t>esošie PVC</t>
  </si>
  <si>
    <t>maināmie koka</t>
  </si>
  <si>
    <t>L</t>
  </si>
  <si>
    <t>h</t>
  </si>
  <si>
    <t>1.gb.</t>
  </si>
  <si>
    <t>hidroizolācijas</t>
  </si>
  <si>
    <t>difūzijas</t>
  </si>
  <si>
    <t>L2</t>
  </si>
  <si>
    <t>L3</t>
  </si>
  <si>
    <t>L4</t>
  </si>
  <si>
    <t>L5</t>
  </si>
  <si>
    <t>L5 durvis</t>
  </si>
  <si>
    <t>Kāpņu telpas logs</t>
  </si>
  <si>
    <t>ALB-ED-C(01)-25 / Stūra profils ar lāseni un sietu</t>
  </si>
  <si>
    <t>ALB-EW-09-24 / Logu pielaiduma profils / 9 mm (ar sietu) 2.4m</t>
  </si>
  <si>
    <t>ALB-ED-C(02)-25 / Stūra profils ar lāseni, ar atsegtu kanti</t>
  </si>
  <si>
    <t>ALB-EW-06-24 / Logu pielaiduma profils / 6 mm (ar sietu)</t>
  </si>
  <si>
    <t>SILTINĀJUMU PLATĪBAS</t>
  </si>
  <si>
    <t>Apz.</t>
  </si>
  <si>
    <t>Apraksts</t>
  </si>
  <si>
    <t>Platība, m²</t>
  </si>
  <si>
    <t>Sienas siltinājums</t>
  </si>
  <si>
    <t>Sistēma</t>
  </si>
  <si>
    <t>S1 Vieglbetona paneļu ārējās sienas siltinājums</t>
  </si>
  <si>
    <t>AS1</t>
  </si>
  <si>
    <t>S4 Ārsienas siltinājums</t>
  </si>
  <si>
    <t>P2 Pagraba pārseguma siltinājums</t>
  </si>
  <si>
    <t>P3 Jumta siltinājums virs dzīvojamām telpām
(skatīt BK daļā)</t>
  </si>
  <si>
    <t>Tīrais apmetums</t>
  </si>
  <si>
    <t>Papildus armējums apkārrt  loga un durvju  ailām ar sietu , platums=0,3×0,5m, b=3mm</t>
  </si>
  <si>
    <t>Objekta nosaukums: fasādes vienkāršotā atjaunošana</t>
  </si>
  <si>
    <t>Objekta adrese: Tisē iela 75 Liepājā</t>
  </si>
  <si>
    <t>Pasūtījuma Nr.EA-08-16</t>
  </si>
  <si>
    <t>Lodžiju paneļu nostirpinājums</t>
  </si>
  <si>
    <t xml:space="preserve">   * ķīļenkuri M12, l=70; s=500; apakšējā leņķprofila stiprināšanai;  5 gab uz lodžiju</t>
  </si>
  <si>
    <t xml:space="preserve">   * liekta enkurdetaļa -4x50x230*,  s=500,  apšuvuma  apliekšanai, 5 gab uz lodžiju</t>
  </si>
  <si>
    <t xml:space="preserve">   * ķīļenkuri M10, l=60, 1 gab uz detaļu L50x6 stiprināšanai pie plātnes malas</t>
  </si>
  <si>
    <t xml:space="preserve">   * skārda apšuvums, b=0,23* m, lodžiju malai L=448 m; tonis pēc AR krāsu pases</t>
  </si>
  <si>
    <t xml:space="preserve">   * metāla detaļu pretkorozijas krāsojums</t>
  </si>
  <si>
    <t>Citi materiāli (malas siltinājums un Sendvič paneļi - AR apjomos):</t>
  </si>
  <si>
    <t xml:space="preserve">   * PVC stūra detaļa  zem lodžijas plātnes priekšējās malas siltinājuma </t>
  </si>
  <si>
    <t xml:space="preserve">   * mitruma izturīga OSB loksne, 30*(h)x110, zem "Sendvič" paneļa </t>
  </si>
  <si>
    <t xml:space="preserve">   * ķīļenkuri M10x50, s=500, loksnes nostiprināšanai pie paneļa, 5 gb uz lodž.</t>
  </si>
  <si>
    <t xml:space="preserve">   * PVC palodze uz elsatīgas starplikas, b=150* mm</t>
  </si>
  <si>
    <t xml:space="preserve">   * U-veida termoprofils, h=130, "Sendvič" paneļa augšas nosegšanai</t>
  </si>
  <si>
    <t xml:space="preserve">   * šuvju blīvējumi gar "Sendvič" paneli augšā un apakšā</t>
  </si>
  <si>
    <t xml:space="preserve">   * PVC stūra līstes no telpas puses, h=2.6* m, spraugu b=30÷50, nosegšanai</t>
  </si>
  <si>
    <t>Demontāžas darbi</t>
  </si>
  <si>
    <t>Ruberoīda seguma novākšana (pieņemts 3 kārtu segums, pamatplakne)</t>
  </si>
  <si>
    <t>Uzliektā ruberoīda seguma novākšana parapetiem (pieņemts 3 kārtas)</t>
  </si>
  <si>
    <t>Uzliektā ruberoīda seguma novākšana vēdināšanas izvadiem (pieņemts 3 kārtas)</t>
  </si>
  <si>
    <t>Vēdināšanas izvadu betona jumtiņu, 370(h)x600x2500, demontēšana; 24 gab</t>
  </si>
  <si>
    <t>Uzliektā ruberoīda seguma novākšana jumta lūkām (pieņemts 3 kārtas), 4 gab</t>
  </si>
  <si>
    <t>Skārda apšuvuma noņemšana no parapetiem</t>
  </si>
  <si>
    <t>Skārda apšuvuma noņemšana no vēdināšanas izvadiem (24 gab)</t>
  </si>
  <si>
    <t>Skārda apšuvuma noņemšana no jumta lūkām (4 gab)</t>
  </si>
  <si>
    <t>Skārda apšuvuma noņemšana no lodžiju jumtiņiem  (5.stāvs, kop.garums 90 m)</t>
  </si>
  <si>
    <t>Jumta sastāva novākšana līdz plātnes izlīdzinājumam (cem.java, siltinājums, b~18 cm)</t>
  </si>
  <si>
    <t>Uz jumta izvietoto sakaru kabeļu un to turētājbalstu demontāža (precizēt uz vietas)</t>
  </si>
  <si>
    <t>Slīpinājuma, 0÷0,250*, izbūve no keramzīta (Ø10÷20) uz attīrītas virsmas</t>
  </si>
  <si>
    <t>Cementa javas, b=30 mm, izlīdzinājums uz keramzīta slāņa, siets Ø3x150x150</t>
  </si>
  <si>
    <t>Noteku fragmentu nomaiņa pārseguma biezumā, h=300÷400*  (mezgls lapā BK-3)</t>
  </si>
  <si>
    <t>Noteku galvu nomaiņas komplekti  kopā ar stiprinājuma detaļām, nostiprināšana</t>
  </si>
  <si>
    <t>Jumta deflektoru, Ø150,  h=300, iestrāde jumtā (mezglslapā BK-3)</t>
  </si>
  <si>
    <t>Papildus jumta segums ap deflektoriem un šuvju hermetizēšana  (šuves L=17 m)</t>
  </si>
  <si>
    <t>Savietotā jumta enkuri siltinājuma un jumta seguma stiprināšanai:</t>
  </si>
  <si>
    <t xml:space="preserve"> * siltinājuma teleskopiskie enkuri R75x210 ar pašenk. skrūvi BN-5,6x80 (pēc shēmas) </t>
  </si>
  <si>
    <t xml:space="preserve"> * seguma teleskopiskie enkuri R45x210 ar pašenk. skrūvi BN-5,6x80 (pēc shēmas) </t>
  </si>
  <si>
    <t>Darbu apjomi jumta lūku atjaunošanau un jaunu izbūvei</t>
  </si>
  <si>
    <t xml:space="preserve">Jaunu jumta lūku izbūve; esošo jumta lūku atjaunošana </t>
  </si>
  <si>
    <t>Jaunu jumta lūku izbūve četrās kāpņu telpās (2.,4.,6.,8.sekcija, lapa BK-4):</t>
  </si>
  <si>
    <t xml:space="preserve">     * atvēruma, 660x660 mm, izzāģēšana jumta plātnē, b=120, 4 gab</t>
  </si>
  <si>
    <t xml:space="preserve">     * cementa javas izlīdzinoša josla, h=20; b=150, mūra sieniņu zonā 4 lūkām</t>
  </si>
  <si>
    <t xml:space="preserve">     * lūkas atvēruma nostiprināšana ar U-profilu Nr.12; kop.L=5.18 mx4 gb</t>
  </si>
  <si>
    <t xml:space="preserve">     * ķīļenkuri Ø12x120 U-profila stiprināšanai pie sienas, 5 gab uz lūku</t>
  </si>
  <si>
    <t xml:space="preserve">     * ķīļenkuri Ø10x60, U-profila stiprināšanai pie plātnes, 9 gab uz lūku</t>
  </si>
  <si>
    <t xml:space="preserve">     * plaukts L100x7, l=100, U-profila atbalstam, 1gb uz lūku, kop.L=0.4 m</t>
  </si>
  <si>
    <t xml:space="preserve">     * ķīļenkuri Ø12x120 plaukta stiprināšanai pie sienas, 1 gab uz detaļu</t>
  </si>
  <si>
    <t xml:space="preserve">     * lūkas atvēruma malu izlīdzināšana ar cementa javu, b=15 mm</t>
  </si>
  <si>
    <t xml:space="preserve">     * lūku pastiprinājuma zonas apšuvums ar ugunsdrošu ģipškartonu, pēc vietas </t>
  </si>
  <si>
    <t xml:space="preserve">     * tipveida metāla kāpņu (anal.esošām), b=600; h=2.7* m, montāža pie jumta lūkām</t>
  </si>
  <si>
    <t>(papildus jumta segums lūku sieniņu ārvirsmas nosegšanai - pie jumta apjomiem)</t>
  </si>
  <si>
    <t>Esošo jumta lūku atjaunošana (1.,3.,5.,7.sekcija):</t>
  </si>
  <si>
    <t xml:space="preserve">     * betona virsmas remonts pēc esošā apšuvuma noņemšanas (precizēt pēc vietas)</t>
  </si>
  <si>
    <t>(papildus jumta segums lūku sieniņu ārvisrmas nosegšanai - pie jumta apjomiem)</t>
  </si>
  <si>
    <t>Parapetu izbūves detaļas, skatīt lapu BK-3:</t>
  </si>
  <si>
    <t xml:space="preserve">  *esošo parapetu virsmas attīrīšana, izlīdzināšana pēc apšuvuma noņemšanas</t>
  </si>
  <si>
    <t xml:space="preserve">  *1 kārta Aeroc mūra, b=300, h=200, pa paneļu ārsienu, b=300, perimetru L=316 m</t>
  </si>
  <si>
    <t xml:space="preserve">  *enkuri Ø12; l=150, iestrādāti esošā sienā un ielaisti mūra kārtā 75 mm, s=600</t>
  </si>
  <si>
    <t xml:space="preserve">  *parapeta augšējās virsmas slīpināšana ar cementa javu, 0÷30 mm, uz jumta pusi </t>
  </si>
  <si>
    <t xml:space="preserve">  *vidējo parapetu, b=600, h=200, paugstināšana asīm F, K, P; L=28,2 m</t>
  </si>
  <si>
    <t>Parapetu, b=700, siltināšana, apšūšana pa asīm "F", "K", "P", L=28,2 m:</t>
  </si>
  <si>
    <t xml:space="preserve">  * uz parapeta enkurota, antiseptizēta lata 50x50 mm, l=700, s=600; 47 gab  </t>
  </si>
  <si>
    <t xml:space="preserve">  * enkuri Ø12x150  latu nostiprināšanai, 2 gab uz katru</t>
  </si>
  <si>
    <t xml:space="preserve">  * liektas enkurdetaļas -4x40, l=1000, s=600, skārda aplocīšanai, 47 gab</t>
  </si>
  <si>
    <t xml:space="preserve">  * parapeta apšuvums ar jumta skārdu,  toni skat. AR rasējumos</t>
  </si>
  <si>
    <t>Parapetu, b=550, siltināšana, apšūšana pa asīm "3", "4" (lodžiju puse); L=142,3 m:</t>
  </si>
  <si>
    <t xml:space="preserve">  * uz parapeta enkurota, antiseptizēta lata 50x50 mm, l=550, s=600; 237 gab  </t>
  </si>
  <si>
    <t xml:space="preserve">  * liektas enkurdetaļas -4x40, l=850, s=600, skārda aplocīšanai, 237 gab</t>
  </si>
  <si>
    <t>Parapetu, b=520, siltināšana, apšūšana pa asīm "A", "1", "2", "F", "V"; L=178,3 m:</t>
  </si>
  <si>
    <t xml:space="preserve">  * uz parapeta enkurota, antiseptizēta lata 50x50 mm, l=520, s=600; 297 gab  </t>
  </si>
  <si>
    <t xml:space="preserve">  * liektas enkurdetaļas -4x40, l=820, s=600, skārda aplocīšanai, 297 gab</t>
  </si>
  <si>
    <t>Vēdināšanas izvadu, 500x2400, atjaunošana:</t>
  </si>
  <si>
    <t xml:space="preserve">     * betona izvadu sānu un augšējās virsmas remonts, h=0,6*m</t>
  </si>
  <si>
    <t xml:space="preserve">     * rūpnieciski izgatavotu žalūziju tipa metāla "galvu", h=570*; 500*x2400*, montāža pie izvadu dz-b-na sieniņām, b=100, ar speciālu skavu palīdzību (pēc vietas precizēt izmērus un pielāgot nostiprinājumu), skat.lapu BK-4</t>
  </si>
  <si>
    <t xml:space="preserve">     * ekurojošas skrūves Ø10x150*, s=300, 16 gab uz izvadu</t>
  </si>
  <si>
    <t xml:space="preserve">     * hermetizēta šuve gar jumta seguma uzliekumu uz izvadu virsmas</t>
  </si>
  <si>
    <t>(papildus jumta segums izvadu sieniņu ārvirsmas pieslēgšanai - pie jumta apjomiem)</t>
  </si>
  <si>
    <t>Caurumoto sarkano māla ķieģeļu sienu demontāža pie ieejām, 2.2 m³ uz ieeju</t>
  </si>
  <si>
    <t>Betona lentveida pamatu demontāža zem ķieģeļu sienām,  0.7* m³ uz ieeju</t>
  </si>
  <si>
    <t>Minerālgrunts pildījums demontēto pamatu vietā</t>
  </si>
  <si>
    <t>Zālāja ierīkošana demontēto sienu zonā (pieņemts joslas platums 0.5 m)</t>
  </si>
  <si>
    <t>Ārējo ieeju atjaunoto jumtiņu dzegas malas remonts (8 jumtiņu. L=3,4* m):</t>
  </si>
  <si>
    <t xml:space="preserve">   * skārda apšuvuma atlocīšana gar jumtiņa priekšējo malu</t>
  </si>
  <si>
    <t xml:space="preserve">   * līmētā jumta seguma uzlocīšana skārda apšuvuma platumā (150* mm) </t>
  </si>
  <si>
    <t xml:space="preserve">   * skārda apšuvuma atpakaļnolocīšana uz jumtiņa virsmas</t>
  </si>
  <si>
    <t xml:space="preserve">   * uzlocītās jumta seguma joslas pielīmēšana, šuves hermetizēšana gar dzegu </t>
  </si>
  <si>
    <t>Ārējo ieeju atjaunoto jumtiņu pieslēgums pie siltinātas ārsienas:</t>
  </si>
  <si>
    <t xml:space="preserve">  * papildus seguma kārta, b=700 mm</t>
  </si>
  <si>
    <t xml:space="preserve">  * enkurota cinkota skārda noseglīste, b=100</t>
  </si>
  <si>
    <t xml:space="preserve">  * pieslēguma šuves hermetizēšana </t>
  </si>
  <si>
    <t>Esošās apkures sistēmas demontāža</t>
  </si>
  <si>
    <t>Polipropilēna caurules DN40 montāža, stiprināšana pie sienas</t>
  </si>
  <si>
    <t>Polipropilēna caurules DN32 montāža, stiprināšana pie sienas</t>
  </si>
  <si>
    <t>Polipropilēna caurules DN25 montāža, stiprināšana pie sienas</t>
  </si>
  <si>
    <t>Polipropilēna caurules DN20 montāža, stiprināšana pie sienas</t>
  </si>
  <si>
    <t>Polipropilēna caurules DN15 montāža, stiprināšana pie sienas</t>
  </si>
  <si>
    <t>Ventilis lodveida; t=110°C; P=8bar; Dn40; uzstādīšana</t>
  </si>
  <si>
    <t>Ventilis lodveida; t=110°C; P=8bar; Dn32; uzstādīšana</t>
  </si>
  <si>
    <t>Ventilis lodveida; t=110°C; P=8bar; Dn15; uzstādīšana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</si>
  <si>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</si>
  <si>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</si>
  <si>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</si>
  <si>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DN32→DN15,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</si>
  <si>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</si>
  <si>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</si>
  <si>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</si>
  <si>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</si>
  <si>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DN32 pagrieziens 90°</t>
  </si>
  <si>
    <t>Cauruļvadu slīdošie balsti ar pagarinājumiem un stiprinājumiem Dn32</t>
  </si>
  <si>
    <t>Atgaisotājs automātisks, t=110°C, P=9bar, uzstādīšana</t>
  </si>
  <si>
    <t>Cauruļvada DN40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</si>
  <si>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</si>
  <si>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DN32 un DN40 termokompensācijas balsts, izbūve caur sienu/ griestiem, hermetizācija, apmetuma un krāsojuma atjaunošana</t>
  </si>
  <si>
    <t>Apkures sistēmas ieregulēšana pārbaude un nodošana ekspluatācijā</t>
  </si>
  <si>
    <t>Dzīvokļa siltuma uzskaites mezgls (pavisam 120 dzīvokļi)</t>
  </si>
  <si>
    <t>Ventilis lodveida; t=110°C; P=8 bar; Dn15, montāža</t>
  </si>
  <si>
    <t>Netīrumu savācējs; t=110°C; P=8bar; Dn15, montāža</t>
  </si>
  <si>
    <t>Slēdzams skapis 300*×350*×500* (siltuma skaitītāja uzstādīšanai)</t>
  </si>
  <si>
    <t>Divistabu dzīvoklim Nr.1; 4; 7; 10; 13; 31; 34; 37; 40; 43</t>
  </si>
  <si>
    <t>Specifikācija dota vienam dzīvoklim, pavisam 10 šādi dzīvokļi</t>
  </si>
  <si>
    <t>Tērauda presējamā cinkota caurule DN15, montāža, stiprināšana pie sienas</t>
  </si>
  <si>
    <t>Tērauda presējamās cinkotas caurules pagrieziens 90°, DN15, montāža</t>
  </si>
  <si>
    <t>Tērauda presējamās cinkotas caurules  trejgabals DN15, montāža</t>
  </si>
  <si>
    <t>Cauruļvada Dn15 temokompensējošs balsts, izbūve caur sienu, hermetizācija, apmetuma un krāsojuma atjaunošana</t>
  </si>
  <si>
    <t>Vienistabas dzīvoklim Nr.2; 5; 8; 11; 14; 32; 35; 38; 41; 44; 62; 65; 68; 71; 74; 92; 95; 98; 101; 104</t>
  </si>
  <si>
    <t>Specifikācija dota vienam dzīvoklim, pavisam 20 šādi dzīvokļi</t>
  </si>
  <si>
    <t>Tērauda presējamās cinkotas caurules trejgabals DN15, montāža</t>
  </si>
  <si>
    <t>Trīsistabu dzīvoklim Nr.3; 6; 9; 12; 15; 33; 36; 39; 42; 45; 63; 66; 69; 72; 75; 93; 96; 99; 102; 105</t>
  </si>
  <si>
    <t>Divistabu dzīvoklim Nr.16; 19; 22; 25; 28; 46; 49; 52; 55; 58; 61; 64; 67; 70; 73; 76; 79; 82; 85; 88; 91; 94; 97; 100; 103; 106; 109; 112; 115; 118</t>
  </si>
  <si>
    <t>Specifikācija dota vienam dzīvoklim, pavisam 30 šādi dzīvokļi</t>
  </si>
  <si>
    <t>Divistabu dzīvoklim Nr.17; 20; 23; 26; 29; 47; 50; 53; 56; 59; 77; 80; 83; 86; 89; 107; 110; 113; 116; 119</t>
  </si>
  <si>
    <t>Četristabu dzīvoklim Nr.18; 21; 24; 27; 30; 48; 51; 54; 57; 60; 78; 81; 84; 87; 90</t>
  </si>
  <si>
    <t>Specifikācija dota vienam dzīvoklim, pavisam 15 šādi dzīvokļi</t>
  </si>
  <si>
    <t>Četristabu dzīvoklim Nr.108; 111; 114; 117; 120</t>
  </si>
  <si>
    <t>Specifikācija dota vienam dzīvoklim, pavisam 5 šādi dzīvokļi</t>
  </si>
  <si>
    <t>Grunts hidroizolācijai</t>
  </si>
  <si>
    <t>bitumena bāzes hidroizolācijas uzklāšana vai ekvivalents</t>
  </si>
  <si>
    <t>L1</t>
  </si>
  <si>
    <t>L3 durvis</t>
  </si>
  <si>
    <t>L7</t>
  </si>
  <si>
    <t>L9</t>
  </si>
  <si>
    <t>Pagraba logs</t>
  </si>
  <si>
    <t xml:space="preserve">D1 Projektētas cinkotas (biez. 80 mikroni) metāla  ārdurvis ar rokturi, eņģēm, ar atslēgu, žalūziju augšējā daļā. krāsojums ar pulverkrāsojumu tonis RAL 8028 </t>
  </si>
  <si>
    <t>L8, malās ar papildus pildiņiem</t>
  </si>
  <si>
    <t>kmpl.</t>
  </si>
  <si>
    <t>M1</t>
  </si>
  <si>
    <t>M2</t>
  </si>
  <si>
    <t>M3</t>
  </si>
  <si>
    <t>M4</t>
  </si>
  <si>
    <t>M5</t>
  </si>
  <si>
    <t>M6</t>
  </si>
  <si>
    <t>Sienas paneļa montāža b=120mm Siltumizolācijas ķim sastāvs PUR poliuretāns lambda 0,023 Bs2 do. Metāla biezums iekšējā/ārējā mm 0,4/0,5. Tērauda marka S280 GD. Cinks tēraudam gr/m² 225-275. Izolācijas paneļa Izstrādājuma svars kg/m² ~12. Ārējais pārklājums: PES/RAL atbilstoši krāsu pasei 25 mikr. Iekšpuses pārklājums: PES RAL 9002. Siltumpretestības vērtība W(m²×K): 0,18. Siltumvadītspējas koeficients w/m×k 0,023. Ārējā ugunsizturība: Bs2-do. Uguns noturība EI15. Skaņas izolācija db 26,</t>
  </si>
  <si>
    <t>nostiprinājuma spec skrūves</t>
  </si>
  <si>
    <t>vate 10-20mm cietā</t>
  </si>
  <si>
    <t>krāsa, balta pusmatēta</t>
  </si>
  <si>
    <t>Tiešās izmaksas kopā, t. sk. darba devēja sociālais nodoklis (%)</t>
  </si>
  <si>
    <t>Sastādīja</t>
  </si>
  <si>
    <t>(paraksts un tā atšifrējums, datums)</t>
  </si>
  <si>
    <t>Pārbaudīja</t>
  </si>
  <si>
    <t>Sertifikāta Nr.</t>
  </si>
  <si>
    <t xml:space="preserve">  grunts</t>
  </si>
  <si>
    <t>java</t>
  </si>
  <si>
    <t xml:space="preserve">       Metāla sieta Ø3, 50x50 mm </t>
  </si>
  <si>
    <t xml:space="preserve">Java </t>
  </si>
  <si>
    <t xml:space="preserve">Bloki </t>
  </si>
  <si>
    <t>Melnzeme</t>
  </si>
  <si>
    <t>zālāju sēklas</t>
  </si>
  <si>
    <r>
      <rPr>
        <sz val="8"/>
        <rFont val="Arial"/>
        <family val="2"/>
        <charset val="186"/>
      </rPr>
      <t>Darba samaksas likme (euro/h)</t>
    </r>
  </si>
  <si>
    <t>S3 Pamatu sienu siltinājums</t>
  </si>
  <si>
    <t>P1
Siltinājums zem pirmā 
stāva lodžijām</t>
  </si>
  <si>
    <t>S2 Vieglbetona paneļu ārējās sienas siltinājums</t>
  </si>
  <si>
    <t>Siltumizolācija pielietotajām sistēmām</t>
  </si>
  <si>
    <t>Sastatņu montēšana, t.sk. siets un nosegjumtiņi</t>
  </si>
  <si>
    <t>nosegsiets</t>
  </si>
  <si>
    <t>nosegjumtiņi</t>
  </si>
  <si>
    <t>Esošo lodžiju margu demontāža</t>
  </si>
  <si>
    <t>Grunts atrrakšanas darbi 1,2m dziļumā,1000 mm platumā</t>
  </si>
  <si>
    <t>Tranšejas aizbēršana ar minerālgrunti pēc siltināšanas darbu veikšanas</t>
  </si>
  <si>
    <t xml:space="preserve">Bīocīdu preparāts </t>
  </si>
  <si>
    <t>Dībeli virsmas klasifikācija ETA A,B,C,D,E, galvas Ø60, nagla tērauda Ø8-10, Punkta siltumatdeves koeficients 0,002 W/K, min iestrādes dziļums &gt;25mm, vai ekvivalents 255mm</t>
  </si>
  <si>
    <t>Dībeli virsmas klasifikācija ETA A,B,C,D,E, galvas Ø60, nagla tērauda Ø8-10, Punkta siltumatdeves koeficients 0,002 W/K, min iestrādes dziļums &gt;25mm, vai ekvivalents 215mm</t>
  </si>
  <si>
    <r>
      <rPr>
        <b/>
        <sz val="8"/>
        <rFont val="Arial"/>
        <family val="2"/>
        <charset val="186"/>
      </rPr>
      <t>ARun BK</t>
    </r>
  </si>
  <si>
    <t>Silikona homogēnais apmetums Sakret SIP vai ekvivalents, 1mm graudu lielums</t>
  </si>
  <si>
    <t>Siltumizolācija sienām 30mm</t>
  </si>
  <si>
    <t>Cauruļvada DN40 siltumizolācijas čaula, b=&gt;50mm, l=0.040 W/K×m², caurules siltumizolēšana</t>
  </si>
  <si>
    <t>Cauruļvada DN32 siltumizolācijas čaula, b=&gt;50mm, l=0.040 W/K×m², caurules siltumizolēšana</t>
  </si>
  <si>
    <t>Cauruļvada DN32 siltumizolācijas čaula, b=&gt;30mm, l=0.040 W/K×m², caurules siltumizolēšana</t>
  </si>
  <si>
    <t>Cauruļvada DN25 siltumizolācijas čaula, b=&gt;30mm, l=0.040 W/K×m², caurules siltumizolēšana</t>
  </si>
  <si>
    <t>Cauruļvada DN20 siltumizolācijas čaula, b=&gt;30mm, l=0.040 W/K×m², caurules siltumizolēšana</t>
  </si>
  <si>
    <t>Cauruļvada DN15 siltumizolācijas čaula, b=&gt;30mm, l=0.040 W/K×m², caurules siltumizolēšana</t>
  </si>
  <si>
    <r>
      <t>Darbu apjomi ēkas ieejas mezglu lokālam reontam</t>
    </r>
    <r>
      <rPr>
        <sz val="8"/>
        <rFont val="Arial"/>
        <family val="2"/>
        <charset val="186"/>
      </rPr>
      <t xml:space="preserve"> (norādes lapā VAS-2)</t>
    </r>
  </si>
  <si>
    <r>
      <t xml:space="preserve">Savietotā jumta sastāva atjaunošana </t>
    </r>
    <r>
      <rPr>
        <sz val="8"/>
        <rFont val="Arial"/>
        <family val="2"/>
        <charset val="186"/>
      </rPr>
      <t>(lapa BK-2)</t>
    </r>
  </si>
  <si>
    <t>Metāla karoga kāta turētāja montāža atbilstoši specifikācijai</t>
  </si>
  <si>
    <t>ml</t>
  </si>
  <si>
    <t>Plāksne -5, 1.gb</t>
  </si>
  <si>
    <t>Plāksne -3x50, 1.gb</t>
  </si>
  <si>
    <t>∅48.3x3, 2.gb</t>
  </si>
  <si>
    <t>M12 ķīmiskie dībeļi ar uzgriežņiem, l=280mm, 3.gb</t>
  </si>
  <si>
    <t>Pretkorozijas krāsojums, un metāla krāsa</t>
  </si>
  <si>
    <t>Ultraskaņas siltuma skaitītājs "Danfoss" Sonometer 1100 (vai ekvivalents) ar iebūvētu distancētas "Hydro-radio" datu nolasīšanas sistēmu (frekvenca 868 MHz), Tmax 105°C, Pmax 10bar; Qnom=0,6m³/st; Min. ūdens caurplūde (Qmin) H/V=6/12 l/st; Max. ūdens caurplūde Qmax=1200 l/st; Ūdens t° diapazons: 1÷90°C</t>
  </si>
  <si>
    <t>t.sk. darba aizsardzība</t>
  </si>
  <si>
    <t>Hidroizolācijas lentas iestrade pie logu un ventilācijas restu izbūves</t>
  </si>
  <si>
    <t>Difūzijas lentas iestrade pie logu un ventilācijas restu izbūves</t>
  </si>
  <si>
    <t xml:space="preserve">Apmetuma sistēma virs siltinājuma (AS-1), Gruntējums esoša dz-betona starpsiena b=160mm, Gruntējums Apmetuma sistēma virs siltinājuma (AS-1) </t>
  </si>
  <si>
    <t>AS2</t>
  </si>
  <si>
    <t>Jaunu iekštelpu PVC palodžu montēšana, b=250mm.</t>
  </si>
  <si>
    <t>Apmetuma sistēma virs siltinājuma (AS-1); grunts; siltinājums - akmensvate (PAROC Linio 10 vai  ekviv.)  λ=0,036W/m×K, b=200mm; līmjava; grunts; esošā siena - vieglbetona panelis,b=250mm</t>
  </si>
  <si>
    <t>Apmetuma sistēma virs siltinājuma (AS-1); grunts; siltinājums - akmensvate (PAROC Linio 10 vai  ekviv.)  λ=0,036W/m×K, b=150mm; līmjava; grunts; esošā siena - vieglbetona panelis,b=250mm</t>
  </si>
  <si>
    <t xml:space="preserve">Atjaunotā betona kārta b=40mm, Esošais dz-betona pārsegums b=220mm, Līmjava, Siltinājums PAROC Linio 10 vai ekvivalents λ=0,036W/m×K b=150mm, Līmjava uz stiklšķiedras sieta b=10mm, Ārējā apdare(krāsots struktūrapmetums )   </t>
  </si>
  <si>
    <t xml:space="preserve">   * bultskrūvju komplekti M12, l=180*, 1 gab uz 2 atbalstplauktiem vidējā sienā</t>
  </si>
  <si>
    <t xml:space="preserve">   * ķīļenkuri Ø12, l=105, 1 gab uz malējo atbalstplauktu malējā sienā</t>
  </si>
  <si>
    <t xml:space="preserve">   * metāla augšjosla L110x70x6,5 vidējām lodžijām, l=3050 m, 40 gb</t>
  </si>
  <si>
    <t xml:space="preserve">   * metāla augšjosla L110x70x6,5 malējām lodžijām,  l=2890 m, 100 gb</t>
  </si>
  <si>
    <t xml:space="preserve">   * metāla detaļa L110x70x6,5; l=100; s=500, uz plātnes, 5 gb uz lodž., 700 gb</t>
  </si>
  <si>
    <t xml:space="preserve">   * metāla detaļa L50x6 pie lodžijas plātnes priekšmalas, s=500; 5 gab uz lodžiju; 700 gb</t>
  </si>
  <si>
    <t>0.18</t>
  </si>
  <si>
    <t xml:space="preserve">   * antiseptizēta koka detaļa 50x50x100(h), skrūvēta pie L50x6, 5 gb uz lodž.</t>
  </si>
  <si>
    <t xml:space="preserve">   * mitruma izt.finiera josla, b=15, h=100, lodžijas plātnes priekšmalai</t>
  </si>
  <si>
    <t xml:space="preserve">   * lodžijas plātnes augšējās betona virsmas atjaunošana pēc Sakret tehn. </t>
  </si>
  <si>
    <t>Lodžijas grīdas segumu ieklāšana - pēc dzīvokļu īpašnieku izvēles</t>
  </si>
  <si>
    <t>Lodžiju margu metāla detaļas, nesošo sienu solis s=3,2 m. Ēkā ir 40 lodžijas ar tīro garumu 3,05m (vidējās) un 100 lodžijas ar l=2,89 m (malējās), (sk.BK-5)</t>
  </si>
  <si>
    <t xml:space="preserve">   * leņķveida plaukts L75x6; l=100; stiprināts pie lodžijas sienas, 2 gab uz lodžiju; kopā 280 gb</t>
  </si>
  <si>
    <t>betons b15</t>
  </si>
  <si>
    <t xml:space="preserve">  * pie latām stiprināta mitruma izturīgā finiera plātne, d=18 mm; b=700 mm  </t>
  </si>
  <si>
    <t xml:space="preserve">  * pie latām stiprināta mitruma izturīgā finiera plātne, d=18 mm; b=550 mm  </t>
  </si>
  <si>
    <t xml:space="preserve">  * pie latām stiprināta mitruma izturīgā finiera plātne, d=18 mm; b=520 mm  </t>
  </si>
  <si>
    <t>Finanšu rezerve</t>
  </si>
  <si>
    <t>Sastādīja:</t>
  </si>
  <si>
    <t>būvprakses sertifikāts Nr.</t>
  </si>
  <si>
    <t>Tāme sastādīta</t>
  </si>
  <si>
    <t>Tāme sastādīta .gada tirgus cenās, pamatojoties uz:</t>
  </si>
  <si>
    <t>Stūra profils  EC S vai ekvivalents</t>
  </si>
  <si>
    <t>Loga pielaiduma profils EW vai ekvivalents</t>
  </si>
  <si>
    <t>Stūra lāsenis ED CO2 vai ekvivalents</t>
  </si>
  <si>
    <t>Palodzes montāžas profils EW US01 vai ekvivalents</t>
  </si>
  <si>
    <t>Cokola profils EB PVC VARIO 220 vai ekvivalents</t>
  </si>
  <si>
    <t>R2 cinkotas žalūzijas karstā cinkošana 60mikroni</t>
  </si>
  <si>
    <t>R3 cinkotas žalūzijas karstā cinkošana 60mikroni</t>
  </si>
  <si>
    <t>Apmetuma sistēma virs siltinājuma (AS-1), b=7mm; grunts; putupolistirola plāksne, Tenapors Neo EPS100 vai ekvivalents λ=0,031W/m×K,b=120mm; līmjava; vertikālā hidroizolācija; grunts; esošā  siena -ribotais panelis, b=350/140mm</t>
  </si>
  <si>
    <t>Esošs grīdas sastāvs, b=80mm, esošais dz-betona pārsegums, b=220mm; līmjava; akmensvates lamele ekviv. Paroc CGL 20 CY vai ekvivalents 0,037W/m×K, b=150mm;</t>
  </si>
  <si>
    <t>Polimēra membrānas jumta segums; akmensvate, PAROC ROB 80 vai ekvivalents, 0,038W/m×K), b=20mm; akmensvate (ekvivalents PAROC ROS 30g vai ekvivalents, 0,036W/m×K), b=140mm; akmensvate (PAROC ROS 30 vai ekvivalents, 0,036W/m×K), b=140mm; tvaika izolācija; esošais dz-betona pārsegums, b=220mm</t>
  </si>
  <si>
    <r>
      <t xml:space="preserve">Grunts </t>
    </r>
    <r>
      <rPr>
        <b/>
        <sz val="8"/>
        <rFont val="Arial"/>
        <family val="2"/>
        <charset val="186"/>
      </rPr>
      <t xml:space="preserve">Sakret UG (jāšķaida 1:3) </t>
    </r>
    <r>
      <rPr>
        <sz val="8"/>
        <rFont val="Arial"/>
        <family val="2"/>
        <charset val="186"/>
      </rPr>
      <t>vai ekvivalents</t>
    </r>
  </si>
  <si>
    <t>Virsmas apstrāde ar biocīdu, Sakret GFR  (vietās kur nepieciešams) vai ekvivalents</t>
  </si>
  <si>
    <r>
      <t xml:space="preserve">Grunts </t>
    </r>
    <r>
      <rPr>
        <b/>
        <sz val="8"/>
        <rFont val="Arial"/>
        <family val="2"/>
        <charset val="186"/>
      </rPr>
      <t>Sakret UG (jāšķaida 1:3) vai ekvivalents</t>
    </r>
  </si>
  <si>
    <t>Līmjava Sakret BK vai ekvivalents</t>
  </si>
  <si>
    <t>Durvju un logu aiļu apdare ar akmensvates plātnēm (Paroc Linio 15 vai ekvivalents)  b=30mm,platums~ 0,15m*</t>
  </si>
  <si>
    <t>Grunts Sakret PG vai ekvivalents</t>
  </si>
  <si>
    <t>Līmjava Sakret BAK vai ekvivalents</t>
  </si>
  <si>
    <t xml:space="preserve">1. meh. klases apmetuma izveidošana: 1 kārtas armējošās javas un armējošā stikla šķiedras sieta uzklāšana, zemapmetuma grunts uzklāšana, dekoratīvā gatavā silikona apmetuma ar tonējumu uznešana </t>
  </si>
  <si>
    <t>Siets stikla šķiedra no “E” tipa bezsārmu alumoborsilikātu stikla šķiedras diegiem 160gr/m²</t>
  </si>
  <si>
    <t>Logu un durvju aiļu ārējo stūru armēšana ar sietu papildus sietu ailes platumā no ailes un ailē (Valmieras E-stikls vai ekvivalents) stiepes izturība &gt;200N/5cm, Struktūras stabilitāte &gt;22%, Atbilst REACH, sieta acojuma lielums 4×4mm.</t>
  </si>
  <si>
    <t>Divkomponentu ķīmiskā masa (Hilti HIT-HY 70 vai ekvivalents)</t>
  </si>
  <si>
    <t xml:space="preserve">Tāme sastādīta </t>
  </si>
  <si>
    <t xml:space="preserve">D2 Projektētas ALU stiklotas ārdurvis ar siltinājumu, rokturi, eņģēm, ar pašaizvēršanās mehānismu, speciālām  blīvgumijām un piedurlīstēm, vienpuktu slēdzeni un mehānisko koda atslēgu. siltuma caurlaidības koef.: 1,6 w/m²×K
tonis RAL 8028 , ar stiklojumu, stikla paketes PONZO PE 68HI vai ekvivalents, 
2K4+4Low E+16Alu+Argons; Panel RAL 26MM </t>
  </si>
  <si>
    <t>R1 ventilācijas vārsta komplkets Vilpe vai ekvivalents</t>
  </si>
  <si>
    <t>ventilācijas vārstu montāža logu veramajās daļā Ventsys vai ekvivalents</t>
  </si>
  <si>
    <t>perlfix knauf vai ekvivalents montāžas līme</t>
  </si>
  <si>
    <t>KNAUF Super Finish Universālā vai ekvivalents gatavā špaktele</t>
  </si>
  <si>
    <t>Grunts Sakret UG (jāšķaida 1:3) vai ekvivalents</t>
  </si>
  <si>
    <t>Armējošā līmjava Sakret BAK vai ekvivalents</t>
  </si>
  <si>
    <t>Siets stikla šķiedra SSA-1363-160 vai ekvivalents</t>
  </si>
  <si>
    <t>Grunts Sakret QG (patēriņš palielināts 0,6kg/m2) vai ekvivalents</t>
  </si>
  <si>
    <t>Granīta apmetums Sakret GAP vai ekvivalents</t>
  </si>
  <si>
    <t>AQUAFIN-2K/M, 2mm vai ekvivalents</t>
  </si>
  <si>
    <t xml:space="preserve">   * hidroizlācijas lenta, b=110, zem OSB starplikas </t>
  </si>
  <si>
    <t xml:space="preserve">   * skārda palodze, b=150, pēc stiklojuma uzstādīšanas</t>
  </si>
  <si>
    <t xml:space="preserve">   * lodžijas plātnes priekšmalas betona virsmas atjaunošana pēc Sakret vai ekvivalents tehn. </t>
  </si>
  <si>
    <t xml:space="preserve">   * lodžijas plātnes apakšējās betona virsmas atjaunošana pēc Sakret vai ekvivalents tehn. </t>
  </si>
  <si>
    <t>Tvaika izolācijas, Paroc XMV 001 vai ekvivalents, ieklāšana ar uzliekumu uz sienām u.c., h=0,3 m</t>
  </si>
  <si>
    <t>Akmens vate, ROS 30g vai ekvivalents (0,036W/m×K), b=100+150=250 mm - apakšējā kārta</t>
  </si>
  <si>
    <t>Cietā akmens vate, ROB 60 vai ekvivalents (0,038W/m×K), b=30 mm - augšējā kārta</t>
  </si>
  <si>
    <t>Ekstrudētais putupolistirols, Ecoprim XES 200j vai ekvivalents, b=250, Ø500, ap piltuvēm</t>
  </si>
  <si>
    <t>PVC jumta segums (enkurus skat.22.punktā)</t>
  </si>
  <si>
    <t>Papildus PVC jumta segums, parapetiem (ar uzliekumu)</t>
  </si>
  <si>
    <t>Papildus PVC jumta segums, lūku, izvadu pieslēgumiem</t>
  </si>
  <si>
    <t>Papildus PVC jumta segums, ap noteku pieslēgumiem</t>
  </si>
  <si>
    <t>Jumta metāla margu atbalstīšana; h=600</t>
  </si>
  <si>
    <t xml:space="preserve">     * Aeroc vai ekvivalents bloku mūra sieniņas, b=150; h=600, pa lūku perimetru, 1 šuve stiegrota</t>
  </si>
  <si>
    <t xml:space="preserve">     * Aeroc vai ekvivalents bloku mūra sieniņas apmetums, b=15, no telpas puses</t>
  </si>
  <si>
    <t xml:space="preserve">  * akmens vate, b=50, Paroc ROS 60 vai ekvivalents, parapeta sānu virsmai, h=250,  augšai, b=700</t>
  </si>
  <si>
    <t xml:space="preserve">  * akmens vate, b=50, Paroc ROS 60 vai ekvivalents, parapeta sānu virsmai, h=250,  augšai, b=550</t>
  </si>
  <si>
    <t xml:space="preserve">  * akmens vate, b=50, Paroc ROS 60 vai ekvivalents, parapeta sānu virsmai, h=250,  augšai, b=520</t>
  </si>
  <si>
    <t xml:space="preserve">     * siltinātas, ugunsdr.lūkas, EI60; 0,6x0,6x0,2m; iebūve</t>
  </si>
  <si>
    <t>Remontējama betona virsma balstiem zem puķu kastēm, "Sika" vai ekvivalents tehnoloģijai</t>
  </si>
  <si>
    <t>Remontējama betona virsma ieeju laukumiem, pakāpieniem, "Sika" vai ekvivalents tehnoloģijai</t>
  </si>
  <si>
    <t xml:space="preserve">  * cokola profils, ALB-EB-PVC180-20 vai ekvivalents, zem ārsienas siltinājuma  (skat.AR)</t>
  </si>
  <si>
    <t xml:space="preserve">  * ārsienas siltinājums, EPS 150 vai ekvivalents, λ=0,034W/m×K, b=150, h=150</t>
  </si>
  <si>
    <t xml:space="preserve">  * stūra detaļa, Paroc ROB 50 vai ekvivalents</t>
  </si>
  <si>
    <t>Automātiskais balansējošais vārsts ASV - BD, Dn25; t=110°C; P=8bar firmas "Danfoss" vai ekvivalents, uzstādīšana, ieregulēšana</t>
  </si>
  <si>
    <t>Automātiskais balansējošais vārsts ASV - PV, Dn25; t=110°C; P=8bar firmas "Danfoss" vai ekvivalents, uzstādīšana, ieregulēšana</t>
  </si>
  <si>
    <t>Cauruļvadu un metāla konstrukciju gruntēšana ar grunts krāsu GF-020 vai ekvivalents un krāsošana ar eļļas krāsu</t>
  </si>
  <si>
    <t>Svaiga gaisa vārsts, montāža ārsienā, t.sk. atvērumu izveide SPK-125 vai ekvivalents</t>
  </si>
  <si>
    <t xml:space="preserve">Balansējošais vārsts ASV-I; firmas "Danfoss" vai ekvivalents Dn15; uzstādīšana, ieregulēšana </t>
  </si>
  <si>
    <t xml:space="preserve">Balansējošais vārsts ASV-P; firmas "Danfoss" Dn15 vai ekvivalents; uzstādīšana, ieregulēšana </t>
  </si>
  <si>
    <t>Sildķermeņa pievienojuma krāns firmas Danfoss, RLV vai ekvivalents komplektā ar tukšošanas krānu  t=110°C; P=8bar; Dn15;</t>
  </si>
  <si>
    <t>Sildķermeņa pievienojuma krāns firmas Danfoss, RLV vai ekvivalents komplektā ar tukšošanas krānu  t=110°C; P=8 bar; Dn15</t>
  </si>
  <si>
    <t>Sildķermeņa pievienojuma krāns firmas Danfoss, RLV vai ekvivalents komplektā ar tukšošanas krānu  t=110°C; P=8 bar; Dn15;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</si>
</sst>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0\ _L_s_-;\-* #,##0.00\ _L_s_-;_-* \-??\ _L_s_-;_-@_-"/>
    <numFmt numFmtId="166" formatCode="0.0"/>
    <numFmt numFmtId="167" formatCode="_-* #,##0.00_-;\-* #,##0.00_-;_-* \-_-;_-@_-"/>
    <numFmt numFmtId="168" formatCode="0.000"/>
    <numFmt numFmtId="169" formatCode="_-* #,##0.00_р_._-;\-* #,##0.00_р_._-;_-* &quot;-&quot;??_р_._-;_-@_-"/>
    <numFmt numFmtId="170" formatCode="_(* #,##0.00_);_(* \(#,##0.00\);_(* &quot;-&quot;??_);_(@_)"/>
  </numFmts>
  <fonts count="14" x14ac:knownFonts="1">
    <font>
      <sz val="11"/>
      <color rgb="FF000000"/>
      <name val="Calibri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u/>
      <sz val="8"/>
      <name val="Arial"/>
      <family val="2"/>
      <charset val="186"/>
    </font>
    <font>
      <i/>
      <sz val="8"/>
      <color rgb="FF808080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color indexed="23"/>
      <name val="Arial"/>
      <family val="2"/>
      <charset val="186"/>
    </font>
    <font>
      <sz val="10"/>
      <name val="Helv"/>
    </font>
    <font>
      <sz val="10"/>
      <name val="Arial"/>
      <family val="2"/>
    </font>
    <font>
      <sz val="10"/>
      <name val="Arial"/>
      <family val="2"/>
      <charset val="204"/>
    </font>
    <font>
      <vertAlign val="superscript"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141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5" fillId="0" borderId="0" applyBorder="0" applyProtection="0"/>
    <xf numFmtId="0" fontId="7" fillId="0" borderId="0" applyBorder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169" fontId="12" fillId="0" borderId="0" applyFont="0" applyFill="0" applyBorder="0" applyAlignment="0" applyProtection="0"/>
    <xf numFmtId="0" fontId="12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280">
    <xf numFmtId="0" fontId="0" fillId="0" borderId="0" xfId="0"/>
    <xf numFmtId="0" fontId="2" fillId="0" borderId="0" xfId="4" applyFont="1" applyFill="1" applyAlignment="1">
      <alignment vertical="center"/>
    </xf>
    <xf numFmtId="2" fontId="2" fillId="0" borderId="0" xfId="2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8" xfId="2" applyFont="1" applyFill="1" applyBorder="1" applyAlignment="1" applyProtection="1">
      <alignment horizontal="left" vertical="center" wrapText="1"/>
    </xf>
    <xf numFmtId="0" fontId="2" fillId="0" borderId="31" xfId="2" applyFont="1" applyFill="1" applyBorder="1" applyAlignment="1" applyProtection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1" xfId="2" applyFont="1" applyFill="1" applyBorder="1" applyAlignment="1" applyProtection="1">
      <alignment vertic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>
      <alignment horizontal="center" vertical="center" textRotation="90" wrapText="1"/>
    </xf>
    <xf numFmtId="49" fontId="2" fillId="0" borderId="31" xfId="4" applyNumberFormat="1" applyFont="1" applyFill="1" applyBorder="1" applyAlignment="1" applyProtection="1">
      <alignment horizontal="center" vertical="center" wrapText="1"/>
    </xf>
    <xf numFmtId="2" fontId="2" fillId="0" borderId="31" xfId="4" applyNumberFormat="1" applyFont="1" applyFill="1" applyBorder="1" applyAlignment="1">
      <alignment horizontal="center" vertical="center" wrapText="1"/>
    </xf>
    <xf numFmtId="170" fontId="2" fillId="0" borderId="31" xfId="7" applyNumberFormat="1" applyFont="1" applyFill="1" applyBorder="1" applyAlignment="1">
      <alignment horizontal="center" vertical="center" wrapText="1"/>
    </xf>
    <xf numFmtId="2" fontId="2" fillId="0" borderId="31" xfId="4" applyNumberFormat="1" applyFont="1" applyFill="1" applyBorder="1" applyAlignment="1" applyProtection="1">
      <alignment horizontal="center" vertical="center" wrapText="1"/>
    </xf>
    <xf numFmtId="164" fontId="2" fillId="0" borderId="31" xfId="1" applyNumberFormat="1" applyFont="1" applyFill="1" applyBorder="1" applyAlignment="1" applyProtection="1">
      <alignment horizontal="center" vertical="center"/>
    </xf>
    <xf numFmtId="164" fontId="2" fillId="0" borderId="31" xfId="1" applyNumberFormat="1" applyFont="1" applyFill="1" applyBorder="1" applyAlignment="1" applyProtection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2" fontId="2" fillId="0" borderId="31" xfId="1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1" xfId="12" applyFont="1" applyFill="1" applyBorder="1" applyAlignment="1">
      <alignment horizontal="center" vertical="center" wrapText="1"/>
    </xf>
    <xf numFmtId="0" fontId="2" fillId="0" borderId="31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vertical="center" wrapText="1"/>
    </xf>
    <xf numFmtId="0" fontId="1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0" borderId="31" xfId="4" applyFont="1" applyFill="1" applyBorder="1" applyAlignment="1">
      <alignment vertical="center" wrapText="1"/>
    </xf>
    <xf numFmtId="2" fontId="2" fillId="0" borderId="29" xfId="5" applyNumberFormat="1" applyFont="1" applyFill="1" applyBorder="1" applyAlignment="1">
      <alignment horizontal="center" vertical="center" wrapText="1"/>
    </xf>
    <xf numFmtId="164" fontId="2" fillId="0" borderId="29" xfId="1" applyNumberFormat="1" applyFont="1" applyFill="1" applyBorder="1" applyAlignment="1" applyProtection="1">
      <alignment horizontal="center" vertical="center"/>
    </xf>
    <xf numFmtId="164" fontId="2" fillId="0" borderId="29" xfId="1" applyNumberFormat="1" applyFont="1" applyFill="1" applyBorder="1" applyAlignment="1" applyProtection="1">
      <alignment horizontal="center" vertical="center" wrapText="1"/>
    </xf>
    <xf numFmtId="166" fontId="1" fillId="0" borderId="29" xfId="5" applyNumberFormat="1" applyFont="1" applyFill="1" applyBorder="1" applyAlignment="1">
      <alignment horizontal="center" vertical="center" wrapText="1"/>
    </xf>
    <xf numFmtId="2" fontId="1" fillId="0" borderId="29" xfId="5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2" fontId="2" fillId="0" borderId="31" xfId="0" applyNumberFormat="1" applyFont="1" applyFill="1" applyBorder="1" applyAlignment="1" applyProtection="1">
      <alignment horizontal="center" vertical="center" wrapText="1"/>
    </xf>
    <xf numFmtId="167" fontId="2" fillId="0" borderId="31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2" fontId="2" fillId="0" borderId="31" xfId="5" applyNumberFormat="1" applyFont="1" applyFill="1" applyBorder="1" applyAlignment="1">
      <alignment horizontal="center" vertical="center" wrapText="1"/>
    </xf>
    <xf numFmtId="166" fontId="1" fillId="0" borderId="31" xfId="5" applyNumberFormat="1" applyFont="1" applyFill="1" applyBorder="1" applyAlignment="1">
      <alignment horizontal="center" vertical="center" wrapText="1"/>
    </xf>
    <xf numFmtId="2" fontId="1" fillId="0" borderId="31" xfId="5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2" fontId="2" fillId="0" borderId="29" xfId="0" applyNumberFormat="1" applyFont="1" applyFill="1" applyBorder="1" applyAlignment="1">
      <alignment horizontal="center" vertical="center" wrapText="1"/>
    </xf>
    <xf numFmtId="168" fontId="2" fillId="0" borderId="29" xfId="5" applyNumberFormat="1" applyFont="1" applyFill="1" applyBorder="1" applyAlignment="1">
      <alignment horizontal="center" vertical="center" wrapText="1"/>
    </xf>
    <xf numFmtId="2" fontId="2" fillId="0" borderId="29" xfId="4" applyNumberFormat="1" applyFont="1" applyFill="1" applyBorder="1" applyAlignment="1">
      <alignment horizontal="center" vertical="center" wrapText="1"/>
    </xf>
    <xf numFmtId="1" fontId="2" fillId="0" borderId="29" xfId="5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6" fontId="2" fillId="0" borderId="29" xfId="5" applyNumberFormat="1" applyFont="1" applyFill="1" applyBorder="1" applyAlignment="1">
      <alignment horizontal="center" vertical="center" wrapText="1"/>
    </xf>
    <xf numFmtId="166" fontId="2" fillId="0" borderId="31" xfId="5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wrapText="1"/>
    </xf>
    <xf numFmtId="49" fontId="2" fillId="0" borderId="29" xfId="4" applyNumberFormat="1" applyFont="1" applyFill="1" applyBorder="1" applyAlignment="1" applyProtection="1">
      <alignment horizontal="center" vertical="center" wrapText="1"/>
    </xf>
    <xf numFmtId="170" fontId="2" fillId="0" borderId="29" xfId="7" applyNumberFormat="1" applyFont="1" applyFill="1" applyBorder="1" applyAlignment="1">
      <alignment horizontal="center" vertical="center" wrapText="1"/>
    </xf>
    <xf numFmtId="2" fontId="2" fillId="0" borderId="29" xfId="10" applyNumberFormat="1" applyFont="1" applyFill="1" applyBorder="1" applyAlignment="1" applyProtection="1">
      <alignment horizontal="center" vertical="center" wrapText="1"/>
    </xf>
    <xf numFmtId="0" fontId="2" fillId="0" borderId="29" xfId="4" applyFont="1" applyFill="1" applyBorder="1" applyAlignment="1">
      <alignment horizontal="center" vertical="center" wrapText="1"/>
    </xf>
    <xf numFmtId="0" fontId="2" fillId="0" borderId="29" xfId="4" applyFont="1" applyFill="1" applyBorder="1" applyAlignment="1">
      <alignment vertical="center" wrapText="1"/>
    </xf>
    <xf numFmtId="1" fontId="1" fillId="0" borderId="29" xfId="5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2" fontId="2" fillId="0" borderId="0" xfId="2" applyNumberFormat="1" applyFont="1" applyFill="1" applyBorder="1" applyAlignment="1" applyProtection="1">
      <alignment horizontal="left" vertical="center"/>
      <protection locked="0"/>
    </xf>
    <xf numFmtId="166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left" vertical="center"/>
    </xf>
    <xf numFmtId="1" fontId="2" fillId="0" borderId="31" xfId="0" applyNumberFormat="1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/>
    </xf>
    <xf numFmtId="0" fontId="4" fillId="0" borderId="31" xfId="4" applyFont="1" applyFill="1" applyBorder="1" applyAlignment="1">
      <alignment vertical="center" wrapText="1"/>
    </xf>
    <xf numFmtId="0" fontId="4" fillId="0" borderId="31" xfId="4" applyNumberFormat="1" applyFont="1" applyFill="1" applyBorder="1" applyAlignment="1" applyProtection="1">
      <alignment vertical="center" wrapText="1"/>
    </xf>
    <xf numFmtId="0" fontId="2" fillId="0" borderId="31" xfId="4" applyNumberFormat="1" applyFont="1" applyFill="1" applyBorder="1" applyAlignment="1" applyProtection="1">
      <alignment horizontal="center" vertical="center" wrapText="1"/>
    </xf>
    <xf numFmtId="166" fontId="2" fillId="0" borderId="31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0" xfId="11" applyFont="1" applyFill="1" applyAlignment="1">
      <alignment vertical="center"/>
    </xf>
    <xf numFmtId="0" fontId="2" fillId="0" borderId="31" xfId="0" applyNumberFormat="1" applyFont="1" applyFill="1" applyBorder="1" applyAlignment="1">
      <alignment horizontal="center" vertical="center"/>
    </xf>
    <xf numFmtId="166" fontId="2" fillId="0" borderId="3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 wrapText="1"/>
    </xf>
    <xf numFmtId="2" fontId="2" fillId="0" borderId="31" xfId="0" applyNumberFormat="1" applyFont="1" applyFill="1" applyBorder="1" applyAlignment="1">
      <alignment horizontal="center" vertical="center"/>
    </xf>
    <xf numFmtId="0" fontId="2" fillId="0" borderId="31" xfId="2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1" fillId="0" borderId="19" xfId="0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166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1" applyFont="1" applyFill="1" applyBorder="1" applyAlignment="1" applyProtection="1">
      <alignment horizontal="center" vertical="center"/>
    </xf>
    <xf numFmtId="164" fontId="2" fillId="0" borderId="1" xfId="1" applyFont="1" applyFill="1" applyBorder="1" applyAlignment="1" applyProtection="1">
      <alignment horizontal="center" vertical="center" wrapText="1"/>
    </xf>
    <xf numFmtId="164" fontId="2" fillId="0" borderId="14" xfId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left" vertical="center" textRotation="90"/>
    </xf>
    <xf numFmtId="0" fontId="2" fillId="0" borderId="0" xfId="0" applyFont="1" applyFill="1" applyBorder="1" applyAlignment="1">
      <alignment vertical="center" textRotation="90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vertical="center" wrapText="1"/>
    </xf>
    <xf numFmtId="9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right" vertical="center" wrapText="1"/>
    </xf>
    <xf numFmtId="9" fontId="2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right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31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2" fontId="4" fillId="0" borderId="3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" fillId="0" borderId="31" xfId="8" applyFont="1" applyFill="1" applyBorder="1" applyAlignment="1">
      <alignment vertical="center"/>
    </xf>
    <xf numFmtId="0" fontId="1" fillId="0" borderId="31" xfId="8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2" fontId="4" fillId="0" borderId="31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right" vertical="center" wrapText="1"/>
    </xf>
    <xf numFmtId="2" fontId="1" fillId="0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</cellXfs>
  <cellStyles count="13">
    <cellStyle name="Comma 2" xfId="6" xr:uid="{00000000-0005-0000-0000-000001000000}"/>
    <cellStyle name="Excel Built-in Explanatory Text" xfId="3" xr:uid="{00000000-0005-0000-0000-000002000000}"/>
    <cellStyle name="Komats" xfId="1" builtinId="3"/>
    <cellStyle name="Normal 2 4" xfId="5" xr:uid="{00000000-0005-0000-0000-000005000000}"/>
    <cellStyle name="Normal 2_Tame AVK Uliha 56 07.05.2010." xfId="9" xr:uid="{00000000-0005-0000-0000-000006000000}"/>
    <cellStyle name="Normal 3" xfId="7" xr:uid="{00000000-0005-0000-0000-000007000000}"/>
    <cellStyle name="Normal_DA" xfId="12" xr:uid="{00000000-0005-0000-0000-000008000000}"/>
    <cellStyle name="Normal_Siguldas 27 - tabulas" xfId="8" xr:uid="{00000000-0005-0000-0000-000009000000}"/>
    <cellStyle name="Normal_Tame AVK Uliha 56 07.05.2010." xfId="11" xr:uid="{00000000-0005-0000-0000-00000A000000}"/>
    <cellStyle name="Parasts" xfId="0" builtinId="0"/>
    <cellStyle name="Paskaidrojošs teksts" xfId="2" builtinId="53" customBuiltin="1"/>
    <cellStyle name="Style 1" xfId="4" xr:uid="{00000000-0005-0000-0000-00000B000000}"/>
    <cellStyle name="Стиль 1" xfId="10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114480</xdr:colOff>
      <xdr:row>1</xdr:row>
      <xdr:rowOff>20160</xdr:rowOff>
    </xdr:from>
    <xdr:to>
      <xdr:col>23</xdr:col>
      <xdr:colOff>526680</xdr:colOff>
      <xdr:row>11</xdr:row>
      <xdr:rowOff>73965</xdr:rowOff>
    </xdr:to>
    <xdr:pic>
      <xdr:nvPicPr>
        <xdr:cNvPr id="451" name="Picture 7">
          <a:extLst>
            <a:ext uri="{FF2B5EF4-FFF2-40B4-BE49-F238E27FC236}">
              <a16:creationId xmlns:a16="http://schemas.microsoft.com/office/drawing/2014/main" id="{00000000-0008-0000-0C00-0000C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839760" y="149040"/>
          <a:ext cx="1783800" cy="138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154080</xdr:colOff>
      <xdr:row>1</xdr:row>
      <xdr:rowOff>47520</xdr:rowOff>
    </xdr:from>
    <xdr:to>
      <xdr:col>26</xdr:col>
      <xdr:colOff>543960</xdr:colOff>
      <xdr:row>11</xdr:row>
      <xdr:rowOff>99052</xdr:rowOff>
    </xdr:to>
    <xdr:pic>
      <xdr:nvPicPr>
        <xdr:cNvPr id="452" name="Picture 8">
          <a:extLst>
            <a:ext uri="{FF2B5EF4-FFF2-40B4-BE49-F238E27FC236}">
              <a16:creationId xmlns:a16="http://schemas.microsoft.com/office/drawing/2014/main" id="{00000000-0008-0000-0C00-0000C4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4936760" y="176400"/>
          <a:ext cx="1761480" cy="136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101520</xdr:colOff>
      <xdr:row>13</xdr:row>
      <xdr:rowOff>0</xdr:rowOff>
    </xdr:from>
    <xdr:to>
      <xdr:col>24</xdr:col>
      <xdr:colOff>855</xdr:colOff>
      <xdr:row>20</xdr:row>
      <xdr:rowOff>79553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0C00-0000C501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2826800" y="1918800"/>
          <a:ext cx="1928160" cy="148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77760</xdr:colOff>
      <xdr:row>13</xdr:row>
      <xdr:rowOff>0</xdr:rowOff>
    </xdr:from>
    <xdr:to>
      <xdr:col>26</xdr:col>
      <xdr:colOff>572400</xdr:colOff>
      <xdr:row>20</xdr:row>
      <xdr:rowOff>33113</xdr:rowOff>
    </xdr:to>
    <xdr:pic>
      <xdr:nvPicPr>
        <xdr:cNvPr id="454" name="Picture 10">
          <a:extLst>
            <a:ext uri="{FF2B5EF4-FFF2-40B4-BE49-F238E27FC236}">
              <a16:creationId xmlns:a16="http://schemas.microsoft.com/office/drawing/2014/main" id="{00000000-0008-0000-0C00-0000C601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4860440" y="1915200"/>
          <a:ext cx="1866240" cy="1441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127080</xdr:colOff>
      <xdr:row>18</xdr:row>
      <xdr:rowOff>5760</xdr:rowOff>
    </xdr:from>
    <xdr:to>
      <xdr:col>24</xdr:col>
      <xdr:colOff>5760</xdr:colOff>
      <xdr:row>31</xdr:row>
      <xdr:rowOff>29026</xdr:rowOff>
    </xdr:to>
    <xdr:pic>
      <xdr:nvPicPr>
        <xdr:cNvPr id="455" name="Picture 11">
          <a:extLst>
            <a:ext uri="{FF2B5EF4-FFF2-40B4-BE49-F238E27FC236}">
              <a16:creationId xmlns:a16="http://schemas.microsoft.com/office/drawing/2014/main" id="{00000000-0008-0000-0C00-0000C7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2852360" y="3589560"/>
          <a:ext cx="1936080" cy="149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166320</xdr:colOff>
      <xdr:row>20</xdr:row>
      <xdr:rowOff>25560</xdr:rowOff>
    </xdr:from>
    <xdr:to>
      <xdr:col>26</xdr:col>
      <xdr:colOff>574920</xdr:colOff>
      <xdr:row>32</xdr:row>
      <xdr:rowOff>7957</xdr:rowOff>
    </xdr:to>
    <xdr:pic>
      <xdr:nvPicPr>
        <xdr:cNvPr id="456" name="Picture 12">
          <a:extLst>
            <a:ext uri="{FF2B5EF4-FFF2-40B4-BE49-F238E27FC236}">
              <a16:creationId xmlns:a16="http://schemas.microsoft.com/office/drawing/2014/main" id="{00000000-0008-0000-0C00-0000C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4949000" y="3738240"/>
          <a:ext cx="1780200" cy="137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76320</xdr:colOff>
      <xdr:row>1</xdr:row>
      <xdr:rowOff>11880</xdr:rowOff>
    </xdr:from>
    <xdr:to>
      <xdr:col>29</xdr:col>
      <xdr:colOff>560519</xdr:colOff>
      <xdr:row>11</xdr:row>
      <xdr:rowOff>69285</xdr:rowOff>
    </xdr:to>
    <xdr:pic>
      <xdr:nvPicPr>
        <xdr:cNvPr id="457" name="Picture 13">
          <a:extLst>
            <a:ext uri="{FF2B5EF4-FFF2-40B4-BE49-F238E27FC236}">
              <a16:creationId xmlns:a16="http://schemas.microsoft.com/office/drawing/2014/main" id="{00000000-0008-0000-0C00-0000C9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6916400" y="140760"/>
          <a:ext cx="1770120" cy="138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110160</xdr:colOff>
      <xdr:row>13</xdr:row>
      <xdr:rowOff>0</xdr:rowOff>
    </xdr:from>
    <xdr:to>
      <xdr:col>30</xdr:col>
      <xdr:colOff>32040</xdr:colOff>
      <xdr:row>19</xdr:row>
      <xdr:rowOff>99884</xdr:rowOff>
    </xdr:to>
    <xdr:pic>
      <xdr:nvPicPr>
        <xdr:cNvPr id="458" name="Picture 14">
          <a:extLst>
            <a:ext uri="{FF2B5EF4-FFF2-40B4-BE49-F238E27FC236}">
              <a16:creationId xmlns:a16="http://schemas.microsoft.com/office/drawing/2014/main" id="{00000000-0008-0000-0C00-0000CA01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6950240" y="1887120"/>
          <a:ext cx="1807920" cy="1431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59760</xdr:colOff>
      <xdr:row>18</xdr:row>
      <xdr:rowOff>123840</xdr:rowOff>
    </xdr:from>
    <xdr:to>
      <xdr:col>30</xdr:col>
      <xdr:colOff>50400</xdr:colOff>
      <xdr:row>32</xdr:row>
      <xdr:rowOff>3037</xdr:rowOff>
    </xdr:to>
    <xdr:pic>
      <xdr:nvPicPr>
        <xdr:cNvPr id="459" name="Picture 15">
          <a:extLst>
            <a:ext uri="{FF2B5EF4-FFF2-40B4-BE49-F238E27FC236}">
              <a16:creationId xmlns:a16="http://schemas.microsoft.com/office/drawing/2014/main" id="{00000000-0008-0000-0C00-0000CB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6899840" y="3707640"/>
          <a:ext cx="1876680" cy="148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76320</xdr:colOff>
      <xdr:row>1</xdr:row>
      <xdr:rowOff>15480</xdr:rowOff>
    </xdr:from>
    <xdr:to>
      <xdr:col>33</xdr:col>
      <xdr:colOff>131759</xdr:colOff>
      <xdr:row>12</xdr:row>
      <xdr:rowOff>124080</xdr:rowOff>
    </xdr:to>
    <xdr:pic>
      <xdr:nvPicPr>
        <xdr:cNvPr id="460" name="Picture 16">
          <a:extLst>
            <a:ext uri="{FF2B5EF4-FFF2-40B4-BE49-F238E27FC236}">
              <a16:creationId xmlns:a16="http://schemas.microsoft.com/office/drawing/2014/main" id="{00000000-0008-0000-0C00-0000CC01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8802440" y="144360"/>
          <a:ext cx="1855440" cy="150156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NAS16\Kopejiedati\_LNA%20dz&#299;vojam&#257;s%20m&#257;jas\_Turaidas%208a%20EA\T%20un%20DA%20Turaidas%208a\T_%20Turaidas%208a_21.06.2018%20sakret+v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"/>
      <sheetName val="logi"/>
      <sheetName val="Cokol"/>
      <sheetName val="Jumts"/>
      <sheetName val="pagr"/>
      <sheetName val="balkoni"/>
      <sheetName val="apjoms"/>
      <sheetName val="ieejas"/>
      <sheetName val="AVK"/>
      <sheetName val="gaze"/>
    </sheetNames>
    <sheetDataSet>
      <sheetData sheetId="0"/>
      <sheetData sheetId="1">
        <row r="27">
          <cell r="C27" t="str">
            <v>V.Maļukovs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34"/>
  <sheetViews>
    <sheetView view="pageBreakPreview" zoomScaleNormal="100" zoomScaleSheetLayoutView="100" zoomScalePageLayoutView="115" workbookViewId="0">
      <selection activeCell="B11" sqref="B11:B12"/>
    </sheetView>
  </sheetViews>
  <sheetFormatPr defaultColWidth="9" defaultRowHeight="11.25" x14ac:dyDescent="0.25"/>
  <cols>
    <col min="1" max="1" width="8.140625" style="23"/>
    <col min="2" max="2" width="34.140625" style="23"/>
    <col min="3" max="7" width="12.140625" style="23"/>
    <col min="8" max="8" width="3.42578125" style="63"/>
    <col min="9" max="14" width="8.140625" style="23"/>
    <col min="15" max="15" width="4.7109375" style="23"/>
    <col min="16" max="17" width="8.140625" style="23"/>
    <col min="18" max="18" width="6.42578125" style="23"/>
    <col min="19" max="1025" width="8.140625" style="23"/>
    <col min="1026" max="16384" width="9" style="23"/>
  </cols>
  <sheetData>
    <row r="1" spans="1:7" s="52" customFormat="1" x14ac:dyDescent="0.25">
      <c r="A1" s="246" t="s">
        <v>0</v>
      </c>
      <c r="B1" s="246"/>
      <c r="C1" s="246"/>
      <c r="D1" s="246"/>
      <c r="E1" s="246"/>
      <c r="F1" s="246"/>
      <c r="G1" s="246"/>
    </row>
    <row r="2" spans="1:7" s="53" customFormat="1" x14ac:dyDescent="0.25">
      <c r="A2" s="247" t="s">
        <v>1</v>
      </c>
      <c r="B2" s="247"/>
      <c r="C2" s="247"/>
      <c r="D2" s="247"/>
      <c r="E2" s="247"/>
      <c r="F2" s="247"/>
      <c r="G2" s="247"/>
    </row>
    <row r="3" spans="1:7" s="57" customFormat="1" x14ac:dyDescent="0.25">
      <c r="A3" s="194" t="s">
        <v>2</v>
      </c>
      <c r="B3" s="194"/>
      <c r="C3" s="194"/>
      <c r="D3" s="194"/>
      <c r="E3" s="194"/>
      <c r="F3" s="194"/>
      <c r="G3" s="194"/>
    </row>
    <row r="4" spans="1:7" s="23" customFormat="1" x14ac:dyDescent="0.25">
      <c r="A4" s="194" t="s">
        <v>178</v>
      </c>
      <c r="B4" s="194"/>
      <c r="C4" s="194"/>
      <c r="D4" s="194"/>
      <c r="E4" s="194"/>
      <c r="F4" s="194"/>
      <c r="G4" s="194"/>
    </row>
    <row r="5" spans="1:7" s="23" customFormat="1" x14ac:dyDescent="0.25">
      <c r="A5" s="112" t="s">
        <v>179</v>
      </c>
      <c r="C5" s="57"/>
    </row>
    <row r="6" spans="1:7" s="23" customFormat="1" x14ac:dyDescent="0.25">
      <c r="A6" s="112" t="s">
        <v>180</v>
      </c>
      <c r="C6" s="57"/>
    </row>
    <row r="7" spans="1:7" s="23" customFormat="1" x14ac:dyDescent="0.25">
      <c r="A7" s="112" t="s">
        <v>3</v>
      </c>
      <c r="B7" s="59"/>
      <c r="C7" s="59"/>
      <c r="D7" s="59"/>
      <c r="E7" s="59"/>
      <c r="F7" s="59"/>
      <c r="G7" s="59"/>
    </row>
    <row r="8" spans="1:7" s="23" customFormat="1" x14ac:dyDescent="0.25">
      <c r="A8" s="248" t="s">
        <v>4</v>
      </c>
      <c r="B8" s="248"/>
      <c r="C8" s="248"/>
      <c r="D8" s="195">
        <f>G29</f>
        <v>0</v>
      </c>
      <c r="F8" s="196"/>
      <c r="G8" s="197"/>
    </row>
    <row r="9" spans="1:7" s="23" customFormat="1" x14ac:dyDescent="0.25">
      <c r="A9" s="248" t="s">
        <v>5</v>
      </c>
      <c r="B9" s="248"/>
      <c r="C9" s="248"/>
      <c r="D9" s="195">
        <f>C22</f>
        <v>0</v>
      </c>
    </row>
    <row r="10" spans="1:7" s="23" customFormat="1" x14ac:dyDescent="0.25">
      <c r="B10" s="23" t="s">
        <v>408</v>
      </c>
      <c r="C10" s="63"/>
    </row>
    <row r="11" spans="1:7" s="23" customFormat="1" ht="10.15" customHeight="1" x14ac:dyDescent="0.25">
      <c r="A11" s="249" t="s">
        <v>6</v>
      </c>
      <c r="B11" s="250" t="s">
        <v>7</v>
      </c>
      <c r="C11" s="249" t="s">
        <v>8</v>
      </c>
      <c r="D11" s="249" t="s">
        <v>9</v>
      </c>
      <c r="E11" s="249"/>
      <c r="F11" s="249"/>
      <c r="G11" s="250" t="s">
        <v>10</v>
      </c>
    </row>
    <row r="12" spans="1:7" s="23" customFormat="1" ht="22.5" x14ac:dyDescent="0.25">
      <c r="A12" s="249"/>
      <c r="B12" s="250"/>
      <c r="C12" s="249"/>
      <c r="D12" s="183" t="s">
        <v>11</v>
      </c>
      <c r="E12" s="183" t="s">
        <v>12</v>
      </c>
      <c r="F12" s="183" t="s">
        <v>13</v>
      </c>
      <c r="G12" s="250"/>
    </row>
    <row r="13" spans="1:7" s="23" customFormat="1" x14ac:dyDescent="0.25">
      <c r="A13" s="36">
        <v>1</v>
      </c>
      <c r="B13" s="193" t="str">
        <f>AR!A2</f>
        <v>Ārsienu siltināšanas darbi</v>
      </c>
      <c r="C13" s="198"/>
      <c r="D13" s="198"/>
      <c r="E13" s="198"/>
      <c r="F13" s="198"/>
      <c r="G13" s="198"/>
    </row>
    <row r="14" spans="1:7" s="23" customFormat="1" x14ac:dyDescent="0.25">
      <c r="A14" s="36">
        <f t="shared" ref="A14:A20" si="0">A13+1</f>
        <v>2</v>
      </c>
      <c r="B14" s="193" t="str">
        <f>Logi!C2</f>
        <v>Logu nomaiņa</v>
      </c>
      <c r="C14" s="198"/>
      <c r="D14" s="198"/>
      <c r="E14" s="198"/>
      <c r="F14" s="198"/>
      <c r="G14" s="198"/>
    </row>
    <row r="15" spans="1:7" s="23" customFormat="1" x14ac:dyDescent="0.25">
      <c r="A15" s="36">
        <f t="shared" si="0"/>
        <v>3</v>
      </c>
      <c r="B15" s="150" t="str">
        <f>pagrabs!C2</f>
        <v>Pagraba siltināšana</v>
      </c>
      <c r="C15" s="198"/>
      <c r="D15" s="198"/>
      <c r="E15" s="198"/>
      <c r="F15" s="198"/>
      <c r="G15" s="198"/>
    </row>
    <row r="16" spans="1:7" s="23" customFormat="1" x14ac:dyDescent="0.25">
      <c r="A16" s="36">
        <f t="shared" si="0"/>
        <v>4</v>
      </c>
      <c r="B16" s="150" t="str">
        <f>cokols!C2</f>
        <v>Cokola siltināšanas darbi</v>
      </c>
      <c r="C16" s="198"/>
      <c r="D16" s="198"/>
      <c r="E16" s="198"/>
      <c r="F16" s="198"/>
      <c r="G16" s="198"/>
    </row>
    <row r="17" spans="1:8" x14ac:dyDescent="0.25">
      <c r="A17" s="36">
        <f t="shared" si="0"/>
        <v>5</v>
      </c>
      <c r="B17" s="150" t="str">
        <f>BK!C2</f>
        <v>Lodžiju paneļu nostirpinājums</v>
      </c>
      <c r="C17" s="198"/>
      <c r="D17" s="198"/>
      <c r="E17" s="198"/>
      <c r="F17" s="198"/>
      <c r="G17" s="198"/>
      <c r="H17" s="23"/>
    </row>
    <row r="18" spans="1:8" x14ac:dyDescent="0.25">
      <c r="A18" s="36">
        <f t="shared" si="0"/>
        <v>6</v>
      </c>
      <c r="B18" s="150" t="str">
        <f>jumts!C2</f>
        <v>Jumta atjaunošana</v>
      </c>
      <c r="C18" s="198"/>
      <c r="D18" s="198"/>
      <c r="E18" s="198"/>
      <c r="F18" s="198"/>
      <c r="G18" s="198"/>
      <c r="H18" s="23"/>
    </row>
    <row r="19" spans="1:8" x14ac:dyDescent="0.25">
      <c r="A19" s="36">
        <f t="shared" si="0"/>
        <v>7</v>
      </c>
      <c r="B19" s="150" t="str">
        <f>ieejas!C2</f>
        <v>Ieejas mezglu atjaunošana</v>
      </c>
      <c r="C19" s="198"/>
      <c r="D19" s="198"/>
      <c r="E19" s="198"/>
      <c r="F19" s="198"/>
      <c r="G19" s="198"/>
      <c r="H19" s="23"/>
    </row>
    <row r="20" spans="1:8" x14ac:dyDescent="0.25">
      <c r="A20" s="36">
        <f t="shared" si="0"/>
        <v>8</v>
      </c>
      <c r="B20" s="150" t="str">
        <f>AVK!C2</f>
        <v>Apkures sistēmas renovācija</v>
      </c>
      <c r="C20" s="198"/>
      <c r="D20" s="198"/>
      <c r="E20" s="198"/>
      <c r="F20" s="198"/>
      <c r="G20" s="198"/>
      <c r="H20" s="23"/>
    </row>
    <row r="21" spans="1:8" x14ac:dyDescent="0.25">
      <c r="A21" s="60"/>
      <c r="C21" s="199"/>
      <c r="D21" s="199"/>
      <c r="E21" s="199"/>
      <c r="F21" s="199"/>
      <c r="G21" s="199"/>
      <c r="H21" s="23"/>
    </row>
    <row r="22" spans="1:8" x14ac:dyDescent="0.25">
      <c r="A22" s="158"/>
      <c r="B22" s="200" t="s">
        <v>14</v>
      </c>
      <c r="C22" s="200"/>
      <c r="D22" s="200"/>
      <c r="E22" s="200"/>
      <c r="F22" s="200"/>
      <c r="G22" s="200"/>
      <c r="H22" s="23"/>
    </row>
    <row r="23" spans="1:8" x14ac:dyDescent="0.25">
      <c r="A23" s="165"/>
      <c r="C23" s="57"/>
      <c r="E23" s="98" t="s">
        <v>15</v>
      </c>
      <c r="F23" s="201">
        <v>0</v>
      </c>
      <c r="G23" s="202"/>
      <c r="H23" s="23"/>
    </row>
    <row r="24" spans="1:8" x14ac:dyDescent="0.25">
      <c r="A24" s="165"/>
      <c r="C24" s="57"/>
      <c r="E24" s="98" t="s">
        <v>379</v>
      </c>
      <c r="F24" s="201"/>
      <c r="G24" s="202"/>
      <c r="H24" s="23"/>
    </row>
    <row r="25" spans="1:8" x14ac:dyDescent="0.25">
      <c r="C25" s="57"/>
      <c r="E25" s="98" t="s">
        <v>16</v>
      </c>
      <c r="F25" s="201">
        <v>0</v>
      </c>
      <c r="G25" s="202"/>
      <c r="H25" s="23"/>
    </row>
    <row r="26" spans="1:8" x14ac:dyDescent="0.25">
      <c r="C26" s="57"/>
      <c r="E26" s="98" t="s">
        <v>17</v>
      </c>
      <c r="F26" s="63" t="s">
        <v>18</v>
      </c>
      <c r="G26" s="203"/>
      <c r="H26" s="23"/>
    </row>
    <row r="27" spans="1:8" x14ac:dyDescent="0.25">
      <c r="C27" s="57"/>
      <c r="E27" s="98" t="s">
        <v>405</v>
      </c>
      <c r="F27" s="278">
        <v>0.02</v>
      </c>
      <c r="G27" s="203"/>
      <c r="H27" s="23"/>
    </row>
    <row r="28" spans="1:8" x14ac:dyDescent="0.25">
      <c r="C28" s="57"/>
      <c r="E28" s="204" t="s">
        <v>19</v>
      </c>
      <c r="F28" s="205">
        <v>0.21</v>
      </c>
      <c r="G28" s="206"/>
      <c r="H28" s="23"/>
    </row>
    <row r="29" spans="1:8" x14ac:dyDescent="0.25">
      <c r="C29" s="57"/>
      <c r="D29" s="207"/>
      <c r="E29" s="204" t="s">
        <v>20</v>
      </c>
      <c r="F29" s="61"/>
      <c r="G29" s="206"/>
      <c r="H29" s="23"/>
    </row>
    <row r="30" spans="1:8" x14ac:dyDescent="0.25">
      <c r="B30" s="208" t="s">
        <v>406</v>
      </c>
      <c r="C30" s="57"/>
      <c r="F30" s="209"/>
      <c r="G30" s="195"/>
      <c r="H30" s="23"/>
    </row>
    <row r="31" spans="1:8" x14ac:dyDescent="0.25">
      <c r="B31" s="98" t="s">
        <v>407</v>
      </c>
      <c r="C31" s="57"/>
      <c r="F31" s="209"/>
      <c r="G31" s="195"/>
      <c r="H31" s="23"/>
    </row>
    <row r="32" spans="1:8" x14ac:dyDescent="0.25">
      <c r="B32" s="98"/>
      <c r="C32" s="57"/>
    </row>
    <row r="33" spans="2:3" x14ac:dyDescent="0.25">
      <c r="B33" s="210" t="s">
        <v>21</v>
      </c>
      <c r="C33" s="57"/>
    </row>
    <row r="34" spans="2:3" x14ac:dyDescent="0.25">
      <c r="B34" s="204" t="s">
        <v>22</v>
      </c>
      <c r="C34" s="57"/>
    </row>
  </sheetData>
  <mergeCells count="9">
    <mergeCell ref="A1:G1"/>
    <mergeCell ref="A2:G2"/>
    <mergeCell ref="A8:C8"/>
    <mergeCell ref="A9:C9"/>
    <mergeCell ref="A11:A12"/>
    <mergeCell ref="B11:B12"/>
    <mergeCell ref="C11:C12"/>
    <mergeCell ref="D11:F11"/>
    <mergeCell ref="G11:G12"/>
  </mergeCells>
  <pageMargins left="0" right="0" top="0.78740157480314965" bottom="0.39370078740157483" header="0.51181102362204722" footer="0.51181102362204722"/>
  <pageSetup paperSize="9" firstPageNumber="0" orientation="landscape" r:id="rId1"/>
  <rowBreaks count="1" manualBreakCount="1">
    <brk id="2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173"/>
  <sheetViews>
    <sheetView tabSelected="1" zoomScaleNormal="100" zoomScaleSheetLayoutView="100" workbookViewId="0">
      <selection activeCell="B166" sqref="B166"/>
    </sheetView>
  </sheetViews>
  <sheetFormatPr defaultColWidth="9" defaultRowHeight="11.25" x14ac:dyDescent="0.25"/>
  <cols>
    <col min="1" max="1" width="5.28515625" style="23" bestFit="1" customWidth="1"/>
    <col min="2" max="2" width="5.140625" style="23"/>
    <col min="3" max="3" width="49.28515625" style="62" customWidth="1"/>
    <col min="4" max="4" width="3.5703125" style="23"/>
    <col min="5" max="5" width="9" style="23" hidden="1" customWidth="1"/>
    <col min="6" max="6" width="11.140625" style="23" customWidth="1"/>
    <col min="7" max="7" width="5.42578125" style="23" customWidth="1"/>
    <col min="8" max="8" width="6.140625" style="23" customWidth="1"/>
    <col min="9" max="9" width="5.42578125" style="110" customWidth="1"/>
    <col min="10" max="10" width="6.28515625" style="23" customWidth="1"/>
    <col min="11" max="11" width="5.42578125" style="23" customWidth="1"/>
    <col min="12" max="12" width="5.7109375" style="23" customWidth="1"/>
    <col min="13" max="13" width="6.85546875" style="23" customWidth="1"/>
    <col min="14" max="14" width="7.42578125" style="23" customWidth="1"/>
    <col min="15" max="15" width="8.42578125" style="23" customWidth="1"/>
    <col min="16" max="16" width="9" style="23" customWidth="1"/>
    <col min="17" max="17" width="8.28515625" style="23" customWidth="1"/>
    <col min="18" max="18" width="15" style="23" customWidth="1"/>
    <col min="19" max="1019" width="8.28515625" style="23"/>
    <col min="1020" max="16384" width="9" style="23"/>
  </cols>
  <sheetData>
    <row r="1" spans="1:18" s="52" customFormat="1" x14ac:dyDescent="0.25">
      <c r="B1" s="103"/>
      <c r="C1" s="103"/>
      <c r="D1" s="103" t="s">
        <v>23</v>
      </c>
      <c r="F1" s="52">
        <f>KPDV!A20</f>
        <v>8</v>
      </c>
      <c r="I1" s="104"/>
      <c r="J1" s="105"/>
      <c r="K1" s="105"/>
    </row>
    <row r="2" spans="1:18" s="53" customFormat="1" x14ac:dyDescent="0.25">
      <c r="A2" s="54"/>
      <c r="B2" s="54"/>
      <c r="C2" s="54" t="s">
        <v>120</v>
      </c>
      <c r="D2" s="54"/>
      <c r="E2" s="54"/>
      <c r="I2" s="106"/>
      <c r="J2" s="107"/>
      <c r="K2" s="107"/>
    </row>
    <row r="3" spans="1:18" s="57" customFormat="1" x14ac:dyDescent="0.25">
      <c r="A3" s="57" t="str">
        <f>KPDV!A3</f>
        <v>Būves nosaukums: Daudzdzīvokļu dzīvojamās mājas fasādes vienkāršotā atjaunošana</v>
      </c>
      <c r="I3" s="108"/>
      <c r="J3" s="109"/>
      <c r="K3" s="109"/>
    </row>
    <row r="4" spans="1:18" s="57" customFormat="1" x14ac:dyDescent="0.25">
      <c r="A4" s="57" t="str">
        <f>KPDV!A4</f>
        <v>Objekta nosaukums: fasādes vienkāršotā atjaunošana</v>
      </c>
      <c r="I4" s="108"/>
      <c r="J4" s="109"/>
      <c r="K4" s="109"/>
    </row>
    <row r="5" spans="1:18" x14ac:dyDescent="0.25">
      <c r="A5" s="23" t="str">
        <f>KPDV!A5</f>
        <v>Objekta adrese: Tisē iela 75 Liepājā</v>
      </c>
      <c r="B5" s="61"/>
      <c r="C5" s="61"/>
      <c r="D5" s="61"/>
      <c r="E5" s="61"/>
      <c r="J5" s="111"/>
      <c r="K5" s="111"/>
      <c r="O5" s="111"/>
      <c r="P5" s="111"/>
    </row>
    <row r="6" spans="1:18" s="112" customFormat="1" x14ac:dyDescent="0.25">
      <c r="A6" s="23" t="str">
        <f>KPDV!A6</f>
        <v>Pasūtījuma Nr.EA-08-16</v>
      </c>
      <c r="B6" s="61"/>
      <c r="C6" s="61"/>
      <c r="D6" s="61"/>
      <c r="E6" s="61"/>
      <c r="F6" s="23"/>
      <c r="G6" s="23"/>
      <c r="H6" s="23"/>
      <c r="I6" s="110"/>
      <c r="J6" s="111"/>
      <c r="K6" s="111"/>
      <c r="L6" s="23"/>
      <c r="M6" s="23"/>
      <c r="N6" s="23"/>
      <c r="O6" s="111"/>
      <c r="P6" s="111"/>
    </row>
    <row r="7" spans="1:18" x14ac:dyDescent="0.25">
      <c r="A7" s="23" t="str">
        <f>KPDV!A7</f>
        <v>Pasūtītājs: SIA "Liepājas namu apsaimniekotājs"</v>
      </c>
      <c r="B7" s="61"/>
      <c r="C7" s="61"/>
      <c r="D7" s="61"/>
      <c r="E7" s="61"/>
      <c r="J7" s="111"/>
      <c r="K7" s="111"/>
      <c r="O7" s="111"/>
      <c r="P7" s="113"/>
    </row>
    <row r="8" spans="1:18" x14ac:dyDescent="0.25">
      <c r="B8" s="61"/>
      <c r="C8" s="114" t="s">
        <v>409</v>
      </c>
      <c r="D8" s="115" t="s">
        <v>121</v>
      </c>
      <c r="F8" s="116" t="s">
        <v>25</v>
      </c>
      <c r="J8" s="111"/>
      <c r="K8" s="111"/>
      <c r="O8" s="111"/>
      <c r="P8" s="113"/>
    </row>
    <row r="9" spans="1:18" x14ac:dyDescent="0.25">
      <c r="A9" s="62"/>
      <c r="B9" s="62"/>
      <c r="D9" s="62"/>
      <c r="E9" s="62"/>
      <c r="J9" s="111"/>
      <c r="K9" s="111"/>
      <c r="O9" s="98" t="str">
        <f>AR!A9</f>
        <v>Tāmes izmaksas euro:</v>
      </c>
      <c r="P9" s="117">
        <f>Q160</f>
        <v>0</v>
      </c>
    </row>
    <row r="10" spans="1:18" x14ac:dyDescent="0.25">
      <c r="B10" s="118"/>
      <c r="C10" s="118"/>
      <c r="D10" s="118"/>
      <c r="E10" s="118"/>
      <c r="J10" s="111"/>
      <c r="K10" s="111"/>
      <c r="O10" s="111"/>
      <c r="P10" s="98" t="str">
        <f>KPDV!B10</f>
        <v>Tāme sastādīta</v>
      </c>
    </row>
    <row r="11" spans="1:18" s="57" customFormat="1" x14ac:dyDescent="0.25">
      <c r="A11" s="275" t="s">
        <v>27</v>
      </c>
      <c r="B11" s="275" t="s">
        <v>28</v>
      </c>
      <c r="C11" s="265" t="s">
        <v>29</v>
      </c>
      <c r="D11" s="276" t="s">
        <v>30</v>
      </c>
      <c r="E11" s="275" t="s">
        <v>31</v>
      </c>
      <c r="F11" s="275"/>
      <c r="G11" s="264" t="s">
        <v>32</v>
      </c>
      <c r="H11" s="264"/>
      <c r="I11" s="264"/>
      <c r="J11" s="264"/>
      <c r="K11" s="264"/>
      <c r="L11" s="264"/>
      <c r="M11" s="264" t="s">
        <v>33</v>
      </c>
      <c r="N11" s="264"/>
      <c r="O11" s="264"/>
      <c r="P11" s="264"/>
      <c r="Q11" s="264"/>
    </row>
    <row r="12" spans="1:18" ht="67.5" x14ac:dyDescent="0.25">
      <c r="A12" s="275"/>
      <c r="B12" s="275"/>
      <c r="C12" s="265"/>
      <c r="D12" s="276"/>
      <c r="E12" s="275"/>
      <c r="F12" s="275"/>
      <c r="G12" s="119" t="s">
        <v>34</v>
      </c>
      <c r="H12" s="120" t="s">
        <v>346</v>
      </c>
      <c r="I12" s="120" t="s">
        <v>35</v>
      </c>
      <c r="J12" s="120" t="s">
        <v>36</v>
      </c>
      <c r="K12" s="120" t="s">
        <v>37</v>
      </c>
      <c r="L12" s="120" t="s">
        <v>38</v>
      </c>
      <c r="M12" s="119" t="s">
        <v>39</v>
      </c>
      <c r="N12" s="120" t="s">
        <v>35</v>
      </c>
      <c r="O12" s="120" t="s">
        <v>36</v>
      </c>
      <c r="P12" s="120" t="s">
        <v>37</v>
      </c>
      <c r="Q12" s="120" t="s">
        <v>40</v>
      </c>
    </row>
    <row r="13" spans="1:18" x14ac:dyDescent="0.25">
      <c r="A13" s="121">
        <v>1</v>
      </c>
      <c r="B13" s="121">
        <f>A13+1</f>
        <v>2</v>
      </c>
      <c r="C13" s="38">
        <f>B13+1</f>
        <v>3</v>
      </c>
      <c r="D13" s="121">
        <f>C13+1</f>
        <v>4</v>
      </c>
      <c r="E13" s="264">
        <f>D13+1</f>
        <v>5</v>
      </c>
      <c r="F13" s="264"/>
      <c r="G13" s="121">
        <f>E13+1</f>
        <v>6</v>
      </c>
      <c r="H13" s="121">
        <f t="shared" ref="H13:Q13" si="0">G13+1</f>
        <v>7</v>
      </c>
      <c r="I13" s="121">
        <f t="shared" si="0"/>
        <v>8</v>
      </c>
      <c r="J13" s="121">
        <f t="shared" si="0"/>
        <v>9</v>
      </c>
      <c r="K13" s="121">
        <f t="shared" si="0"/>
        <v>10</v>
      </c>
      <c r="L13" s="121">
        <f t="shared" si="0"/>
        <v>11</v>
      </c>
      <c r="M13" s="121">
        <f t="shared" si="0"/>
        <v>12</v>
      </c>
      <c r="N13" s="121">
        <f t="shared" si="0"/>
        <v>13</v>
      </c>
      <c r="O13" s="121">
        <f t="shared" si="0"/>
        <v>14</v>
      </c>
      <c r="P13" s="121">
        <f t="shared" si="0"/>
        <v>15</v>
      </c>
      <c r="Q13" s="121">
        <f t="shared" si="0"/>
        <v>16</v>
      </c>
    </row>
    <row r="14" spans="1:18" x14ac:dyDescent="0.25">
      <c r="A14" s="44"/>
      <c r="B14" s="44"/>
      <c r="C14" s="140" t="s">
        <v>122</v>
      </c>
      <c r="D14" s="44"/>
      <c r="E14" s="44"/>
      <c r="F14" s="4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x14ac:dyDescent="0.25">
      <c r="A15" s="11">
        <v>1</v>
      </c>
      <c r="B15" s="11"/>
      <c r="C15" s="6" t="s">
        <v>269</v>
      </c>
      <c r="D15" s="44" t="s">
        <v>123</v>
      </c>
      <c r="E15" s="44"/>
      <c r="F15" s="44">
        <v>1</v>
      </c>
      <c r="G15" s="21"/>
      <c r="H15" s="21"/>
      <c r="I15" s="21"/>
      <c r="J15" s="234"/>
      <c r="K15" s="145"/>
      <c r="L15" s="145"/>
      <c r="M15" s="21"/>
      <c r="N15" s="21"/>
      <c r="O15" s="21"/>
      <c r="P15" s="21"/>
      <c r="Q15" s="21"/>
      <c r="R15" s="274"/>
    </row>
    <row r="16" spans="1:18" x14ac:dyDescent="0.25">
      <c r="A16" s="11">
        <v>2</v>
      </c>
      <c r="B16" s="11"/>
      <c r="C16" s="6" t="s">
        <v>270</v>
      </c>
      <c r="D16" s="44" t="s">
        <v>43</v>
      </c>
      <c r="E16" s="44"/>
      <c r="F16" s="44">
        <v>48</v>
      </c>
      <c r="G16" s="21"/>
      <c r="H16" s="21"/>
      <c r="I16" s="21"/>
      <c r="J16" s="234"/>
      <c r="K16" s="145"/>
      <c r="L16" s="145"/>
      <c r="M16" s="21"/>
      <c r="N16" s="21"/>
      <c r="O16" s="21"/>
      <c r="P16" s="21"/>
      <c r="Q16" s="21"/>
      <c r="R16" s="274"/>
    </row>
    <row r="17" spans="1:18" s="57" customFormat="1" x14ac:dyDescent="0.25">
      <c r="A17" s="11">
        <v>3</v>
      </c>
      <c r="B17" s="11"/>
      <c r="C17" s="6" t="s">
        <v>271</v>
      </c>
      <c r="D17" s="44" t="s">
        <v>43</v>
      </c>
      <c r="E17" s="44"/>
      <c r="F17" s="44">
        <v>184</v>
      </c>
      <c r="G17" s="21"/>
      <c r="H17" s="21"/>
      <c r="I17" s="21"/>
      <c r="J17" s="234"/>
      <c r="K17" s="145"/>
      <c r="L17" s="145"/>
      <c r="M17" s="21"/>
      <c r="N17" s="21"/>
      <c r="O17" s="21"/>
      <c r="P17" s="21"/>
      <c r="Q17" s="21"/>
      <c r="R17" s="274"/>
    </row>
    <row r="18" spans="1:18" s="57" customFormat="1" x14ac:dyDescent="0.25">
      <c r="A18" s="11">
        <v>4</v>
      </c>
      <c r="B18" s="11"/>
      <c r="C18" s="6" t="s">
        <v>272</v>
      </c>
      <c r="D18" s="44" t="s">
        <v>43</v>
      </c>
      <c r="E18" s="44"/>
      <c r="F18" s="44">
        <v>96</v>
      </c>
      <c r="G18" s="21"/>
      <c r="H18" s="21"/>
      <c r="I18" s="21"/>
      <c r="J18" s="234"/>
      <c r="K18" s="145"/>
      <c r="L18" s="145"/>
      <c r="M18" s="21"/>
      <c r="N18" s="21"/>
      <c r="O18" s="21"/>
      <c r="P18" s="21"/>
      <c r="Q18" s="21"/>
    </row>
    <row r="19" spans="1:18" x14ac:dyDescent="0.25">
      <c r="A19" s="11">
        <v>5</v>
      </c>
      <c r="B19" s="11"/>
      <c r="C19" s="6" t="s">
        <v>273</v>
      </c>
      <c r="D19" s="44" t="s">
        <v>43</v>
      </c>
      <c r="E19" s="44"/>
      <c r="F19" s="44">
        <v>48</v>
      </c>
      <c r="G19" s="21"/>
      <c r="H19" s="21"/>
      <c r="I19" s="21"/>
      <c r="J19" s="234"/>
      <c r="K19" s="145"/>
      <c r="L19" s="145"/>
      <c r="M19" s="21"/>
      <c r="N19" s="21"/>
      <c r="O19" s="21"/>
      <c r="P19" s="21"/>
      <c r="Q19" s="21"/>
    </row>
    <row r="20" spans="1:18" x14ac:dyDescent="0.25">
      <c r="A20" s="11">
        <v>6</v>
      </c>
      <c r="B20" s="11"/>
      <c r="C20" s="6" t="s">
        <v>274</v>
      </c>
      <c r="D20" s="44" t="s">
        <v>43</v>
      </c>
      <c r="E20" s="44"/>
      <c r="F20" s="44">
        <v>40</v>
      </c>
      <c r="G20" s="21"/>
      <c r="H20" s="21"/>
      <c r="I20" s="21"/>
      <c r="J20" s="234"/>
      <c r="K20" s="145"/>
      <c r="L20" s="145"/>
      <c r="M20" s="21"/>
      <c r="N20" s="21"/>
      <c r="O20" s="21"/>
      <c r="P20" s="21"/>
      <c r="Q20" s="21"/>
    </row>
    <row r="21" spans="1:18" x14ac:dyDescent="0.25">
      <c r="A21" s="11">
        <v>7</v>
      </c>
      <c r="B21" s="11"/>
      <c r="C21" s="131" t="s">
        <v>275</v>
      </c>
      <c r="D21" s="44" t="s">
        <v>58</v>
      </c>
      <c r="E21" s="44"/>
      <c r="F21" s="44">
        <v>8</v>
      </c>
      <c r="G21" s="21"/>
      <c r="H21" s="21"/>
      <c r="I21" s="21"/>
      <c r="J21" s="234"/>
      <c r="K21" s="145"/>
      <c r="L21" s="145"/>
      <c r="M21" s="21"/>
      <c r="N21" s="21"/>
      <c r="O21" s="21"/>
      <c r="P21" s="21"/>
      <c r="Q21" s="21"/>
    </row>
    <row r="22" spans="1:18" x14ac:dyDescent="0.25">
      <c r="A22" s="11">
        <v>8</v>
      </c>
      <c r="B22" s="11"/>
      <c r="C22" s="131" t="s">
        <v>276</v>
      </c>
      <c r="D22" s="44" t="s">
        <v>58</v>
      </c>
      <c r="E22" s="44"/>
      <c r="F22" s="44">
        <v>16</v>
      </c>
      <c r="G22" s="21"/>
      <c r="H22" s="21"/>
      <c r="I22" s="21"/>
      <c r="J22" s="234"/>
      <c r="K22" s="145"/>
      <c r="L22" s="145"/>
      <c r="M22" s="21"/>
      <c r="N22" s="21"/>
      <c r="O22" s="21"/>
      <c r="P22" s="21"/>
      <c r="Q22" s="21"/>
    </row>
    <row r="23" spans="1:18" x14ac:dyDescent="0.25">
      <c r="A23" s="11">
        <v>9</v>
      </c>
      <c r="B23" s="11"/>
      <c r="C23" s="131" t="s">
        <v>277</v>
      </c>
      <c r="D23" s="44" t="s">
        <v>58</v>
      </c>
      <c r="E23" s="44"/>
      <c r="F23" s="44">
        <v>8</v>
      </c>
      <c r="G23" s="21"/>
      <c r="H23" s="21"/>
      <c r="I23" s="21"/>
      <c r="J23" s="234"/>
      <c r="K23" s="145"/>
      <c r="L23" s="145"/>
      <c r="M23" s="21"/>
      <c r="N23" s="21"/>
      <c r="O23" s="21"/>
      <c r="P23" s="21"/>
      <c r="Q23" s="21"/>
    </row>
    <row r="24" spans="1:18" ht="22.5" x14ac:dyDescent="0.25">
      <c r="A24" s="11">
        <v>10</v>
      </c>
      <c r="B24" s="11"/>
      <c r="C24" s="6" t="s">
        <v>467</v>
      </c>
      <c r="D24" s="44" t="s">
        <v>58</v>
      </c>
      <c r="E24" s="44"/>
      <c r="F24" s="44">
        <v>8</v>
      </c>
      <c r="G24" s="21"/>
      <c r="H24" s="21"/>
      <c r="I24" s="21"/>
      <c r="J24" s="234"/>
      <c r="K24" s="145"/>
      <c r="L24" s="145"/>
      <c r="M24" s="21"/>
      <c r="N24" s="21"/>
      <c r="O24" s="21"/>
      <c r="P24" s="21"/>
      <c r="Q24" s="21"/>
    </row>
    <row r="25" spans="1:18" ht="22.5" x14ac:dyDescent="0.25">
      <c r="A25" s="11">
        <v>11</v>
      </c>
      <c r="B25" s="11"/>
      <c r="C25" s="6" t="s">
        <v>468</v>
      </c>
      <c r="D25" s="44" t="s">
        <v>58</v>
      </c>
      <c r="E25" s="44"/>
      <c r="F25" s="44">
        <v>8</v>
      </c>
      <c r="G25" s="21"/>
      <c r="H25" s="21"/>
      <c r="I25" s="21"/>
      <c r="J25" s="234"/>
      <c r="K25" s="145"/>
      <c r="L25" s="145"/>
      <c r="M25" s="21"/>
      <c r="N25" s="21"/>
      <c r="O25" s="21"/>
      <c r="P25" s="21"/>
      <c r="Q25" s="21"/>
    </row>
    <row r="26" spans="1:18" x14ac:dyDescent="0.25">
      <c r="A26" s="11">
        <v>12</v>
      </c>
      <c r="B26" s="11"/>
      <c r="C26" s="6" t="s">
        <v>278</v>
      </c>
      <c r="D26" s="44" t="s">
        <v>58</v>
      </c>
      <c r="E26" s="44"/>
      <c r="F26" s="44">
        <v>16</v>
      </c>
      <c r="G26" s="21"/>
      <c r="H26" s="21"/>
      <c r="I26" s="21"/>
      <c r="J26" s="234"/>
      <c r="K26" s="145"/>
      <c r="L26" s="145"/>
      <c r="M26" s="21"/>
      <c r="N26" s="21"/>
      <c r="O26" s="21"/>
      <c r="P26" s="21"/>
      <c r="Q26" s="21"/>
    </row>
    <row r="27" spans="1:18" s="57" customFormat="1" x14ac:dyDescent="0.25">
      <c r="A27" s="11">
        <v>13</v>
      </c>
      <c r="B27" s="11"/>
      <c r="C27" s="6" t="s">
        <v>279</v>
      </c>
      <c r="D27" s="44" t="s">
        <v>58</v>
      </c>
      <c r="E27" s="44"/>
      <c r="F27" s="44">
        <v>16</v>
      </c>
      <c r="G27" s="21"/>
      <c r="H27" s="21"/>
      <c r="I27" s="21"/>
      <c r="J27" s="234"/>
      <c r="K27" s="145"/>
      <c r="L27" s="145"/>
      <c r="M27" s="21"/>
      <c r="N27" s="21"/>
      <c r="O27" s="21"/>
      <c r="P27" s="21"/>
      <c r="Q27" s="21"/>
    </row>
    <row r="28" spans="1:18" s="57" customFormat="1" x14ac:dyDescent="0.25">
      <c r="A28" s="11">
        <v>14</v>
      </c>
      <c r="B28" s="11"/>
      <c r="C28" s="6" t="s">
        <v>280</v>
      </c>
      <c r="D28" s="44" t="s">
        <v>58</v>
      </c>
      <c r="E28" s="44"/>
      <c r="F28" s="44">
        <v>16</v>
      </c>
      <c r="G28" s="21"/>
      <c r="H28" s="21"/>
      <c r="I28" s="21"/>
      <c r="J28" s="234"/>
      <c r="K28" s="145"/>
      <c r="L28" s="145"/>
      <c r="M28" s="21"/>
      <c r="N28" s="21"/>
      <c r="O28" s="21"/>
      <c r="P28" s="21"/>
      <c r="Q28" s="21"/>
    </row>
    <row r="29" spans="1:18" s="57" customFormat="1" x14ac:dyDescent="0.25">
      <c r="A29" s="11">
        <v>15</v>
      </c>
      <c r="B29" s="11"/>
      <c r="C29" s="6" t="s">
        <v>281</v>
      </c>
      <c r="D29" s="44" t="s">
        <v>58</v>
      </c>
      <c r="E29" s="44"/>
      <c r="F29" s="44">
        <v>8</v>
      </c>
      <c r="G29" s="21"/>
      <c r="H29" s="21"/>
      <c r="I29" s="21"/>
      <c r="J29" s="234"/>
      <c r="K29" s="145"/>
      <c r="L29" s="145"/>
      <c r="M29" s="21"/>
      <c r="N29" s="21"/>
      <c r="O29" s="21"/>
      <c r="P29" s="21"/>
      <c r="Q29" s="21"/>
    </row>
    <row r="30" spans="1:18" s="57" customFormat="1" x14ac:dyDescent="0.25">
      <c r="A30" s="11">
        <v>16</v>
      </c>
      <c r="B30" s="11"/>
      <c r="C30" s="6" t="s">
        <v>282</v>
      </c>
      <c r="D30" s="44" t="s">
        <v>58</v>
      </c>
      <c r="E30" s="44"/>
      <c r="F30" s="44">
        <v>8</v>
      </c>
      <c r="G30" s="21"/>
      <c r="H30" s="21"/>
      <c r="I30" s="21"/>
      <c r="J30" s="234"/>
      <c r="K30" s="145"/>
      <c r="L30" s="145"/>
      <c r="M30" s="21"/>
      <c r="N30" s="21"/>
      <c r="O30" s="21"/>
      <c r="P30" s="21"/>
      <c r="Q30" s="21"/>
    </row>
    <row r="31" spans="1:18" s="57" customFormat="1" x14ac:dyDescent="0.25">
      <c r="A31" s="11">
        <v>17</v>
      </c>
      <c r="B31" s="11"/>
      <c r="C31" s="6" t="s">
        <v>283</v>
      </c>
      <c r="D31" s="44" t="s">
        <v>58</v>
      </c>
      <c r="E31" s="44"/>
      <c r="F31" s="44">
        <v>32</v>
      </c>
      <c r="G31" s="21"/>
      <c r="H31" s="21"/>
      <c r="I31" s="21"/>
      <c r="J31" s="234"/>
      <c r="K31" s="145"/>
      <c r="L31" s="145"/>
      <c r="M31" s="21"/>
      <c r="N31" s="21"/>
      <c r="O31" s="21"/>
      <c r="P31" s="21"/>
      <c r="Q31" s="21"/>
    </row>
    <row r="32" spans="1:18" s="57" customFormat="1" x14ac:dyDescent="0.25">
      <c r="A32" s="11">
        <v>18</v>
      </c>
      <c r="B32" s="11"/>
      <c r="C32" s="6" t="s">
        <v>284</v>
      </c>
      <c r="D32" s="44" t="s">
        <v>58</v>
      </c>
      <c r="E32" s="44"/>
      <c r="F32" s="44">
        <v>32</v>
      </c>
      <c r="G32" s="21"/>
      <c r="H32" s="21"/>
      <c r="I32" s="21"/>
      <c r="J32" s="234"/>
      <c r="K32" s="145"/>
      <c r="L32" s="145"/>
      <c r="M32" s="21"/>
      <c r="N32" s="21"/>
      <c r="O32" s="21"/>
      <c r="P32" s="21"/>
      <c r="Q32" s="21"/>
    </row>
    <row r="33" spans="1:17" s="57" customFormat="1" x14ac:dyDescent="0.25">
      <c r="A33" s="11">
        <v>19</v>
      </c>
      <c r="B33" s="11"/>
      <c r="C33" s="6" t="s">
        <v>285</v>
      </c>
      <c r="D33" s="44" t="s">
        <v>58</v>
      </c>
      <c r="E33" s="44"/>
      <c r="F33" s="44">
        <v>8</v>
      </c>
      <c r="G33" s="21"/>
      <c r="H33" s="21"/>
      <c r="I33" s="21"/>
      <c r="J33" s="234"/>
      <c r="K33" s="145"/>
      <c r="L33" s="145"/>
      <c r="M33" s="21"/>
      <c r="N33" s="21"/>
      <c r="O33" s="21"/>
      <c r="P33" s="21"/>
      <c r="Q33" s="21"/>
    </row>
    <row r="34" spans="1:17" s="57" customFormat="1" x14ac:dyDescent="0.25">
      <c r="A34" s="11">
        <v>20</v>
      </c>
      <c r="B34" s="11"/>
      <c r="C34" s="6" t="s">
        <v>286</v>
      </c>
      <c r="D34" s="44" t="s">
        <v>58</v>
      </c>
      <c r="E34" s="44"/>
      <c r="F34" s="44">
        <v>16</v>
      </c>
      <c r="G34" s="21"/>
      <c r="H34" s="21"/>
      <c r="I34" s="21"/>
      <c r="J34" s="234"/>
      <c r="K34" s="145"/>
      <c r="L34" s="145"/>
      <c r="M34" s="21"/>
      <c r="N34" s="21"/>
      <c r="O34" s="21"/>
      <c r="P34" s="21"/>
      <c r="Q34" s="21"/>
    </row>
    <row r="35" spans="1:17" s="57" customFormat="1" x14ac:dyDescent="0.25">
      <c r="A35" s="11">
        <v>21</v>
      </c>
      <c r="B35" s="11"/>
      <c r="C35" s="6" t="s">
        <v>287</v>
      </c>
      <c r="D35" s="44" t="s">
        <v>58</v>
      </c>
      <c r="E35" s="44"/>
      <c r="F35" s="44">
        <v>32</v>
      </c>
      <c r="G35" s="21"/>
      <c r="H35" s="21"/>
      <c r="I35" s="21"/>
      <c r="J35" s="234"/>
      <c r="K35" s="145"/>
      <c r="L35" s="145"/>
      <c r="M35" s="21"/>
      <c r="N35" s="21"/>
      <c r="O35" s="21"/>
      <c r="P35" s="21"/>
      <c r="Q35" s="21"/>
    </row>
    <row r="36" spans="1:17" x14ac:dyDescent="0.25">
      <c r="A36" s="11">
        <v>22</v>
      </c>
      <c r="B36" s="11"/>
      <c r="C36" s="6" t="s">
        <v>288</v>
      </c>
      <c r="D36" s="44" t="s">
        <v>58</v>
      </c>
      <c r="E36" s="44"/>
      <c r="F36" s="44">
        <v>16</v>
      </c>
      <c r="G36" s="21"/>
      <c r="H36" s="21"/>
      <c r="I36" s="21"/>
      <c r="J36" s="234"/>
      <c r="K36" s="145"/>
      <c r="L36" s="145"/>
      <c r="M36" s="21"/>
      <c r="N36" s="21"/>
      <c r="O36" s="21"/>
      <c r="P36" s="21"/>
      <c r="Q36" s="21"/>
    </row>
    <row r="37" spans="1:17" ht="22.5" x14ac:dyDescent="0.25">
      <c r="A37" s="11">
        <v>23</v>
      </c>
      <c r="B37" s="11"/>
      <c r="C37" s="6" t="s">
        <v>289</v>
      </c>
      <c r="D37" s="44" t="s">
        <v>58</v>
      </c>
      <c r="E37" s="44"/>
      <c r="F37" s="44">
        <v>8</v>
      </c>
      <c r="G37" s="21"/>
      <c r="H37" s="21"/>
      <c r="I37" s="21"/>
      <c r="J37" s="234"/>
      <c r="K37" s="145"/>
      <c r="L37" s="145"/>
      <c r="M37" s="21"/>
      <c r="N37" s="21"/>
      <c r="O37" s="21"/>
      <c r="P37" s="21"/>
      <c r="Q37" s="21"/>
    </row>
    <row r="38" spans="1:17" ht="22.5" x14ac:dyDescent="0.25">
      <c r="A38" s="11">
        <v>24</v>
      </c>
      <c r="B38" s="11"/>
      <c r="C38" s="6" t="s">
        <v>290</v>
      </c>
      <c r="D38" s="44" t="s">
        <v>58</v>
      </c>
      <c r="E38" s="44"/>
      <c r="F38" s="44">
        <v>32</v>
      </c>
      <c r="G38" s="21"/>
      <c r="H38" s="21"/>
      <c r="I38" s="21"/>
      <c r="J38" s="234"/>
      <c r="K38" s="145"/>
      <c r="L38" s="145"/>
      <c r="M38" s="21"/>
      <c r="N38" s="21"/>
      <c r="O38" s="21"/>
      <c r="P38" s="21"/>
      <c r="Q38" s="21"/>
    </row>
    <row r="39" spans="1:17" ht="22.5" x14ac:dyDescent="0.25">
      <c r="A39" s="11">
        <v>25</v>
      </c>
      <c r="B39" s="11"/>
      <c r="C39" s="6" t="s">
        <v>291</v>
      </c>
      <c r="D39" s="44" t="s">
        <v>58</v>
      </c>
      <c r="E39" s="44"/>
      <c r="F39" s="44">
        <v>42</v>
      </c>
      <c r="G39" s="21"/>
      <c r="H39" s="21"/>
      <c r="I39" s="21"/>
      <c r="J39" s="234"/>
      <c r="K39" s="145"/>
      <c r="L39" s="145"/>
      <c r="M39" s="21"/>
      <c r="N39" s="21"/>
      <c r="O39" s="21"/>
      <c r="P39" s="21"/>
      <c r="Q39" s="21"/>
    </row>
    <row r="40" spans="1:17" ht="22.5" x14ac:dyDescent="0.25">
      <c r="A40" s="11">
        <v>26</v>
      </c>
      <c r="B40" s="11"/>
      <c r="C40" s="6" t="s">
        <v>363</v>
      </c>
      <c r="D40" s="44" t="s">
        <v>43</v>
      </c>
      <c r="E40" s="44"/>
      <c r="F40" s="44">
        <v>48</v>
      </c>
      <c r="G40" s="21"/>
      <c r="H40" s="21"/>
      <c r="I40" s="21"/>
      <c r="J40" s="234"/>
      <c r="K40" s="145"/>
      <c r="L40" s="145"/>
      <c r="M40" s="21"/>
      <c r="N40" s="21"/>
      <c r="O40" s="21"/>
      <c r="P40" s="21"/>
      <c r="Q40" s="21"/>
    </row>
    <row r="41" spans="1:17" ht="22.5" x14ac:dyDescent="0.25">
      <c r="A41" s="11">
        <v>27</v>
      </c>
      <c r="B41" s="11"/>
      <c r="C41" s="6" t="s">
        <v>364</v>
      </c>
      <c r="D41" s="44" t="s">
        <v>43</v>
      </c>
      <c r="E41" s="44"/>
      <c r="F41" s="44">
        <v>72</v>
      </c>
      <c r="G41" s="21"/>
      <c r="H41" s="21"/>
      <c r="I41" s="21"/>
      <c r="J41" s="234"/>
      <c r="K41" s="145"/>
      <c r="L41" s="145"/>
      <c r="M41" s="21"/>
      <c r="N41" s="21"/>
      <c r="O41" s="21"/>
      <c r="P41" s="21"/>
      <c r="Q41" s="21"/>
    </row>
    <row r="42" spans="1:17" ht="22.5" x14ac:dyDescent="0.25">
      <c r="A42" s="11">
        <v>28</v>
      </c>
      <c r="B42" s="11"/>
      <c r="C42" s="6" t="s">
        <v>365</v>
      </c>
      <c r="D42" s="44" t="s">
        <v>43</v>
      </c>
      <c r="E42" s="44"/>
      <c r="F42" s="44">
        <v>112</v>
      </c>
      <c r="G42" s="21"/>
      <c r="H42" s="21"/>
      <c r="I42" s="21"/>
      <c r="J42" s="234"/>
      <c r="K42" s="145"/>
      <c r="L42" s="145"/>
      <c r="M42" s="21"/>
      <c r="N42" s="21"/>
      <c r="O42" s="21"/>
      <c r="P42" s="21"/>
      <c r="Q42" s="21"/>
    </row>
    <row r="43" spans="1:17" ht="22.5" x14ac:dyDescent="0.25">
      <c r="A43" s="11">
        <v>29</v>
      </c>
      <c r="B43" s="11"/>
      <c r="C43" s="6" t="s">
        <v>366</v>
      </c>
      <c r="D43" s="44" t="s">
        <v>43</v>
      </c>
      <c r="E43" s="44"/>
      <c r="F43" s="44">
        <v>96</v>
      </c>
      <c r="G43" s="21"/>
      <c r="H43" s="21"/>
      <c r="I43" s="21"/>
      <c r="J43" s="234"/>
      <c r="K43" s="145"/>
      <c r="L43" s="145"/>
      <c r="M43" s="21"/>
      <c r="N43" s="21"/>
      <c r="O43" s="21"/>
      <c r="P43" s="21"/>
      <c r="Q43" s="21"/>
    </row>
    <row r="44" spans="1:17" ht="22.5" x14ac:dyDescent="0.25">
      <c r="A44" s="11">
        <v>30</v>
      </c>
      <c r="B44" s="11"/>
      <c r="C44" s="6" t="s">
        <v>367</v>
      </c>
      <c r="D44" s="44" t="s">
        <v>43</v>
      </c>
      <c r="E44" s="44"/>
      <c r="F44" s="44">
        <v>48</v>
      </c>
      <c r="G44" s="21"/>
      <c r="H44" s="21"/>
      <c r="I44" s="21"/>
      <c r="J44" s="234"/>
      <c r="K44" s="145"/>
      <c r="L44" s="145"/>
      <c r="M44" s="21"/>
      <c r="N44" s="21"/>
      <c r="O44" s="21"/>
      <c r="P44" s="21"/>
      <c r="Q44" s="21"/>
    </row>
    <row r="45" spans="1:17" ht="22.5" x14ac:dyDescent="0.25">
      <c r="A45" s="11">
        <v>31</v>
      </c>
      <c r="B45" s="11"/>
      <c r="C45" s="6" t="s">
        <v>368</v>
      </c>
      <c r="D45" s="44" t="s">
        <v>43</v>
      </c>
      <c r="E45" s="44"/>
      <c r="F45" s="44">
        <v>40</v>
      </c>
      <c r="G45" s="21"/>
      <c r="H45" s="21"/>
      <c r="I45" s="21"/>
      <c r="J45" s="234"/>
      <c r="K45" s="145"/>
      <c r="L45" s="145"/>
      <c r="M45" s="21"/>
      <c r="N45" s="21"/>
      <c r="O45" s="21"/>
      <c r="P45" s="21"/>
      <c r="Q45" s="21"/>
    </row>
    <row r="46" spans="1:17" x14ac:dyDescent="0.25">
      <c r="A46" s="11">
        <v>32</v>
      </c>
      <c r="B46" s="11"/>
      <c r="C46" s="131" t="s">
        <v>124</v>
      </c>
      <c r="D46" s="44" t="s">
        <v>55</v>
      </c>
      <c r="E46" s="44"/>
      <c r="F46" s="44">
        <v>20</v>
      </c>
      <c r="G46" s="21"/>
      <c r="H46" s="21"/>
      <c r="I46" s="21"/>
      <c r="J46" s="234"/>
      <c r="K46" s="145"/>
      <c r="L46" s="145"/>
      <c r="M46" s="21"/>
      <c r="N46" s="21"/>
      <c r="O46" s="21"/>
      <c r="P46" s="21"/>
      <c r="Q46" s="21"/>
    </row>
    <row r="47" spans="1:17" x14ac:dyDescent="0.25">
      <c r="A47" s="11">
        <v>33</v>
      </c>
      <c r="B47" s="11"/>
      <c r="C47" s="131" t="s">
        <v>125</v>
      </c>
      <c r="D47" s="44" t="s">
        <v>123</v>
      </c>
      <c r="E47" s="44"/>
      <c r="F47" s="44">
        <v>1</v>
      </c>
      <c r="G47" s="21"/>
      <c r="H47" s="21"/>
      <c r="I47" s="21"/>
      <c r="J47" s="234"/>
      <c r="K47" s="145"/>
      <c r="L47" s="145"/>
      <c r="M47" s="21"/>
      <c r="N47" s="21"/>
      <c r="O47" s="21"/>
      <c r="P47" s="21"/>
      <c r="Q47" s="21"/>
    </row>
    <row r="48" spans="1:17" x14ac:dyDescent="0.25">
      <c r="A48" s="11">
        <v>34</v>
      </c>
      <c r="B48" s="11"/>
      <c r="C48" s="131" t="s">
        <v>133</v>
      </c>
      <c r="D48" s="44" t="s">
        <v>123</v>
      </c>
      <c r="E48" s="44"/>
      <c r="F48" s="44">
        <v>1</v>
      </c>
      <c r="G48" s="21"/>
      <c r="H48" s="21"/>
      <c r="I48" s="21"/>
      <c r="J48" s="234"/>
      <c r="K48" s="145"/>
      <c r="L48" s="145"/>
      <c r="M48" s="21"/>
      <c r="N48" s="21"/>
      <c r="O48" s="21"/>
      <c r="P48" s="21"/>
      <c r="Q48" s="21"/>
    </row>
    <row r="49" spans="1:17" ht="22.5" x14ac:dyDescent="0.25">
      <c r="A49" s="11">
        <v>35</v>
      </c>
      <c r="B49" s="11"/>
      <c r="C49" s="6" t="s">
        <v>469</v>
      </c>
      <c r="D49" s="44" t="s">
        <v>47</v>
      </c>
      <c r="E49" s="44"/>
      <c r="F49" s="44">
        <v>10</v>
      </c>
      <c r="G49" s="21"/>
      <c r="H49" s="21"/>
      <c r="I49" s="21"/>
      <c r="J49" s="234"/>
      <c r="K49" s="145"/>
      <c r="L49" s="145"/>
      <c r="M49" s="21"/>
      <c r="N49" s="21"/>
      <c r="O49" s="21"/>
      <c r="P49" s="21"/>
      <c r="Q49" s="21"/>
    </row>
    <row r="50" spans="1:17" ht="22.5" x14ac:dyDescent="0.25">
      <c r="A50" s="11">
        <v>36</v>
      </c>
      <c r="B50" s="11"/>
      <c r="C50" s="6" t="s">
        <v>126</v>
      </c>
      <c r="D50" s="44" t="s">
        <v>123</v>
      </c>
      <c r="E50" s="44"/>
      <c r="F50" s="44">
        <v>1</v>
      </c>
      <c r="G50" s="21"/>
      <c r="H50" s="21"/>
      <c r="I50" s="21"/>
      <c r="J50" s="234"/>
      <c r="K50" s="145"/>
      <c r="L50" s="145"/>
      <c r="M50" s="21"/>
      <c r="N50" s="21"/>
      <c r="O50" s="21"/>
      <c r="P50" s="21"/>
      <c r="Q50" s="21"/>
    </row>
    <row r="51" spans="1:17" x14ac:dyDescent="0.25">
      <c r="A51" s="44"/>
      <c r="B51" s="44"/>
      <c r="C51" s="235" t="s">
        <v>127</v>
      </c>
      <c r="D51" s="44"/>
      <c r="E51" s="44"/>
      <c r="F51" s="44"/>
      <c r="G51" s="47"/>
      <c r="H51" s="21"/>
      <c r="I51" s="21"/>
      <c r="J51" s="47"/>
      <c r="K51" s="47"/>
      <c r="L51" s="47"/>
      <c r="M51" s="47"/>
      <c r="N51" s="47"/>
      <c r="O51" s="47"/>
      <c r="P51" s="47"/>
      <c r="Q51" s="47"/>
    </row>
    <row r="52" spans="1:17" x14ac:dyDescent="0.25">
      <c r="A52" s="44">
        <v>1</v>
      </c>
      <c r="B52" s="44"/>
      <c r="C52" s="6" t="s">
        <v>128</v>
      </c>
      <c r="D52" s="44" t="s">
        <v>123</v>
      </c>
      <c r="E52" s="44">
        <v>1</v>
      </c>
      <c r="F52" s="44">
        <v>120</v>
      </c>
      <c r="G52" s="21"/>
      <c r="H52" s="21"/>
      <c r="I52" s="21"/>
      <c r="J52" s="234"/>
      <c r="K52" s="145"/>
      <c r="L52" s="145"/>
      <c r="M52" s="21"/>
      <c r="N52" s="21"/>
      <c r="O52" s="21"/>
      <c r="P52" s="21"/>
      <c r="Q52" s="21"/>
    </row>
    <row r="53" spans="1:17" ht="22.5" x14ac:dyDescent="0.25">
      <c r="A53" s="44">
        <v>2</v>
      </c>
      <c r="B53" s="44"/>
      <c r="C53" s="8" t="s">
        <v>129</v>
      </c>
      <c r="D53" s="44" t="s">
        <v>58</v>
      </c>
      <c r="E53" s="44">
        <v>1</v>
      </c>
      <c r="F53" s="44">
        <v>120</v>
      </c>
      <c r="G53" s="21"/>
      <c r="H53" s="21"/>
      <c r="I53" s="21"/>
      <c r="J53" s="234"/>
      <c r="K53" s="145"/>
      <c r="L53" s="145"/>
      <c r="M53" s="21"/>
      <c r="N53" s="21"/>
      <c r="O53" s="21"/>
      <c r="P53" s="21"/>
      <c r="Q53" s="21"/>
    </row>
    <row r="54" spans="1:17" x14ac:dyDescent="0.25">
      <c r="A54" s="44">
        <v>3</v>
      </c>
      <c r="B54" s="44"/>
      <c r="C54" s="47" t="s">
        <v>130</v>
      </c>
      <c r="D54" s="44" t="s">
        <v>58</v>
      </c>
      <c r="E54" s="44">
        <v>1</v>
      </c>
      <c r="F54" s="44">
        <v>120</v>
      </c>
      <c r="G54" s="21"/>
      <c r="H54" s="21"/>
      <c r="I54" s="21"/>
      <c r="J54" s="234"/>
      <c r="K54" s="145"/>
      <c r="L54" s="145"/>
      <c r="M54" s="21"/>
      <c r="N54" s="21"/>
      <c r="O54" s="21"/>
      <c r="P54" s="21"/>
      <c r="Q54" s="21"/>
    </row>
    <row r="55" spans="1:17" ht="22.5" x14ac:dyDescent="0.25">
      <c r="A55" s="44">
        <v>4</v>
      </c>
      <c r="B55" s="44"/>
      <c r="C55" s="6" t="s">
        <v>470</v>
      </c>
      <c r="D55" s="44" t="s">
        <v>123</v>
      </c>
      <c r="E55" s="44">
        <v>1</v>
      </c>
      <c r="F55" s="44">
        <v>120</v>
      </c>
      <c r="G55" s="21"/>
      <c r="H55" s="21"/>
      <c r="I55" s="21"/>
      <c r="J55" s="234"/>
      <c r="K55" s="145"/>
      <c r="L55" s="145"/>
      <c r="M55" s="21"/>
      <c r="N55" s="21"/>
      <c r="O55" s="21"/>
      <c r="P55" s="21"/>
      <c r="Q55" s="21"/>
    </row>
    <row r="56" spans="1:17" x14ac:dyDescent="0.25">
      <c r="A56" s="236"/>
      <c r="B56" s="236"/>
      <c r="C56" s="237" t="s">
        <v>293</v>
      </c>
      <c r="D56" s="236"/>
      <c r="E56" s="236"/>
      <c r="F56" s="236"/>
      <c r="G56" s="47"/>
      <c r="H56" s="21"/>
      <c r="I56" s="21"/>
      <c r="J56" s="47"/>
      <c r="K56" s="47"/>
      <c r="L56" s="47"/>
      <c r="M56" s="47"/>
      <c r="N56" s="47"/>
      <c r="O56" s="47"/>
      <c r="P56" s="47"/>
      <c r="Q56" s="47"/>
    </row>
    <row r="57" spans="1:17" ht="56.25" x14ac:dyDescent="0.25">
      <c r="A57" s="238">
        <v>1</v>
      </c>
      <c r="B57" s="238"/>
      <c r="C57" s="6" t="s">
        <v>378</v>
      </c>
      <c r="D57" s="11" t="s">
        <v>123</v>
      </c>
      <c r="E57" s="11">
        <v>1</v>
      </c>
      <c r="F57" s="11">
        <v>120</v>
      </c>
      <c r="G57" s="21"/>
      <c r="H57" s="21"/>
      <c r="I57" s="21"/>
      <c r="J57" s="234"/>
      <c r="K57" s="145"/>
      <c r="L57" s="145"/>
      <c r="M57" s="21"/>
      <c r="N57" s="21"/>
      <c r="O57" s="21"/>
      <c r="P57" s="21"/>
      <c r="Q57" s="21"/>
    </row>
    <row r="58" spans="1:17" ht="22.5" x14ac:dyDescent="0.25">
      <c r="A58" s="238">
        <v>2</v>
      </c>
      <c r="B58" s="238"/>
      <c r="C58" s="6" t="s">
        <v>471</v>
      </c>
      <c r="D58" s="11" t="s">
        <v>58</v>
      </c>
      <c r="E58" s="11">
        <v>1</v>
      </c>
      <c r="F58" s="11">
        <v>120</v>
      </c>
      <c r="G58" s="21"/>
      <c r="H58" s="21"/>
      <c r="I58" s="21"/>
      <c r="J58" s="234"/>
      <c r="K58" s="145"/>
      <c r="L58" s="145"/>
      <c r="M58" s="21"/>
      <c r="N58" s="21"/>
      <c r="O58" s="21"/>
      <c r="P58" s="21"/>
      <c r="Q58" s="21"/>
    </row>
    <row r="59" spans="1:17" ht="22.5" x14ac:dyDescent="0.25">
      <c r="A59" s="238">
        <v>3</v>
      </c>
      <c r="B59" s="238"/>
      <c r="C59" s="6" t="s">
        <v>472</v>
      </c>
      <c r="D59" s="11" t="s">
        <v>58</v>
      </c>
      <c r="E59" s="11">
        <v>1</v>
      </c>
      <c r="F59" s="11">
        <v>120</v>
      </c>
      <c r="G59" s="21"/>
      <c r="H59" s="21"/>
      <c r="I59" s="21"/>
      <c r="J59" s="234"/>
      <c r="K59" s="145"/>
      <c r="L59" s="145"/>
      <c r="M59" s="21"/>
      <c r="N59" s="21"/>
      <c r="O59" s="21"/>
      <c r="P59" s="21"/>
      <c r="Q59" s="21"/>
    </row>
    <row r="60" spans="1:17" s="57" customFormat="1" x14ac:dyDescent="0.25">
      <c r="A60" s="238">
        <v>4</v>
      </c>
      <c r="B60" s="238"/>
      <c r="C60" s="6" t="s">
        <v>294</v>
      </c>
      <c r="D60" s="11" t="s">
        <v>58</v>
      </c>
      <c r="E60" s="11">
        <v>2</v>
      </c>
      <c r="F60" s="11">
        <v>240</v>
      </c>
      <c r="G60" s="21"/>
      <c r="H60" s="21"/>
      <c r="I60" s="21"/>
      <c r="J60" s="234"/>
      <c r="K60" s="145"/>
      <c r="L60" s="145"/>
      <c r="M60" s="21"/>
      <c r="N60" s="21"/>
      <c r="O60" s="21"/>
      <c r="P60" s="21"/>
      <c r="Q60" s="21"/>
    </row>
    <row r="61" spans="1:17" x14ac:dyDescent="0.25">
      <c r="A61" s="238">
        <v>5</v>
      </c>
      <c r="B61" s="238"/>
      <c r="C61" s="6" t="s">
        <v>295</v>
      </c>
      <c r="D61" s="11" t="s">
        <v>58</v>
      </c>
      <c r="E61" s="11">
        <v>1</v>
      </c>
      <c r="F61" s="11">
        <v>120</v>
      </c>
      <c r="G61" s="21"/>
      <c r="H61" s="21"/>
      <c r="I61" s="21"/>
      <c r="J61" s="234"/>
      <c r="K61" s="145"/>
      <c r="L61" s="145"/>
      <c r="M61" s="21"/>
      <c r="N61" s="21"/>
      <c r="O61" s="21"/>
      <c r="P61" s="21"/>
      <c r="Q61" s="21"/>
    </row>
    <row r="62" spans="1:17" x14ac:dyDescent="0.25">
      <c r="A62" s="238">
        <v>6</v>
      </c>
      <c r="B62" s="238"/>
      <c r="C62" s="6" t="s">
        <v>124</v>
      </c>
      <c r="D62" s="11" t="s">
        <v>55</v>
      </c>
      <c r="E62" s="11">
        <v>0.1</v>
      </c>
      <c r="F62" s="11">
        <v>12</v>
      </c>
      <c r="G62" s="21"/>
      <c r="H62" s="21"/>
      <c r="I62" s="21"/>
      <c r="J62" s="234"/>
      <c r="K62" s="145"/>
      <c r="L62" s="145"/>
      <c r="M62" s="21"/>
      <c r="N62" s="21"/>
      <c r="O62" s="21"/>
      <c r="P62" s="21"/>
      <c r="Q62" s="21"/>
    </row>
    <row r="63" spans="1:17" x14ac:dyDescent="0.25">
      <c r="A63" s="238">
        <v>7</v>
      </c>
      <c r="B63" s="238"/>
      <c r="C63" s="6" t="s">
        <v>125</v>
      </c>
      <c r="D63" s="11" t="s">
        <v>123</v>
      </c>
      <c r="E63" s="11">
        <v>1</v>
      </c>
      <c r="F63" s="11">
        <v>120</v>
      </c>
      <c r="G63" s="21"/>
      <c r="H63" s="21"/>
      <c r="I63" s="21"/>
      <c r="J63" s="234"/>
      <c r="K63" s="145"/>
      <c r="L63" s="145"/>
      <c r="M63" s="21"/>
      <c r="N63" s="21"/>
      <c r="O63" s="21"/>
      <c r="P63" s="21"/>
      <c r="Q63" s="21"/>
    </row>
    <row r="64" spans="1:17" x14ac:dyDescent="0.25">
      <c r="A64" s="238">
        <v>8</v>
      </c>
      <c r="B64" s="238"/>
      <c r="C64" s="6" t="s">
        <v>133</v>
      </c>
      <c r="D64" s="11" t="s">
        <v>123</v>
      </c>
      <c r="E64" s="11">
        <v>1</v>
      </c>
      <c r="F64" s="11">
        <v>120</v>
      </c>
      <c r="G64" s="21"/>
      <c r="H64" s="21"/>
      <c r="I64" s="21"/>
      <c r="J64" s="239"/>
      <c r="K64" s="145"/>
      <c r="L64" s="145"/>
      <c r="M64" s="21"/>
      <c r="N64" s="21"/>
      <c r="O64" s="21"/>
      <c r="P64" s="21"/>
      <c r="Q64" s="21"/>
    </row>
    <row r="65" spans="1:18" x14ac:dyDescent="0.25">
      <c r="A65" s="238">
        <v>9</v>
      </c>
      <c r="B65" s="238"/>
      <c r="C65" s="6" t="s">
        <v>296</v>
      </c>
      <c r="D65" s="11" t="s">
        <v>123</v>
      </c>
      <c r="E65" s="11">
        <v>1</v>
      </c>
      <c r="F65" s="11">
        <v>120</v>
      </c>
      <c r="G65" s="21"/>
      <c r="H65" s="21"/>
      <c r="I65" s="21"/>
      <c r="J65" s="239"/>
      <c r="K65" s="145"/>
      <c r="L65" s="145"/>
      <c r="M65" s="21"/>
      <c r="N65" s="21"/>
      <c r="O65" s="21"/>
      <c r="P65" s="21"/>
      <c r="Q65" s="21"/>
    </row>
    <row r="66" spans="1:18" ht="22.5" x14ac:dyDescent="0.25">
      <c r="A66" s="238">
        <v>10</v>
      </c>
      <c r="B66" s="238"/>
      <c r="C66" s="6" t="s">
        <v>131</v>
      </c>
      <c r="D66" s="11" t="s">
        <v>47</v>
      </c>
      <c r="E66" s="11">
        <v>0.05</v>
      </c>
      <c r="F66" s="11">
        <v>6</v>
      </c>
      <c r="G66" s="21"/>
      <c r="H66" s="21"/>
      <c r="I66" s="21"/>
      <c r="J66" s="234"/>
      <c r="K66" s="145"/>
      <c r="L66" s="145"/>
      <c r="M66" s="21"/>
      <c r="N66" s="21"/>
      <c r="O66" s="21"/>
      <c r="P66" s="21"/>
      <c r="Q66" s="21"/>
    </row>
    <row r="67" spans="1:18" ht="14.25" customHeight="1" x14ac:dyDescent="0.25">
      <c r="A67" s="238">
        <v>11</v>
      </c>
      <c r="B67" s="238"/>
      <c r="C67" s="6" t="s">
        <v>292</v>
      </c>
      <c r="D67" s="11" t="s">
        <v>123</v>
      </c>
      <c r="E67" s="11">
        <v>1</v>
      </c>
      <c r="F67" s="11">
        <v>120</v>
      </c>
      <c r="G67" s="21"/>
      <c r="H67" s="21"/>
      <c r="I67" s="21"/>
      <c r="J67" s="234"/>
      <c r="K67" s="145"/>
      <c r="L67" s="145"/>
      <c r="M67" s="21"/>
      <c r="N67" s="21"/>
      <c r="O67" s="21"/>
      <c r="P67" s="21"/>
      <c r="Q67" s="21"/>
      <c r="R67" s="273"/>
    </row>
    <row r="68" spans="1:18" x14ac:dyDescent="0.25">
      <c r="A68" s="44"/>
      <c r="B68" s="44"/>
      <c r="C68" s="240" t="s">
        <v>297</v>
      </c>
      <c r="D68" s="241"/>
      <c r="E68" s="241"/>
      <c r="F68" s="240"/>
      <c r="G68" s="21"/>
      <c r="H68" s="21"/>
      <c r="I68" s="21"/>
      <c r="J68" s="234"/>
      <c r="K68" s="145"/>
      <c r="L68" s="145"/>
      <c r="M68" s="21"/>
      <c r="N68" s="21"/>
      <c r="O68" s="21"/>
      <c r="P68" s="21"/>
      <c r="Q68" s="21"/>
      <c r="R68" s="273"/>
    </row>
    <row r="69" spans="1:18" x14ac:dyDescent="0.25">
      <c r="A69" s="44"/>
      <c r="B69" s="44"/>
      <c r="C69" s="242" t="s">
        <v>298</v>
      </c>
      <c r="D69" s="44"/>
      <c r="E69" s="44"/>
      <c r="F69" s="44"/>
      <c r="G69" s="47"/>
      <c r="H69" s="21"/>
      <c r="I69" s="21"/>
      <c r="J69" s="47"/>
      <c r="K69" s="47"/>
      <c r="L69" s="47"/>
      <c r="M69" s="47"/>
      <c r="N69" s="47"/>
      <c r="O69" s="47"/>
      <c r="P69" s="47"/>
      <c r="Q69" s="47"/>
      <c r="R69" s="273"/>
    </row>
    <row r="70" spans="1:18" x14ac:dyDescent="0.25">
      <c r="A70" s="11">
        <v>1</v>
      </c>
      <c r="B70" s="11"/>
      <c r="C70" s="6" t="s">
        <v>269</v>
      </c>
      <c r="D70" s="44" t="s">
        <v>123</v>
      </c>
      <c r="E70" s="44">
        <v>1</v>
      </c>
      <c r="F70" s="44">
        <v>10</v>
      </c>
      <c r="G70" s="145"/>
      <c r="H70" s="21"/>
      <c r="I70" s="21"/>
      <c r="J70" s="239"/>
      <c r="K70" s="145"/>
      <c r="L70" s="145"/>
      <c r="M70" s="21"/>
      <c r="N70" s="21"/>
      <c r="O70" s="21"/>
      <c r="P70" s="21"/>
      <c r="Q70" s="21"/>
      <c r="R70" s="273"/>
    </row>
    <row r="71" spans="1:18" ht="22.5" x14ac:dyDescent="0.25">
      <c r="A71" s="44">
        <f>A70+1</f>
        <v>2</v>
      </c>
      <c r="B71" s="44"/>
      <c r="C71" s="8" t="s">
        <v>473</v>
      </c>
      <c r="D71" s="44" t="s">
        <v>58</v>
      </c>
      <c r="E71" s="44">
        <v>3</v>
      </c>
      <c r="F71" s="44">
        <v>30</v>
      </c>
      <c r="G71" s="145"/>
      <c r="H71" s="21"/>
      <c r="I71" s="21"/>
      <c r="J71" s="239"/>
      <c r="K71" s="145"/>
      <c r="L71" s="145"/>
      <c r="M71" s="21"/>
      <c r="N71" s="21"/>
      <c r="O71" s="21"/>
      <c r="P71" s="21"/>
      <c r="Q71" s="21"/>
      <c r="R71" s="273"/>
    </row>
    <row r="72" spans="1:18" s="57" customFormat="1" ht="10.15" customHeight="1" x14ac:dyDescent="0.25">
      <c r="A72" s="44">
        <f t="shared" ref="A72:A80" si="1">A71+1</f>
        <v>3</v>
      </c>
      <c r="B72" s="44"/>
      <c r="C72" s="47" t="s">
        <v>299</v>
      </c>
      <c r="D72" s="44" t="s">
        <v>43</v>
      </c>
      <c r="E72" s="44">
        <v>72</v>
      </c>
      <c r="F72" s="44">
        <v>720</v>
      </c>
      <c r="G72" s="145"/>
      <c r="H72" s="21"/>
      <c r="I72" s="21"/>
      <c r="J72" s="239"/>
      <c r="K72" s="145"/>
      <c r="L72" s="145"/>
      <c r="M72" s="21"/>
      <c r="N72" s="21"/>
      <c r="O72" s="21"/>
      <c r="P72" s="21"/>
      <c r="Q72" s="21"/>
      <c r="R72" s="273"/>
    </row>
    <row r="73" spans="1:18" ht="22.5" x14ac:dyDescent="0.25">
      <c r="A73" s="44">
        <f t="shared" si="1"/>
        <v>4</v>
      </c>
      <c r="B73" s="11"/>
      <c r="C73" s="8" t="s">
        <v>300</v>
      </c>
      <c r="D73" s="44" t="s">
        <v>58</v>
      </c>
      <c r="E73" s="44">
        <v>24</v>
      </c>
      <c r="F73" s="44">
        <v>240</v>
      </c>
      <c r="G73" s="145"/>
      <c r="H73" s="21"/>
      <c r="I73" s="21"/>
      <c r="J73" s="239"/>
      <c r="K73" s="145"/>
      <c r="L73" s="145"/>
      <c r="M73" s="21"/>
      <c r="N73" s="21"/>
      <c r="O73" s="21"/>
      <c r="P73" s="21"/>
      <c r="Q73" s="21"/>
      <c r="R73" s="273"/>
    </row>
    <row r="74" spans="1:18" x14ac:dyDescent="0.25">
      <c r="A74" s="44">
        <f t="shared" si="1"/>
        <v>5</v>
      </c>
      <c r="B74" s="44"/>
      <c r="C74" s="8" t="s">
        <v>301</v>
      </c>
      <c r="D74" s="44" t="s">
        <v>58</v>
      </c>
      <c r="E74" s="44">
        <v>4</v>
      </c>
      <c r="F74" s="44">
        <v>40</v>
      </c>
      <c r="G74" s="145"/>
      <c r="H74" s="21"/>
      <c r="I74" s="21"/>
      <c r="J74" s="239"/>
      <c r="K74" s="145"/>
      <c r="L74" s="145"/>
      <c r="M74" s="21"/>
      <c r="N74" s="21"/>
      <c r="O74" s="21"/>
      <c r="P74" s="21"/>
      <c r="Q74" s="21"/>
      <c r="R74" s="273"/>
    </row>
    <row r="75" spans="1:18" x14ac:dyDescent="0.25">
      <c r="A75" s="44">
        <f t="shared" si="1"/>
        <v>6</v>
      </c>
      <c r="B75" s="44"/>
      <c r="C75" s="47" t="s">
        <v>277</v>
      </c>
      <c r="D75" s="44" t="s">
        <v>58</v>
      </c>
      <c r="E75" s="44">
        <v>2</v>
      </c>
      <c r="F75" s="44">
        <v>20</v>
      </c>
      <c r="G75" s="145"/>
      <c r="H75" s="21"/>
      <c r="I75" s="21"/>
      <c r="J75" s="239"/>
      <c r="K75" s="145"/>
      <c r="L75" s="145"/>
      <c r="M75" s="21"/>
      <c r="N75" s="21"/>
      <c r="O75" s="21"/>
      <c r="P75" s="21"/>
      <c r="Q75" s="21"/>
      <c r="R75" s="273"/>
    </row>
    <row r="76" spans="1:18" ht="22.5" x14ac:dyDescent="0.25">
      <c r="A76" s="44">
        <f t="shared" si="1"/>
        <v>7</v>
      </c>
      <c r="B76" s="11"/>
      <c r="C76" s="8" t="s">
        <v>302</v>
      </c>
      <c r="D76" s="44" t="s">
        <v>58</v>
      </c>
      <c r="E76" s="44">
        <v>6</v>
      </c>
      <c r="F76" s="44">
        <v>60</v>
      </c>
      <c r="G76" s="145"/>
      <c r="H76" s="21"/>
      <c r="I76" s="21"/>
      <c r="J76" s="234"/>
      <c r="K76" s="145"/>
      <c r="L76" s="145"/>
      <c r="M76" s="21"/>
      <c r="N76" s="21"/>
      <c r="O76" s="21"/>
      <c r="P76" s="21"/>
      <c r="Q76" s="21"/>
      <c r="R76" s="273"/>
    </row>
    <row r="77" spans="1:18" x14ac:dyDescent="0.25">
      <c r="A77" s="44">
        <f t="shared" si="1"/>
        <v>8</v>
      </c>
      <c r="B77" s="44"/>
      <c r="C77" s="8" t="s">
        <v>124</v>
      </c>
      <c r="D77" s="44" t="s">
        <v>55</v>
      </c>
      <c r="E77" s="44">
        <v>1</v>
      </c>
      <c r="F77" s="44">
        <v>10</v>
      </c>
      <c r="G77" s="21"/>
      <c r="H77" s="21"/>
      <c r="I77" s="21"/>
      <c r="J77" s="239"/>
      <c r="K77" s="145"/>
      <c r="L77" s="145"/>
      <c r="M77" s="21"/>
      <c r="N77" s="21"/>
      <c r="O77" s="21"/>
      <c r="P77" s="21"/>
      <c r="Q77" s="21"/>
      <c r="R77" s="273"/>
    </row>
    <row r="78" spans="1:18" x14ac:dyDescent="0.25">
      <c r="A78" s="44">
        <f t="shared" si="1"/>
        <v>9</v>
      </c>
      <c r="B78" s="44"/>
      <c r="C78" s="8" t="s">
        <v>125</v>
      </c>
      <c r="D78" s="44" t="s">
        <v>123</v>
      </c>
      <c r="E78" s="44">
        <v>1</v>
      </c>
      <c r="F78" s="44">
        <v>10</v>
      </c>
      <c r="G78" s="145"/>
      <c r="H78" s="21"/>
      <c r="I78" s="21"/>
      <c r="J78" s="239"/>
      <c r="K78" s="145"/>
      <c r="L78" s="145"/>
      <c r="M78" s="21"/>
      <c r="N78" s="21"/>
      <c r="O78" s="21"/>
      <c r="P78" s="21"/>
      <c r="Q78" s="21"/>
      <c r="R78" s="273"/>
    </row>
    <row r="79" spans="1:18" x14ac:dyDescent="0.25">
      <c r="A79" s="44">
        <f t="shared" si="1"/>
        <v>10</v>
      </c>
      <c r="B79" s="11"/>
      <c r="C79" s="8" t="s">
        <v>133</v>
      </c>
      <c r="D79" s="44" t="s">
        <v>123</v>
      </c>
      <c r="E79" s="44">
        <v>1</v>
      </c>
      <c r="F79" s="44">
        <v>10</v>
      </c>
      <c r="G79" s="145"/>
      <c r="H79" s="21"/>
      <c r="I79" s="21"/>
      <c r="J79" s="239"/>
      <c r="K79" s="145"/>
      <c r="L79" s="145"/>
      <c r="M79" s="21"/>
      <c r="N79" s="21"/>
      <c r="O79" s="21"/>
      <c r="P79" s="21"/>
      <c r="Q79" s="21"/>
      <c r="R79" s="273"/>
    </row>
    <row r="80" spans="1:18" ht="22.5" x14ac:dyDescent="0.25">
      <c r="A80" s="44">
        <f t="shared" si="1"/>
        <v>11</v>
      </c>
      <c r="B80" s="44"/>
      <c r="C80" s="8" t="s">
        <v>292</v>
      </c>
      <c r="D80" s="44" t="s">
        <v>123</v>
      </c>
      <c r="E80" s="44">
        <v>1</v>
      </c>
      <c r="F80" s="44">
        <v>10</v>
      </c>
      <c r="G80" s="145"/>
      <c r="H80" s="21"/>
      <c r="I80" s="21"/>
      <c r="J80" s="239"/>
      <c r="K80" s="145"/>
      <c r="L80" s="145"/>
      <c r="M80" s="21"/>
      <c r="N80" s="21"/>
      <c r="O80" s="21"/>
      <c r="P80" s="21"/>
      <c r="Q80" s="21"/>
      <c r="R80" s="273"/>
    </row>
    <row r="81" spans="1:18" ht="21" x14ac:dyDescent="0.25">
      <c r="A81" s="44"/>
      <c r="B81" s="44"/>
      <c r="C81" s="235" t="s">
        <v>303</v>
      </c>
      <c r="D81" s="241"/>
      <c r="E81" s="241"/>
      <c r="F81" s="240"/>
      <c r="G81" s="47"/>
      <c r="H81" s="21"/>
      <c r="I81" s="21"/>
      <c r="J81" s="47"/>
      <c r="K81" s="47"/>
      <c r="L81" s="47"/>
      <c r="M81" s="47"/>
      <c r="N81" s="47"/>
      <c r="O81" s="47"/>
      <c r="P81" s="47"/>
      <c r="Q81" s="47"/>
      <c r="R81" s="273"/>
    </row>
    <row r="82" spans="1:18" x14ac:dyDescent="0.25">
      <c r="A82" s="44"/>
      <c r="B82" s="44"/>
      <c r="C82" s="242" t="s">
        <v>304</v>
      </c>
      <c r="D82" s="44"/>
      <c r="E82" s="44"/>
      <c r="F82" s="44"/>
      <c r="G82" s="47"/>
      <c r="H82" s="21"/>
      <c r="I82" s="21"/>
      <c r="J82" s="47"/>
      <c r="K82" s="47"/>
      <c r="L82" s="47"/>
      <c r="M82" s="47"/>
      <c r="N82" s="47"/>
      <c r="O82" s="47"/>
      <c r="P82" s="47"/>
      <c r="Q82" s="47"/>
      <c r="R82" s="273"/>
    </row>
    <row r="83" spans="1:18" x14ac:dyDescent="0.25">
      <c r="A83" s="11">
        <v>1</v>
      </c>
      <c r="B83" s="11"/>
      <c r="C83" s="6" t="s">
        <v>269</v>
      </c>
      <c r="D83" s="44" t="s">
        <v>123</v>
      </c>
      <c r="E83" s="44">
        <v>1</v>
      </c>
      <c r="F83" s="44">
        <v>20</v>
      </c>
      <c r="G83" s="145"/>
      <c r="H83" s="21"/>
      <c r="I83" s="21"/>
      <c r="J83" s="239"/>
      <c r="K83" s="145"/>
      <c r="L83" s="145"/>
      <c r="M83" s="21"/>
      <c r="N83" s="21"/>
      <c r="O83" s="21"/>
      <c r="P83" s="21"/>
      <c r="Q83" s="21"/>
      <c r="R83" s="277"/>
    </row>
    <row r="84" spans="1:18" s="57" customFormat="1" ht="22.5" x14ac:dyDescent="0.25">
      <c r="A84" s="44">
        <f>A83+1</f>
        <v>2</v>
      </c>
      <c r="B84" s="44"/>
      <c r="C84" s="8" t="s">
        <v>474</v>
      </c>
      <c r="D84" s="44" t="s">
        <v>58</v>
      </c>
      <c r="E84" s="44">
        <v>2</v>
      </c>
      <c r="F84" s="44">
        <v>40</v>
      </c>
      <c r="G84" s="145"/>
      <c r="H84" s="21"/>
      <c r="I84" s="21"/>
      <c r="J84" s="239"/>
      <c r="K84" s="145"/>
      <c r="L84" s="145"/>
      <c r="M84" s="21"/>
      <c r="N84" s="21"/>
      <c r="O84" s="21"/>
      <c r="P84" s="21"/>
      <c r="Q84" s="21"/>
      <c r="R84" s="277"/>
    </row>
    <row r="85" spans="1:18" x14ac:dyDescent="0.25">
      <c r="A85" s="44">
        <f t="shared" ref="A85:A93" si="2">A84+1</f>
        <v>3</v>
      </c>
      <c r="B85" s="44"/>
      <c r="C85" s="47" t="s">
        <v>299</v>
      </c>
      <c r="D85" s="44" t="s">
        <v>43</v>
      </c>
      <c r="E85" s="44">
        <v>30</v>
      </c>
      <c r="F85" s="44">
        <v>600</v>
      </c>
      <c r="G85" s="145"/>
      <c r="H85" s="21"/>
      <c r="I85" s="21"/>
      <c r="J85" s="239"/>
      <c r="K85" s="145"/>
      <c r="L85" s="145"/>
      <c r="M85" s="21"/>
      <c r="N85" s="21"/>
      <c r="O85" s="21"/>
      <c r="P85" s="21"/>
      <c r="Q85" s="21"/>
    </row>
    <row r="86" spans="1:18" ht="22.5" x14ac:dyDescent="0.25">
      <c r="A86" s="44">
        <f t="shared" si="2"/>
        <v>4</v>
      </c>
      <c r="B86" s="11"/>
      <c r="C86" s="8" t="s">
        <v>300</v>
      </c>
      <c r="D86" s="44" t="s">
        <v>58</v>
      </c>
      <c r="E86" s="44">
        <v>10</v>
      </c>
      <c r="F86" s="44">
        <v>200</v>
      </c>
      <c r="G86" s="145"/>
      <c r="H86" s="21"/>
      <c r="I86" s="21"/>
      <c r="J86" s="239"/>
      <c r="K86" s="145"/>
      <c r="L86" s="145"/>
      <c r="M86" s="21"/>
      <c r="N86" s="21"/>
      <c r="O86" s="21"/>
      <c r="P86" s="21"/>
      <c r="Q86" s="21"/>
    </row>
    <row r="87" spans="1:18" x14ac:dyDescent="0.25">
      <c r="A87" s="44">
        <f t="shared" si="2"/>
        <v>5</v>
      </c>
      <c r="B87" s="44"/>
      <c r="C87" s="8" t="s">
        <v>305</v>
      </c>
      <c r="D87" s="44" t="s">
        <v>58</v>
      </c>
      <c r="E87" s="44">
        <v>2</v>
      </c>
      <c r="F87" s="44">
        <v>40</v>
      </c>
      <c r="G87" s="145"/>
      <c r="H87" s="21"/>
      <c r="I87" s="21"/>
      <c r="J87" s="239"/>
      <c r="K87" s="145"/>
      <c r="L87" s="145"/>
      <c r="M87" s="21"/>
      <c r="N87" s="21"/>
      <c r="O87" s="21"/>
      <c r="P87" s="21"/>
      <c r="Q87" s="21"/>
    </row>
    <row r="88" spans="1:18" x14ac:dyDescent="0.25">
      <c r="A88" s="44">
        <f t="shared" si="2"/>
        <v>6</v>
      </c>
      <c r="B88" s="44"/>
      <c r="C88" s="47" t="s">
        <v>132</v>
      </c>
      <c r="D88" s="44" t="s">
        <v>58</v>
      </c>
      <c r="E88" s="44">
        <v>2</v>
      </c>
      <c r="F88" s="44">
        <v>40</v>
      </c>
      <c r="G88" s="145"/>
      <c r="H88" s="21"/>
      <c r="I88" s="21"/>
      <c r="J88" s="239"/>
      <c r="K88" s="145"/>
      <c r="L88" s="145"/>
      <c r="M88" s="21"/>
      <c r="N88" s="21"/>
      <c r="O88" s="21"/>
      <c r="P88" s="21"/>
      <c r="Q88" s="21"/>
    </row>
    <row r="89" spans="1:18" ht="22.5" x14ac:dyDescent="0.25">
      <c r="A89" s="44">
        <f t="shared" si="2"/>
        <v>7</v>
      </c>
      <c r="B89" s="11"/>
      <c r="C89" s="8" t="s">
        <v>302</v>
      </c>
      <c r="D89" s="44" t="s">
        <v>58</v>
      </c>
      <c r="E89" s="44">
        <v>4</v>
      </c>
      <c r="F89" s="44">
        <v>80</v>
      </c>
      <c r="G89" s="145"/>
      <c r="H89" s="21"/>
      <c r="I89" s="21"/>
      <c r="J89" s="234"/>
      <c r="K89" s="145"/>
      <c r="L89" s="145"/>
      <c r="M89" s="21"/>
      <c r="N89" s="21"/>
      <c r="O89" s="21"/>
      <c r="P89" s="21"/>
      <c r="Q89" s="21"/>
    </row>
    <row r="90" spans="1:18" x14ac:dyDescent="0.25">
      <c r="A90" s="44">
        <f t="shared" si="2"/>
        <v>8</v>
      </c>
      <c r="B90" s="44"/>
      <c r="C90" s="8" t="s">
        <v>124</v>
      </c>
      <c r="D90" s="44" t="s">
        <v>55</v>
      </c>
      <c r="E90" s="44">
        <v>1</v>
      </c>
      <c r="F90" s="44">
        <v>20</v>
      </c>
      <c r="G90" s="21"/>
      <c r="H90" s="21"/>
      <c r="I90" s="21"/>
      <c r="J90" s="239"/>
      <c r="K90" s="145"/>
      <c r="L90" s="145"/>
      <c r="M90" s="21"/>
      <c r="N90" s="21"/>
      <c r="O90" s="21"/>
      <c r="P90" s="21"/>
      <c r="Q90" s="21"/>
    </row>
    <row r="91" spans="1:18" x14ac:dyDescent="0.25">
      <c r="A91" s="44">
        <f t="shared" si="2"/>
        <v>9</v>
      </c>
      <c r="B91" s="44"/>
      <c r="C91" s="8" t="s">
        <v>125</v>
      </c>
      <c r="D91" s="44" t="s">
        <v>123</v>
      </c>
      <c r="E91" s="44">
        <v>1</v>
      </c>
      <c r="F91" s="44">
        <v>20</v>
      </c>
      <c r="G91" s="145"/>
      <c r="H91" s="21"/>
      <c r="I91" s="21"/>
      <c r="J91" s="239"/>
      <c r="K91" s="145"/>
      <c r="L91" s="145"/>
      <c r="M91" s="21"/>
      <c r="N91" s="21"/>
      <c r="O91" s="21"/>
      <c r="P91" s="21"/>
      <c r="Q91" s="21"/>
    </row>
    <row r="92" spans="1:18" x14ac:dyDescent="0.25">
      <c r="A92" s="44">
        <f t="shared" si="2"/>
        <v>10</v>
      </c>
      <c r="B92" s="11"/>
      <c r="C92" s="8" t="s">
        <v>133</v>
      </c>
      <c r="D92" s="44" t="s">
        <v>123</v>
      </c>
      <c r="E92" s="44">
        <v>1</v>
      </c>
      <c r="F92" s="44">
        <v>20</v>
      </c>
      <c r="G92" s="145"/>
      <c r="H92" s="21"/>
      <c r="I92" s="21"/>
      <c r="J92" s="239"/>
      <c r="K92" s="145"/>
      <c r="L92" s="145"/>
      <c r="M92" s="21"/>
      <c r="N92" s="21"/>
      <c r="O92" s="21"/>
      <c r="P92" s="21"/>
      <c r="Q92" s="21"/>
    </row>
    <row r="93" spans="1:18" ht="22.5" x14ac:dyDescent="0.25">
      <c r="A93" s="44">
        <f t="shared" si="2"/>
        <v>11</v>
      </c>
      <c r="B93" s="44"/>
      <c r="C93" s="8" t="s">
        <v>292</v>
      </c>
      <c r="D93" s="44" t="s">
        <v>123</v>
      </c>
      <c r="E93" s="44">
        <v>1</v>
      </c>
      <c r="F93" s="44">
        <v>20</v>
      </c>
      <c r="G93" s="145"/>
      <c r="H93" s="21"/>
      <c r="I93" s="21"/>
      <c r="J93" s="239"/>
      <c r="K93" s="145"/>
      <c r="L93" s="145"/>
      <c r="M93" s="21"/>
      <c r="N93" s="21"/>
      <c r="O93" s="21"/>
      <c r="P93" s="21"/>
      <c r="Q93" s="21"/>
    </row>
    <row r="94" spans="1:18" ht="21" x14ac:dyDescent="0.25">
      <c r="A94" s="241"/>
      <c r="B94" s="241"/>
      <c r="C94" s="235" t="s">
        <v>306</v>
      </c>
      <c r="D94" s="241"/>
      <c r="E94" s="241"/>
      <c r="F94" s="241"/>
      <c r="G94" s="145"/>
      <c r="H94" s="21"/>
      <c r="I94" s="21"/>
      <c r="J94" s="239"/>
      <c r="K94" s="145"/>
      <c r="L94" s="145"/>
      <c r="M94" s="21"/>
      <c r="N94" s="21"/>
      <c r="O94" s="21"/>
      <c r="P94" s="21"/>
      <c r="Q94" s="21"/>
    </row>
    <row r="95" spans="1:18" x14ac:dyDescent="0.25">
      <c r="A95" s="44"/>
      <c r="B95" s="44"/>
      <c r="C95" s="242" t="s">
        <v>304</v>
      </c>
      <c r="D95" s="44"/>
      <c r="E95" s="44"/>
      <c r="F95" s="44"/>
      <c r="G95" s="47"/>
      <c r="H95" s="21"/>
      <c r="I95" s="21"/>
      <c r="J95" s="47"/>
      <c r="K95" s="47"/>
      <c r="L95" s="47"/>
      <c r="M95" s="47"/>
      <c r="N95" s="47"/>
      <c r="O95" s="47"/>
      <c r="P95" s="47"/>
      <c r="Q95" s="47"/>
    </row>
    <row r="96" spans="1:18" x14ac:dyDescent="0.25">
      <c r="A96" s="11">
        <v>1</v>
      </c>
      <c r="B96" s="11"/>
      <c r="C96" s="6" t="s">
        <v>269</v>
      </c>
      <c r="D96" s="44" t="s">
        <v>123</v>
      </c>
      <c r="E96" s="44">
        <v>1</v>
      </c>
      <c r="F96" s="44">
        <v>20</v>
      </c>
      <c r="G96" s="145"/>
      <c r="H96" s="21"/>
      <c r="I96" s="21"/>
      <c r="J96" s="239"/>
      <c r="K96" s="145"/>
      <c r="L96" s="145"/>
      <c r="M96" s="21"/>
      <c r="N96" s="21"/>
      <c r="O96" s="21"/>
      <c r="P96" s="21"/>
      <c r="Q96" s="21"/>
      <c r="R96" s="277"/>
    </row>
    <row r="97" spans="1:18" ht="22.5" x14ac:dyDescent="0.25">
      <c r="A97" s="11">
        <f>A96+1</f>
        <v>2</v>
      </c>
      <c r="B97" s="11"/>
      <c r="C97" s="8" t="s">
        <v>475</v>
      </c>
      <c r="D97" s="44" t="s">
        <v>58</v>
      </c>
      <c r="E97" s="44">
        <v>4</v>
      </c>
      <c r="F97" s="44">
        <v>80</v>
      </c>
      <c r="G97" s="145"/>
      <c r="H97" s="21"/>
      <c r="I97" s="21"/>
      <c r="J97" s="239"/>
      <c r="K97" s="145"/>
      <c r="L97" s="145"/>
      <c r="M97" s="21"/>
      <c r="N97" s="21"/>
      <c r="O97" s="21"/>
      <c r="P97" s="21"/>
      <c r="Q97" s="21"/>
      <c r="R97" s="277"/>
    </row>
    <row r="98" spans="1:18" s="57" customFormat="1" x14ac:dyDescent="0.25">
      <c r="A98" s="11">
        <f t="shared" ref="A98:A106" si="3">A97+1</f>
        <v>3</v>
      </c>
      <c r="B98" s="44"/>
      <c r="C98" s="47" t="s">
        <v>299</v>
      </c>
      <c r="D98" s="44" t="s">
        <v>43</v>
      </c>
      <c r="E98" s="44">
        <v>68</v>
      </c>
      <c r="F98" s="44">
        <v>1360</v>
      </c>
      <c r="G98" s="145"/>
      <c r="H98" s="21"/>
      <c r="I98" s="21"/>
      <c r="J98" s="239"/>
      <c r="K98" s="145"/>
      <c r="L98" s="145"/>
      <c r="M98" s="21"/>
      <c r="N98" s="21"/>
      <c r="O98" s="21"/>
      <c r="P98" s="21"/>
      <c r="Q98" s="21"/>
    </row>
    <row r="99" spans="1:18" ht="22.5" x14ac:dyDescent="0.25">
      <c r="A99" s="11">
        <f t="shared" si="3"/>
        <v>4</v>
      </c>
      <c r="B99" s="44"/>
      <c r="C99" s="8" t="s">
        <v>300</v>
      </c>
      <c r="D99" s="44" t="s">
        <v>58</v>
      </c>
      <c r="E99" s="44">
        <v>26</v>
      </c>
      <c r="F99" s="44">
        <v>520</v>
      </c>
      <c r="G99" s="145"/>
      <c r="H99" s="21"/>
      <c r="I99" s="21"/>
      <c r="J99" s="239"/>
      <c r="K99" s="145"/>
      <c r="L99" s="145"/>
      <c r="M99" s="21"/>
      <c r="N99" s="21"/>
      <c r="O99" s="21"/>
      <c r="P99" s="21"/>
      <c r="Q99" s="21"/>
    </row>
    <row r="100" spans="1:18" x14ac:dyDescent="0.25">
      <c r="A100" s="11">
        <f t="shared" si="3"/>
        <v>5</v>
      </c>
      <c r="B100" s="11"/>
      <c r="C100" s="8" t="s">
        <v>305</v>
      </c>
      <c r="D100" s="44" t="s">
        <v>58</v>
      </c>
      <c r="E100" s="44">
        <v>6</v>
      </c>
      <c r="F100" s="44">
        <v>120</v>
      </c>
      <c r="G100" s="145"/>
      <c r="H100" s="21"/>
      <c r="I100" s="21"/>
      <c r="J100" s="239"/>
      <c r="K100" s="145"/>
      <c r="L100" s="145"/>
      <c r="M100" s="21"/>
      <c r="N100" s="21"/>
      <c r="O100" s="21"/>
      <c r="P100" s="21"/>
      <c r="Q100" s="21"/>
    </row>
    <row r="101" spans="1:18" x14ac:dyDescent="0.25">
      <c r="A101" s="11">
        <f t="shared" si="3"/>
        <v>6</v>
      </c>
      <c r="B101" s="11"/>
      <c r="C101" s="47" t="s">
        <v>277</v>
      </c>
      <c r="D101" s="44" t="s">
        <v>58</v>
      </c>
      <c r="E101" s="44">
        <v>2</v>
      </c>
      <c r="F101" s="44">
        <v>40</v>
      </c>
      <c r="G101" s="145"/>
      <c r="H101" s="21"/>
      <c r="I101" s="21"/>
      <c r="J101" s="239"/>
      <c r="K101" s="145"/>
      <c r="L101" s="145"/>
      <c r="M101" s="21"/>
      <c r="N101" s="21"/>
      <c r="O101" s="21"/>
      <c r="P101" s="21"/>
      <c r="Q101" s="21"/>
    </row>
    <row r="102" spans="1:18" ht="22.5" x14ac:dyDescent="0.25">
      <c r="A102" s="11">
        <f t="shared" si="3"/>
        <v>7</v>
      </c>
      <c r="B102" s="44"/>
      <c r="C102" s="8" t="s">
        <v>302</v>
      </c>
      <c r="D102" s="44" t="s">
        <v>58</v>
      </c>
      <c r="E102" s="44">
        <v>12</v>
      </c>
      <c r="F102" s="44">
        <v>240</v>
      </c>
      <c r="G102" s="145"/>
      <c r="H102" s="21"/>
      <c r="I102" s="21"/>
      <c r="J102" s="234"/>
      <c r="K102" s="145"/>
      <c r="L102" s="145"/>
      <c r="M102" s="21"/>
      <c r="N102" s="21"/>
      <c r="O102" s="21"/>
      <c r="P102" s="21"/>
      <c r="Q102" s="21"/>
    </row>
    <row r="103" spans="1:18" x14ac:dyDescent="0.25">
      <c r="A103" s="11">
        <f t="shared" si="3"/>
        <v>8</v>
      </c>
      <c r="B103" s="44"/>
      <c r="C103" s="8" t="s">
        <v>124</v>
      </c>
      <c r="D103" s="44" t="s">
        <v>55</v>
      </c>
      <c r="E103" s="44">
        <v>1</v>
      </c>
      <c r="F103" s="44">
        <v>20</v>
      </c>
      <c r="G103" s="21"/>
      <c r="H103" s="21"/>
      <c r="I103" s="21"/>
      <c r="J103" s="239"/>
      <c r="K103" s="145"/>
      <c r="L103" s="145"/>
      <c r="M103" s="21"/>
      <c r="N103" s="21"/>
      <c r="O103" s="21"/>
      <c r="P103" s="21"/>
      <c r="Q103" s="21"/>
    </row>
    <row r="104" spans="1:18" x14ac:dyDescent="0.25">
      <c r="A104" s="11">
        <f t="shared" si="3"/>
        <v>9</v>
      </c>
      <c r="B104" s="11"/>
      <c r="C104" s="8" t="s">
        <v>125</v>
      </c>
      <c r="D104" s="44" t="s">
        <v>123</v>
      </c>
      <c r="E104" s="44">
        <v>1</v>
      </c>
      <c r="F104" s="44">
        <v>20</v>
      </c>
      <c r="G104" s="145"/>
      <c r="H104" s="21"/>
      <c r="I104" s="21"/>
      <c r="J104" s="239"/>
      <c r="K104" s="145"/>
      <c r="L104" s="145"/>
      <c r="M104" s="21"/>
      <c r="N104" s="21"/>
      <c r="O104" s="21"/>
      <c r="P104" s="21"/>
      <c r="Q104" s="21"/>
    </row>
    <row r="105" spans="1:18" x14ac:dyDescent="0.25">
      <c r="A105" s="11">
        <f t="shared" si="3"/>
        <v>10</v>
      </c>
      <c r="B105" s="11"/>
      <c r="C105" s="8" t="s">
        <v>133</v>
      </c>
      <c r="D105" s="44" t="s">
        <v>123</v>
      </c>
      <c r="E105" s="44">
        <v>1</v>
      </c>
      <c r="F105" s="44">
        <v>20</v>
      </c>
      <c r="G105" s="145"/>
      <c r="H105" s="21"/>
      <c r="I105" s="21"/>
      <c r="J105" s="239"/>
      <c r="K105" s="145"/>
      <c r="L105" s="145"/>
      <c r="M105" s="21"/>
      <c r="N105" s="21"/>
      <c r="O105" s="21"/>
      <c r="P105" s="21"/>
      <c r="Q105" s="21"/>
    </row>
    <row r="106" spans="1:18" ht="22.5" x14ac:dyDescent="0.25">
      <c r="A106" s="11">
        <f t="shared" si="3"/>
        <v>11</v>
      </c>
      <c r="B106" s="44"/>
      <c r="C106" s="8" t="s">
        <v>292</v>
      </c>
      <c r="D106" s="44" t="s">
        <v>123</v>
      </c>
      <c r="E106" s="44">
        <v>1</v>
      </c>
      <c r="F106" s="44">
        <v>20</v>
      </c>
      <c r="G106" s="145"/>
      <c r="H106" s="21"/>
      <c r="I106" s="21"/>
      <c r="J106" s="239"/>
      <c r="K106" s="145"/>
      <c r="L106" s="145"/>
      <c r="M106" s="21"/>
      <c r="N106" s="21"/>
      <c r="O106" s="21"/>
      <c r="P106" s="21"/>
      <c r="Q106" s="21"/>
    </row>
    <row r="107" spans="1:18" ht="31.5" x14ac:dyDescent="0.25">
      <c r="A107" s="241"/>
      <c r="B107" s="241"/>
      <c r="C107" s="235" t="s">
        <v>307</v>
      </c>
      <c r="D107" s="241"/>
      <c r="E107" s="241"/>
      <c r="F107" s="241"/>
      <c r="G107" s="47"/>
      <c r="H107" s="21"/>
      <c r="I107" s="21"/>
      <c r="J107" s="47"/>
      <c r="K107" s="47"/>
      <c r="L107" s="47"/>
      <c r="M107" s="47"/>
      <c r="N107" s="47"/>
      <c r="O107" s="47"/>
      <c r="P107" s="47"/>
      <c r="Q107" s="47"/>
    </row>
    <row r="108" spans="1:18" x14ac:dyDescent="0.25">
      <c r="A108" s="44"/>
      <c r="B108" s="44"/>
      <c r="C108" s="242" t="s">
        <v>308</v>
      </c>
      <c r="D108" s="44"/>
      <c r="E108" s="44"/>
      <c r="F108" s="44"/>
      <c r="G108" s="47"/>
      <c r="H108" s="21"/>
      <c r="I108" s="21"/>
      <c r="J108" s="47"/>
      <c r="K108" s="47"/>
      <c r="L108" s="47"/>
      <c r="M108" s="47"/>
      <c r="N108" s="47"/>
      <c r="O108" s="47"/>
      <c r="P108" s="47"/>
      <c r="Q108" s="47"/>
    </row>
    <row r="109" spans="1:18" x14ac:dyDescent="0.25">
      <c r="A109" s="11">
        <v>1</v>
      </c>
      <c r="B109" s="11"/>
      <c r="C109" s="6" t="s">
        <v>269</v>
      </c>
      <c r="D109" s="44" t="s">
        <v>123</v>
      </c>
      <c r="E109" s="44">
        <v>1</v>
      </c>
      <c r="F109" s="44">
        <v>30</v>
      </c>
      <c r="G109" s="145"/>
      <c r="H109" s="21"/>
      <c r="I109" s="21"/>
      <c r="J109" s="239"/>
      <c r="K109" s="145"/>
      <c r="L109" s="145"/>
      <c r="M109" s="21"/>
      <c r="N109" s="21"/>
      <c r="O109" s="21"/>
      <c r="P109" s="21"/>
      <c r="Q109" s="21"/>
      <c r="R109" s="277"/>
    </row>
    <row r="110" spans="1:18" ht="22.5" x14ac:dyDescent="0.25">
      <c r="A110" s="44">
        <f>A109+1</f>
        <v>2</v>
      </c>
      <c r="B110" s="44"/>
      <c r="C110" s="8" t="s">
        <v>475</v>
      </c>
      <c r="D110" s="44" t="s">
        <v>58</v>
      </c>
      <c r="E110" s="44">
        <v>3</v>
      </c>
      <c r="F110" s="44">
        <v>90</v>
      </c>
      <c r="G110" s="145"/>
      <c r="H110" s="21"/>
      <c r="I110" s="21"/>
      <c r="J110" s="239"/>
      <c r="K110" s="145"/>
      <c r="L110" s="145"/>
      <c r="M110" s="21"/>
      <c r="N110" s="21"/>
      <c r="O110" s="21"/>
      <c r="P110" s="21"/>
      <c r="Q110" s="21"/>
      <c r="R110" s="277"/>
    </row>
    <row r="111" spans="1:18" x14ac:dyDescent="0.25">
      <c r="A111" s="44">
        <f t="shared" ref="A111:A119" si="4">A110+1</f>
        <v>3</v>
      </c>
      <c r="B111" s="11"/>
      <c r="C111" s="47" t="s">
        <v>299</v>
      </c>
      <c r="D111" s="44" t="s">
        <v>43</v>
      </c>
      <c r="E111" s="44">
        <v>66</v>
      </c>
      <c r="F111" s="44">
        <v>1980</v>
      </c>
      <c r="G111" s="145"/>
      <c r="H111" s="21"/>
      <c r="I111" s="21"/>
      <c r="J111" s="239"/>
      <c r="K111" s="145"/>
      <c r="L111" s="145"/>
      <c r="M111" s="21"/>
      <c r="N111" s="21"/>
      <c r="O111" s="21"/>
      <c r="P111" s="21"/>
      <c r="Q111" s="21"/>
    </row>
    <row r="112" spans="1:18" ht="22.5" x14ac:dyDescent="0.25">
      <c r="A112" s="44">
        <f t="shared" si="4"/>
        <v>4</v>
      </c>
      <c r="B112" s="44"/>
      <c r="C112" s="8" t="s">
        <v>300</v>
      </c>
      <c r="D112" s="44" t="s">
        <v>58</v>
      </c>
      <c r="E112" s="44">
        <v>22</v>
      </c>
      <c r="F112" s="44">
        <v>660</v>
      </c>
      <c r="G112" s="145"/>
      <c r="H112" s="21"/>
      <c r="I112" s="21"/>
      <c r="J112" s="239"/>
      <c r="K112" s="145"/>
      <c r="L112" s="145"/>
      <c r="M112" s="21"/>
      <c r="N112" s="21"/>
      <c r="O112" s="21"/>
      <c r="P112" s="21"/>
      <c r="Q112" s="21"/>
    </row>
    <row r="113" spans="1:18" x14ac:dyDescent="0.25">
      <c r="A113" s="44">
        <f t="shared" si="4"/>
        <v>5</v>
      </c>
      <c r="B113" s="44"/>
      <c r="C113" s="8" t="s">
        <v>305</v>
      </c>
      <c r="D113" s="44" t="s">
        <v>58</v>
      </c>
      <c r="E113" s="44">
        <v>4</v>
      </c>
      <c r="F113" s="44">
        <v>120</v>
      </c>
      <c r="G113" s="145"/>
      <c r="H113" s="21"/>
      <c r="I113" s="21"/>
      <c r="J113" s="239"/>
      <c r="K113" s="145"/>
      <c r="L113" s="145"/>
      <c r="M113" s="21"/>
      <c r="N113" s="21"/>
      <c r="O113" s="21"/>
      <c r="P113" s="21"/>
      <c r="Q113" s="21"/>
    </row>
    <row r="114" spans="1:18" x14ac:dyDescent="0.25">
      <c r="A114" s="44">
        <f t="shared" si="4"/>
        <v>6</v>
      </c>
      <c r="B114" s="11"/>
      <c r="C114" s="47" t="s">
        <v>277</v>
      </c>
      <c r="D114" s="44" t="s">
        <v>58</v>
      </c>
      <c r="E114" s="44">
        <v>2</v>
      </c>
      <c r="F114" s="44">
        <v>60</v>
      </c>
      <c r="G114" s="145"/>
      <c r="H114" s="21"/>
      <c r="I114" s="21"/>
      <c r="J114" s="239"/>
      <c r="K114" s="145"/>
      <c r="L114" s="145"/>
      <c r="M114" s="21"/>
      <c r="N114" s="21"/>
      <c r="O114" s="21"/>
      <c r="P114" s="21"/>
      <c r="Q114" s="21"/>
    </row>
    <row r="115" spans="1:18" ht="22.5" x14ac:dyDescent="0.25">
      <c r="A115" s="44">
        <f t="shared" si="4"/>
        <v>7</v>
      </c>
      <c r="B115" s="44"/>
      <c r="C115" s="8" t="s">
        <v>302</v>
      </c>
      <c r="D115" s="44" t="s">
        <v>58</v>
      </c>
      <c r="E115" s="44">
        <v>8</v>
      </c>
      <c r="F115" s="44">
        <v>240</v>
      </c>
      <c r="G115" s="145"/>
      <c r="H115" s="21"/>
      <c r="I115" s="21"/>
      <c r="J115" s="234"/>
      <c r="K115" s="145"/>
      <c r="L115" s="145"/>
      <c r="M115" s="21"/>
      <c r="N115" s="21"/>
      <c r="O115" s="21"/>
      <c r="P115" s="21"/>
      <c r="Q115" s="21"/>
    </row>
    <row r="116" spans="1:18" x14ac:dyDescent="0.25">
      <c r="A116" s="44">
        <f t="shared" si="4"/>
        <v>8</v>
      </c>
      <c r="B116" s="11"/>
      <c r="C116" s="8" t="s">
        <v>124</v>
      </c>
      <c r="D116" s="44" t="s">
        <v>55</v>
      </c>
      <c r="E116" s="44">
        <v>1</v>
      </c>
      <c r="F116" s="44">
        <v>30</v>
      </c>
      <c r="G116" s="21"/>
      <c r="H116" s="21"/>
      <c r="I116" s="21"/>
      <c r="J116" s="239"/>
      <c r="K116" s="145"/>
      <c r="L116" s="145"/>
      <c r="M116" s="21"/>
      <c r="N116" s="21"/>
      <c r="O116" s="21"/>
      <c r="P116" s="21"/>
      <c r="Q116" s="21"/>
    </row>
    <row r="117" spans="1:18" x14ac:dyDescent="0.25">
      <c r="A117" s="44">
        <f t="shared" si="4"/>
        <v>9</v>
      </c>
      <c r="B117" s="44"/>
      <c r="C117" s="8" t="s">
        <v>125</v>
      </c>
      <c r="D117" s="44" t="s">
        <v>123</v>
      </c>
      <c r="E117" s="44">
        <v>1</v>
      </c>
      <c r="F117" s="44">
        <v>30</v>
      </c>
      <c r="G117" s="145"/>
      <c r="H117" s="21"/>
      <c r="I117" s="21"/>
      <c r="J117" s="239"/>
      <c r="K117" s="145"/>
      <c r="L117" s="145"/>
      <c r="M117" s="21"/>
      <c r="N117" s="21"/>
      <c r="O117" s="21"/>
      <c r="P117" s="21"/>
      <c r="Q117" s="21"/>
    </row>
    <row r="118" spans="1:18" x14ac:dyDescent="0.25">
      <c r="A118" s="44">
        <f t="shared" si="4"/>
        <v>10</v>
      </c>
      <c r="B118" s="44"/>
      <c r="C118" s="8" t="s">
        <v>133</v>
      </c>
      <c r="D118" s="44" t="s">
        <v>123</v>
      </c>
      <c r="E118" s="44">
        <v>1</v>
      </c>
      <c r="F118" s="44">
        <v>30</v>
      </c>
      <c r="G118" s="145"/>
      <c r="H118" s="21"/>
      <c r="I118" s="21"/>
      <c r="J118" s="239"/>
      <c r="K118" s="145"/>
      <c r="L118" s="145"/>
      <c r="M118" s="21"/>
      <c r="N118" s="21"/>
      <c r="O118" s="21"/>
      <c r="P118" s="21"/>
      <c r="Q118" s="21"/>
    </row>
    <row r="119" spans="1:18" ht="22.5" x14ac:dyDescent="0.25">
      <c r="A119" s="44">
        <f t="shared" si="4"/>
        <v>11</v>
      </c>
      <c r="B119" s="11"/>
      <c r="C119" s="8" t="s">
        <v>292</v>
      </c>
      <c r="D119" s="44" t="s">
        <v>123</v>
      </c>
      <c r="E119" s="44">
        <v>1</v>
      </c>
      <c r="F119" s="44">
        <v>30</v>
      </c>
      <c r="G119" s="145"/>
      <c r="H119" s="21"/>
      <c r="I119" s="21"/>
      <c r="J119" s="239"/>
      <c r="K119" s="145"/>
      <c r="L119" s="145"/>
      <c r="M119" s="21"/>
      <c r="N119" s="21"/>
      <c r="O119" s="21"/>
      <c r="P119" s="21"/>
      <c r="Q119" s="21"/>
    </row>
    <row r="120" spans="1:18" ht="21" x14ac:dyDescent="0.25">
      <c r="A120" s="44"/>
      <c r="B120" s="44"/>
      <c r="C120" s="235" t="s">
        <v>309</v>
      </c>
      <c r="D120" s="241"/>
      <c r="E120" s="241"/>
      <c r="F120" s="240"/>
      <c r="G120" s="47"/>
      <c r="H120" s="21"/>
      <c r="I120" s="21"/>
      <c r="J120" s="47"/>
      <c r="K120" s="47"/>
      <c r="L120" s="47"/>
      <c r="M120" s="47"/>
      <c r="N120" s="47"/>
      <c r="O120" s="47"/>
      <c r="P120" s="47"/>
      <c r="Q120" s="47"/>
    </row>
    <row r="121" spans="1:18" x14ac:dyDescent="0.25">
      <c r="A121" s="44"/>
      <c r="B121" s="44"/>
      <c r="C121" s="242" t="s">
        <v>304</v>
      </c>
      <c r="D121" s="44"/>
      <c r="E121" s="44"/>
      <c r="F121" s="44"/>
      <c r="G121" s="145"/>
      <c r="H121" s="21"/>
      <c r="I121" s="21"/>
      <c r="J121" s="239"/>
      <c r="K121" s="145"/>
      <c r="L121" s="145"/>
      <c r="M121" s="21"/>
      <c r="N121" s="21"/>
      <c r="O121" s="21"/>
      <c r="P121" s="21"/>
      <c r="Q121" s="21"/>
    </row>
    <row r="122" spans="1:18" x14ac:dyDescent="0.25">
      <c r="A122" s="11">
        <v>1</v>
      </c>
      <c r="B122" s="11"/>
      <c r="C122" s="6" t="s">
        <v>269</v>
      </c>
      <c r="D122" s="44" t="s">
        <v>123</v>
      </c>
      <c r="E122" s="44">
        <v>1</v>
      </c>
      <c r="F122" s="44">
        <v>20</v>
      </c>
      <c r="G122" s="145"/>
      <c r="H122" s="21"/>
      <c r="I122" s="21"/>
      <c r="J122" s="239"/>
      <c r="K122" s="145"/>
      <c r="L122" s="145"/>
      <c r="M122" s="21"/>
      <c r="N122" s="21"/>
      <c r="O122" s="21"/>
      <c r="P122" s="21"/>
      <c r="Q122" s="21"/>
      <c r="R122" s="277"/>
    </row>
    <row r="123" spans="1:18" ht="22.5" x14ac:dyDescent="0.25">
      <c r="A123" s="44">
        <f>A122+1</f>
        <v>2</v>
      </c>
      <c r="B123" s="44"/>
      <c r="C123" s="8" t="s">
        <v>473</v>
      </c>
      <c r="D123" s="44" t="s">
        <v>58</v>
      </c>
      <c r="E123" s="44">
        <v>3</v>
      </c>
      <c r="F123" s="44">
        <v>60</v>
      </c>
      <c r="G123" s="145"/>
      <c r="H123" s="21"/>
      <c r="I123" s="21"/>
      <c r="J123" s="239"/>
      <c r="K123" s="145"/>
      <c r="L123" s="145"/>
      <c r="M123" s="21"/>
      <c r="N123" s="21"/>
      <c r="O123" s="21"/>
      <c r="P123" s="21"/>
      <c r="Q123" s="21"/>
      <c r="R123" s="277"/>
    </row>
    <row r="124" spans="1:18" x14ac:dyDescent="0.25">
      <c r="A124" s="44">
        <f t="shared" ref="A124:A132" si="5">A123+1</f>
        <v>3</v>
      </c>
      <c r="B124" s="44"/>
      <c r="C124" s="47" t="s">
        <v>299</v>
      </c>
      <c r="D124" s="44" t="s">
        <v>43</v>
      </c>
      <c r="E124" s="44">
        <v>36</v>
      </c>
      <c r="F124" s="44">
        <v>720</v>
      </c>
      <c r="G124" s="145"/>
      <c r="H124" s="21"/>
      <c r="I124" s="21"/>
      <c r="J124" s="239"/>
      <c r="K124" s="145"/>
      <c r="L124" s="145"/>
      <c r="M124" s="21"/>
      <c r="N124" s="21"/>
      <c r="O124" s="21"/>
      <c r="P124" s="21"/>
      <c r="Q124" s="21"/>
    </row>
    <row r="125" spans="1:18" ht="22.5" x14ac:dyDescent="0.25">
      <c r="A125" s="44">
        <f t="shared" si="5"/>
        <v>4</v>
      </c>
      <c r="B125" s="11"/>
      <c r="C125" s="8" t="s">
        <v>300</v>
      </c>
      <c r="D125" s="44" t="s">
        <v>58</v>
      </c>
      <c r="E125" s="44">
        <v>16</v>
      </c>
      <c r="F125" s="44">
        <v>320</v>
      </c>
      <c r="G125" s="145"/>
      <c r="H125" s="21"/>
      <c r="I125" s="21"/>
      <c r="J125" s="239"/>
      <c r="K125" s="145"/>
      <c r="L125" s="145"/>
      <c r="M125" s="21"/>
      <c r="N125" s="21"/>
      <c r="O125" s="21"/>
      <c r="P125" s="21"/>
      <c r="Q125" s="21"/>
    </row>
    <row r="126" spans="1:18" x14ac:dyDescent="0.25">
      <c r="A126" s="44">
        <f t="shared" si="5"/>
        <v>5</v>
      </c>
      <c r="B126" s="44"/>
      <c r="C126" s="8" t="s">
        <v>301</v>
      </c>
      <c r="D126" s="44" t="s">
        <v>58</v>
      </c>
      <c r="E126" s="44">
        <v>4</v>
      </c>
      <c r="F126" s="44">
        <v>80</v>
      </c>
      <c r="G126" s="145"/>
      <c r="H126" s="21"/>
      <c r="I126" s="21"/>
      <c r="J126" s="239"/>
      <c r="K126" s="145"/>
      <c r="L126" s="145"/>
      <c r="M126" s="21"/>
      <c r="N126" s="21"/>
      <c r="O126" s="21"/>
      <c r="P126" s="21"/>
      <c r="Q126" s="21"/>
    </row>
    <row r="127" spans="1:18" x14ac:dyDescent="0.25">
      <c r="A127" s="44">
        <f t="shared" si="5"/>
        <v>6</v>
      </c>
      <c r="B127" s="44"/>
      <c r="C127" s="47" t="s">
        <v>277</v>
      </c>
      <c r="D127" s="44" t="s">
        <v>58</v>
      </c>
      <c r="E127" s="44">
        <v>2</v>
      </c>
      <c r="F127" s="44">
        <v>40</v>
      </c>
      <c r="G127" s="145"/>
      <c r="H127" s="21"/>
      <c r="I127" s="21"/>
      <c r="J127" s="239"/>
      <c r="K127" s="145"/>
      <c r="L127" s="145"/>
      <c r="M127" s="21"/>
      <c r="N127" s="21"/>
      <c r="O127" s="21"/>
      <c r="P127" s="21"/>
      <c r="Q127" s="21"/>
    </row>
    <row r="128" spans="1:18" ht="22.5" x14ac:dyDescent="0.25">
      <c r="A128" s="44">
        <f t="shared" si="5"/>
        <v>7</v>
      </c>
      <c r="B128" s="11"/>
      <c r="C128" s="8" t="s">
        <v>302</v>
      </c>
      <c r="D128" s="44" t="s">
        <v>58</v>
      </c>
      <c r="E128" s="44">
        <v>6</v>
      </c>
      <c r="F128" s="44">
        <v>120</v>
      </c>
      <c r="G128" s="145"/>
      <c r="H128" s="21"/>
      <c r="I128" s="21"/>
      <c r="J128" s="234"/>
      <c r="K128" s="145"/>
      <c r="L128" s="145"/>
      <c r="M128" s="21"/>
      <c r="N128" s="21"/>
      <c r="O128" s="21"/>
      <c r="P128" s="21"/>
      <c r="Q128" s="21"/>
    </row>
    <row r="129" spans="1:18" x14ac:dyDescent="0.25">
      <c r="A129" s="44">
        <f t="shared" si="5"/>
        <v>8</v>
      </c>
      <c r="B129" s="44"/>
      <c r="C129" s="8" t="s">
        <v>124</v>
      </c>
      <c r="D129" s="44" t="s">
        <v>55</v>
      </c>
      <c r="E129" s="44">
        <v>1</v>
      </c>
      <c r="F129" s="44">
        <v>20</v>
      </c>
      <c r="G129" s="21"/>
      <c r="H129" s="21"/>
      <c r="I129" s="21"/>
      <c r="J129" s="239"/>
      <c r="K129" s="145"/>
      <c r="L129" s="145"/>
      <c r="M129" s="21"/>
      <c r="N129" s="21"/>
      <c r="O129" s="21"/>
      <c r="P129" s="21"/>
      <c r="Q129" s="21"/>
    </row>
    <row r="130" spans="1:18" x14ac:dyDescent="0.25">
      <c r="A130" s="44">
        <f t="shared" si="5"/>
        <v>9</v>
      </c>
      <c r="B130" s="44"/>
      <c r="C130" s="8" t="s">
        <v>125</v>
      </c>
      <c r="D130" s="44" t="s">
        <v>123</v>
      </c>
      <c r="E130" s="44">
        <v>1</v>
      </c>
      <c r="F130" s="44">
        <v>20</v>
      </c>
      <c r="G130" s="145"/>
      <c r="H130" s="21"/>
      <c r="I130" s="21"/>
      <c r="J130" s="239"/>
      <c r="K130" s="145"/>
      <c r="L130" s="145"/>
      <c r="M130" s="21"/>
      <c r="N130" s="21"/>
      <c r="O130" s="21"/>
      <c r="P130" s="21"/>
      <c r="Q130" s="21"/>
    </row>
    <row r="131" spans="1:18" x14ac:dyDescent="0.25">
      <c r="A131" s="44">
        <f t="shared" si="5"/>
        <v>10</v>
      </c>
      <c r="B131" s="11"/>
      <c r="C131" s="8" t="s">
        <v>133</v>
      </c>
      <c r="D131" s="44" t="s">
        <v>123</v>
      </c>
      <c r="E131" s="44">
        <v>1</v>
      </c>
      <c r="F131" s="44">
        <v>20</v>
      </c>
      <c r="G131" s="145"/>
      <c r="H131" s="21"/>
      <c r="I131" s="21"/>
      <c r="J131" s="239"/>
      <c r="K131" s="145"/>
      <c r="L131" s="145"/>
      <c r="M131" s="21"/>
      <c r="N131" s="21"/>
      <c r="O131" s="21"/>
      <c r="P131" s="21"/>
      <c r="Q131" s="21"/>
    </row>
    <row r="132" spans="1:18" ht="22.5" x14ac:dyDescent="0.25">
      <c r="A132" s="44">
        <f t="shared" si="5"/>
        <v>11</v>
      </c>
      <c r="B132" s="44"/>
      <c r="C132" s="8" t="s">
        <v>292</v>
      </c>
      <c r="D132" s="44" t="s">
        <v>123</v>
      </c>
      <c r="E132" s="44">
        <v>1</v>
      </c>
      <c r="F132" s="44">
        <v>20</v>
      </c>
      <c r="G132" s="145"/>
      <c r="H132" s="21"/>
      <c r="I132" s="21"/>
      <c r="J132" s="239"/>
      <c r="K132" s="145"/>
      <c r="L132" s="145"/>
      <c r="M132" s="21"/>
      <c r="N132" s="21"/>
      <c r="O132" s="21"/>
      <c r="P132" s="21"/>
      <c r="Q132" s="21"/>
    </row>
    <row r="133" spans="1:18" x14ac:dyDescent="0.25">
      <c r="A133" s="44"/>
      <c r="B133" s="44"/>
      <c r="C133" s="240" t="s">
        <v>310</v>
      </c>
      <c r="D133" s="241"/>
      <c r="E133" s="241"/>
      <c r="F133" s="240"/>
      <c r="G133" s="47"/>
      <c r="H133" s="21"/>
      <c r="I133" s="21"/>
      <c r="J133" s="47"/>
      <c r="K133" s="47"/>
      <c r="L133" s="47"/>
      <c r="M133" s="47"/>
      <c r="N133" s="47"/>
      <c r="O133" s="47"/>
      <c r="P133" s="47"/>
      <c r="Q133" s="47"/>
    </row>
    <row r="134" spans="1:18" x14ac:dyDescent="0.25">
      <c r="A134" s="44"/>
      <c r="B134" s="44"/>
      <c r="C134" s="242" t="s">
        <v>311</v>
      </c>
      <c r="D134" s="44"/>
      <c r="E134" s="44"/>
      <c r="F134" s="44"/>
      <c r="G134" s="47"/>
      <c r="H134" s="21"/>
      <c r="I134" s="21"/>
      <c r="J134" s="47"/>
      <c r="K134" s="47"/>
      <c r="L134" s="47"/>
      <c r="M134" s="47"/>
      <c r="N134" s="47"/>
      <c r="O134" s="47"/>
      <c r="P134" s="47"/>
      <c r="Q134" s="47"/>
    </row>
    <row r="135" spans="1:18" x14ac:dyDescent="0.25">
      <c r="A135" s="11">
        <v>1</v>
      </c>
      <c r="B135" s="11"/>
      <c r="C135" s="6" t="s">
        <v>269</v>
      </c>
      <c r="D135" s="44" t="s">
        <v>123</v>
      </c>
      <c r="E135" s="44">
        <v>1</v>
      </c>
      <c r="F135" s="44">
        <v>15</v>
      </c>
      <c r="G135" s="145"/>
      <c r="H135" s="21"/>
      <c r="I135" s="21"/>
      <c r="J135" s="239"/>
      <c r="K135" s="145"/>
      <c r="L135" s="145"/>
      <c r="M135" s="21"/>
      <c r="N135" s="21"/>
      <c r="O135" s="21"/>
      <c r="P135" s="21"/>
      <c r="Q135" s="21"/>
      <c r="R135" s="277"/>
    </row>
    <row r="136" spans="1:18" ht="22.5" x14ac:dyDescent="0.25">
      <c r="A136" s="44">
        <f>A135+1</f>
        <v>2</v>
      </c>
      <c r="B136" s="44"/>
      <c r="C136" s="8" t="s">
        <v>474</v>
      </c>
      <c r="D136" s="44" t="s">
        <v>58</v>
      </c>
      <c r="E136" s="44">
        <v>5</v>
      </c>
      <c r="F136" s="44">
        <v>75</v>
      </c>
      <c r="G136" s="145"/>
      <c r="H136" s="21"/>
      <c r="I136" s="21"/>
      <c r="J136" s="239"/>
      <c r="K136" s="145"/>
      <c r="L136" s="145"/>
      <c r="M136" s="21"/>
      <c r="N136" s="21"/>
      <c r="O136" s="21"/>
      <c r="P136" s="21"/>
      <c r="Q136" s="21"/>
      <c r="R136" s="277"/>
    </row>
    <row r="137" spans="1:18" x14ac:dyDescent="0.25">
      <c r="A137" s="44">
        <f t="shared" ref="A137:A145" si="6">A136+1</f>
        <v>3</v>
      </c>
      <c r="B137" s="44"/>
      <c r="C137" s="47" t="s">
        <v>299</v>
      </c>
      <c r="D137" s="44" t="s">
        <v>43</v>
      </c>
      <c r="E137" s="44">
        <v>76</v>
      </c>
      <c r="F137" s="44">
        <v>1140</v>
      </c>
      <c r="G137" s="145"/>
      <c r="H137" s="21"/>
      <c r="I137" s="21"/>
      <c r="J137" s="239"/>
      <c r="K137" s="145"/>
      <c r="L137" s="145"/>
      <c r="M137" s="21"/>
      <c r="N137" s="21"/>
      <c r="O137" s="21"/>
      <c r="P137" s="21"/>
      <c r="Q137" s="21"/>
    </row>
    <row r="138" spans="1:18" ht="22.5" x14ac:dyDescent="0.25">
      <c r="A138" s="44">
        <f t="shared" si="6"/>
        <v>4</v>
      </c>
      <c r="B138" s="11"/>
      <c r="C138" s="8" t="s">
        <v>300</v>
      </c>
      <c r="D138" s="44" t="s">
        <v>58</v>
      </c>
      <c r="E138" s="44">
        <v>24</v>
      </c>
      <c r="F138" s="44">
        <v>360</v>
      </c>
      <c r="G138" s="145"/>
      <c r="H138" s="21"/>
      <c r="I138" s="21"/>
      <c r="J138" s="239"/>
      <c r="K138" s="145"/>
      <c r="L138" s="145"/>
      <c r="M138" s="21"/>
      <c r="N138" s="21"/>
      <c r="O138" s="21"/>
      <c r="P138" s="21"/>
      <c r="Q138" s="21"/>
    </row>
    <row r="139" spans="1:18" x14ac:dyDescent="0.25">
      <c r="A139" s="44">
        <f t="shared" si="6"/>
        <v>5</v>
      </c>
      <c r="B139" s="44"/>
      <c r="C139" s="8" t="s">
        <v>305</v>
      </c>
      <c r="D139" s="44" t="s">
        <v>58</v>
      </c>
      <c r="E139" s="44">
        <v>6</v>
      </c>
      <c r="F139" s="44">
        <v>90</v>
      </c>
      <c r="G139" s="145"/>
      <c r="H139" s="21"/>
      <c r="I139" s="21"/>
      <c r="J139" s="239"/>
      <c r="K139" s="145"/>
      <c r="L139" s="145"/>
      <c r="M139" s="21"/>
      <c r="N139" s="21"/>
      <c r="O139" s="21"/>
      <c r="P139" s="21"/>
      <c r="Q139" s="21"/>
    </row>
    <row r="140" spans="1:18" x14ac:dyDescent="0.25">
      <c r="A140" s="44">
        <f t="shared" si="6"/>
        <v>6</v>
      </c>
      <c r="B140" s="44"/>
      <c r="C140" s="47" t="s">
        <v>132</v>
      </c>
      <c r="D140" s="44" t="s">
        <v>58</v>
      </c>
      <c r="E140" s="44">
        <v>2</v>
      </c>
      <c r="F140" s="44">
        <v>30</v>
      </c>
      <c r="G140" s="145"/>
      <c r="H140" s="21"/>
      <c r="I140" s="21"/>
      <c r="J140" s="239"/>
      <c r="K140" s="145"/>
      <c r="L140" s="145"/>
      <c r="M140" s="21"/>
      <c r="N140" s="21"/>
      <c r="O140" s="21"/>
      <c r="P140" s="21"/>
      <c r="Q140" s="21"/>
    </row>
    <row r="141" spans="1:18" ht="22.5" x14ac:dyDescent="0.25">
      <c r="A141" s="44">
        <f t="shared" si="6"/>
        <v>7</v>
      </c>
      <c r="B141" s="11"/>
      <c r="C141" s="8" t="s">
        <v>302</v>
      </c>
      <c r="D141" s="44" t="s">
        <v>58</v>
      </c>
      <c r="E141" s="44">
        <v>8</v>
      </c>
      <c r="F141" s="44">
        <v>120</v>
      </c>
      <c r="G141" s="145"/>
      <c r="H141" s="21"/>
      <c r="I141" s="21"/>
      <c r="J141" s="234"/>
      <c r="K141" s="145"/>
      <c r="L141" s="145"/>
      <c r="M141" s="21"/>
      <c r="N141" s="21"/>
      <c r="O141" s="21"/>
      <c r="P141" s="21"/>
      <c r="Q141" s="21"/>
    </row>
    <row r="142" spans="1:18" x14ac:dyDescent="0.25">
      <c r="A142" s="44">
        <f t="shared" si="6"/>
        <v>8</v>
      </c>
      <c r="B142" s="44"/>
      <c r="C142" s="8" t="s">
        <v>124</v>
      </c>
      <c r="D142" s="44" t="s">
        <v>55</v>
      </c>
      <c r="E142" s="44">
        <v>1</v>
      </c>
      <c r="F142" s="44">
        <v>15</v>
      </c>
      <c r="G142" s="21"/>
      <c r="H142" s="21"/>
      <c r="I142" s="21"/>
      <c r="J142" s="239"/>
      <c r="K142" s="145"/>
      <c r="L142" s="145"/>
      <c r="M142" s="21"/>
      <c r="N142" s="21"/>
      <c r="O142" s="21"/>
      <c r="P142" s="21"/>
      <c r="Q142" s="21"/>
    </row>
    <row r="143" spans="1:18" x14ac:dyDescent="0.25">
      <c r="A143" s="44">
        <f t="shared" si="6"/>
        <v>9</v>
      </c>
      <c r="B143" s="44"/>
      <c r="C143" s="8" t="s">
        <v>125</v>
      </c>
      <c r="D143" s="44" t="s">
        <v>123</v>
      </c>
      <c r="E143" s="44">
        <v>1</v>
      </c>
      <c r="F143" s="44">
        <v>15</v>
      </c>
      <c r="G143" s="145"/>
      <c r="H143" s="21"/>
      <c r="I143" s="21"/>
      <c r="J143" s="239"/>
      <c r="K143" s="145"/>
      <c r="L143" s="145"/>
      <c r="M143" s="21"/>
      <c r="N143" s="21"/>
      <c r="O143" s="21"/>
      <c r="P143" s="21"/>
      <c r="Q143" s="21"/>
    </row>
    <row r="144" spans="1:18" x14ac:dyDescent="0.25">
      <c r="A144" s="44">
        <f t="shared" si="6"/>
        <v>10</v>
      </c>
      <c r="B144" s="11"/>
      <c r="C144" s="8" t="s">
        <v>133</v>
      </c>
      <c r="D144" s="44" t="s">
        <v>123</v>
      </c>
      <c r="E144" s="44">
        <v>1</v>
      </c>
      <c r="F144" s="44">
        <v>15</v>
      </c>
      <c r="G144" s="145"/>
      <c r="H144" s="21"/>
      <c r="I144" s="21"/>
      <c r="J144" s="239"/>
      <c r="K144" s="145"/>
      <c r="L144" s="145"/>
      <c r="M144" s="21"/>
      <c r="N144" s="21"/>
      <c r="O144" s="21"/>
      <c r="P144" s="21"/>
      <c r="Q144" s="21"/>
    </row>
    <row r="145" spans="1:18" ht="22.5" x14ac:dyDescent="0.25">
      <c r="A145" s="44">
        <f t="shared" si="6"/>
        <v>11</v>
      </c>
      <c r="B145" s="44"/>
      <c r="C145" s="8" t="s">
        <v>292</v>
      </c>
      <c r="D145" s="44" t="s">
        <v>123</v>
      </c>
      <c r="E145" s="44">
        <v>1</v>
      </c>
      <c r="F145" s="44">
        <v>15</v>
      </c>
      <c r="G145" s="145"/>
      <c r="H145" s="21"/>
      <c r="I145" s="21"/>
      <c r="J145" s="239"/>
      <c r="K145" s="145"/>
      <c r="L145" s="145"/>
      <c r="M145" s="21"/>
      <c r="N145" s="21"/>
      <c r="O145" s="21"/>
      <c r="P145" s="21"/>
      <c r="Q145" s="21"/>
    </row>
    <row r="146" spans="1:18" x14ac:dyDescent="0.25">
      <c r="A146" s="44"/>
      <c r="B146" s="44"/>
      <c r="C146" s="240" t="s">
        <v>312</v>
      </c>
      <c r="D146" s="241"/>
      <c r="E146" s="241"/>
      <c r="F146" s="240"/>
      <c r="G146" s="47"/>
      <c r="H146" s="21"/>
      <c r="I146" s="21"/>
      <c r="J146" s="47"/>
      <c r="K146" s="47"/>
      <c r="L146" s="47"/>
      <c r="M146" s="47"/>
      <c r="N146" s="47"/>
      <c r="O146" s="47"/>
      <c r="P146" s="47"/>
      <c r="Q146" s="47"/>
    </row>
    <row r="147" spans="1:18" x14ac:dyDescent="0.25">
      <c r="A147" s="44"/>
      <c r="B147" s="44"/>
      <c r="C147" s="242" t="s">
        <v>313</v>
      </c>
      <c r="D147" s="44"/>
      <c r="E147" s="44"/>
      <c r="F147" s="44"/>
      <c r="G147" s="47"/>
      <c r="H147" s="21"/>
      <c r="I147" s="21"/>
      <c r="J147" s="47"/>
      <c r="K147" s="47"/>
      <c r="L147" s="47"/>
      <c r="M147" s="47"/>
      <c r="N147" s="47"/>
      <c r="O147" s="47"/>
      <c r="P147" s="47"/>
      <c r="Q147" s="47"/>
    </row>
    <row r="148" spans="1:18" x14ac:dyDescent="0.25">
      <c r="A148" s="11">
        <v>1</v>
      </c>
      <c r="B148" s="11"/>
      <c r="C148" s="6" t="s">
        <v>269</v>
      </c>
      <c r="D148" s="44" t="s">
        <v>123</v>
      </c>
      <c r="E148" s="44">
        <v>1</v>
      </c>
      <c r="F148" s="44">
        <v>5</v>
      </c>
      <c r="G148" s="145"/>
      <c r="H148" s="21"/>
      <c r="I148" s="21"/>
      <c r="J148" s="239"/>
      <c r="K148" s="145"/>
      <c r="L148" s="145"/>
      <c r="M148" s="21"/>
      <c r="N148" s="21"/>
      <c r="O148" s="21"/>
      <c r="P148" s="21"/>
      <c r="Q148" s="21"/>
      <c r="R148" s="277"/>
    </row>
    <row r="149" spans="1:18" ht="22.5" x14ac:dyDescent="0.25">
      <c r="A149" s="44">
        <f>A148+1</f>
        <v>2</v>
      </c>
      <c r="B149" s="44"/>
      <c r="C149" s="8" t="s">
        <v>474</v>
      </c>
      <c r="D149" s="44" t="s">
        <v>58</v>
      </c>
      <c r="E149" s="44">
        <v>5</v>
      </c>
      <c r="F149" s="44">
        <v>25</v>
      </c>
      <c r="G149" s="145"/>
      <c r="H149" s="21"/>
      <c r="I149" s="21"/>
      <c r="J149" s="239"/>
      <c r="K149" s="145"/>
      <c r="L149" s="145"/>
      <c r="M149" s="21"/>
      <c r="N149" s="21"/>
      <c r="O149" s="21"/>
      <c r="P149" s="21"/>
      <c r="Q149" s="21"/>
      <c r="R149" s="277"/>
    </row>
    <row r="150" spans="1:18" x14ac:dyDescent="0.25">
      <c r="A150" s="44">
        <f t="shared" ref="A150:A158" si="7">A149+1</f>
        <v>3</v>
      </c>
      <c r="B150" s="11"/>
      <c r="C150" s="47" t="s">
        <v>299</v>
      </c>
      <c r="D150" s="44" t="s">
        <v>43</v>
      </c>
      <c r="E150" s="44">
        <v>76</v>
      </c>
      <c r="F150" s="44">
        <v>380</v>
      </c>
      <c r="G150" s="145"/>
      <c r="H150" s="21"/>
      <c r="I150" s="21"/>
      <c r="J150" s="239"/>
      <c r="K150" s="145"/>
      <c r="L150" s="145"/>
      <c r="M150" s="21"/>
      <c r="N150" s="21"/>
      <c r="O150" s="21"/>
      <c r="P150" s="21"/>
      <c r="Q150" s="21"/>
    </row>
    <row r="151" spans="1:18" ht="22.5" x14ac:dyDescent="0.25">
      <c r="A151" s="44">
        <f t="shared" si="7"/>
        <v>4</v>
      </c>
      <c r="B151" s="44"/>
      <c r="C151" s="8" t="s">
        <v>300</v>
      </c>
      <c r="D151" s="44" t="s">
        <v>58</v>
      </c>
      <c r="E151" s="44">
        <v>24</v>
      </c>
      <c r="F151" s="44">
        <v>120</v>
      </c>
      <c r="G151" s="145"/>
      <c r="H151" s="21"/>
      <c r="I151" s="21"/>
      <c r="J151" s="239"/>
      <c r="K151" s="145"/>
      <c r="L151" s="145"/>
      <c r="M151" s="21"/>
      <c r="N151" s="21"/>
      <c r="O151" s="21"/>
      <c r="P151" s="21"/>
      <c r="Q151" s="21"/>
    </row>
    <row r="152" spans="1:18" x14ac:dyDescent="0.25">
      <c r="A152" s="44">
        <f t="shared" si="7"/>
        <v>5</v>
      </c>
      <c r="B152" s="44"/>
      <c r="C152" s="8" t="s">
        <v>305</v>
      </c>
      <c r="D152" s="44" t="s">
        <v>58</v>
      </c>
      <c r="E152" s="44">
        <v>6</v>
      </c>
      <c r="F152" s="44">
        <v>30</v>
      </c>
      <c r="G152" s="145"/>
      <c r="H152" s="21"/>
      <c r="I152" s="21"/>
      <c r="J152" s="239"/>
      <c r="K152" s="145"/>
      <c r="L152" s="145"/>
      <c r="M152" s="21"/>
      <c r="N152" s="21"/>
      <c r="O152" s="21"/>
      <c r="P152" s="21"/>
      <c r="Q152" s="21"/>
    </row>
    <row r="153" spans="1:18" x14ac:dyDescent="0.25">
      <c r="A153" s="44">
        <f t="shared" si="7"/>
        <v>6</v>
      </c>
      <c r="B153" s="44"/>
      <c r="C153" s="47" t="s">
        <v>132</v>
      </c>
      <c r="D153" s="44" t="s">
        <v>58</v>
      </c>
      <c r="E153" s="44">
        <v>2</v>
      </c>
      <c r="F153" s="44">
        <v>10</v>
      </c>
      <c r="G153" s="145"/>
      <c r="H153" s="21"/>
      <c r="I153" s="21"/>
      <c r="J153" s="239"/>
      <c r="K153" s="145"/>
      <c r="L153" s="145"/>
      <c r="M153" s="21"/>
      <c r="N153" s="21"/>
      <c r="O153" s="21"/>
      <c r="P153" s="21"/>
      <c r="Q153" s="21"/>
    </row>
    <row r="154" spans="1:18" ht="22.5" x14ac:dyDescent="0.25">
      <c r="A154" s="44">
        <f t="shared" si="7"/>
        <v>7</v>
      </c>
      <c r="B154" s="11"/>
      <c r="C154" s="8" t="s">
        <v>302</v>
      </c>
      <c r="D154" s="44" t="s">
        <v>58</v>
      </c>
      <c r="E154" s="44">
        <v>8</v>
      </c>
      <c r="F154" s="44">
        <v>40</v>
      </c>
      <c r="G154" s="145"/>
      <c r="H154" s="21"/>
      <c r="I154" s="21"/>
      <c r="J154" s="234"/>
      <c r="K154" s="145"/>
      <c r="L154" s="145"/>
      <c r="M154" s="21"/>
      <c r="N154" s="21"/>
      <c r="O154" s="21"/>
      <c r="P154" s="21"/>
      <c r="Q154" s="21"/>
    </row>
    <row r="155" spans="1:18" x14ac:dyDescent="0.25">
      <c r="A155" s="44">
        <f t="shared" si="7"/>
        <v>8</v>
      </c>
      <c r="B155" s="44"/>
      <c r="C155" s="8" t="s">
        <v>124</v>
      </c>
      <c r="D155" s="44" t="s">
        <v>55</v>
      </c>
      <c r="E155" s="44">
        <v>1</v>
      </c>
      <c r="F155" s="44">
        <v>5</v>
      </c>
      <c r="G155" s="21"/>
      <c r="H155" s="21"/>
      <c r="I155" s="21"/>
      <c r="J155" s="239"/>
      <c r="K155" s="145"/>
      <c r="L155" s="145"/>
      <c r="M155" s="21"/>
      <c r="N155" s="21"/>
      <c r="O155" s="21"/>
      <c r="P155" s="21"/>
      <c r="Q155" s="21"/>
    </row>
    <row r="156" spans="1:18" x14ac:dyDescent="0.25">
      <c r="A156" s="44">
        <f t="shared" si="7"/>
        <v>9</v>
      </c>
      <c r="B156" s="11"/>
      <c r="C156" s="8" t="s">
        <v>125</v>
      </c>
      <c r="D156" s="44" t="s">
        <v>123</v>
      </c>
      <c r="E156" s="44">
        <v>1</v>
      </c>
      <c r="F156" s="44">
        <v>5</v>
      </c>
      <c r="G156" s="145"/>
      <c r="H156" s="21"/>
      <c r="I156" s="21"/>
      <c r="J156" s="239"/>
      <c r="K156" s="145"/>
      <c r="L156" s="145"/>
      <c r="M156" s="21"/>
      <c r="N156" s="21"/>
      <c r="O156" s="21"/>
      <c r="P156" s="21"/>
      <c r="Q156" s="21"/>
    </row>
    <row r="157" spans="1:18" x14ac:dyDescent="0.25">
      <c r="A157" s="44">
        <f t="shared" si="7"/>
        <v>10</v>
      </c>
      <c r="B157" s="44"/>
      <c r="C157" s="8" t="s">
        <v>133</v>
      </c>
      <c r="D157" s="44" t="s">
        <v>123</v>
      </c>
      <c r="E157" s="44">
        <v>1</v>
      </c>
      <c r="F157" s="44">
        <v>5</v>
      </c>
      <c r="G157" s="145"/>
      <c r="H157" s="21"/>
      <c r="I157" s="21"/>
      <c r="J157" s="239"/>
      <c r="K157" s="145"/>
      <c r="L157" s="145"/>
      <c r="M157" s="21"/>
      <c r="N157" s="21"/>
      <c r="O157" s="21"/>
      <c r="P157" s="21"/>
      <c r="Q157" s="21"/>
    </row>
    <row r="158" spans="1:18" ht="22.5" x14ac:dyDescent="0.25">
      <c r="A158" s="44">
        <f t="shared" si="7"/>
        <v>11</v>
      </c>
      <c r="B158" s="44"/>
      <c r="C158" s="8" t="s">
        <v>292</v>
      </c>
      <c r="D158" s="44" t="s">
        <v>123</v>
      </c>
      <c r="E158" s="44">
        <v>1</v>
      </c>
      <c r="F158" s="44">
        <v>5</v>
      </c>
      <c r="G158" s="145"/>
      <c r="H158" s="21"/>
      <c r="I158" s="21"/>
      <c r="J158" s="239"/>
      <c r="K158" s="145"/>
      <c r="L158" s="145"/>
      <c r="M158" s="21"/>
      <c r="N158" s="21"/>
      <c r="O158" s="21"/>
      <c r="P158" s="21"/>
      <c r="Q158" s="21"/>
    </row>
    <row r="159" spans="1:18" x14ac:dyDescent="0.25">
      <c r="A159" s="11"/>
      <c r="B159" s="11"/>
      <c r="C159" s="243"/>
      <c r="D159" s="146"/>
      <c r="E159" s="146"/>
      <c r="F159" s="147"/>
      <c r="G159" s="147"/>
      <c r="H159" s="147"/>
      <c r="I159" s="147"/>
      <c r="J159" s="133"/>
      <c r="K159" s="133"/>
      <c r="L159" s="133"/>
      <c r="M159" s="244"/>
      <c r="N159" s="244"/>
      <c r="O159" s="244"/>
      <c r="P159" s="244"/>
      <c r="Q159" s="244"/>
    </row>
    <row r="160" spans="1:18" x14ac:dyDescent="0.25">
      <c r="A160" s="94" t="str">
        <f>IF(COUNTBLANK(L160)=1," ",COUNTA($L$15:L160))</f>
        <v xml:space="preserve"> </v>
      </c>
      <c r="B160" s="60"/>
      <c r="C160" s="95" t="s">
        <v>334</v>
      </c>
      <c r="D160" s="94"/>
      <c r="E160" s="94"/>
      <c r="F160" s="96"/>
      <c r="G160" s="97"/>
      <c r="H160" s="96"/>
      <c r="I160" s="96"/>
      <c r="J160" s="112"/>
      <c r="K160" s="112"/>
      <c r="L160" s="112"/>
      <c r="M160" s="129">
        <f>SUM(M14:M159)</f>
        <v>0</v>
      </c>
      <c r="N160" s="129">
        <f t="shared" ref="N160:Q160" si="8">SUM(N14:N159)</f>
        <v>0</v>
      </c>
      <c r="O160" s="129">
        <f t="shared" si="8"/>
        <v>0</v>
      </c>
      <c r="P160" s="129">
        <f t="shared" si="8"/>
        <v>0</v>
      </c>
      <c r="Q160" s="129">
        <f t="shared" si="8"/>
        <v>0</v>
      </c>
      <c r="R160" s="274"/>
    </row>
    <row r="161" spans="1:18" x14ac:dyDescent="0.25">
      <c r="A161" s="56"/>
      <c r="B161" s="56"/>
      <c r="C161" s="58"/>
      <c r="D161" s="60"/>
      <c r="E161" s="60"/>
      <c r="F161" s="96"/>
      <c r="G161" s="96"/>
      <c r="H161" s="52"/>
      <c r="I161" s="96"/>
      <c r="J161" s="112"/>
      <c r="K161" s="112"/>
      <c r="L161" s="112"/>
      <c r="M161" s="56"/>
      <c r="N161" s="56"/>
      <c r="O161" s="56"/>
      <c r="P161" s="56"/>
      <c r="Q161" s="56"/>
      <c r="R161" s="274"/>
    </row>
    <row r="162" spans="1:18" x14ac:dyDescent="0.25">
      <c r="A162" s="56"/>
      <c r="B162" s="98" t="s">
        <v>335</v>
      </c>
      <c r="C162" s="23"/>
      <c r="D162" s="63"/>
      <c r="E162" s="63"/>
      <c r="F162" s="105"/>
      <c r="G162" s="52"/>
      <c r="H162" s="52"/>
      <c r="I162" s="52"/>
      <c r="J162" s="110"/>
      <c r="K162" s="55"/>
      <c r="L162" s="55"/>
      <c r="M162" s="56"/>
      <c r="N162" s="56"/>
      <c r="O162" s="56"/>
      <c r="P162" s="56"/>
      <c r="Q162" s="56"/>
    </row>
    <row r="163" spans="1:18" x14ac:dyDescent="0.25">
      <c r="A163" s="56"/>
      <c r="C163" s="99" t="s">
        <v>336</v>
      </c>
      <c r="D163" s="55"/>
      <c r="E163" s="55"/>
      <c r="F163" s="52"/>
      <c r="G163" s="52"/>
      <c r="H163" s="52"/>
      <c r="I163" s="52"/>
    </row>
    <row r="164" spans="1:18" x14ac:dyDescent="0.25">
      <c r="B164" s="100"/>
      <c r="C164" s="100"/>
      <c r="D164" s="100"/>
      <c r="E164" s="100"/>
      <c r="F164" s="52"/>
      <c r="G164" s="52"/>
      <c r="H164" s="52"/>
      <c r="I164" s="52"/>
    </row>
    <row r="165" spans="1:18" x14ac:dyDescent="0.25">
      <c r="B165" s="101" t="s">
        <v>408</v>
      </c>
      <c r="C165" s="23"/>
      <c r="D165" s="63"/>
      <c r="E165" s="63"/>
      <c r="F165" s="98"/>
      <c r="G165" s="52"/>
      <c r="H165" s="98"/>
      <c r="I165" s="98"/>
    </row>
    <row r="166" spans="1:18" x14ac:dyDescent="0.25">
      <c r="B166" s="100"/>
      <c r="C166" s="100"/>
      <c r="D166" s="100"/>
      <c r="E166" s="100"/>
      <c r="F166" s="98"/>
      <c r="G166" s="102"/>
      <c r="H166" s="98"/>
      <c r="I166" s="98"/>
    </row>
    <row r="167" spans="1:18" x14ac:dyDescent="0.25">
      <c r="B167" s="23" t="s">
        <v>337</v>
      </c>
      <c r="C167" s="23"/>
      <c r="D167" s="63"/>
      <c r="E167" s="63"/>
      <c r="F167" s="98"/>
      <c r="G167" s="52"/>
      <c r="H167" s="98"/>
      <c r="I167" s="98"/>
      <c r="N167" s="111"/>
      <c r="P167" s="111"/>
    </row>
    <row r="168" spans="1:18" x14ac:dyDescent="0.25">
      <c r="C168" s="99" t="s">
        <v>336</v>
      </c>
      <c r="D168" s="55"/>
      <c r="E168" s="55"/>
      <c r="G168" s="56"/>
      <c r="I168" s="23"/>
    </row>
    <row r="169" spans="1:18" x14ac:dyDescent="0.25">
      <c r="B169" s="100"/>
      <c r="C169" s="23" t="s">
        <v>338</v>
      </c>
      <c r="D169" s="63"/>
      <c r="E169" s="63"/>
      <c r="G169" s="56"/>
      <c r="I169" s="23"/>
    </row>
    <row r="170" spans="1:18" x14ac:dyDescent="0.25">
      <c r="C170" s="23"/>
      <c r="G170" s="56"/>
      <c r="I170" s="23"/>
    </row>
    <row r="171" spans="1:18" x14ac:dyDescent="0.25">
      <c r="C171" s="23"/>
      <c r="G171" s="56"/>
      <c r="I171" s="23"/>
    </row>
    <row r="172" spans="1:18" x14ac:dyDescent="0.25">
      <c r="C172" s="23"/>
      <c r="G172" s="56"/>
      <c r="I172" s="23"/>
    </row>
    <row r="173" spans="1:18" x14ac:dyDescent="0.25">
      <c r="C173" s="23"/>
      <c r="G173" s="56"/>
      <c r="I173" s="23"/>
    </row>
  </sheetData>
  <mergeCells count="17">
    <mergeCell ref="R67:R82"/>
    <mergeCell ref="R135:R136"/>
    <mergeCell ref="R148:R149"/>
    <mergeCell ref="R160:R161"/>
    <mergeCell ref="R83:R84"/>
    <mergeCell ref="R96:R97"/>
    <mergeCell ref="R109:R110"/>
    <mergeCell ref="R122:R123"/>
    <mergeCell ref="R15:R17"/>
    <mergeCell ref="G11:L11"/>
    <mergeCell ref="M11:Q11"/>
    <mergeCell ref="E13:F13"/>
    <mergeCell ref="A11:A12"/>
    <mergeCell ref="B11:B12"/>
    <mergeCell ref="C11:C12"/>
    <mergeCell ref="D11:D12"/>
    <mergeCell ref="E11:F12"/>
  </mergeCells>
  <pageMargins left="0" right="0" top="0.78740157480314965" bottom="0.39370078740157483" header="0.51181102362204722" footer="0.51181102362204722"/>
  <pageSetup paperSize="9" scale="6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87"/>
  <sheetViews>
    <sheetView zoomScaleNormal="100" zoomScaleSheetLayoutView="100" zoomScalePageLayoutView="150" workbookViewId="0">
      <selection activeCell="C69" sqref="C69"/>
    </sheetView>
  </sheetViews>
  <sheetFormatPr defaultColWidth="9" defaultRowHeight="11.25" x14ac:dyDescent="0.25"/>
  <cols>
    <col min="1" max="1" width="4.28515625" style="23" bestFit="1" customWidth="1"/>
    <col min="2" max="2" width="7" style="23" customWidth="1"/>
    <col min="3" max="3" width="39.140625" style="61"/>
    <col min="4" max="4" width="5" style="23"/>
    <col min="5" max="5" width="8.28515625" style="23" bestFit="1" customWidth="1"/>
    <col min="6" max="6" width="4.5703125" style="23" hidden="1" customWidth="1"/>
    <col min="7" max="7" width="5.7109375" style="56" customWidth="1"/>
    <col min="8" max="12" width="5.7109375" style="23" customWidth="1"/>
    <col min="13" max="14" width="8.7109375" style="23" customWidth="1"/>
    <col min="15" max="15" width="9.85546875" style="23" customWidth="1"/>
    <col min="16" max="16" width="9.7109375" style="23" customWidth="1"/>
    <col min="17" max="17" width="8.7109375" style="23" customWidth="1"/>
    <col min="18" max="1014" width="8.140625" style="23"/>
    <col min="1015" max="16384" width="9" style="23"/>
  </cols>
  <sheetData>
    <row r="1" spans="1:17" s="52" customFormat="1" x14ac:dyDescent="0.25">
      <c r="B1" s="103"/>
      <c r="C1" s="103"/>
      <c r="D1" s="103"/>
      <c r="E1" s="103"/>
      <c r="F1" s="103"/>
      <c r="G1" s="103" t="s">
        <v>23</v>
      </c>
      <c r="H1" s="148">
        <f>KPDV!A13</f>
        <v>1</v>
      </c>
      <c r="I1" s="103"/>
      <c r="J1" s="103"/>
      <c r="K1" s="103"/>
      <c r="L1" s="103"/>
    </row>
    <row r="2" spans="1:17" s="53" customFormat="1" x14ac:dyDescent="0.25">
      <c r="A2" s="247" t="s">
        <v>24</v>
      </c>
      <c r="B2" s="247"/>
      <c r="C2" s="247"/>
      <c r="D2" s="247"/>
      <c r="E2" s="247"/>
      <c r="F2" s="54"/>
      <c r="G2" s="54"/>
      <c r="H2" s="149"/>
      <c r="I2" s="54"/>
      <c r="J2" s="54"/>
      <c r="K2" s="54"/>
      <c r="L2" s="54"/>
    </row>
    <row r="3" spans="1:17" s="57" customFormat="1" x14ac:dyDescent="0.25">
      <c r="A3" s="57" t="str">
        <f>KPDV!A3</f>
        <v>Būves nosaukums: Daudzdzīvokļu dzīvojamās mājas fasādes vienkāršotā atjaunošana</v>
      </c>
    </row>
    <row r="4" spans="1:17" s="57" customFormat="1" x14ac:dyDescent="0.25">
      <c r="A4" s="57" t="str">
        <f>KPDV!A4</f>
        <v>Objekta nosaukums: fasādes vienkāršotā atjaunošana</v>
      </c>
    </row>
    <row r="5" spans="1:17" x14ac:dyDescent="0.25">
      <c r="A5" s="23" t="str">
        <f>KPDV!A5</f>
        <v>Objekta adrese: Tisē iela 75 Liepājā</v>
      </c>
      <c r="G5" s="23"/>
    </row>
    <row r="6" spans="1:17" x14ac:dyDescent="0.25">
      <c r="A6" s="23" t="str">
        <f>KPDV!A6</f>
        <v>Pasūtījuma Nr.EA-08-16</v>
      </c>
      <c r="G6" s="23"/>
    </row>
    <row r="7" spans="1:17" x14ac:dyDescent="0.25">
      <c r="A7" s="23" t="str">
        <f>KPDV!A7</f>
        <v>Pasūtītājs: SIA "Liepājas namu apsaimniekotājs"</v>
      </c>
      <c r="G7" s="23"/>
    </row>
    <row r="8" spans="1:17" x14ac:dyDescent="0.25">
      <c r="C8" s="23"/>
      <c r="D8" s="114" t="s">
        <v>409</v>
      </c>
      <c r="E8" s="55" t="s">
        <v>360</v>
      </c>
      <c r="G8" s="116" t="s">
        <v>25</v>
      </c>
    </row>
    <row r="9" spans="1:17" x14ac:dyDescent="0.25">
      <c r="A9" s="251" t="s">
        <v>26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117">
        <f>Q73</f>
        <v>0</v>
      </c>
    </row>
    <row r="10" spans="1:17" x14ac:dyDescent="0.25">
      <c r="C10" s="23"/>
      <c r="G10" s="23"/>
      <c r="Q10" s="98" t="str">
        <f>KPDV!B10</f>
        <v>Tāme sastādīta</v>
      </c>
    </row>
    <row r="11" spans="1:17" s="57" customFormat="1" x14ac:dyDescent="0.25">
      <c r="A11" s="252" t="s">
        <v>27</v>
      </c>
      <c r="B11" s="252" t="s">
        <v>28</v>
      </c>
      <c r="C11" s="253" t="s">
        <v>29</v>
      </c>
      <c r="D11" s="254" t="s">
        <v>30</v>
      </c>
      <c r="E11" s="252" t="s">
        <v>31</v>
      </c>
      <c r="F11" s="130"/>
      <c r="G11" s="255" t="s">
        <v>32</v>
      </c>
      <c r="H11" s="255"/>
      <c r="I11" s="255"/>
      <c r="J11" s="255"/>
      <c r="K11" s="255"/>
      <c r="L11" s="255"/>
      <c r="M11" s="255" t="s">
        <v>33</v>
      </c>
      <c r="N11" s="255"/>
      <c r="O11" s="255"/>
      <c r="P11" s="255"/>
      <c r="Q11" s="255"/>
    </row>
    <row r="12" spans="1:17" ht="67.5" x14ac:dyDescent="0.25">
      <c r="A12" s="252"/>
      <c r="B12" s="252"/>
      <c r="C12" s="253"/>
      <c r="D12" s="254"/>
      <c r="E12" s="252"/>
      <c r="F12" s="67"/>
      <c r="G12" s="68" t="s">
        <v>34</v>
      </c>
      <c r="H12" s="69" t="s">
        <v>346</v>
      </c>
      <c r="I12" s="69" t="s">
        <v>35</v>
      </c>
      <c r="J12" s="69" t="s">
        <v>36</v>
      </c>
      <c r="K12" s="69" t="s">
        <v>37</v>
      </c>
      <c r="L12" s="70" t="s">
        <v>38</v>
      </c>
      <c r="M12" s="68" t="s">
        <v>39</v>
      </c>
      <c r="N12" s="69" t="s">
        <v>35</v>
      </c>
      <c r="O12" s="69" t="s">
        <v>36</v>
      </c>
      <c r="P12" s="69" t="s">
        <v>37</v>
      </c>
      <c r="Q12" s="70" t="s">
        <v>40</v>
      </c>
    </row>
    <row r="13" spans="1:17" x14ac:dyDescent="0.25">
      <c r="A13" s="72">
        <v>1</v>
      </c>
      <c r="B13" s="72">
        <f>A13+1</f>
        <v>2</v>
      </c>
      <c r="C13" s="73">
        <f>B13+1</f>
        <v>3</v>
      </c>
      <c r="D13" s="72">
        <f>C13+1</f>
        <v>4</v>
      </c>
      <c r="E13" s="72">
        <f>D13+1</f>
        <v>5</v>
      </c>
      <c r="F13" s="74"/>
      <c r="G13" s="75">
        <f>E13+1</f>
        <v>6</v>
      </c>
      <c r="H13" s="76">
        <f t="shared" ref="H13:Q13" si="0">G13+1</f>
        <v>7</v>
      </c>
      <c r="I13" s="76">
        <f t="shared" si="0"/>
        <v>8</v>
      </c>
      <c r="J13" s="76">
        <f t="shared" si="0"/>
        <v>9</v>
      </c>
      <c r="K13" s="77">
        <f t="shared" si="0"/>
        <v>10</v>
      </c>
      <c r="L13" s="72">
        <f t="shared" si="0"/>
        <v>11</v>
      </c>
      <c r="M13" s="75">
        <f t="shared" si="0"/>
        <v>12</v>
      </c>
      <c r="N13" s="76">
        <f t="shared" si="0"/>
        <v>13</v>
      </c>
      <c r="O13" s="76">
        <f t="shared" si="0"/>
        <v>14</v>
      </c>
      <c r="P13" s="76">
        <f t="shared" si="0"/>
        <v>15</v>
      </c>
      <c r="Q13" s="77">
        <f t="shared" si="0"/>
        <v>16</v>
      </c>
    </row>
    <row r="14" spans="1:17" x14ac:dyDescent="0.25">
      <c r="A14" s="36">
        <f>IF(COUNTBLANK(B14)=1," ",COUNTA(B$14:B14))</f>
        <v>1</v>
      </c>
      <c r="B14" s="37" t="s">
        <v>41</v>
      </c>
      <c r="C14" s="150" t="s">
        <v>42</v>
      </c>
      <c r="D14" s="36" t="s">
        <v>43</v>
      </c>
      <c r="E14" s="151">
        <f>apjomi!U21*1.1</f>
        <v>353.1</v>
      </c>
      <c r="F14" s="36"/>
      <c r="G14" s="3"/>
      <c r="H14" s="3"/>
      <c r="I14" s="3"/>
      <c r="J14" s="3"/>
      <c r="K14" s="3"/>
      <c r="L14" s="3"/>
      <c r="M14" s="40"/>
      <c r="N14" s="40"/>
      <c r="O14" s="40"/>
      <c r="P14" s="40"/>
      <c r="Q14" s="40"/>
    </row>
    <row r="15" spans="1:17" x14ac:dyDescent="0.25">
      <c r="A15" s="36" t="str">
        <f>IF(COUNTBLANK(B15)=1," ",COUNTA(B$14:B15))</f>
        <v xml:space="preserve"> </v>
      </c>
      <c r="B15" s="37"/>
      <c r="C15" s="150" t="s">
        <v>44</v>
      </c>
      <c r="D15" s="36" t="s">
        <v>45</v>
      </c>
      <c r="E15" s="38">
        <f>E14/3.5</f>
        <v>100.88571428571429</v>
      </c>
      <c r="F15" s="36">
        <v>4.5</v>
      </c>
      <c r="G15" s="3"/>
      <c r="H15" s="3"/>
      <c r="I15" s="3"/>
      <c r="J15" s="186"/>
      <c r="K15" s="3"/>
      <c r="L15" s="3"/>
      <c r="M15" s="40"/>
      <c r="N15" s="40"/>
      <c r="O15" s="40"/>
      <c r="P15" s="40"/>
      <c r="Q15" s="40"/>
    </row>
    <row r="16" spans="1:17" x14ac:dyDescent="0.25">
      <c r="A16" s="36" t="str">
        <f>IF(COUNTBLANK(B16)=1," ",COUNTA(B$14:B16))</f>
        <v xml:space="preserve"> </v>
      </c>
      <c r="B16" s="37"/>
      <c r="C16" s="150" t="s">
        <v>46</v>
      </c>
      <c r="D16" s="36" t="s">
        <v>45</v>
      </c>
      <c r="E16" s="38">
        <f>E15+1</f>
        <v>101.88571428571429</v>
      </c>
      <c r="F16" s="36">
        <v>4.5</v>
      </c>
      <c r="G16" s="3"/>
      <c r="H16" s="3"/>
      <c r="I16" s="3"/>
      <c r="J16" s="186"/>
      <c r="K16" s="3"/>
      <c r="L16" s="3"/>
      <c r="M16" s="40"/>
      <c r="N16" s="40"/>
      <c r="O16" s="40"/>
      <c r="P16" s="40"/>
      <c r="Q16" s="40"/>
    </row>
    <row r="17" spans="1:17" x14ac:dyDescent="0.25">
      <c r="A17" s="36">
        <f>IF(COUNTBLANK(B17)=1," ",COUNTA(B$14:B17))</f>
        <v>2</v>
      </c>
      <c r="B17" s="37" t="s">
        <v>41</v>
      </c>
      <c r="C17" s="150" t="s">
        <v>351</v>
      </c>
      <c r="D17" s="36" t="s">
        <v>47</v>
      </c>
      <c r="E17" s="151">
        <f>apjomi!U21*16.4</f>
        <v>5264.4</v>
      </c>
      <c r="F17" s="36"/>
      <c r="G17" s="3"/>
      <c r="H17" s="3"/>
      <c r="I17" s="3"/>
      <c r="J17" s="3"/>
      <c r="K17" s="3"/>
      <c r="L17" s="3"/>
      <c r="M17" s="40"/>
      <c r="N17" s="40"/>
      <c r="O17" s="40"/>
      <c r="P17" s="40"/>
      <c r="Q17" s="40"/>
    </row>
    <row r="18" spans="1:17" x14ac:dyDescent="0.25">
      <c r="A18" s="36" t="str">
        <f>IF(COUNTBLANK(B18)=1," ",COUNTA(B$14:B18))</f>
        <v xml:space="preserve"> </v>
      </c>
      <c r="B18" s="37"/>
      <c r="C18" s="150" t="s">
        <v>48</v>
      </c>
      <c r="D18" s="36" t="s">
        <v>47</v>
      </c>
      <c r="E18" s="151">
        <f>E17</f>
        <v>5264.4</v>
      </c>
      <c r="F18" s="36"/>
      <c r="G18" s="3"/>
      <c r="H18" s="3"/>
      <c r="I18" s="3"/>
      <c r="J18" s="3"/>
      <c r="K18" s="3"/>
      <c r="L18" s="3"/>
      <c r="M18" s="40"/>
      <c r="N18" s="40"/>
      <c r="O18" s="40"/>
      <c r="P18" s="40"/>
      <c r="Q18" s="40"/>
    </row>
    <row r="19" spans="1:17" x14ac:dyDescent="0.25">
      <c r="A19" s="11"/>
      <c r="B19" s="41"/>
      <c r="C19" s="150" t="s">
        <v>352</v>
      </c>
      <c r="D19" s="36" t="s">
        <v>47</v>
      </c>
      <c r="E19" s="151">
        <f>E18</f>
        <v>5264.4</v>
      </c>
      <c r="F19" s="36"/>
      <c r="G19" s="3"/>
      <c r="H19" s="3"/>
      <c r="I19" s="3"/>
      <c r="J19" s="3"/>
      <c r="K19" s="3"/>
      <c r="L19" s="3"/>
      <c r="M19" s="40"/>
      <c r="N19" s="40"/>
      <c r="O19" s="40"/>
      <c r="P19" s="40"/>
      <c r="Q19" s="40"/>
    </row>
    <row r="20" spans="1:17" x14ac:dyDescent="0.25">
      <c r="A20" s="11"/>
      <c r="B20" s="41"/>
      <c r="C20" s="150" t="s">
        <v>353</v>
      </c>
      <c r="D20" s="36" t="s">
        <v>43</v>
      </c>
      <c r="E20" s="151">
        <f>apjomi!U21</f>
        <v>321</v>
      </c>
      <c r="F20" s="36"/>
      <c r="G20" s="3"/>
      <c r="H20" s="3"/>
      <c r="I20" s="3"/>
      <c r="J20" s="3"/>
      <c r="K20" s="3"/>
      <c r="L20" s="3"/>
      <c r="M20" s="40"/>
      <c r="N20" s="40"/>
      <c r="O20" s="40"/>
      <c r="P20" s="40"/>
      <c r="Q20" s="40"/>
    </row>
    <row r="21" spans="1:17" x14ac:dyDescent="0.25">
      <c r="A21" s="36">
        <f>IF(COUNTBLANK(B21)=1," ",COUNTA(B$14:B21))</f>
        <v>3</v>
      </c>
      <c r="B21" s="37" t="s">
        <v>41</v>
      </c>
      <c r="C21" s="150" t="s">
        <v>49</v>
      </c>
      <c r="D21" s="36" t="s">
        <v>45</v>
      </c>
      <c r="E21" s="151">
        <v>1</v>
      </c>
      <c r="F21" s="36"/>
      <c r="G21" s="3"/>
      <c r="H21" s="3"/>
      <c r="I21" s="3"/>
      <c r="J21" s="3"/>
      <c r="K21" s="3"/>
      <c r="L21" s="3"/>
      <c r="M21" s="40"/>
      <c r="N21" s="40"/>
      <c r="O21" s="40"/>
      <c r="P21" s="40"/>
      <c r="Q21" s="40"/>
    </row>
    <row r="22" spans="1:17" ht="22.5" x14ac:dyDescent="0.25">
      <c r="A22" s="36" t="str">
        <f>IF(COUNTBLANK(B22)=1," ",COUNTA(B$14:B22))</f>
        <v xml:space="preserve"> </v>
      </c>
      <c r="B22" s="37"/>
      <c r="C22" s="150" t="s">
        <v>50</v>
      </c>
      <c r="D22" s="36" t="s">
        <v>51</v>
      </c>
      <c r="E22" s="151">
        <v>16</v>
      </c>
      <c r="F22" s="36"/>
      <c r="G22" s="3"/>
      <c r="H22" s="3"/>
      <c r="I22" s="3"/>
      <c r="J22" s="3"/>
      <c r="K22" s="3"/>
      <c r="L22" s="3"/>
      <c r="M22" s="40"/>
      <c r="N22" s="40"/>
      <c r="O22" s="40"/>
      <c r="P22" s="40"/>
      <c r="Q22" s="40"/>
    </row>
    <row r="23" spans="1:17" x14ac:dyDescent="0.25">
      <c r="A23" s="36">
        <f>IF(COUNTBLANK(B23)=1," ",COUNTA(B$14:B23))</f>
        <v>4</v>
      </c>
      <c r="B23" s="37" t="s">
        <v>41</v>
      </c>
      <c r="C23" s="150" t="s">
        <v>52</v>
      </c>
      <c r="D23" s="36" t="s">
        <v>45</v>
      </c>
      <c r="E23" s="151">
        <v>1</v>
      </c>
      <c r="F23" s="36"/>
      <c r="G23" s="3"/>
      <c r="H23" s="3"/>
      <c r="I23" s="3"/>
      <c r="J23" s="3"/>
      <c r="K23" s="3"/>
      <c r="L23" s="3"/>
      <c r="M23" s="40"/>
      <c r="N23" s="40"/>
      <c r="O23" s="40"/>
      <c r="P23" s="40"/>
      <c r="Q23" s="40"/>
    </row>
    <row r="24" spans="1:17" x14ac:dyDescent="0.25">
      <c r="A24" s="36">
        <f>IF(COUNTBLANK(B24)=1," ",COUNTA(B$14:B24))</f>
        <v>5</v>
      </c>
      <c r="B24" s="37" t="s">
        <v>41</v>
      </c>
      <c r="C24" s="152" t="s">
        <v>53</v>
      </c>
      <c r="D24" s="36" t="s">
        <v>47</v>
      </c>
      <c r="E24" s="121">
        <f>apjomi!U21*0.6</f>
        <v>192.6</v>
      </c>
      <c r="G24" s="122"/>
      <c r="H24" s="3"/>
      <c r="I24" s="122"/>
      <c r="J24" s="122"/>
      <c r="K24" s="122"/>
      <c r="L24" s="3"/>
      <c r="M24" s="40"/>
      <c r="N24" s="40"/>
      <c r="O24" s="40"/>
      <c r="P24" s="40"/>
      <c r="Q24" s="40"/>
    </row>
    <row r="25" spans="1:17" x14ac:dyDescent="0.25">
      <c r="A25" s="36">
        <f>IF(COUNTBLANK(B25)=1," ",COUNTA(B$14:B25))</f>
        <v>6</v>
      </c>
      <c r="B25" s="37" t="s">
        <v>41</v>
      </c>
      <c r="C25" s="150" t="str">
        <f>apjomi!U2</f>
        <v>Cokola profils EB PVC VARIO 220 vai ekvivalents</v>
      </c>
      <c r="D25" s="36" t="s">
        <v>43</v>
      </c>
      <c r="E25" s="151">
        <f>E14</f>
        <v>353.1</v>
      </c>
      <c r="F25" s="3">
        <v>1.05</v>
      </c>
      <c r="G25" s="3"/>
      <c r="H25" s="3"/>
      <c r="I25" s="39"/>
      <c r="J25" s="3"/>
      <c r="K25" s="3"/>
      <c r="L25" s="3"/>
      <c r="M25" s="40"/>
      <c r="N25" s="40"/>
      <c r="O25" s="40"/>
      <c r="P25" s="40"/>
      <c r="Q25" s="40"/>
    </row>
    <row r="26" spans="1:17" s="112" customFormat="1" ht="22.5" x14ac:dyDescent="0.25">
      <c r="A26" s="36">
        <f>IF(COUNTBLANK(B26)=1," ",COUNTA(B$14:B26))</f>
        <v>7</v>
      </c>
      <c r="B26" s="37" t="s">
        <v>41</v>
      </c>
      <c r="C26" s="8" t="s">
        <v>54</v>
      </c>
      <c r="D26" s="36" t="s">
        <v>47</v>
      </c>
      <c r="E26" s="151">
        <f>E30</f>
        <v>2860.9999999999995</v>
      </c>
      <c r="F26" s="3"/>
      <c r="G26" s="3"/>
      <c r="H26" s="3"/>
      <c r="I26" s="39"/>
      <c r="J26" s="39"/>
      <c r="K26" s="3"/>
      <c r="L26" s="3"/>
      <c r="M26" s="40"/>
      <c r="N26" s="40"/>
      <c r="O26" s="40"/>
      <c r="P26" s="40"/>
      <c r="Q26" s="40"/>
    </row>
    <row r="27" spans="1:17" x14ac:dyDescent="0.25">
      <c r="A27" s="36" t="str">
        <f>IF(COUNTBLANK(B27)=1," ",COUNTA(B$14:B27))</f>
        <v xml:space="preserve"> </v>
      </c>
      <c r="B27" s="36"/>
      <c r="C27" s="4" t="s">
        <v>420</v>
      </c>
      <c r="D27" s="36" t="s">
        <v>55</v>
      </c>
      <c r="E27" s="3">
        <f>E26*F27</f>
        <v>715.24999999999989</v>
      </c>
      <c r="F27" s="3">
        <v>0.25</v>
      </c>
      <c r="G27" s="3"/>
      <c r="H27" s="3"/>
      <c r="I27" s="3"/>
      <c r="J27" s="3"/>
      <c r="K27" s="3"/>
      <c r="L27" s="3"/>
      <c r="M27" s="40"/>
      <c r="N27" s="40"/>
      <c r="O27" s="40"/>
      <c r="P27" s="40"/>
      <c r="Q27" s="40"/>
    </row>
    <row r="28" spans="1:17" ht="22.5" x14ac:dyDescent="0.25">
      <c r="A28" s="36">
        <f>IF(COUNTBLANK(B28)=1," ",COUNTA(B$14:B28))</f>
        <v>8</v>
      </c>
      <c r="B28" s="37" t="s">
        <v>41</v>
      </c>
      <c r="C28" s="8" t="s">
        <v>421</v>
      </c>
      <c r="D28" s="36" t="s">
        <v>47</v>
      </c>
      <c r="E28" s="151">
        <f>E26*0.3</f>
        <v>858.29999999999984</v>
      </c>
      <c r="F28" s="3"/>
      <c r="G28" s="3"/>
      <c r="H28" s="3"/>
      <c r="I28" s="39"/>
      <c r="J28" s="3"/>
      <c r="K28" s="3"/>
      <c r="L28" s="3"/>
      <c r="M28" s="40"/>
      <c r="N28" s="40"/>
      <c r="O28" s="40"/>
      <c r="P28" s="40"/>
      <c r="Q28" s="40"/>
    </row>
    <row r="29" spans="1:17" x14ac:dyDescent="0.25">
      <c r="A29" s="36" t="str">
        <f>IF(COUNTBLANK(B29)=1," ",COUNTA(B$14:B29))</f>
        <v xml:space="preserve"> </v>
      </c>
      <c r="B29" s="37"/>
      <c r="C29" s="8" t="s">
        <v>357</v>
      </c>
      <c r="D29" s="36" t="s">
        <v>56</v>
      </c>
      <c r="E29" s="151">
        <f>E28*0.2</f>
        <v>171.65999999999997</v>
      </c>
      <c r="F29" s="3"/>
      <c r="G29" s="3"/>
      <c r="H29" s="3"/>
      <c r="I29" s="39"/>
      <c r="J29" s="3"/>
      <c r="K29" s="3"/>
      <c r="L29" s="3"/>
      <c r="M29" s="40"/>
      <c r="N29" s="40"/>
      <c r="O29" s="40"/>
      <c r="P29" s="40"/>
      <c r="Q29" s="40"/>
    </row>
    <row r="30" spans="1:17" s="112" customFormat="1" ht="33.75" x14ac:dyDescent="0.25">
      <c r="A30" s="36">
        <f>IF(COUNTBLANK(B30)=1," ",COUNTA(B$14:B30))</f>
        <v>9</v>
      </c>
      <c r="B30" s="37" t="s">
        <v>41</v>
      </c>
      <c r="C30" s="187" t="s">
        <v>57</v>
      </c>
      <c r="D30" s="121" t="s">
        <v>47</v>
      </c>
      <c r="E30" s="188">
        <f>SUM(E34:E36)/F34</f>
        <v>2860.9999999999995</v>
      </c>
      <c r="F30" s="36"/>
      <c r="G30" s="3"/>
      <c r="H30" s="3"/>
      <c r="I30" s="3"/>
      <c r="J30" s="39"/>
      <c r="K30" s="36"/>
      <c r="L30" s="3"/>
      <c r="M30" s="40"/>
      <c r="N30" s="40"/>
      <c r="O30" s="40"/>
      <c r="P30" s="40"/>
      <c r="Q30" s="40"/>
    </row>
    <row r="31" spans="1:17" x14ac:dyDescent="0.25">
      <c r="A31" s="36" t="str">
        <f>IF(COUNTBLANK(B31)=1," ",COUNTA(B$14:B31))</f>
        <v xml:space="preserve"> </v>
      </c>
      <c r="B31" s="36"/>
      <c r="C31" s="4" t="s">
        <v>422</v>
      </c>
      <c r="D31" s="84" t="s">
        <v>55</v>
      </c>
      <c r="E31" s="3">
        <f>ROUNDUP(E30*F31,2)</f>
        <v>715.25</v>
      </c>
      <c r="F31" s="3">
        <v>0.25</v>
      </c>
      <c r="G31" s="3"/>
      <c r="H31" s="3"/>
      <c r="I31" s="3"/>
      <c r="J31" s="3"/>
      <c r="K31" s="3"/>
      <c r="L31" s="3"/>
      <c r="M31" s="40"/>
      <c r="N31" s="40"/>
      <c r="O31" s="40"/>
      <c r="P31" s="40"/>
      <c r="Q31" s="40"/>
    </row>
    <row r="32" spans="1:17" x14ac:dyDescent="0.25">
      <c r="A32" s="36" t="str">
        <f>IF(COUNTBLANK(B32)=1," ",COUNTA(B$14:B32))</f>
        <v xml:space="preserve"> </v>
      </c>
      <c r="B32" s="36"/>
      <c r="C32" s="5" t="s">
        <v>423</v>
      </c>
      <c r="D32" s="84" t="s">
        <v>55</v>
      </c>
      <c r="E32" s="3">
        <f>ROUNDUP(E30*F32,2)</f>
        <v>14305</v>
      </c>
      <c r="F32" s="3">
        <v>5</v>
      </c>
      <c r="G32" s="3"/>
      <c r="H32" s="3"/>
      <c r="I32" s="3"/>
      <c r="J32" s="3"/>
      <c r="K32" s="3"/>
      <c r="L32" s="3"/>
      <c r="M32" s="40"/>
      <c r="N32" s="40"/>
      <c r="O32" s="40"/>
      <c r="P32" s="40"/>
      <c r="Q32" s="40"/>
    </row>
    <row r="33" spans="1:17" x14ac:dyDescent="0.25">
      <c r="A33" s="11"/>
      <c r="B33" s="189"/>
      <c r="C33" s="187" t="s">
        <v>350</v>
      </c>
      <c r="D33" s="84"/>
      <c r="E33" s="21"/>
      <c r="F33" s="21"/>
      <c r="G33" s="21"/>
      <c r="H33" s="21"/>
      <c r="I33" s="21"/>
      <c r="J33" s="21"/>
      <c r="K33" s="21"/>
      <c r="L33" s="21"/>
      <c r="M33" s="43"/>
      <c r="N33" s="43"/>
      <c r="O33" s="43"/>
      <c r="P33" s="43"/>
      <c r="Q33" s="43"/>
    </row>
    <row r="34" spans="1:17" ht="49.5" x14ac:dyDescent="0.25">
      <c r="A34" s="36">
        <f>IF(COUNTBLANK(B34)=1," ",COUNTA(B$14:B34))</f>
        <v>10</v>
      </c>
      <c r="B34" s="190" t="str">
        <f>apjomi!A35</f>
        <v>S1 Vieglbetona paneļu ārējās sienas siltinājums</v>
      </c>
      <c r="C34" s="152" t="str">
        <f>apjomi!B35</f>
        <v>Apmetuma sistēma virs siltinājuma (AS-1); grunts; siltinājums - akmensvate (PAROC Linio 10 vai  ekviv.)  λ=0,036W/m×K, b=200mm; līmjava; grunts; esošā siena - vieglbetona panelis,b=250mm</v>
      </c>
      <c r="D34" s="121" t="s">
        <v>47</v>
      </c>
      <c r="E34" s="161">
        <f>apjomi!D35*F34</f>
        <v>825.00000000000011</v>
      </c>
      <c r="F34" s="36">
        <v>1.1000000000000001</v>
      </c>
      <c r="G34" s="3"/>
      <c r="H34" s="3"/>
      <c r="I34" s="36"/>
      <c r="J34" s="3"/>
      <c r="K34" s="3"/>
      <c r="L34" s="3"/>
      <c r="M34" s="40"/>
      <c r="N34" s="40"/>
      <c r="O34" s="40"/>
      <c r="P34" s="40"/>
      <c r="Q34" s="40"/>
    </row>
    <row r="35" spans="1:17" ht="49.5" x14ac:dyDescent="0.25">
      <c r="A35" s="36">
        <f>IF(COUNTBLANK(B35)=1," ",COUNTA(B$14:B35))</f>
        <v>11</v>
      </c>
      <c r="B35" s="190" t="str">
        <f>apjomi!A36</f>
        <v>S2 Vieglbetona paneļu ārējās sienas siltinājums</v>
      </c>
      <c r="C35" s="152" t="str">
        <f>apjomi!B36</f>
        <v>Apmetuma sistēma virs siltinājuma (AS-1); grunts; siltinājums - akmensvate (PAROC Linio 10 vai  ekviv.)  λ=0,036W/m×K, b=150mm; līmjava; grunts; esošā siena - vieglbetona panelis,b=250mm</v>
      </c>
      <c r="D35" s="121" t="s">
        <v>47</v>
      </c>
      <c r="E35" s="161">
        <f>apjomi!D36*F35</f>
        <v>2222</v>
      </c>
      <c r="F35" s="36">
        <v>1.1000000000000001</v>
      </c>
      <c r="G35" s="3"/>
      <c r="H35" s="3"/>
      <c r="I35" s="36"/>
      <c r="J35" s="3"/>
      <c r="K35" s="3"/>
      <c r="L35" s="3"/>
      <c r="M35" s="40"/>
      <c r="N35" s="40"/>
      <c r="O35" s="40"/>
      <c r="P35" s="40"/>
      <c r="Q35" s="40"/>
    </row>
    <row r="36" spans="1:17" ht="56.25" x14ac:dyDescent="0.25">
      <c r="A36" s="36">
        <f>IF(COUNTBLANK(B36)=1," ",COUNTA(B$14:B36))</f>
        <v>12</v>
      </c>
      <c r="B36" s="190" t="str">
        <f>apjomi!A37</f>
        <v>P1
Siltinājums zem pirmā 
stāva lodžijām</v>
      </c>
      <c r="C36" s="152" t="str">
        <f>apjomi!B37</f>
        <v xml:space="preserve">Atjaunotā betona kārta b=40mm, Esošais dz-betona pārsegums b=220mm, Līmjava, Siltinājums PAROC Linio 10 vai ekvivalents λ=0,036W/m×K b=150mm, Līmjava uz stiklšķiedras sieta b=10mm, Ārējā apdare(krāsots struktūrapmetums )   </v>
      </c>
      <c r="D36" s="121" t="s">
        <v>47</v>
      </c>
      <c r="E36" s="161">
        <f>apjomi!D37*F36</f>
        <v>100.10000000000001</v>
      </c>
      <c r="F36" s="36">
        <v>1.1000000000000001</v>
      </c>
      <c r="G36" s="3"/>
      <c r="H36" s="3"/>
      <c r="I36" s="36"/>
      <c r="J36" s="3"/>
      <c r="K36" s="3"/>
      <c r="L36" s="3"/>
      <c r="M36" s="40"/>
      <c r="N36" s="40"/>
      <c r="O36" s="40"/>
      <c r="P36" s="40"/>
      <c r="Q36" s="40"/>
    </row>
    <row r="37" spans="1:17" ht="45" x14ac:dyDescent="0.25">
      <c r="A37" s="36" t="str">
        <f>IF(COUNTBLANK(B37)=1," ",COUNTA(B$14:B37))</f>
        <v xml:space="preserve"> </v>
      </c>
      <c r="B37" s="36"/>
      <c r="C37" s="6" t="s">
        <v>358</v>
      </c>
      <c r="D37" s="36" t="s">
        <v>58</v>
      </c>
      <c r="E37" s="3">
        <f>E34*F37</f>
        <v>6600.0000000000009</v>
      </c>
      <c r="F37" s="3">
        <v>8</v>
      </c>
      <c r="G37" s="3"/>
      <c r="H37" s="3"/>
      <c r="I37" s="36"/>
      <c r="J37" s="3"/>
      <c r="K37" s="3"/>
      <c r="L37" s="3"/>
      <c r="M37" s="40"/>
      <c r="N37" s="40"/>
      <c r="O37" s="40"/>
      <c r="P37" s="40"/>
      <c r="Q37" s="40"/>
    </row>
    <row r="38" spans="1:17" ht="45" x14ac:dyDescent="0.25">
      <c r="A38" s="36" t="str">
        <f>IF(COUNTBLANK(B38)=1," ",COUNTA(B$14:B38))</f>
        <v xml:space="preserve"> </v>
      </c>
      <c r="B38" s="36"/>
      <c r="C38" s="6" t="s">
        <v>359</v>
      </c>
      <c r="D38" s="36" t="s">
        <v>58</v>
      </c>
      <c r="E38" s="3">
        <f>(E35+E36)*F38</f>
        <v>18576.8</v>
      </c>
      <c r="F38" s="3">
        <v>8</v>
      </c>
      <c r="G38" s="3"/>
      <c r="H38" s="3"/>
      <c r="I38" s="36"/>
      <c r="J38" s="3"/>
      <c r="K38" s="3"/>
      <c r="L38" s="3"/>
      <c r="M38" s="40"/>
      <c r="N38" s="40"/>
      <c r="O38" s="40"/>
      <c r="P38" s="40"/>
      <c r="Q38" s="40"/>
    </row>
    <row r="39" spans="1:17" ht="33.75" x14ac:dyDescent="0.25">
      <c r="A39" s="36">
        <f>IF(COUNTBLANK(B39)=1," ",COUNTA(B$14:B39))</f>
        <v>13</v>
      </c>
      <c r="B39" s="37" t="s">
        <v>41</v>
      </c>
      <c r="C39" s="187" t="s">
        <v>424</v>
      </c>
      <c r="D39" s="124" t="s">
        <v>47</v>
      </c>
      <c r="E39" s="161">
        <f>apjomi!M21</f>
        <v>680.49900000000002</v>
      </c>
      <c r="F39" s="3"/>
      <c r="G39" s="3"/>
      <c r="H39" s="3"/>
      <c r="I39" s="39"/>
      <c r="J39" s="39"/>
      <c r="K39" s="3"/>
      <c r="L39" s="3"/>
      <c r="M39" s="40"/>
      <c r="N39" s="40"/>
      <c r="O39" s="40"/>
      <c r="P39" s="40"/>
      <c r="Q39" s="40"/>
    </row>
    <row r="40" spans="1:17" x14ac:dyDescent="0.25">
      <c r="A40" s="36" t="str">
        <f>IF(COUNTBLANK(B40)=1," ",COUNTA(B$14:B40))</f>
        <v xml:space="preserve"> </v>
      </c>
      <c r="B40" s="36"/>
      <c r="C40" s="5" t="s">
        <v>425</v>
      </c>
      <c r="D40" s="36" t="s">
        <v>55</v>
      </c>
      <c r="E40" s="3">
        <f>E39*F40</f>
        <v>170.12475000000001</v>
      </c>
      <c r="F40" s="3">
        <v>0.25</v>
      </c>
      <c r="G40" s="3"/>
      <c r="H40" s="3"/>
      <c r="I40" s="3"/>
      <c r="J40" s="3"/>
      <c r="K40" s="3"/>
      <c r="L40" s="3"/>
      <c r="M40" s="40"/>
      <c r="N40" s="40"/>
      <c r="O40" s="40"/>
      <c r="P40" s="40"/>
      <c r="Q40" s="40"/>
    </row>
    <row r="41" spans="1:17" x14ac:dyDescent="0.25">
      <c r="A41" s="36" t="str">
        <f>IF(COUNTBLANK(B41)=1," ",COUNTA(B$14:B41))</f>
        <v xml:space="preserve"> </v>
      </c>
      <c r="B41" s="36"/>
      <c r="C41" s="5" t="s">
        <v>426</v>
      </c>
      <c r="D41" s="36" t="s">
        <v>55</v>
      </c>
      <c r="E41" s="3">
        <f>E39*F41</f>
        <v>3402.4949999999999</v>
      </c>
      <c r="F41" s="3">
        <v>5</v>
      </c>
      <c r="G41" s="3"/>
      <c r="H41" s="3"/>
      <c r="I41" s="3"/>
      <c r="J41" s="3"/>
      <c r="K41" s="3"/>
      <c r="L41" s="3"/>
      <c r="M41" s="40"/>
      <c r="N41" s="40"/>
      <c r="O41" s="40"/>
      <c r="P41" s="40"/>
      <c r="Q41" s="40"/>
    </row>
    <row r="42" spans="1:17" x14ac:dyDescent="0.25">
      <c r="A42" s="11"/>
      <c r="B42" s="11"/>
      <c r="C42" s="152" t="s">
        <v>362</v>
      </c>
      <c r="D42" s="121" t="s">
        <v>47</v>
      </c>
      <c r="E42" s="3">
        <f>E39*F42</f>
        <v>714.52395000000001</v>
      </c>
      <c r="F42" s="3">
        <v>1.05</v>
      </c>
      <c r="G42" s="3"/>
      <c r="H42" s="3"/>
      <c r="I42" s="3"/>
      <c r="J42" s="3"/>
      <c r="K42" s="3"/>
      <c r="L42" s="3"/>
      <c r="M42" s="40"/>
      <c r="N42" s="40"/>
      <c r="O42" s="40"/>
      <c r="P42" s="40"/>
      <c r="Q42" s="40"/>
    </row>
    <row r="43" spans="1:17" ht="56.25" x14ac:dyDescent="0.25">
      <c r="A43" s="36">
        <f>IF(COUNTBLANK(B43)=1," ",COUNTA(B$14:B43))</f>
        <v>14</v>
      </c>
      <c r="B43" s="37" t="s">
        <v>41</v>
      </c>
      <c r="C43" s="152" t="s">
        <v>427</v>
      </c>
      <c r="D43" s="36" t="s">
        <v>47</v>
      </c>
      <c r="E43" s="3">
        <f>E30+E39</f>
        <v>3541.4989999999998</v>
      </c>
      <c r="F43" s="3"/>
      <c r="G43" s="3"/>
      <c r="H43" s="3"/>
      <c r="I43" s="39"/>
      <c r="J43" s="39"/>
      <c r="K43" s="3"/>
      <c r="L43" s="3"/>
      <c r="M43" s="40"/>
      <c r="N43" s="40"/>
      <c r="O43" s="40"/>
      <c r="P43" s="40"/>
      <c r="Q43" s="40"/>
    </row>
    <row r="44" spans="1:17" x14ac:dyDescent="0.25">
      <c r="A44" s="36" t="str">
        <f>IF(COUNTBLANK(B44)=1," ",COUNTA(B$14:B44))</f>
        <v xml:space="preserve"> </v>
      </c>
      <c r="B44" s="36"/>
      <c r="C44" s="5" t="s">
        <v>425</v>
      </c>
      <c r="D44" s="84" t="s">
        <v>55</v>
      </c>
      <c r="E44" s="3">
        <f>ROUNDUP(E43*F44,2)</f>
        <v>1062.45</v>
      </c>
      <c r="F44" s="3">
        <v>0.3</v>
      </c>
      <c r="G44" s="3"/>
      <c r="H44" s="3"/>
      <c r="I44" s="3"/>
      <c r="J44" s="3"/>
      <c r="K44" s="3"/>
      <c r="L44" s="3"/>
      <c r="M44" s="40"/>
      <c r="N44" s="40"/>
      <c r="O44" s="40"/>
      <c r="P44" s="40"/>
      <c r="Q44" s="40"/>
    </row>
    <row r="45" spans="1:17" x14ac:dyDescent="0.25">
      <c r="A45" s="36" t="str">
        <f>IF(COUNTBLANK(B45)=1," ",COUNTA(B$14:B45))</f>
        <v xml:space="preserve"> </v>
      </c>
      <c r="B45" s="36"/>
      <c r="C45" s="5" t="s">
        <v>426</v>
      </c>
      <c r="D45" s="84" t="s">
        <v>55</v>
      </c>
      <c r="E45" s="3">
        <f>ROUNDUP(E43*F45,2)</f>
        <v>14166</v>
      </c>
      <c r="F45" s="3">
        <v>4</v>
      </c>
      <c r="G45" s="3"/>
      <c r="H45" s="3"/>
      <c r="I45" s="3"/>
      <c r="J45" s="3"/>
      <c r="K45" s="3"/>
      <c r="L45" s="3"/>
      <c r="M45" s="40"/>
      <c r="N45" s="40"/>
      <c r="O45" s="40"/>
      <c r="P45" s="40"/>
      <c r="Q45" s="40"/>
    </row>
    <row r="46" spans="1:17" ht="22.5" x14ac:dyDescent="0.25">
      <c r="A46" s="36" t="str">
        <f>IF(COUNTBLANK(B46)=1," ",COUNTA(B$14:B46))</f>
        <v xml:space="preserve"> </v>
      </c>
      <c r="B46" s="36"/>
      <c r="C46" s="6" t="s">
        <v>428</v>
      </c>
      <c r="D46" s="36" t="s">
        <v>47</v>
      </c>
      <c r="E46" s="3">
        <f>E43*F46</f>
        <v>3895.6489000000001</v>
      </c>
      <c r="F46" s="3">
        <v>1.1000000000000001</v>
      </c>
      <c r="G46" s="3"/>
      <c r="H46" s="3"/>
      <c r="I46" s="3"/>
      <c r="J46" s="3"/>
      <c r="K46" s="3"/>
      <c r="L46" s="3"/>
      <c r="M46" s="40"/>
      <c r="N46" s="40"/>
      <c r="O46" s="40"/>
      <c r="P46" s="40"/>
      <c r="Q46" s="40"/>
    </row>
    <row r="47" spans="1:17" ht="22.5" x14ac:dyDescent="0.25">
      <c r="A47" s="36" t="str">
        <f>IF(COUNTBLANK(B47)=1," ",COUNTA(B$14:B47))</f>
        <v xml:space="preserve"> </v>
      </c>
      <c r="B47" s="36"/>
      <c r="C47" s="5" t="s">
        <v>361</v>
      </c>
      <c r="D47" s="84" t="s">
        <v>55</v>
      </c>
      <c r="E47" s="3">
        <f>ROUNDUP(E43*F47,2)</f>
        <v>8853.75</v>
      </c>
      <c r="F47" s="3">
        <v>2.5</v>
      </c>
      <c r="G47" s="3"/>
      <c r="H47" s="3"/>
      <c r="I47" s="3"/>
      <c r="J47" s="3"/>
      <c r="K47" s="3"/>
      <c r="L47" s="3"/>
      <c r="M47" s="40"/>
      <c r="N47" s="40"/>
      <c r="O47" s="40"/>
      <c r="P47" s="40"/>
      <c r="Q47" s="40"/>
    </row>
    <row r="48" spans="1:17" x14ac:dyDescent="0.25">
      <c r="A48" s="36" t="str">
        <f>IF(COUNTBLANK(B48)=1," ",COUNTA(B$14:B54))</f>
        <v xml:space="preserve"> </v>
      </c>
      <c r="B48" s="36"/>
      <c r="C48" s="152" t="s">
        <v>59</v>
      </c>
      <c r="D48" s="84" t="s">
        <v>323</v>
      </c>
      <c r="E48" s="3">
        <f>ROUNDUP(E43*F48,0)</f>
        <v>319</v>
      </c>
      <c r="F48" s="3">
        <v>0.09</v>
      </c>
      <c r="G48" s="3"/>
      <c r="H48" s="3"/>
      <c r="I48" s="3"/>
      <c r="J48" s="3"/>
      <c r="K48" s="3"/>
      <c r="L48" s="3"/>
      <c r="M48" s="40"/>
      <c r="N48" s="40"/>
      <c r="O48" s="40"/>
      <c r="P48" s="40"/>
      <c r="Q48" s="40"/>
    </row>
    <row r="49" spans="1:17" ht="22.5" x14ac:dyDescent="0.25">
      <c r="A49" s="36">
        <f>IF(COUNTBLANK(B49)=1," ",COUNTA(B$14:B49))</f>
        <v>15</v>
      </c>
      <c r="B49" s="37" t="s">
        <v>41</v>
      </c>
      <c r="C49" s="152" t="s">
        <v>177</v>
      </c>
      <c r="D49" s="124" t="s">
        <v>47</v>
      </c>
      <c r="E49" s="161">
        <f>0.3*0.5*apjomi!E21*4</f>
        <v>556.79999999999995</v>
      </c>
      <c r="F49" s="3"/>
      <c r="G49" s="3"/>
      <c r="H49" s="3"/>
      <c r="I49" s="39"/>
      <c r="J49" s="39"/>
      <c r="K49" s="3"/>
      <c r="L49" s="3"/>
      <c r="M49" s="40"/>
      <c r="N49" s="40"/>
      <c r="O49" s="40"/>
      <c r="P49" s="40"/>
      <c r="Q49" s="40"/>
    </row>
    <row r="50" spans="1:17" x14ac:dyDescent="0.25">
      <c r="A50" s="36" t="str">
        <f>IF(COUNTBLANK(B50)=1," ",COUNTA(B$14:B50))</f>
        <v xml:space="preserve"> </v>
      </c>
      <c r="B50" s="36"/>
      <c r="C50" s="5" t="s">
        <v>426</v>
      </c>
      <c r="D50" s="36" t="s">
        <v>55</v>
      </c>
      <c r="E50" s="3">
        <f>E49*F50</f>
        <v>2227.1999999999998</v>
      </c>
      <c r="F50" s="3">
        <v>4</v>
      </c>
      <c r="G50" s="3"/>
      <c r="H50" s="3"/>
      <c r="I50" s="3"/>
      <c r="J50" s="3"/>
      <c r="K50" s="3"/>
      <c r="L50" s="3"/>
      <c r="M50" s="40"/>
      <c r="N50" s="40"/>
      <c r="O50" s="40"/>
      <c r="P50" s="40"/>
      <c r="Q50" s="40"/>
    </row>
    <row r="51" spans="1:17" ht="22.5" x14ac:dyDescent="0.25">
      <c r="A51" s="36" t="str">
        <f>IF(COUNTBLANK(B51)=1," ",COUNTA(B$14:B51))</f>
        <v xml:space="preserve"> </v>
      </c>
      <c r="B51" s="36"/>
      <c r="C51" s="6" t="s">
        <v>428</v>
      </c>
      <c r="D51" s="36" t="s">
        <v>61</v>
      </c>
      <c r="E51" s="3">
        <f>E49*F51</f>
        <v>556.79999999999995</v>
      </c>
      <c r="F51" s="3">
        <v>1</v>
      </c>
      <c r="G51" s="3"/>
      <c r="H51" s="3"/>
      <c r="I51" s="3"/>
      <c r="J51" s="3"/>
      <c r="K51" s="3"/>
      <c r="L51" s="3"/>
      <c r="M51" s="40"/>
      <c r="N51" s="40"/>
      <c r="O51" s="40"/>
      <c r="P51" s="40"/>
      <c r="Q51" s="40"/>
    </row>
    <row r="52" spans="1:17" ht="56.25" x14ac:dyDescent="0.25">
      <c r="A52" s="36">
        <f>IF(COUNTBLANK(B52)=1," ",COUNTA(B$14:B52))</f>
        <v>16</v>
      </c>
      <c r="B52" s="37" t="s">
        <v>41</v>
      </c>
      <c r="C52" s="6" t="s">
        <v>429</v>
      </c>
      <c r="D52" s="36" t="s">
        <v>61</v>
      </c>
      <c r="E52" s="151">
        <f>apjomi!M21</f>
        <v>680.49900000000002</v>
      </c>
      <c r="F52" s="182"/>
      <c r="G52" s="3"/>
      <c r="H52" s="3"/>
      <c r="I52" s="3"/>
      <c r="J52" s="39"/>
      <c r="K52" s="3"/>
      <c r="L52" s="3"/>
      <c r="M52" s="40"/>
      <c r="N52" s="40"/>
      <c r="O52" s="40"/>
      <c r="P52" s="40"/>
      <c r="Q52" s="40"/>
    </row>
    <row r="53" spans="1:17" x14ac:dyDescent="0.25">
      <c r="A53" s="36" t="str">
        <f>IF(COUNTBLANK(B53)=1," ",COUNTA(B$14:B53))</f>
        <v xml:space="preserve"> </v>
      </c>
      <c r="B53" s="36"/>
      <c r="C53" s="5" t="s">
        <v>426</v>
      </c>
      <c r="D53" s="36" t="s">
        <v>55</v>
      </c>
      <c r="E53" s="3">
        <f>E52*F53</f>
        <v>653.27904000000001</v>
      </c>
      <c r="F53" s="3">
        <v>0.96</v>
      </c>
      <c r="G53" s="3"/>
      <c r="H53" s="3"/>
      <c r="I53" s="3"/>
      <c r="J53" s="3"/>
      <c r="K53" s="3"/>
      <c r="L53" s="3"/>
      <c r="M53" s="40"/>
      <c r="N53" s="40"/>
      <c r="O53" s="40"/>
      <c r="P53" s="40"/>
      <c r="Q53" s="40"/>
    </row>
    <row r="54" spans="1:17" ht="22.5" x14ac:dyDescent="0.25">
      <c r="A54" s="36" t="str">
        <f>IF(COUNTBLANK(B54)=1," ",COUNTA(B$14:B54))</f>
        <v xml:space="preserve"> </v>
      </c>
      <c r="B54" s="36"/>
      <c r="C54" s="152" t="s">
        <v>428</v>
      </c>
      <c r="D54" s="36" t="s">
        <v>61</v>
      </c>
      <c r="E54" s="3">
        <f>ROUNDUP(E52*F54,0)</f>
        <v>749</v>
      </c>
      <c r="F54" s="3">
        <v>1.1000000000000001</v>
      </c>
      <c r="G54" s="3"/>
      <c r="H54" s="3"/>
      <c r="I54" s="3"/>
      <c r="J54" s="3"/>
      <c r="K54" s="3"/>
      <c r="L54" s="3"/>
      <c r="M54" s="40"/>
      <c r="N54" s="40"/>
      <c r="O54" s="40"/>
      <c r="P54" s="40"/>
      <c r="Q54" s="40"/>
    </row>
    <row r="55" spans="1:17" ht="22.5" x14ac:dyDescent="0.25">
      <c r="A55" s="36"/>
      <c r="B55" s="37"/>
      <c r="C55" s="191" t="s">
        <v>62</v>
      </c>
      <c r="D55" s="36"/>
      <c r="E55" s="151"/>
      <c r="F55" s="36"/>
      <c r="G55" s="3"/>
      <c r="H55" s="3"/>
      <c r="I55" s="3"/>
      <c r="J55" s="3"/>
      <c r="K55" s="3"/>
      <c r="L55" s="3"/>
      <c r="M55" s="40"/>
      <c r="N55" s="40"/>
      <c r="O55" s="40"/>
      <c r="P55" s="40"/>
      <c r="Q55" s="40"/>
    </row>
    <row r="56" spans="1:17" x14ac:dyDescent="0.25">
      <c r="A56" s="36">
        <f>IF(COUNTBLANK(B56)=1," ",COUNTA(B$14:B56))</f>
        <v>17</v>
      </c>
      <c r="B56" s="37" t="s">
        <v>41</v>
      </c>
      <c r="C56" s="152" t="str">
        <f>apjomi!Q2</f>
        <v>Stūra profils  EC S vai ekvivalents</v>
      </c>
      <c r="D56" s="36" t="s">
        <v>43</v>
      </c>
      <c r="E56" s="151">
        <f>apjomi!Q21</f>
        <v>3626.86</v>
      </c>
      <c r="F56" s="36"/>
      <c r="G56" s="3"/>
      <c r="H56" s="3"/>
      <c r="I56" s="3"/>
      <c r="J56" s="3"/>
      <c r="K56" s="3"/>
      <c r="L56" s="3"/>
      <c r="M56" s="40"/>
      <c r="N56" s="40"/>
      <c r="O56" s="40"/>
      <c r="P56" s="40"/>
      <c r="Q56" s="40"/>
    </row>
    <row r="57" spans="1:17" x14ac:dyDescent="0.25">
      <c r="A57" s="36">
        <f>IF(COUNTBLANK(B57)=1," ",COUNTA(B$14:B57))</f>
        <v>18</v>
      </c>
      <c r="B57" s="37" t="s">
        <v>41</v>
      </c>
      <c r="C57" s="152" t="str">
        <f>apjomi!R2</f>
        <v>Loga pielaiduma profils EW vai ekvivalents</v>
      </c>
      <c r="D57" s="36" t="s">
        <v>43</v>
      </c>
      <c r="E57" s="151">
        <f>apjomi!R21</f>
        <v>3626.86</v>
      </c>
      <c r="F57" s="36"/>
      <c r="G57" s="3"/>
      <c r="H57" s="3"/>
      <c r="I57" s="3"/>
      <c r="J57" s="3"/>
      <c r="K57" s="3"/>
      <c r="L57" s="3"/>
      <c r="M57" s="40"/>
      <c r="N57" s="40"/>
      <c r="O57" s="40"/>
      <c r="P57" s="40"/>
      <c r="Q57" s="40"/>
    </row>
    <row r="58" spans="1:17" x14ac:dyDescent="0.25">
      <c r="A58" s="36">
        <f>IF(COUNTBLANK(B58)=1," ",COUNTA(B$14:B58))</f>
        <v>19</v>
      </c>
      <c r="B58" s="37" t="s">
        <v>41</v>
      </c>
      <c r="C58" s="152" t="str">
        <f>apjomi!S2</f>
        <v>Stūra lāsenis ED CO2 vai ekvivalents</v>
      </c>
      <c r="D58" s="36" t="s">
        <v>43</v>
      </c>
      <c r="E58" s="151">
        <f>apjomi!S21</f>
        <v>1385.0000000000002</v>
      </c>
      <c r="F58" s="36"/>
      <c r="G58" s="3"/>
      <c r="H58" s="3"/>
      <c r="I58" s="3"/>
      <c r="J58" s="3"/>
      <c r="K58" s="3"/>
      <c r="L58" s="3"/>
      <c r="M58" s="40"/>
      <c r="N58" s="40"/>
      <c r="O58" s="40"/>
      <c r="P58" s="40"/>
      <c r="Q58" s="40"/>
    </row>
    <row r="59" spans="1:17" x14ac:dyDescent="0.25">
      <c r="A59" s="36">
        <f>IF(COUNTBLANK(B59)=1," ",COUNTA(B$14:B59))</f>
        <v>20</v>
      </c>
      <c r="B59" s="37" t="s">
        <v>41</v>
      </c>
      <c r="C59" s="152" t="str">
        <f>apjomi!T2</f>
        <v>Palodzes montāžas profils EW US01 vai ekvivalents</v>
      </c>
      <c r="D59" s="36" t="s">
        <v>43</v>
      </c>
      <c r="E59" s="151">
        <f>apjomi!T21</f>
        <v>1385.0000000000002</v>
      </c>
      <c r="F59" s="36"/>
      <c r="G59" s="3"/>
      <c r="H59" s="3"/>
      <c r="I59" s="3"/>
      <c r="J59" s="3"/>
      <c r="K59" s="3"/>
      <c r="L59" s="3"/>
      <c r="M59" s="40"/>
      <c r="N59" s="40"/>
      <c r="O59" s="40"/>
      <c r="P59" s="40"/>
      <c r="Q59" s="40"/>
    </row>
    <row r="60" spans="1:17" x14ac:dyDescent="0.25">
      <c r="A60" s="36">
        <f>IF(COUNTBLANK(B60)=1," ",COUNTA(B$14:B60))</f>
        <v>21</v>
      </c>
      <c r="B60" s="37" t="s">
        <v>41</v>
      </c>
      <c r="C60" s="192" t="str">
        <f>apjomi!U2</f>
        <v>Cokola profils EB PVC VARIO 220 vai ekvivalents</v>
      </c>
      <c r="D60" s="36" t="s">
        <v>43</v>
      </c>
      <c r="E60" s="3">
        <f>apjomi!U21</f>
        <v>321</v>
      </c>
      <c r="F60" s="36"/>
      <c r="G60" s="3"/>
      <c r="H60" s="3"/>
      <c r="I60" s="3"/>
      <c r="J60" s="3"/>
      <c r="K60" s="3"/>
      <c r="L60" s="3"/>
      <c r="M60" s="40"/>
      <c r="N60" s="40"/>
      <c r="O60" s="40"/>
      <c r="P60" s="40"/>
      <c r="Q60" s="40"/>
    </row>
    <row r="61" spans="1:17" s="153" customFormat="1" x14ac:dyDescent="0.25">
      <c r="A61" s="36">
        <f>IF(COUNTBLANK(B61)=1," ",COUNTA(B$14:B61))</f>
        <v>22</v>
      </c>
      <c r="B61" s="37" t="s">
        <v>41</v>
      </c>
      <c r="C61" s="152" t="s">
        <v>66</v>
      </c>
      <c r="D61" s="121" t="s">
        <v>43</v>
      </c>
      <c r="E61" s="151">
        <f>120*17</f>
        <v>2040</v>
      </c>
      <c r="F61" s="3"/>
      <c r="G61" s="3"/>
      <c r="H61" s="3"/>
      <c r="I61" s="3"/>
      <c r="J61" s="3"/>
      <c r="K61" s="3"/>
      <c r="L61" s="3"/>
      <c r="M61" s="40"/>
      <c r="N61" s="40"/>
      <c r="O61" s="40"/>
      <c r="P61" s="40"/>
      <c r="Q61" s="40"/>
    </row>
    <row r="62" spans="1:17" ht="22.5" x14ac:dyDescent="0.25">
      <c r="A62" s="36">
        <f>IF(COUNTBLANK(B62)=1," ",COUNTA(B$14:B62))</f>
        <v>23</v>
      </c>
      <c r="B62" s="37" t="s">
        <v>41</v>
      </c>
      <c r="C62" s="152" t="s">
        <v>67</v>
      </c>
      <c r="D62" s="121" t="s">
        <v>43</v>
      </c>
      <c r="E62" s="151">
        <f>E61</f>
        <v>2040</v>
      </c>
      <c r="F62" s="3"/>
      <c r="G62" s="3"/>
      <c r="H62" s="3"/>
      <c r="I62" s="3"/>
      <c r="J62" s="3"/>
      <c r="K62" s="3"/>
      <c r="L62" s="3"/>
      <c r="M62" s="40"/>
      <c r="N62" s="40"/>
      <c r="O62" s="40"/>
      <c r="P62" s="40"/>
      <c r="Q62" s="40"/>
    </row>
    <row r="63" spans="1:17" s="63" customFormat="1" ht="22.5" x14ac:dyDescent="0.25">
      <c r="A63" s="36">
        <f>IF(COUNTBLANK(B63)=1," ",COUNTA(B$14:B63))</f>
        <v>24</v>
      </c>
      <c r="B63" s="37" t="s">
        <v>41</v>
      </c>
      <c r="C63" s="152" t="s">
        <v>371</v>
      </c>
      <c r="D63" s="3" t="s">
        <v>323</v>
      </c>
      <c r="E63" s="38">
        <v>1</v>
      </c>
      <c r="F63" s="36"/>
      <c r="G63" s="3"/>
      <c r="H63" s="3"/>
      <c r="I63" s="39"/>
      <c r="J63" s="3"/>
      <c r="K63" s="3"/>
      <c r="L63" s="3"/>
      <c r="M63" s="40"/>
      <c r="N63" s="40"/>
      <c r="O63" s="40"/>
      <c r="P63" s="40"/>
      <c r="Q63" s="40"/>
    </row>
    <row r="64" spans="1:17" s="63" customFormat="1" x14ac:dyDescent="0.2">
      <c r="A64" s="11"/>
      <c r="B64" s="41"/>
      <c r="C64" s="230" t="s">
        <v>373</v>
      </c>
      <c r="D64" s="231" t="s">
        <v>55</v>
      </c>
      <c r="E64" s="231">
        <v>1.56</v>
      </c>
      <c r="F64" s="11"/>
      <c r="G64" s="21"/>
      <c r="H64" s="21"/>
      <c r="I64" s="42"/>
      <c r="J64" s="21"/>
      <c r="K64" s="21"/>
      <c r="L64" s="21"/>
      <c r="M64" s="43"/>
      <c r="N64" s="43"/>
      <c r="O64" s="43"/>
      <c r="P64" s="43"/>
      <c r="Q64" s="43"/>
    </row>
    <row r="65" spans="1:17" s="63" customFormat="1" x14ac:dyDescent="0.2">
      <c r="A65" s="11"/>
      <c r="B65" s="41"/>
      <c r="C65" s="230" t="s">
        <v>374</v>
      </c>
      <c r="D65" s="231" t="s">
        <v>55</v>
      </c>
      <c r="E65" s="231">
        <v>0.58499999999999996</v>
      </c>
      <c r="F65" s="11"/>
      <c r="G65" s="21"/>
      <c r="H65" s="21"/>
      <c r="I65" s="42"/>
      <c r="J65" s="21"/>
      <c r="K65" s="21"/>
      <c r="L65" s="21"/>
      <c r="M65" s="43"/>
      <c r="N65" s="43"/>
      <c r="O65" s="43"/>
      <c r="P65" s="43"/>
      <c r="Q65" s="43"/>
    </row>
    <row r="66" spans="1:17" s="63" customFormat="1" x14ac:dyDescent="0.2">
      <c r="A66" s="11"/>
      <c r="B66" s="41"/>
      <c r="C66" s="230" t="s">
        <v>375</v>
      </c>
      <c r="D66" s="231" t="s">
        <v>55</v>
      </c>
      <c r="E66" s="231">
        <v>0.36479999999999996</v>
      </c>
      <c r="F66" s="11"/>
      <c r="G66" s="21"/>
      <c r="H66" s="21"/>
      <c r="I66" s="42"/>
      <c r="J66" s="21"/>
      <c r="K66" s="21"/>
      <c r="L66" s="21"/>
      <c r="M66" s="43"/>
      <c r="N66" s="43"/>
      <c r="O66" s="43"/>
      <c r="P66" s="43"/>
      <c r="Q66" s="43"/>
    </row>
    <row r="67" spans="1:17" s="63" customFormat="1" x14ac:dyDescent="0.2">
      <c r="A67" s="11"/>
      <c r="B67" s="41"/>
      <c r="C67" s="232" t="s">
        <v>376</v>
      </c>
      <c r="D67" s="44" t="s">
        <v>58</v>
      </c>
      <c r="E67" s="44">
        <v>3</v>
      </c>
      <c r="F67" s="11"/>
      <c r="G67" s="21"/>
      <c r="H67" s="21"/>
      <c r="I67" s="42"/>
      <c r="J67" s="21"/>
      <c r="K67" s="21"/>
      <c r="L67" s="21"/>
      <c r="M67" s="43"/>
      <c r="N67" s="43"/>
      <c r="O67" s="43"/>
      <c r="P67" s="43"/>
      <c r="Q67" s="43"/>
    </row>
    <row r="68" spans="1:17" s="63" customFormat="1" ht="22.5" x14ac:dyDescent="0.2">
      <c r="A68" s="11"/>
      <c r="B68" s="41"/>
      <c r="C68" s="233" t="s">
        <v>430</v>
      </c>
      <c r="D68" s="44" t="s">
        <v>372</v>
      </c>
      <c r="E68" s="44">
        <v>150</v>
      </c>
      <c r="F68" s="11"/>
      <c r="G68" s="21"/>
      <c r="H68" s="21"/>
      <c r="I68" s="42"/>
      <c r="J68" s="21"/>
      <c r="K68" s="21"/>
      <c r="L68" s="21"/>
      <c r="M68" s="43"/>
      <c r="N68" s="43"/>
      <c r="O68" s="43"/>
      <c r="P68" s="43"/>
      <c r="Q68" s="43"/>
    </row>
    <row r="69" spans="1:17" s="63" customFormat="1" x14ac:dyDescent="0.2">
      <c r="A69" s="11"/>
      <c r="B69" s="41"/>
      <c r="C69" s="233" t="s">
        <v>377</v>
      </c>
      <c r="D69" s="44" t="s">
        <v>47</v>
      </c>
      <c r="E69" s="44">
        <v>0.3</v>
      </c>
      <c r="F69" s="11"/>
      <c r="G69" s="21"/>
      <c r="H69" s="21"/>
      <c r="I69" s="42"/>
      <c r="J69" s="21"/>
      <c r="K69" s="21"/>
      <c r="L69" s="21"/>
      <c r="M69" s="43"/>
      <c r="N69" s="43"/>
      <c r="O69" s="43"/>
      <c r="P69" s="43"/>
      <c r="Q69" s="43"/>
    </row>
    <row r="70" spans="1:17" s="165" customFormat="1" x14ac:dyDescent="0.25">
      <c r="A70" s="36">
        <f>IF(COUNTBLANK(B70)=1," ",COUNTA(B$14:B70))</f>
        <v>25</v>
      </c>
      <c r="B70" s="37" t="s">
        <v>41</v>
      </c>
      <c r="C70" s="193" t="s">
        <v>68</v>
      </c>
      <c r="D70" s="164" t="s">
        <v>92</v>
      </c>
      <c r="E70" s="39">
        <v>60</v>
      </c>
      <c r="F70" s="39"/>
      <c r="G70" s="39"/>
      <c r="H70" s="3"/>
      <c r="I70" s="163"/>
      <c r="J70" s="164"/>
      <c r="K70" s="39"/>
      <c r="L70" s="3"/>
      <c r="M70" s="40"/>
      <c r="N70" s="40"/>
      <c r="O70" s="40"/>
      <c r="P70" s="40"/>
      <c r="Q70" s="40"/>
    </row>
    <row r="71" spans="1:17" x14ac:dyDescent="0.25">
      <c r="A71" s="36" t="str">
        <f>IF(COUNTBLANK(B71)=1," ",COUNTA(B$14:B71))</f>
        <v xml:space="preserve"> </v>
      </c>
      <c r="B71" s="37"/>
      <c r="C71" s="193" t="s">
        <v>70</v>
      </c>
      <c r="D71" s="164" t="s">
        <v>45</v>
      </c>
      <c r="E71" s="3">
        <f>E70*F71</f>
        <v>9</v>
      </c>
      <c r="F71" s="39">
        <v>0.15</v>
      </c>
      <c r="G71" s="39"/>
      <c r="H71" s="3"/>
      <c r="I71" s="163"/>
      <c r="J71" s="164"/>
      <c r="K71" s="39"/>
      <c r="L71" s="3"/>
      <c r="M71" s="40"/>
      <c r="N71" s="40"/>
      <c r="O71" s="40"/>
      <c r="P71" s="40"/>
      <c r="Q71" s="40"/>
    </row>
    <row r="72" spans="1:17" x14ac:dyDescent="0.25">
      <c r="A72" s="60"/>
      <c r="B72" s="60"/>
      <c r="C72" s="58"/>
      <c r="D72" s="60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</row>
    <row r="73" spans="1:17" s="61" customFormat="1" x14ac:dyDescent="0.25">
      <c r="A73" s="94" t="str">
        <f>IF(COUNTBLANK(L73)=1," ",COUNTA($L$15:L73))</f>
        <v xml:space="preserve"> </v>
      </c>
      <c r="B73" s="60"/>
      <c r="C73" s="95" t="s">
        <v>334</v>
      </c>
      <c r="D73" s="94"/>
      <c r="E73" s="94"/>
      <c r="F73" s="96"/>
      <c r="G73" s="97"/>
      <c r="H73" s="96"/>
      <c r="I73" s="96"/>
      <c r="J73" s="96"/>
      <c r="K73" s="96"/>
      <c r="L73" s="96"/>
      <c r="M73" s="129">
        <f>SUM(M14:M72)</f>
        <v>0</v>
      </c>
      <c r="N73" s="129">
        <f t="shared" ref="N73:Q73" si="1">SUM(N14:N72)</f>
        <v>0</v>
      </c>
      <c r="O73" s="129">
        <f t="shared" si="1"/>
        <v>0</v>
      </c>
      <c r="P73" s="129">
        <f t="shared" si="1"/>
        <v>0</v>
      </c>
      <c r="Q73" s="129">
        <f t="shared" si="1"/>
        <v>0</v>
      </c>
    </row>
    <row r="74" spans="1:17" x14ac:dyDescent="0.25">
      <c r="A74" s="56"/>
      <c r="B74" s="56"/>
      <c r="C74" s="58"/>
      <c r="D74" s="60"/>
      <c r="E74" s="125"/>
      <c r="F74" s="96"/>
      <c r="G74" s="96"/>
      <c r="H74" s="52"/>
      <c r="I74" s="96"/>
      <c r="J74" s="96"/>
      <c r="K74" s="96"/>
      <c r="L74" s="96"/>
      <c r="M74" s="56"/>
      <c r="N74" s="56"/>
      <c r="O74" s="56"/>
      <c r="P74" s="56"/>
      <c r="Q74" s="56"/>
    </row>
    <row r="75" spans="1:17" x14ac:dyDescent="0.25">
      <c r="A75" s="56"/>
      <c r="B75" s="98" t="s">
        <v>335</v>
      </c>
      <c r="C75" s="23"/>
      <c r="D75" s="63"/>
      <c r="E75" s="63"/>
      <c r="F75" s="52"/>
      <c r="G75" s="52"/>
      <c r="H75" s="52"/>
      <c r="I75" s="52"/>
      <c r="J75" s="52"/>
      <c r="K75" s="52"/>
      <c r="L75" s="52"/>
      <c r="M75" s="56"/>
      <c r="N75" s="56"/>
      <c r="O75" s="56"/>
      <c r="P75" s="56"/>
      <c r="Q75" s="56"/>
    </row>
    <row r="76" spans="1:17" x14ac:dyDescent="0.25">
      <c r="A76" s="56"/>
      <c r="C76" s="99" t="s">
        <v>336</v>
      </c>
      <c r="D76" s="55"/>
      <c r="E76" s="55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</row>
    <row r="77" spans="1:17" x14ac:dyDescent="0.25">
      <c r="B77" s="100"/>
      <c r="C77" s="100"/>
      <c r="D77" s="100"/>
      <c r="E77" s="100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</row>
    <row r="78" spans="1:17" s="61" customFormat="1" x14ac:dyDescent="0.25">
      <c r="A78" s="23"/>
      <c r="B78" s="101" t="s">
        <v>408</v>
      </c>
      <c r="C78" s="23"/>
      <c r="D78" s="63"/>
      <c r="E78" s="63"/>
      <c r="F78" s="98"/>
      <c r="G78" s="52"/>
      <c r="H78" s="98"/>
      <c r="I78" s="98"/>
      <c r="J78" s="98"/>
      <c r="K78" s="98"/>
      <c r="L78" s="98"/>
      <c r="M78" s="98"/>
      <c r="N78" s="98"/>
      <c r="O78" s="98"/>
      <c r="P78" s="98"/>
      <c r="Q78" s="98"/>
    </row>
    <row r="79" spans="1:17" x14ac:dyDescent="0.25">
      <c r="B79" s="100"/>
      <c r="C79" s="100"/>
      <c r="D79" s="100"/>
      <c r="E79" s="100"/>
      <c r="F79" s="98"/>
      <c r="G79" s="102"/>
      <c r="H79" s="98"/>
      <c r="I79" s="98"/>
      <c r="J79" s="98"/>
      <c r="K79" s="98"/>
      <c r="L79" s="98"/>
      <c r="M79" s="98"/>
      <c r="N79" s="98"/>
      <c r="O79" s="98"/>
      <c r="P79" s="98"/>
      <c r="Q79" s="98"/>
    </row>
    <row r="80" spans="1:17" x14ac:dyDescent="0.25">
      <c r="B80" s="23" t="s">
        <v>337</v>
      </c>
      <c r="C80" s="23"/>
      <c r="D80" s="63"/>
      <c r="E80" s="63"/>
      <c r="F80" s="98"/>
      <c r="G80" s="52"/>
      <c r="H80" s="98"/>
      <c r="I80" s="98"/>
      <c r="J80" s="98"/>
      <c r="K80" s="98"/>
      <c r="L80" s="98"/>
      <c r="M80" s="98"/>
      <c r="N80" s="98"/>
      <c r="O80" s="98"/>
      <c r="P80" s="98"/>
      <c r="Q80" s="98"/>
    </row>
    <row r="81" spans="2:5" x14ac:dyDescent="0.25">
      <c r="C81" s="99" t="s">
        <v>336</v>
      </c>
      <c r="D81" s="55"/>
      <c r="E81" s="55"/>
    </row>
    <row r="82" spans="2:5" x14ac:dyDescent="0.25">
      <c r="B82" s="100"/>
      <c r="C82" s="23" t="s">
        <v>338</v>
      </c>
      <c r="D82" s="63"/>
      <c r="E82" s="63"/>
    </row>
    <row r="83" spans="2:5" x14ac:dyDescent="0.25">
      <c r="C83" s="23"/>
    </row>
    <row r="84" spans="2:5" x14ac:dyDescent="0.25">
      <c r="C84" s="23"/>
    </row>
    <row r="85" spans="2:5" x14ac:dyDescent="0.25">
      <c r="C85" s="23"/>
    </row>
    <row r="86" spans="2:5" x14ac:dyDescent="0.25">
      <c r="C86" s="23"/>
    </row>
    <row r="87" spans="2:5" x14ac:dyDescent="0.25">
      <c r="C87" s="23"/>
    </row>
  </sheetData>
  <autoFilter ref="A13:Q71" xr:uid="{00000000-0009-0000-0000-000001000000}"/>
  <mergeCells count="9">
    <mergeCell ref="A2:E2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0157480314965" bottom="0.39370078740157483" header="0.51181102362204722" footer="0.51181102362204722"/>
  <pageSetup paperSize="9" scale="98" firstPageNumber="0" orientation="landscape" r:id="rId1"/>
  <rowBreaks count="3" manualBreakCount="3">
    <brk id="29" max="22" man="1"/>
    <brk id="42" max="22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74"/>
  <sheetViews>
    <sheetView topLeftCell="A43" zoomScaleNormal="100" zoomScaleSheetLayoutView="85" workbookViewId="0">
      <selection activeCell="B67" sqref="B67"/>
    </sheetView>
  </sheetViews>
  <sheetFormatPr defaultColWidth="9" defaultRowHeight="11.25" x14ac:dyDescent="0.25"/>
  <cols>
    <col min="1" max="1" width="2.7109375" style="23" bestFit="1" customWidth="1"/>
    <col min="2" max="2" width="4.5703125" style="23"/>
    <col min="3" max="3" width="36.7109375" style="23"/>
    <col min="4" max="4" width="4.5703125" style="23" bestFit="1" customWidth="1"/>
    <col min="5" max="6" width="4" style="63" bestFit="1" customWidth="1"/>
    <col min="7" max="7" width="4.7109375" style="23" customWidth="1"/>
    <col min="8" max="8" width="8" style="23" customWidth="1"/>
    <col min="9" max="9" width="4" style="23" hidden="1" customWidth="1"/>
    <col min="10" max="10" width="4.5703125" style="23" customWidth="1"/>
    <col min="11" max="12" width="5.28515625" style="23" customWidth="1"/>
    <col min="13" max="13" width="4.85546875" style="23" customWidth="1"/>
    <col min="14" max="14" width="4.5703125" style="23" customWidth="1"/>
    <col min="15" max="15" width="7" style="23" customWidth="1"/>
    <col min="16" max="16" width="8.28515625" style="23" customWidth="1"/>
    <col min="17" max="17" width="9.140625" style="23" customWidth="1"/>
    <col min="18" max="18" width="9" style="23" customWidth="1"/>
    <col min="19" max="19" width="7.85546875" style="23" customWidth="1"/>
    <col min="20" max="20" width="9.42578125" style="23" customWidth="1"/>
    <col min="21" max="1004" width="8.5703125" style="23"/>
    <col min="1005" max="16384" width="9" style="23"/>
  </cols>
  <sheetData>
    <row r="1" spans="1:20" s="52" customFormat="1" x14ac:dyDescent="0.25">
      <c r="A1" s="248" t="s">
        <v>23</v>
      </c>
      <c r="B1" s="248"/>
      <c r="C1" s="248"/>
      <c r="D1" s="248"/>
      <c r="E1" s="248"/>
      <c r="F1" s="248"/>
      <c r="G1" s="248"/>
      <c r="H1" s="248"/>
      <c r="I1" s="248"/>
      <c r="J1" s="248"/>
      <c r="K1" s="52">
        <v>2</v>
      </c>
    </row>
    <row r="2" spans="1:20" s="56" customFormat="1" x14ac:dyDescent="0.25">
      <c r="A2" s="53"/>
      <c r="B2" s="52"/>
      <c r="C2" s="127" t="s">
        <v>71</v>
      </c>
      <c r="D2" s="127"/>
      <c r="E2" s="55"/>
      <c r="F2" s="55"/>
      <c r="G2" s="52"/>
      <c r="H2" s="52"/>
      <c r="I2" s="52"/>
      <c r="J2" s="52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x14ac:dyDescent="0.25">
      <c r="A3" s="57" t="str">
        <f>KPDV!A3</f>
        <v>Būves nosaukums: Daudzdzīvokļu dzīvojamās mājas fasādes vienkāršotā atjaunošana</v>
      </c>
      <c r="B3" s="58"/>
      <c r="C3" s="58"/>
      <c r="D3" s="58"/>
      <c r="E3" s="60"/>
      <c r="F3" s="60"/>
      <c r="G3" s="58"/>
      <c r="H3" s="58"/>
      <c r="I3" s="58"/>
      <c r="J3" s="58"/>
      <c r="K3" s="58"/>
      <c r="L3" s="58"/>
      <c r="M3" s="58"/>
      <c r="N3" s="58"/>
      <c r="O3" s="58"/>
      <c r="P3" s="60"/>
      <c r="Q3" s="60"/>
      <c r="R3" s="60"/>
      <c r="S3" s="60"/>
      <c r="T3" s="55"/>
    </row>
    <row r="4" spans="1:20" x14ac:dyDescent="0.25">
      <c r="A4" s="57" t="str">
        <f>KPDV!A4</f>
        <v>Objekta nosaukums: fasādes vienkāršotā atjaunošana</v>
      </c>
      <c r="B4" s="61"/>
      <c r="C4" s="61"/>
      <c r="D4" s="61"/>
      <c r="E4" s="154"/>
      <c r="F4" s="154"/>
      <c r="G4" s="61"/>
      <c r="H4" s="61"/>
      <c r="I4" s="61"/>
      <c r="J4" s="61"/>
      <c r="K4" s="61"/>
      <c r="L4" s="63"/>
      <c r="M4" s="63"/>
      <c r="N4" s="60"/>
      <c r="O4" s="60"/>
      <c r="P4" s="60"/>
      <c r="Q4" s="60"/>
      <c r="R4" s="60"/>
      <c r="S4" s="60"/>
      <c r="T4" s="55"/>
    </row>
    <row r="5" spans="1:20" x14ac:dyDescent="0.25">
      <c r="A5" s="23" t="str">
        <f>KPDV!A5</f>
        <v>Objekta adrese: Tisē iela 75 Liepājā</v>
      </c>
      <c r="B5" s="63"/>
      <c r="C5" s="57"/>
      <c r="D5" s="57"/>
      <c r="G5" s="63"/>
      <c r="H5" s="61"/>
      <c r="I5" s="61"/>
      <c r="J5" s="63"/>
      <c r="K5" s="63"/>
      <c r="L5" s="63"/>
      <c r="M5" s="63"/>
      <c r="N5" s="60"/>
      <c r="O5" s="60"/>
      <c r="P5" s="60"/>
      <c r="Q5" s="60"/>
      <c r="R5" s="60"/>
      <c r="S5" s="60"/>
      <c r="T5" s="55"/>
    </row>
    <row r="6" spans="1:20" x14ac:dyDescent="0.25">
      <c r="A6" s="23" t="str">
        <f>KPDV!A6</f>
        <v>Pasūtījuma Nr.EA-08-16</v>
      </c>
      <c r="B6" s="63"/>
      <c r="C6" s="57"/>
      <c r="D6" s="57"/>
      <c r="G6" s="63"/>
      <c r="H6" s="63"/>
      <c r="I6" s="63"/>
      <c r="J6" s="63"/>
      <c r="K6" s="63"/>
      <c r="L6" s="63"/>
      <c r="M6" s="63"/>
      <c r="N6" s="60"/>
      <c r="O6" s="60"/>
      <c r="P6" s="60"/>
      <c r="Q6" s="60"/>
      <c r="R6" s="60"/>
      <c r="S6" s="60"/>
      <c r="T6" s="55"/>
    </row>
    <row r="7" spans="1:20" x14ac:dyDescent="0.25">
      <c r="A7" s="23" t="str">
        <f>KPDV!A7</f>
        <v>Pasūtītājs: SIA "Liepājas namu apsaimniekotājs"</v>
      </c>
      <c r="B7" s="63"/>
      <c r="C7" s="57"/>
      <c r="D7" s="57"/>
      <c r="G7" s="63"/>
      <c r="H7" s="63"/>
      <c r="I7" s="63"/>
      <c r="J7" s="63"/>
      <c r="K7" s="63"/>
      <c r="L7" s="63"/>
      <c r="M7" s="63"/>
      <c r="N7" s="60"/>
      <c r="O7" s="60"/>
      <c r="P7" s="60"/>
      <c r="Q7" s="60"/>
      <c r="R7" s="60"/>
      <c r="S7" s="60"/>
      <c r="T7" s="55"/>
    </row>
    <row r="8" spans="1:20" x14ac:dyDescent="0.25">
      <c r="A8" s="256" t="s">
        <v>409</v>
      </c>
      <c r="B8" s="256"/>
      <c r="C8" s="256"/>
      <c r="D8" s="256"/>
      <c r="E8" s="256"/>
      <c r="F8" s="256"/>
      <c r="G8" s="256"/>
      <c r="H8" s="55" t="s">
        <v>360</v>
      </c>
      <c r="I8" s="55"/>
      <c r="J8" s="257" t="s">
        <v>25</v>
      </c>
      <c r="K8" s="257"/>
      <c r="L8" s="257"/>
      <c r="M8" s="257"/>
      <c r="N8" s="56"/>
      <c r="O8" s="56"/>
      <c r="P8" s="56"/>
      <c r="Q8" s="56" t="s">
        <v>72</v>
      </c>
      <c r="R8" s="56"/>
      <c r="S8" s="64">
        <f>T61</f>
        <v>0</v>
      </c>
      <c r="T8" s="65" t="s">
        <v>73</v>
      </c>
    </row>
    <row r="9" spans="1:20" x14ac:dyDescent="0.25">
      <c r="A9" s="53"/>
      <c r="B9" s="55"/>
      <c r="C9" s="53"/>
      <c r="D9" s="53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58" t="s">
        <v>431</v>
      </c>
      <c r="R9" s="258"/>
      <c r="S9" s="258"/>
      <c r="T9" s="258"/>
    </row>
    <row r="10" spans="1:20" x14ac:dyDescent="0.25">
      <c r="A10" s="259" t="s">
        <v>27</v>
      </c>
      <c r="B10" s="252" t="s">
        <v>28</v>
      </c>
      <c r="C10" s="260" t="s">
        <v>29</v>
      </c>
      <c r="D10" s="260"/>
      <c r="E10" s="260"/>
      <c r="F10" s="260"/>
      <c r="G10" s="254" t="s">
        <v>30</v>
      </c>
      <c r="H10" s="252" t="s">
        <v>31</v>
      </c>
      <c r="I10" s="130"/>
      <c r="J10" s="255" t="s">
        <v>32</v>
      </c>
      <c r="K10" s="255"/>
      <c r="L10" s="255"/>
      <c r="M10" s="255"/>
      <c r="N10" s="255"/>
      <c r="O10" s="255"/>
      <c r="P10" s="255" t="s">
        <v>33</v>
      </c>
      <c r="Q10" s="255"/>
      <c r="R10" s="255"/>
      <c r="S10" s="255"/>
      <c r="T10" s="255"/>
    </row>
    <row r="11" spans="1:20" ht="58.5" customHeight="1" x14ac:dyDescent="0.25">
      <c r="A11" s="259"/>
      <c r="B11" s="252"/>
      <c r="C11" s="260"/>
      <c r="D11" s="260"/>
      <c r="E11" s="260"/>
      <c r="F11" s="260"/>
      <c r="G11" s="254"/>
      <c r="H11" s="252"/>
      <c r="I11" s="67"/>
      <c r="J11" s="68" t="s">
        <v>34</v>
      </c>
      <c r="K11" s="69" t="s">
        <v>346</v>
      </c>
      <c r="L11" s="69" t="s">
        <v>35</v>
      </c>
      <c r="M11" s="69" t="s">
        <v>36</v>
      </c>
      <c r="N11" s="69" t="s">
        <v>37</v>
      </c>
      <c r="O11" s="70" t="s">
        <v>38</v>
      </c>
      <c r="P11" s="68" t="s">
        <v>39</v>
      </c>
      <c r="Q11" s="69" t="s">
        <v>35</v>
      </c>
      <c r="R11" s="69" t="s">
        <v>36</v>
      </c>
      <c r="S11" s="69" t="s">
        <v>37</v>
      </c>
      <c r="T11" s="70" t="s">
        <v>40</v>
      </c>
    </row>
    <row r="12" spans="1:20" x14ac:dyDescent="0.25">
      <c r="A12" s="71">
        <v>1</v>
      </c>
      <c r="B12" s="72">
        <f>A12+1</f>
        <v>2</v>
      </c>
      <c r="C12" s="73">
        <f>B12+1</f>
        <v>3</v>
      </c>
      <c r="D12" s="73"/>
      <c r="E12" s="73"/>
      <c r="F12" s="73"/>
      <c r="G12" s="72">
        <f>C12+1</f>
        <v>4</v>
      </c>
      <c r="H12" s="72">
        <f>G12+1</f>
        <v>5</v>
      </c>
      <c r="I12" s="74"/>
      <c r="J12" s="75">
        <f>H12+1</f>
        <v>6</v>
      </c>
      <c r="K12" s="76">
        <f t="shared" ref="K12:T12" si="0">J12+1</f>
        <v>7</v>
      </c>
      <c r="L12" s="76">
        <f t="shared" si="0"/>
        <v>8</v>
      </c>
      <c r="M12" s="76">
        <f t="shared" si="0"/>
        <v>9</v>
      </c>
      <c r="N12" s="77">
        <f t="shared" si="0"/>
        <v>10</v>
      </c>
      <c r="O12" s="72">
        <f t="shared" si="0"/>
        <v>11</v>
      </c>
      <c r="P12" s="75">
        <f t="shared" si="0"/>
        <v>12</v>
      </c>
      <c r="Q12" s="76">
        <f t="shared" si="0"/>
        <v>13</v>
      </c>
      <c r="R12" s="76">
        <f t="shared" si="0"/>
        <v>14</v>
      </c>
      <c r="S12" s="76">
        <f t="shared" si="0"/>
        <v>15</v>
      </c>
      <c r="T12" s="77">
        <f t="shared" si="0"/>
        <v>16</v>
      </c>
    </row>
    <row r="13" spans="1:20" x14ac:dyDescent="0.25">
      <c r="A13" s="36">
        <f>IF(COUNTBLANK(B13)=1," ",COUNTA(B13:B$13))</f>
        <v>1</v>
      </c>
      <c r="B13" s="37" t="s">
        <v>41</v>
      </c>
      <c r="C13" s="150" t="s">
        <v>74</v>
      </c>
      <c r="D13" s="169"/>
      <c r="E13" s="84"/>
      <c r="F13" s="84"/>
      <c r="G13" s="84" t="s">
        <v>47</v>
      </c>
      <c r="H13" s="38">
        <f>apjomi!J21</f>
        <v>907.02629999999999</v>
      </c>
      <c r="I13" s="151"/>
      <c r="J13" s="3"/>
      <c r="K13" s="3"/>
      <c r="L13" s="3"/>
      <c r="M13" s="3"/>
      <c r="N13" s="3"/>
      <c r="O13" s="3"/>
      <c r="P13" s="3"/>
      <c r="Q13" s="3"/>
      <c r="R13" s="3"/>
      <c r="S13" s="3"/>
      <c r="T13" s="123"/>
    </row>
    <row r="14" spans="1:20" x14ac:dyDescent="0.25">
      <c r="A14" s="36">
        <f>IF(COUNTBLANK(B14)=1," ",COUNTA(B$13:B14))</f>
        <v>2</v>
      </c>
      <c r="B14" s="170" t="s">
        <v>41</v>
      </c>
      <c r="C14" s="171" t="s">
        <v>75</v>
      </c>
      <c r="D14" s="172"/>
      <c r="E14" s="173"/>
      <c r="F14" s="173"/>
      <c r="G14" s="173" t="s">
        <v>43</v>
      </c>
      <c r="H14" s="174">
        <f>apjomi!O21</f>
        <v>1297.3484999999998</v>
      </c>
      <c r="I14" s="174"/>
      <c r="J14" s="175"/>
      <c r="K14" s="175"/>
      <c r="L14" s="175"/>
      <c r="M14" s="175"/>
      <c r="N14" s="175"/>
      <c r="O14" s="175"/>
      <c r="P14" s="3"/>
      <c r="Q14" s="3"/>
      <c r="R14" s="3"/>
      <c r="S14" s="3"/>
      <c r="T14" s="123"/>
    </row>
    <row r="15" spans="1:20" ht="22.5" x14ac:dyDescent="0.25">
      <c r="A15" s="36">
        <f>IF(COUNTBLANK(B15)=1," ",COUNTA(B$13:B15))</f>
        <v>3</v>
      </c>
      <c r="B15" s="37" t="s">
        <v>41</v>
      </c>
      <c r="C15" s="152" t="s">
        <v>76</v>
      </c>
      <c r="D15" s="152"/>
      <c r="E15" s="36"/>
      <c r="F15" s="36"/>
      <c r="G15" s="121" t="s">
        <v>43</v>
      </c>
      <c r="H15" s="161">
        <f>apjomi!O21</f>
        <v>1297.3484999999998</v>
      </c>
      <c r="I15" s="3"/>
      <c r="J15" s="3"/>
      <c r="K15" s="3"/>
      <c r="L15" s="39"/>
      <c r="M15" s="3"/>
      <c r="N15" s="3"/>
      <c r="O15" s="3"/>
      <c r="P15" s="3"/>
      <c r="Q15" s="3"/>
      <c r="R15" s="3"/>
      <c r="S15" s="3"/>
      <c r="T15" s="123"/>
    </row>
    <row r="16" spans="1:20" ht="78.75" x14ac:dyDescent="0.25">
      <c r="A16" s="36" t="str">
        <f>IF(COUNTBLANK(B16)=1," ",COUNTA(B$13:B16))</f>
        <v xml:space="preserve"> </v>
      </c>
      <c r="B16" s="37"/>
      <c r="C16" s="150" t="s">
        <v>77</v>
      </c>
      <c r="D16" s="36" t="s">
        <v>78</v>
      </c>
      <c r="E16" s="36" t="s">
        <v>79</v>
      </c>
      <c r="F16" s="36" t="s">
        <v>80</v>
      </c>
      <c r="G16" s="36"/>
      <c r="H16" s="38"/>
      <c r="I16" s="151"/>
      <c r="J16" s="3"/>
      <c r="K16" s="3"/>
      <c r="L16" s="3"/>
      <c r="M16" s="3"/>
      <c r="N16" s="3"/>
      <c r="O16" s="3"/>
      <c r="P16" s="3"/>
      <c r="Q16" s="3"/>
      <c r="R16" s="3"/>
      <c r="S16" s="3"/>
      <c r="T16" s="123"/>
    </row>
    <row r="17" spans="1:20" x14ac:dyDescent="0.25">
      <c r="A17" s="36">
        <f>IF(COUNTBLANK(B17)=1," ",COUNTA(B$13:B17))</f>
        <v>4</v>
      </c>
      <c r="B17" s="37" t="s">
        <v>41</v>
      </c>
      <c r="C17" s="176" t="str">
        <f>apjomi!B4</f>
        <v>L1</v>
      </c>
      <c r="D17" s="36">
        <f>apjomi!D4</f>
        <v>21</v>
      </c>
      <c r="E17" s="36">
        <f>apjomi!F4</f>
        <v>1.5</v>
      </c>
      <c r="F17" s="36">
        <f>apjomi!G4</f>
        <v>1.4</v>
      </c>
      <c r="G17" s="36" t="s">
        <v>47</v>
      </c>
      <c r="H17" s="122">
        <f>apjomi!J4</f>
        <v>44.099999999999994</v>
      </c>
      <c r="I17" s="36"/>
      <c r="J17" s="3"/>
      <c r="K17" s="3"/>
      <c r="L17" s="3"/>
      <c r="M17" s="39"/>
      <c r="N17" s="3"/>
      <c r="O17" s="177"/>
      <c r="P17" s="178"/>
      <c r="Q17" s="178"/>
      <c r="R17" s="178"/>
      <c r="S17" s="178"/>
      <c r="T17" s="179"/>
    </row>
    <row r="18" spans="1:20" x14ac:dyDescent="0.25">
      <c r="A18" s="36">
        <f>IF(COUNTBLANK(B18)=1," ",COUNTA(B$13:B18))</f>
        <v>5</v>
      </c>
      <c r="B18" s="37" t="s">
        <v>41</v>
      </c>
      <c r="C18" s="176" t="str">
        <f>apjomi!B5</f>
        <v>L2</v>
      </c>
      <c r="D18" s="36">
        <f>apjomi!D5</f>
        <v>7</v>
      </c>
      <c r="E18" s="36">
        <f>apjomi!F5</f>
        <v>1.5</v>
      </c>
      <c r="F18" s="36">
        <f>apjomi!G5</f>
        <v>1.4</v>
      </c>
      <c r="G18" s="36" t="str">
        <f>G17</f>
        <v>m²</v>
      </c>
      <c r="H18" s="122">
        <f>apjomi!J5</f>
        <v>14.699999999999998</v>
      </c>
      <c r="I18" s="36"/>
      <c r="J18" s="3"/>
      <c r="K18" s="3"/>
      <c r="L18" s="3"/>
      <c r="M18" s="39"/>
      <c r="N18" s="3"/>
      <c r="O18" s="177"/>
      <c r="P18" s="178"/>
      <c r="Q18" s="178"/>
      <c r="R18" s="178"/>
      <c r="S18" s="178"/>
      <c r="T18" s="179"/>
    </row>
    <row r="19" spans="1:20" x14ac:dyDescent="0.25">
      <c r="A19" s="36">
        <f>IF(COUNTBLANK(B19)=1," ",COUNTA(B$13:B19))</f>
        <v>6</v>
      </c>
      <c r="B19" s="37" t="s">
        <v>41</v>
      </c>
      <c r="C19" s="176" t="str">
        <f>apjomi!B6</f>
        <v>L3</v>
      </c>
      <c r="D19" s="36">
        <f>apjomi!D6</f>
        <v>29</v>
      </c>
      <c r="E19" s="36">
        <f>apjomi!F6</f>
        <v>1.5</v>
      </c>
      <c r="F19" s="36">
        <f>apjomi!G6</f>
        <v>1.4</v>
      </c>
      <c r="G19" s="36" t="str">
        <f t="shared" ref="G19:G28" si="1">G18</f>
        <v>m²</v>
      </c>
      <c r="H19" s="122">
        <f>apjomi!J6</f>
        <v>60.899999999999991</v>
      </c>
      <c r="I19" s="36"/>
      <c r="J19" s="3"/>
      <c r="K19" s="3"/>
      <c r="L19" s="3"/>
      <c r="M19" s="39"/>
      <c r="N19" s="3"/>
      <c r="O19" s="177"/>
      <c r="P19" s="178"/>
      <c r="Q19" s="178"/>
      <c r="R19" s="178"/>
      <c r="S19" s="178"/>
      <c r="T19" s="179"/>
    </row>
    <row r="20" spans="1:20" x14ac:dyDescent="0.25">
      <c r="A20" s="36">
        <f>IF(COUNTBLANK(B20)=1," ",COUNTA(B$13:B20))</f>
        <v>7</v>
      </c>
      <c r="B20" s="37" t="s">
        <v>41</v>
      </c>
      <c r="C20" s="176" t="str">
        <f>apjomi!B7</f>
        <v>L3 durvis</v>
      </c>
      <c r="D20" s="36">
        <f>apjomi!D8</f>
        <v>41</v>
      </c>
      <c r="E20" s="36">
        <f>apjomi!F8</f>
        <v>2.4</v>
      </c>
      <c r="F20" s="36">
        <f>apjomi!G8</f>
        <v>1.4</v>
      </c>
      <c r="G20" s="36" t="str">
        <f t="shared" si="1"/>
        <v>m²</v>
      </c>
      <c r="H20" s="122">
        <f>apjomi!J7</f>
        <v>42.63</v>
      </c>
      <c r="I20" s="36"/>
      <c r="J20" s="3"/>
      <c r="K20" s="3"/>
      <c r="L20" s="3"/>
      <c r="M20" s="39"/>
      <c r="N20" s="3"/>
      <c r="O20" s="177"/>
      <c r="P20" s="178"/>
      <c r="Q20" s="178"/>
      <c r="R20" s="178"/>
      <c r="S20" s="178"/>
      <c r="T20" s="179"/>
    </row>
    <row r="21" spans="1:20" x14ac:dyDescent="0.25">
      <c r="A21" s="36">
        <f>IF(COUNTBLANK(B21)=1," ",COUNTA(B$13:B21))</f>
        <v>8</v>
      </c>
      <c r="B21" s="37" t="s">
        <v>41</v>
      </c>
      <c r="C21" s="176" t="str">
        <f>apjomi!B8</f>
        <v>L4</v>
      </c>
      <c r="D21" s="36">
        <f>apjomi!D9</f>
        <v>10</v>
      </c>
      <c r="E21" s="36">
        <f>apjomi!F9</f>
        <v>1.5</v>
      </c>
      <c r="F21" s="36">
        <f>apjomi!G9</f>
        <v>1.4</v>
      </c>
      <c r="G21" s="36" t="str">
        <f t="shared" si="1"/>
        <v>m²</v>
      </c>
      <c r="H21" s="122">
        <f>apjomi!J8</f>
        <v>137.76</v>
      </c>
      <c r="I21" s="36"/>
      <c r="J21" s="3"/>
      <c r="K21" s="3"/>
      <c r="L21" s="3"/>
      <c r="M21" s="39"/>
      <c r="N21" s="3"/>
      <c r="O21" s="177"/>
      <c r="P21" s="178"/>
      <c r="Q21" s="178"/>
      <c r="R21" s="178"/>
      <c r="S21" s="178"/>
      <c r="T21" s="179"/>
    </row>
    <row r="22" spans="1:20" x14ac:dyDescent="0.25">
      <c r="A22" s="36">
        <f>IF(COUNTBLANK(B22)=1," ",COUNTA(B$13:B22))</f>
        <v>9</v>
      </c>
      <c r="B22" s="37" t="s">
        <v>41</v>
      </c>
      <c r="C22" s="176" t="str">
        <f>apjomi!B9</f>
        <v>L5</v>
      </c>
      <c r="D22" s="36">
        <f>apjomi!D10</f>
        <v>10</v>
      </c>
      <c r="E22" s="36">
        <f>apjomi!F10</f>
        <v>0.8</v>
      </c>
      <c r="F22" s="36">
        <f>apjomi!G10</f>
        <v>2.21</v>
      </c>
      <c r="G22" s="36" t="str">
        <f t="shared" si="1"/>
        <v>m²</v>
      </c>
      <c r="H22" s="122">
        <f>apjomi!J9</f>
        <v>20.999999999999996</v>
      </c>
      <c r="I22" s="36"/>
      <c r="J22" s="3"/>
      <c r="K22" s="3"/>
      <c r="L22" s="3"/>
      <c r="M22" s="39"/>
      <c r="N22" s="3"/>
      <c r="O22" s="177"/>
      <c r="P22" s="178"/>
      <c r="Q22" s="178"/>
      <c r="R22" s="178"/>
      <c r="S22" s="178"/>
      <c r="T22" s="179"/>
    </row>
    <row r="23" spans="1:20" x14ac:dyDescent="0.25">
      <c r="A23" s="36">
        <f>IF(COUNTBLANK(B23)=1," ",COUNTA(B$13:B23))</f>
        <v>10</v>
      </c>
      <c r="B23" s="37" t="s">
        <v>41</v>
      </c>
      <c r="C23" s="176" t="str">
        <f>apjomi!B10</f>
        <v>L5 durvis</v>
      </c>
      <c r="D23" s="36">
        <f>apjomi!D10</f>
        <v>10</v>
      </c>
      <c r="E23" s="36">
        <f>apjomi!F10</f>
        <v>0.8</v>
      </c>
      <c r="F23" s="36">
        <f>apjomi!G10</f>
        <v>2.21</v>
      </c>
      <c r="G23" s="36" t="str">
        <f>G21</f>
        <v>m²</v>
      </c>
      <c r="H23" s="122">
        <f>apjomi!J10</f>
        <v>17.68</v>
      </c>
      <c r="I23" s="36"/>
      <c r="J23" s="3"/>
      <c r="K23" s="3"/>
      <c r="L23" s="3"/>
      <c r="M23" s="39"/>
      <c r="N23" s="3"/>
      <c r="O23" s="177"/>
      <c r="P23" s="178"/>
      <c r="Q23" s="178"/>
      <c r="R23" s="178"/>
      <c r="S23" s="178"/>
      <c r="T23" s="179"/>
    </row>
    <row r="24" spans="1:20" x14ac:dyDescent="0.25">
      <c r="A24" s="36">
        <f>IF(COUNTBLANK(B24)=1," ",COUNTA(B$13:B24))</f>
        <v>11</v>
      </c>
      <c r="B24" s="37" t="s">
        <v>41</v>
      </c>
      <c r="C24" s="176" t="str">
        <f>apjomi!B11</f>
        <v>L7</v>
      </c>
      <c r="D24" s="36">
        <f>apjomi!D11</f>
        <v>68</v>
      </c>
      <c r="E24" s="36">
        <f>apjomi!F11</f>
        <v>3.05</v>
      </c>
      <c r="F24" s="36">
        <f>apjomi!G11</f>
        <v>1.6</v>
      </c>
      <c r="G24" s="36" t="str">
        <f t="shared" si="1"/>
        <v>m²</v>
      </c>
      <c r="H24" s="122">
        <f>apjomi!J11</f>
        <v>331.84</v>
      </c>
      <c r="I24" s="36"/>
      <c r="J24" s="3"/>
      <c r="K24" s="3"/>
      <c r="L24" s="3"/>
      <c r="M24" s="39"/>
      <c r="N24" s="3"/>
      <c r="O24" s="177"/>
      <c r="P24" s="178"/>
      <c r="Q24" s="178"/>
      <c r="R24" s="178"/>
      <c r="S24" s="178"/>
      <c r="T24" s="179"/>
    </row>
    <row r="25" spans="1:20" x14ac:dyDescent="0.25">
      <c r="A25" s="36">
        <f>IF(COUNTBLANK(B25)=1," ",COUNTA(B$13:B25))</f>
        <v>12</v>
      </c>
      <c r="B25" s="37" t="s">
        <v>41</v>
      </c>
      <c r="C25" s="176" t="str">
        <f>apjomi!B12</f>
        <v>L8, malās ar papildus pildiņiem</v>
      </c>
      <c r="D25" s="36">
        <f>apjomi!D12</f>
        <v>31</v>
      </c>
      <c r="E25" s="36">
        <f>apjomi!F12</f>
        <v>3.05</v>
      </c>
      <c r="F25" s="36">
        <f>apjomi!G12</f>
        <v>1.6</v>
      </c>
      <c r="G25" s="36" t="str">
        <f t="shared" si="1"/>
        <v>m²</v>
      </c>
      <c r="H25" s="122">
        <f>apjomi!J12</f>
        <v>151.28</v>
      </c>
      <c r="I25" s="36"/>
      <c r="J25" s="3"/>
      <c r="K25" s="3"/>
      <c r="L25" s="3"/>
      <c r="M25" s="39"/>
      <c r="N25" s="3"/>
      <c r="O25" s="177"/>
      <c r="P25" s="178"/>
      <c r="Q25" s="178"/>
      <c r="R25" s="178"/>
      <c r="S25" s="178"/>
      <c r="T25" s="179"/>
    </row>
    <row r="26" spans="1:20" x14ac:dyDescent="0.25">
      <c r="A26" s="36">
        <f>IF(COUNTBLANK(B26)=1," ",COUNTA(B$13:B26))</f>
        <v>13</v>
      </c>
      <c r="B26" s="37" t="s">
        <v>41</v>
      </c>
      <c r="C26" s="176" t="str">
        <f>apjomi!B13</f>
        <v>L9</v>
      </c>
      <c r="D26" s="36">
        <f>apjomi!D13</f>
        <v>10</v>
      </c>
      <c r="E26" s="36">
        <f>apjomi!F13</f>
        <v>2.77</v>
      </c>
      <c r="F26" s="36">
        <f>apjomi!G13</f>
        <v>1.6</v>
      </c>
      <c r="G26" s="36" t="str">
        <f t="shared" si="1"/>
        <v>m²</v>
      </c>
      <c r="H26" s="122">
        <f>apjomi!J13</f>
        <v>44.320000000000007</v>
      </c>
      <c r="I26" s="36"/>
      <c r="J26" s="3"/>
      <c r="K26" s="3"/>
      <c r="L26" s="3"/>
      <c r="M26" s="39"/>
      <c r="N26" s="3"/>
      <c r="O26" s="177"/>
      <c r="P26" s="178"/>
      <c r="Q26" s="178"/>
      <c r="R26" s="178"/>
      <c r="S26" s="178"/>
      <c r="T26" s="179"/>
    </row>
    <row r="27" spans="1:20" s="56" customFormat="1" ht="45" x14ac:dyDescent="0.25">
      <c r="A27" s="36">
        <f>IF(COUNTBLANK(B27)=1," ",COUNTA(B$13:B27))</f>
        <v>14</v>
      </c>
      <c r="B27" s="37" t="s">
        <v>41</v>
      </c>
      <c r="C27" s="176" t="str">
        <f>apjomi!B16</f>
        <v xml:space="preserve">D1 Projektētas cinkotas (biez. 80 mikroni) metāla  ārdurvis ar rokturi, eņģēm, ar atslēgu, žalūziju augšējā daļā. krāsojums ar pulverkrāsojumu tonis RAL 8028 </v>
      </c>
      <c r="D27" s="36">
        <f>apjomi!D16</f>
        <v>8</v>
      </c>
      <c r="E27" s="36">
        <f>apjomi!F16</f>
        <v>0.9</v>
      </c>
      <c r="F27" s="36">
        <f>apjomi!G16</f>
        <v>2.0499999999999998</v>
      </c>
      <c r="G27" s="36" t="str">
        <f>G26</f>
        <v>m²</v>
      </c>
      <c r="H27" s="122">
        <f>apjomi!J16</f>
        <v>14.76</v>
      </c>
      <c r="I27" s="36"/>
      <c r="J27" s="3"/>
      <c r="K27" s="3"/>
      <c r="L27" s="3"/>
      <c r="M27" s="39"/>
      <c r="N27" s="3"/>
      <c r="O27" s="177"/>
      <c r="P27" s="178"/>
      <c r="Q27" s="178"/>
      <c r="R27" s="178"/>
      <c r="S27" s="178"/>
      <c r="T27" s="179"/>
    </row>
    <row r="28" spans="1:20" s="56" customFormat="1" ht="101.25" x14ac:dyDescent="0.25">
      <c r="A28" s="36">
        <f>IF(COUNTBLANK(B28)=1," ",COUNTA(B$13:B28))</f>
        <v>15</v>
      </c>
      <c r="B28" s="37" t="s">
        <v>41</v>
      </c>
      <c r="C28" s="176" t="str">
        <f>apjomi!B17</f>
        <v xml:space="preserve">D2 Projektētas ALU stiklotas ārdurvis ar siltinājumu, rokturi, eņģēm, ar pašaizvēršanās mehānismu, speciālām  blīvgumijām un piedurlīstēm, vienpuktu slēdzeni un mehānisko koda atslēgu. siltuma caurlaidības koef.: 1,6 w/m²×K
tonis RAL 8028 , ar stiklojumu, stikla paketes PONZO PE 68HI vai ekvivalents, 
2K4+4Low E+16Alu+Argons; Panel RAL 26MM </v>
      </c>
      <c r="D28" s="36">
        <f>apjomi!D17</f>
        <v>8</v>
      </c>
      <c r="E28" s="36">
        <f>apjomi!F17</f>
        <v>1.25</v>
      </c>
      <c r="F28" s="36">
        <f>apjomi!G17</f>
        <v>2.0499999999999998</v>
      </c>
      <c r="G28" s="36" t="str">
        <f t="shared" si="1"/>
        <v>m²</v>
      </c>
      <c r="H28" s="122">
        <f>apjomi!J17</f>
        <v>20.5</v>
      </c>
      <c r="I28" s="36"/>
      <c r="J28" s="3"/>
      <c r="K28" s="3"/>
      <c r="L28" s="3"/>
      <c r="M28" s="39"/>
      <c r="N28" s="3"/>
      <c r="O28" s="177"/>
      <c r="P28" s="178"/>
      <c r="Q28" s="178"/>
      <c r="R28" s="178"/>
      <c r="S28" s="178"/>
      <c r="T28" s="179"/>
    </row>
    <row r="29" spans="1:20" ht="22.5" x14ac:dyDescent="0.25">
      <c r="A29" s="36">
        <f>IF(COUNTBLANK(B29)=1," ",COUNTA(B$13:B29))</f>
        <v>16</v>
      </c>
      <c r="B29" s="37" t="s">
        <v>41</v>
      </c>
      <c r="C29" s="176" t="str">
        <f>apjomi!B18</f>
        <v>R1 ventilācijas vārsta komplkets Vilpe vai ekvivalents</v>
      </c>
      <c r="D29" s="36">
        <f>apjomi!D18</f>
        <v>43</v>
      </c>
      <c r="E29" s="36">
        <f>apjomi!F18</f>
        <v>0.21</v>
      </c>
      <c r="F29" s="36">
        <f>apjomi!G18</f>
        <v>0.21</v>
      </c>
      <c r="G29" s="36" t="str">
        <f>G28</f>
        <v>m²</v>
      </c>
      <c r="H29" s="122">
        <f>apjomi!J18</f>
        <v>1.8962999999999997</v>
      </c>
      <c r="I29" s="36"/>
      <c r="J29" s="3"/>
      <c r="K29" s="3"/>
      <c r="L29" s="3"/>
      <c r="M29" s="39"/>
      <c r="N29" s="3"/>
      <c r="O29" s="177"/>
      <c r="P29" s="178"/>
      <c r="Q29" s="178"/>
      <c r="R29" s="178"/>
      <c r="S29" s="178"/>
      <c r="T29" s="179"/>
    </row>
    <row r="30" spans="1:20" x14ac:dyDescent="0.25">
      <c r="A30" s="36">
        <f>IF(COUNTBLANK(B30)=1," ",COUNTA(B$13:B30))</f>
        <v>17</v>
      </c>
      <c r="B30" s="37" t="s">
        <v>41</v>
      </c>
      <c r="C30" s="176" t="str">
        <f>apjomi!B19</f>
        <v>R2 cinkotas žalūzijas karstā cinkošana 60mikroni</v>
      </c>
      <c r="D30" s="36">
        <f>apjomi!D19</f>
        <v>8</v>
      </c>
      <c r="E30" s="36">
        <f>apjomi!F19</f>
        <v>0.4</v>
      </c>
      <c r="F30" s="36">
        <f>apjomi!G19</f>
        <v>0.3</v>
      </c>
      <c r="G30" s="36" t="str">
        <f>G29</f>
        <v>m²</v>
      </c>
      <c r="H30" s="122">
        <f>apjomi!J19</f>
        <v>0.96</v>
      </c>
      <c r="I30" s="36"/>
      <c r="J30" s="3"/>
      <c r="K30" s="3"/>
      <c r="L30" s="3"/>
      <c r="M30" s="39"/>
      <c r="N30" s="3"/>
      <c r="O30" s="177"/>
      <c r="P30" s="178"/>
      <c r="Q30" s="178"/>
      <c r="R30" s="178"/>
      <c r="S30" s="178"/>
      <c r="T30" s="179"/>
    </row>
    <row r="31" spans="1:20" x14ac:dyDescent="0.25">
      <c r="A31" s="36">
        <f>IF(COUNTBLANK(B31)=1," ",COUNTA(B$13:B31))</f>
        <v>18</v>
      </c>
      <c r="B31" s="37" t="s">
        <v>41</v>
      </c>
      <c r="C31" s="180" t="s">
        <v>81</v>
      </c>
      <c r="D31" s="180"/>
      <c r="E31" s="3"/>
      <c r="F31" s="3"/>
      <c r="G31" s="36" t="s">
        <v>47</v>
      </c>
      <c r="H31" s="3">
        <f>SUM(H17:H30)</f>
        <v>904.32629999999995</v>
      </c>
      <c r="I31" s="3"/>
      <c r="J31" s="3"/>
      <c r="K31" s="3"/>
      <c r="L31" s="3"/>
      <c r="M31" s="39"/>
      <c r="N31" s="3"/>
      <c r="O31" s="177"/>
      <c r="P31" s="178"/>
      <c r="Q31" s="178"/>
      <c r="R31" s="178"/>
      <c r="S31" s="178"/>
      <c r="T31" s="179"/>
    </row>
    <row r="32" spans="1:20" x14ac:dyDescent="0.25">
      <c r="A32" s="36" t="str">
        <f>IF(COUNTBLANK(B32)=1," ",COUNTA(B$13:B32))</f>
        <v xml:space="preserve"> </v>
      </c>
      <c r="B32" s="36"/>
      <c r="C32" s="152" t="s">
        <v>82</v>
      </c>
      <c r="D32" s="152"/>
      <c r="E32" s="36"/>
      <c r="F32" s="36"/>
      <c r="G32" s="36" t="s">
        <v>58</v>
      </c>
      <c r="H32" s="3">
        <f>ROUNDUP(H31*I32,0)</f>
        <v>2352</v>
      </c>
      <c r="I32" s="3">
        <v>2.6</v>
      </c>
      <c r="J32" s="3"/>
      <c r="K32" s="3"/>
      <c r="L32" s="3"/>
      <c r="M32" s="3"/>
      <c r="N32" s="3"/>
      <c r="O32" s="3"/>
      <c r="P32" s="178"/>
      <c r="Q32" s="178"/>
      <c r="R32" s="178"/>
      <c r="S32" s="178"/>
      <c r="T32" s="179"/>
    </row>
    <row r="33" spans="1:20" x14ac:dyDescent="0.25">
      <c r="A33" s="36" t="str">
        <f>IF(COUNTBLANK(B33)=1," ",COUNTA(B$13:B33))</f>
        <v xml:space="preserve"> </v>
      </c>
      <c r="B33" s="36"/>
      <c r="C33" s="180" t="s">
        <v>83</v>
      </c>
      <c r="D33" s="180"/>
      <c r="E33" s="3"/>
      <c r="F33" s="3"/>
      <c r="G33" s="3" t="s">
        <v>58</v>
      </c>
      <c r="H33" s="3">
        <f>ROUNDUP(H31*I33,0)</f>
        <v>1809</v>
      </c>
      <c r="I33" s="3">
        <v>2</v>
      </c>
      <c r="J33" s="3"/>
      <c r="K33" s="3"/>
      <c r="L33" s="3"/>
      <c r="M33" s="3"/>
      <c r="N33" s="3"/>
      <c r="O33" s="3"/>
      <c r="P33" s="178"/>
      <c r="Q33" s="178"/>
      <c r="R33" s="178"/>
      <c r="S33" s="178"/>
      <c r="T33" s="179"/>
    </row>
    <row r="34" spans="1:20" x14ac:dyDescent="0.25">
      <c r="A34" s="36" t="str">
        <f>IF(COUNTBLANK(B34)=1," ",COUNTA(B$13:B34))</f>
        <v xml:space="preserve"> </v>
      </c>
      <c r="B34" s="36"/>
      <c r="C34" s="152" t="s">
        <v>84</v>
      </c>
      <c r="D34" s="152"/>
      <c r="E34" s="36"/>
      <c r="F34" s="36"/>
      <c r="G34" s="36" t="s">
        <v>56</v>
      </c>
      <c r="H34" s="3">
        <f>ROUNDUP(H31*I34,0)</f>
        <v>362</v>
      </c>
      <c r="I34" s="3">
        <v>0.4</v>
      </c>
      <c r="J34" s="3"/>
      <c r="K34" s="3"/>
      <c r="L34" s="3"/>
      <c r="M34" s="3"/>
      <c r="N34" s="3"/>
      <c r="O34" s="3"/>
      <c r="P34" s="178"/>
      <c r="Q34" s="178"/>
      <c r="R34" s="178"/>
      <c r="S34" s="178"/>
      <c r="T34" s="179"/>
    </row>
    <row r="35" spans="1:20" x14ac:dyDescent="0.25">
      <c r="A35" s="36" t="str">
        <f>IF(COUNTBLANK(B35)=1," ",COUNTA(B$13:B35))</f>
        <v xml:space="preserve"> </v>
      </c>
      <c r="B35" s="10"/>
      <c r="C35" s="9" t="s">
        <v>85</v>
      </c>
      <c r="D35" s="9"/>
      <c r="E35" s="10"/>
      <c r="F35" s="10"/>
      <c r="G35" s="10" t="s">
        <v>58</v>
      </c>
      <c r="H35" s="181">
        <f>ROUNDUP(H31*I35,0)</f>
        <v>2261</v>
      </c>
      <c r="I35" s="181">
        <v>2.5</v>
      </c>
      <c r="J35" s="181"/>
      <c r="K35" s="181"/>
      <c r="L35" s="181"/>
      <c r="M35" s="181"/>
      <c r="N35" s="181"/>
      <c r="O35" s="181"/>
      <c r="P35" s="178"/>
      <c r="Q35" s="178"/>
      <c r="R35" s="178"/>
      <c r="S35" s="178"/>
      <c r="T35" s="179"/>
    </row>
    <row r="36" spans="1:20" x14ac:dyDescent="0.25">
      <c r="A36" s="36" t="str">
        <f>IF(COUNTBLANK(B36)=1," ",COUNTA(B$13:B36))</f>
        <v xml:space="preserve"> </v>
      </c>
      <c r="B36" s="36"/>
      <c r="C36" s="152" t="s">
        <v>86</v>
      </c>
      <c r="D36" s="152"/>
      <c r="E36" s="36"/>
      <c r="F36" s="36"/>
      <c r="G36" s="36" t="s">
        <v>56</v>
      </c>
      <c r="H36" s="3">
        <f>ROUNDUP(H31*I36,2)</f>
        <v>226.09</v>
      </c>
      <c r="I36" s="3">
        <v>0.25</v>
      </c>
      <c r="J36" s="3"/>
      <c r="K36" s="3"/>
      <c r="L36" s="3"/>
      <c r="M36" s="3"/>
      <c r="N36" s="3"/>
      <c r="O36" s="3"/>
      <c r="P36" s="178"/>
      <c r="Q36" s="178"/>
      <c r="R36" s="178"/>
      <c r="S36" s="178"/>
      <c r="T36" s="179"/>
    </row>
    <row r="37" spans="1:20" x14ac:dyDescent="0.25">
      <c r="A37" s="36" t="str">
        <f>IF(COUNTBLANK(B37)=1," ",COUNTA(B$13:B37))</f>
        <v xml:space="preserve"> </v>
      </c>
      <c r="B37" s="36"/>
      <c r="C37" s="152" t="s">
        <v>87</v>
      </c>
      <c r="D37" s="152"/>
      <c r="E37" s="36"/>
      <c r="F37" s="36"/>
      <c r="G37" s="36" t="s">
        <v>43</v>
      </c>
      <c r="H37" s="3">
        <f>H31*I37</f>
        <v>578.76883199999997</v>
      </c>
      <c r="I37" s="3">
        <v>0.64</v>
      </c>
      <c r="J37" s="3"/>
      <c r="K37" s="3"/>
      <c r="L37" s="3"/>
      <c r="M37" s="3"/>
      <c r="N37" s="3"/>
      <c r="O37" s="3"/>
      <c r="P37" s="178"/>
      <c r="Q37" s="178"/>
      <c r="R37" s="178"/>
      <c r="S37" s="178"/>
      <c r="T37" s="179"/>
    </row>
    <row r="38" spans="1:20" ht="22.5" x14ac:dyDescent="0.25">
      <c r="A38" s="36">
        <f>IF(COUNTBLANK(B38)=1," ",COUNTA(B$13:B38))</f>
        <v>19</v>
      </c>
      <c r="B38" s="37" t="s">
        <v>41</v>
      </c>
      <c r="C38" s="150" t="s">
        <v>434</v>
      </c>
      <c r="D38" s="150"/>
      <c r="E38" s="36"/>
      <c r="F38" s="36"/>
      <c r="G38" s="36" t="s">
        <v>323</v>
      </c>
      <c r="H38" s="161">
        <f>apjomi!E4+apjomi!E5+apjomi!E6+apjomi!E8+apjomi!E9+apjomi!E11+apjomi!E12+apjomi!E13+31</f>
        <v>510</v>
      </c>
      <c r="I38" s="36"/>
      <c r="J38" s="3"/>
      <c r="K38" s="3"/>
      <c r="L38" s="3"/>
      <c r="M38" s="39"/>
      <c r="N38" s="3"/>
      <c r="O38" s="3"/>
      <c r="P38" s="178"/>
      <c r="Q38" s="178"/>
      <c r="R38" s="178"/>
      <c r="S38" s="178"/>
      <c r="T38" s="179"/>
    </row>
    <row r="39" spans="1:20" x14ac:dyDescent="0.25">
      <c r="A39" s="36">
        <f>IF(COUNTBLANK(B39)=1," ",COUNTA(B$13:B39))</f>
        <v>20</v>
      </c>
      <c r="B39" s="37" t="s">
        <v>41</v>
      </c>
      <c r="C39" s="150" t="s">
        <v>354</v>
      </c>
      <c r="D39" s="150"/>
      <c r="E39" s="36"/>
      <c r="F39" s="36"/>
      <c r="G39" s="36" t="s">
        <v>323</v>
      </c>
      <c r="H39" s="161">
        <f>SUM(D41:D46)</f>
        <v>60</v>
      </c>
      <c r="I39" s="36"/>
      <c r="J39" s="3"/>
      <c r="K39" s="3"/>
      <c r="L39" s="3"/>
      <c r="M39" s="39"/>
      <c r="N39" s="3"/>
      <c r="O39" s="177"/>
      <c r="P39" s="178"/>
      <c r="Q39" s="178"/>
      <c r="R39" s="178"/>
      <c r="S39" s="178"/>
      <c r="T39" s="179"/>
    </row>
    <row r="40" spans="1:20" ht="123.75" x14ac:dyDescent="0.25">
      <c r="A40" s="36" t="str">
        <f>IF(COUNTBLANK(B40)=1," ",COUNTA(B$13:B40))</f>
        <v xml:space="preserve"> </v>
      </c>
      <c r="B40" s="37"/>
      <c r="C40" s="150" t="s">
        <v>330</v>
      </c>
      <c r="D40" s="176"/>
      <c r="E40" s="36"/>
      <c r="F40" s="36"/>
    </row>
    <row r="41" spans="1:20" x14ac:dyDescent="0.25">
      <c r="A41" s="36">
        <f>IF(COUNTBLANK(B41)=1," ",COUNTA(B$13:B41))</f>
        <v>21</v>
      </c>
      <c r="B41" s="37" t="s">
        <v>41</v>
      </c>
      <c r="C41" s="176" t="str">
        <f>apjomi!B22</f>
        <v>M1</v>
      </c>
      <c r="D41" s="36">
        <f>apjomi!E22</f>
        <v>12</v>
      </c>
      <c r="E41" s="36">
        <f>apjomi!F22</f>
        <v>9.15</v>
      </c>
      <c r="F41" s="36">
        <f>apjomi!G22</f>
        <v>1</v>
      </c>
      <c r="G41" s="36" t="s">
        <v>47</v>
      </c>
      <c r="H41" s="161">
        <f>apjomi!J22</f>
        <v>109.80000000000001</v>
      </c>
      <c r="I41" s="36"/>
      <c r="J41" s="3"/>
      <c r="K41" s="3"/>
      <c r="L41" s="3"/>
      <c r="M41" s="39"/>
      <c r="N41" s="3"/>
      <c r="O41" s="3"/>
      <c r="P41" s="178"/>
      <c r="Q41" s="178"/>
      <c r="R41" s="178"/>
      <c r="S41" s="178"/>
      <c r="T41" s="179"/>
    </row>
    <row r="42" spans="1:20" x14ac:dyDescent="0.25">
      <c r="A42" s="36">
        <f>IF(COUNTBLANK(B42)=1," ",COUNTA(B$13:B42))</f>
        <v>22</v>
      </c>
      <c r="B42" s="37" t="s">
        <v>41</v>
      </c>
      <c r="C42" s="176" t="str">
        <f>apjomi!B23</f>
        <v>M2</v>
      </c>
      <c r="D42" s="36">
        <f>apjomi!E23</f>
        <v>8</v>
      </c>
      <c r="E42" s="36">
        <f>apjomi!F23</f>
        <v>9.15</v>
      </c>
      <c r="F42" s="36">
        <f>apjomi!G23</f>
        <v>1</v>
      </c>
      <c r="G42" s="36" t="str">
        <f>G41</f>
        <v>m²</v>
      </c>
      <c r="H42" s="161">
        <f>apjomi!J23</f>
        <v>73.2</v>
      </c>
      <c r="I42" s="36"/>
      <c r="J42" s="3"/>
      <c r="K42" s="3"/>
      <c r="L42" s="3"/>
      <c r="M42" s="39"/>
      <c r="N42" s="3"/>
      <c r="O42" s="3"/>
      <c r="P42" s="178"/>
      <c r="Q42" s="178"/>
      <c r="R42" s="178"/>
      <c r="S42" s="178"/>
      <c r="T42" s="179"/>
    </row>
    <row r="43" spans="1:20" x14ac:dyDescent="0.25">
      <c r="A43" s="36">
        <f>IF(COUNTBLANK(B43)=1," ",COUNTA(B$13:B43))</f>
        <v>23</v>
      </c>
      <c r="B43" s="37" t="s">
        <v>41</v>
      </c>
      <c r="C43" s="176" t="str">
        <f>apjomi!B24</f>
        <v>M3</v>
      </c>
      <c r="D43" s="36">
        <f>apjomi!E24</f>
        <v>12</v>
      </c>
      <c r="E43" s="36">
        <f>apjomi!F24</f>
        <v>8.8699999999999992</v>
      </c>
      <c r="F43" s="36">
        <f>apjomi!G24</f>
        <v>1</v>
      </c>
      <c r="G43" s="36" t="str">
        <f>G42</f>
        <v>m²</v>
      </c>
      <c r="H43" s="161">
        <f>apjomi!J24</f>
        <v>106.44</v>
      </c>
      <c r="I43" s="45"/>
      <c r="J43" s="3"/>
      <c r="K43" s="3"/>
      <c r="L43" s="3"/>
      <c r="M43" s="39"/>
      <c r="N43" s="3"/>
      <c r="O43" s="3"/>
      <c r="P43" s="178"/>
      <c r="Q43" s="178"/>
      <c r="R43" s="178"/>
      <c r="S43" s="178"/>
      <c r="T43" s="179"/>
    </row>
    <row r="44" spans="1:20" x14ac:dyDescent="0.25">
      <c r="A44" s="36">
        <f>IF(COUNTBLANK(B44)=1," ",COUNTA(B$13:B44))</f>
        <v>24</v>
      </c>
      <c r="B44" s="37" t="s">
        <v>41</v>
      </c>
      <c r="C44" s="176" t="str">
        <f>apjomi!B25</f>
        <v>M4</v>
      </c>
      <c r="D44" s="36">
        <f>apjomi!E25</f>
        <v>8</v>
      </c>
      <c r="E44" s="36">
        <f>apjomi!F25</f>
        <v>8.8699999999999992</v>
      </c>
      <c r="F44" s="36">
        <f>apjomi!G25</f>
        <v>1</v>
      </c>
      <c r="G44" s="36" t="str">
        <f>G43</f>
        <v>m²</v>
      </c>
      <c r="H44" s="161">
        <f>apjomi!J25</f>
        <v>70.959999999999994</v>
      </c>
      <c r="I44" s="45"/>
      <c r="J44" s="3"/>
      <c r="K44" s="3"/>
      <c r="L44" s="3"/>
      <c r="M44" s="39"/>
      <c r="N44" s="3"/>
      <c r="O44" s="3"/>
      <c r="P44" s="178"/>
      <c r="Q44" s="178"/>
      <c r="R44" s="178"/>
      <c r="S44" s="178"/>
      <c r="T44" s="179"/>
    </row>
    <row r="45" spans="1:20" x14ac:dyDescent="0.25">
      <c r="A45" s="36">
        <f>IF(COUNTBLANK(B45)=1," ",COUNTA(B$13:B45))</f>
        <v>25</v>
      </c>
      <c r="B45" s="37" t="s">
        <v>41</v>
      </c>
      <c r="C45" s="176" t="str">
        <f>apjomi!B26</f>
        <v>M5</v>
      </c>
      <c r="D45" s="36">
        <f>apjomi!E26</f>
        <v>5</v>
      </c>
      <c r="E45" s="36">
        <f>apjomi!F26</f>
        <v>3.05</v>
      </c>
      <c r="F45" s="36">
        <f>apjomi!G26</f>
        <v>1</v>
      </c>
      <c r="G45" s="36" t="str">
        <f>G44</f>
        <v>m²</v>
      </c>
      <c r="H45" s="161">
        <f>apjomi!J26</f>
        <v>15.25</v>
      </c>
      <c r="I45" s="45"/>
      <c r="J45" s="3"/>
      <c r="K45" s="3"/>
      <c r="L45" s="3"/>
      <c r="M45" s="39"/>
      <c r="N45" s="3"/>
      <c r="O45" s="3"/>
      <c r="P45" s="178"/>
      <c r="Q45" s="178"/>
      <c r="R45" s="178"/>
      <c r="S45" s="178"/>
      <c r="T45" s="179"/>
    </row>
    <row r="46" spans="1:20" x14ac:dyDescent="0.25">
      <c r="A46" s="36">
        <f>IF(COUNTBLANK(B46)=1," ",COUNTA(B$13:B46))</f>
        <v>26</v>
      </c>
      <c r="B46" s="37" t="s">
        <v>41</v>
      </c>
      <c r="C46" s="176" t="str">
        <f>apjomi!B27</f>
        <v>M6</v>
      </c>
      <c r="D46" s="36">
        <f>apjomi!E27</f>
        <v>15</v>
      </c>
      <c r="E46" s="36">
        <f>apjomi!F27</f>
        <v>2.77</v>
      </c>
      <c r="F46" s="36">
        <f>apjomi!G27</f>
        <v>1</v>
      </c>
      <c r="G46" s="36" t="str">
        <f>G45</f>
        <v>m²</v>
      </c>
      <c r="H46" s="161">
        <f>apjomi!J27</f>
        <v>41.55</v>
      </c>
      <c r="I46" s="45"/>
      <c r="J46" s="3"/>
      <c r="K46" s="3"/>
      <c r="L46" s="3"/>
      <c r="M46" s="39"/>
      <c r="N46" s="3"/>
      <c r="O46" s="3"/>
      <c r="P46" s="178"/>
      <c r="Q46" s="178"/>
      <c r="R46" s="178"/>
      <c r="S46" s="178"/>
      <c r="T46" s="179"/>
    </row>
    <row r="47" spans="1:20" x14ac:dyDescent="0.25">
      <c r="A47" s="36">
        <f>IF(COUNTBLANK(B47)=1," ",COUNTA(B$13:B47))</f>
        <v>27</v>
      </c>
      <c r="B47" s="37" t="s">
        <v>41</v>
      </c>
      <c r="C47" s="176" t="s">
        <v>331</v>
      </c>
      <c r="D47" s="176"/>
      <c r="E47" s="36"/>
      <c r="F47" s="36"/>
      <c r="G47" s="36" t="s">
        <v>323</v>
      </c>
      <c r="H47" s="161">
        <f>apjomi!E28*4</f>
        <v>240</v>
      </c>
      <c r="I47" s="36"/>
      <c r="J47" s="3"/>
      <c r="K47" s="3"/>
      <c r="L47" s="3"/>
      <c r="M47" s="39"/>
      <c r="N47" s="3"/>
      <c r="O47" s="3"/>
      <c r="P47" s="178"/>
      <c r="Q47" s="178"/>
      <c r="R47" s="178"/>
      <c r="S47" s="178"/>
      <c r="T47" s="179"/>
    </row>
    <row r="48" spans="1:20" ht="22.5" customHeight="1" x14ac:dyDescent="0.25">
      <c r="A48" s="36">
        <f>IF(COUNTBLANK(B48)=1," ",COUNTA(B$13:B48))</f>
        <v>28</v>
      </c>
      <c r="B48" s="37" t="s">
        <v>41</v>
      </c>
      <c r="C48" s="150" t="s">
        <v>380</v>
      </c>
      <c r="D48" s="150"/>
      <c r="E48" s="36"/>
      <c r="F48" s="36"/>
      <c r="G48" s="36" t="s">
        <v>43</v>
      </c>
      <c r="H48" s="151">
        <f>apjomi!K21</f>
        <v>4536.6600000000008</v>
      </c>
      <c r="I48" s="36"/>
      <c r="J48" s="3"/>
      <c r="K48" s="3"/>
      <c r="L48" s="3"/>
      <c r="M48" s="39"/>
      <c r="N48" s="3"/>
      <c r="O48" s="3"/>
      <c r="P48" s="178"/>
      <c r="Q48" s="178"/>
      <c r="R48" s="178"/>
      <c r="S48" s="178"/>
      <c r="T48" s="179"/>
    </row>
    <row r="49" spans="1:20" ht="22.5" x14ac:dyDescent="0.25">
      <c r="A49" s="36">
        <f>IF(COUNTBLANK(B49)=1," ",COUNTA(B$13:B49))</f>
        <v>29</v>
      </c>
      <c r="B49" s="37" t="s">
        <v>41</v>
      </c>
      <c r="C49" s="150" t="s">
        <v>381</v>
      </c>
      <c r="D49" s="150"/>
      <c r="E49" s="36"/>
      <c r="F49" s="36"/>
      <c r="G49" s="36" t="s">
        <v>43</v>
      </c>
      <c r="H49" s="151">
        <f>apjomi!L21</f>
        <v>1957.82</v>
      </c>
      <c r="I49" s="36"/>
      <c r="J49" s="3"/>
      <c r="K49" s="3"/>
      <c r="L49" s="3"/>
      <c r="M49" s="39"/>
      <c r="N49" s="3"/>
      <c r="O49" s="3"/>
      <c r="P49" s="178"/>
      <c r="Q49" s="178"/>
      <c r="R49" s="178"/>
      <c r="S49" s="178"/>
      <c r="T49" s="179"/>
    </row>
    <row r="50" spans="1:20" ht="22.5" x14ac:dyDescent="0.25">
      <c r="A50" s="36">
        <f>IF(COUNTBLANK(B50)=1," ",COUNTA(B$13:B50))</f>
        <v>30</v>
      </c>
      <c r="B50" s="37" t="s">
        <v>41</v>
      </c>
      <c r="C50" s="150" t="s">
        <v>384</v>
      </c>
      <c r="D50" s="150"/>
      <c r="E50" s="36"/>
      <c r="F50" s="36"/>
      <c r="G50" s="36" t="s">
        <v>43</v>
      </c>
      <c r="H50" s="151">
        <f>apjomi!P21</f>
        <v>528.54999999999995</v>
      </c>
      <c r="I50" s="36"/>
      <c r="J50" s="3"/>
      <c r="K50" s="3"/>
      <c r="L50" s="3"/>
      <c r="M50" s="3"/>
      <c r="N50" s="3"/>
      <c r="O50" s="3"/>
      <c r="P50" s="178"/>
      <c r="Q50" s="178"/>
      <c r="R50" s="178"/>
      <c r="S50" s="178"/>
      <c r="T50" s="179"/>
    </row>
    <row r="51" spans="1:20" ht="22.5" x14ac:dyDescent="0.25">
      <c r="A51" s="36">
        <f>IF(COUNTBLANK(B51)=1," ",COUNTA(B$13:B51))</f>
        <v>31</v>
      </c>
      <c r="B51" s="37" t="s">
        <v>41</v>
      </c>
      <c r="C51" s="150" t="s">
        <v>88</v>
      </c>
      <c r="D51" s="150"/>
      <c r="E51" s="36"/>
      <c r="F51" s="36"/>
      <c r="G51" s="36" t="s">
        <v>47</v>
      </c>
      <c r="H51" s="151">
        <f>apjomi!N21</f>
        <v>455.42500000000001</v>
      </c>
      <c r="I51" s="182"/>
      <c r="J51" s="3"/>
      <c r="K51" s="3"/>
      <c r="L51" s="3"/>
      <c r="M51" s="39"/>
      <c r="N51" s="3"/>
      <c r="O51" s="3"/>
      <c r="P51" s="178"/>
      <c r="Q51" s="178"/>
      <c r="R51" s="178"/>
      <c r="S51" s="178"/>
      <c r="T51" s="179"/>
    </row>
    <row r="52" spans="1:20" x14ac:dyDescent="0.25">
      <c r="A52" s="36" t="str">
        <f>IF(COUNTBLANK(B52)=1," ",COUNTA(B$13:B52))</f>
        <v xml:space="preserve"> </v>
      </c>
      <c r="B52" s="37"/>
      <c r="C52" s="180" t="s">
        <v>63</v>
      </c>
      <c r="D52" s="150"/>
      <c r="E52" s="36"/>
      <c r="F52" s="36"/>
      <c r="G52" s="3" t="s">
        <v>43</v>
      </c>
      <c r="H52" s="3">
        <f>apjomi!L21</f>
        <v>1957.82</v>
      </c>
      <c r="I52" s="3"/>
      <c r="J52" s="3"/>
      <c r="K52" s="3"/>
      <c r="L52" s="3"/>
      <c r="M52" s="3"/>
      <c r="N52" s="3"/>
      <c r="O52" s="3"/>
      <c r="P52" s="178"/>
      <c r="Q52" s="178"/>
      <c r="R52" s="178"/>
      <c r="S52" s="178"/>
      <c r="T52" s="179"/>
    </row>
    <row r="53" spans="1:20" x14ac:dyDescent="0.25">
      <c r="A53" s="36" t="str">
        <f>IF(COUNTBLANK(B53)=1," ",COUNTA(B$13:B53))</f>
        <v xml:space="preserve"> </v>
      </c>
      <c r="B53" s="37"/>
      <c r="C53" s="180" t="s">
        <v>64</v>
      </c>
      <c r="D53" s="150"/>
      <c r="E53" s="36"/>
      <c r="F53" s="36"/>
      <c r="G53" s="121" t="s">
        <v>47</v>
      </c>
      <c r="H53" s="3">
        <f>H51*I53</f>
        <v>45.542500000000004</v>
      </c>
      <c r="I53" s="3">
        <v>0.1</v>
      </c>
      <c r="J53" s="3"/>
      <c r="K53" s="3"/>
      <c r="L53" s="3"/>
      <c r="M53" s="3"/>
      <c r="N53" s="3"/>
      <c r="O53" s="3"/>
      <c r="P53" s="178"/>
      <c r="Q53" s="178"/>
      <c r="R53" s="178"/>
      <c r="S53" s="178"/>
      <c r="T53" s="179"/>
    </row>
    <row r="54" spans="1:20" x14ac:dyDescent="0.25">
      <c r="A54" s="36" t="str">
        <f>IF(COUNTBLANK(B54)=1," ",COUNTA(B$13:B54))</f>
        <v xml:space="preserve"> </v>
      </c>
      <c r="B54" s="37"/>
      <c r="C54" s="180" t="s">
        <v>332</v>
      </c>
      <c r="D54" s="150"/>
      <c r="E54" s="36"/>
      <c r="F54" s="36"/>
      <c r="G54" s="121" t="s">
        <v>47</v>
      </c>
      <c r="H54" s="3">
        <f>H51*I54</f>
        <v>45.542500000000004</v>
      </c>
      <c r="I54" s="3">
        <f>I53</f>
        <v>0.1</v>
      </c>
      <c r="J54" s="3"/>
      <c r="K54" s="3"/>
      <c r="L54" s="3"/>
      <c r="M54" s="3"/>
      <c r="N54" s="3"/>
      <c r="O54" s="3"/>
      <c r="P54" s="178"/>
      <c r="Q54" s="178"/>
      <c r="R54" s="178"/>
      <c r="S54" s="178"/>
      <c r="T54" s="179"/>
    </row>
    <row r="55" spans="1:20" x14ac:dyDescent="0.25">
      <c r="A55" s="36" t="str">
        <f>IF(COUNTBLANK(B55)=1," ",COUNTA(B$13:B55))</f>
        <v xml:space="preserve"> </v>
      </c>
      <c r="B55" s="183"/>
      <c r="C55" s="180" t="s">
        <v>435</v>
      </c>
      <c r="D55" s="184"/>
      <c r="E55" s="3"/>
      <c r="F55" s="3"/>
      <c r="G55" s="3" t="s">
        <v>55</v>
      </c>
      <c r="H55" s="3">
        <f>H51*I55</f>
        <v>2277.125</v>
      </c>
      <c r="I55" s="3">
        <v>5</v>
      </c>
      <c r="J55" s="3"/>
      <c r="K55" s="3"/>
      <c r="L55" s="3"/>
      <c r="M55" s="3"/>
      <c r="N55" s="3"/>
      <c r="O55" s="3"/>
      <c r="P55" s="178"/>
      <c r="Q55" s="178"/>
      <c r="R55" s="178"/>
      <c r="S55" s="178"/>
      <c r="T55" s="179"/>
    </row>
    <row r="56" spans="1:20" x14ac:dyDescent="0.25">
      <c r="A56" s="36" t="str">
        <f>IF(COUNTBLANK(B56)=1," ",COUNTA(B$13:B56))</f>
        <v xml:space="preserve"> </v>
      </c>
      <c r="B56" s="183"/>
      <c r="C56" s="180" t="s">
        <v>85</v>
      </c>
      <c r="D56" s="184"/>
      <c r="E56" s="3"/>
      <c r="F56" s="3"/>
      <c r="G56" s="3" t="s">
        <v>45</v>
      </c>
      <c r="H56" s="3">
        <f>H51*I56</f>
        <v>1821.7</v>
      </c>
      <c r="I56" s="3">
        <v>4</v>
      </c>
      <c r="J56" s="3"/>
      <c r="K56" s="3"/>
      <c r="L56" s="3"/>
      <c r="M56" s="3"/>
      <c r="N56" s="3"/>
      <c r="O56" s="3"/>
      <c r="P56" s="178"/>
      <c r="Q56" s="178"/>
      <c r="R56" s="178"/>
      <c r="S56" s="178"/>
      <c r="T56" s="179"/>
    </row>
    <row r="57" spans="1:20" ht="22.5" x14ac:dyDescent="0.25">
      <c r="A57" s="36" t="str">
        <f>IF(COUNTBLANK(B57)=1," ",COUNTA(B$13:B57))</f>
        <v xml:space="preserve"> </v>
      </c>
      <c r="B57" s="183"/>
      <c r="C57" s="180" t="s">
        <v>436</v>
      </c>
      <c r="D57" s="184"/>
      <c r="E57" s="3"/>
      <c r="F57" s="3"/>
      <c r="G57" s="3" t="s">
        <v>55</v>
      </c>
      <c r="H57" s="3">
        <f>H51*I57</f>
        <v>546.51</v>
      </c>
      <c r="I57" s="3">
        <v>1.2</v>
      </c>
      <c r="J57" s="3"/>
      <c r="K57" s="3"/>
      <c r="L57" s="3"/>
      <c r="M57" s="3"/>
      <c r="N57" s="3"/>
      <c r="O57" s="3"/>
      <c r="P57" s="178"/>
      <c r="Q57" s="178"/>
      <c r="R57" s="178"/>
      <c r="S57" s="178"/>
      <c r="T57" s="179"/>
    </row>
    <row r="58" spans="1:20" x14ac:dyDescent="0.25">
      <c r="A58" s="36" t="str">
        <f>IF(COUNTBLANK(B58)=1," ",COUNTA(B$13:B58))</f>
        <v xml:space="preserve"> </v>
      </c>
      <c r="B58" s="183"/>
      <c r="C58" s="180" t="s">
        <v>333</v>
      </c>
      <c r="D58" s="184"/>
      <c r="E58" s="3"/>
      <c r="F58" s="3"/>
      <c r="G58" s="3" t="s">
        <v>56</v>
      </c>
      <c r="H58" s="3">
        <f>H51*I58</f>
        <v>113.85625</v>
      </c>
      <c r="I58" s="3">
        <v>0.25</v>
      </c>
      <c r="J58" s="3"/>
      <c r="K58" s="3"/>
      <c r="L58" s="3"/>
      <c r="M58" s="3"/>
      <c r="N58" s="3"/>
      <c r="O58" s="3"/>
      <c r="P58" s="178"/>
      <c r="Q58" s="178"/>
      <c r="R58" s="178"/>
      <c r="S58" s="178"/>
      <c r="T58" s="179"/>
    </row>
    <row r="59" spans="1:20" x14ac:dyDescent="0.25">
      <c r="A59" s="36" t="str">
        <f>IF(COUNTBLANK(B59)=1," ",COUNTA(B$13:B59))</f>
        <v xml:space="preserve"> </v>
      </c>
      <c r="B59" s="183"/>
      <c r="C59" s="180" t="s">
        <v>65</v>
      </c>
      <c r="D59" s="152"/>
      <c r="E59" s="36"/>
      <c r="F59" s="36"/>
      <c r="G59" s="3" t="s">
        <v>43</v>
      </c>
      <c r="H59" s="3">
        <f>H51*I59</f>
        <v>45.542500000000004</v>
      </c>
      <c r="I59" s="3">
        <v>0.1</v>
      </c>
      <c r="J59" s="3"/>
      <c r="K59" s="3"/>
      <c r="L59" s="3"/>
      <c r="M59" s="3"/>
      <c r="N59" s="3"/>
      <c r="O59" s="3"/>
      <c r="P59" s="178"/>
      <c r="Q59" s="178"/>
      <c r="R59" s="178"/>
      <c r="S59" s="178"/>
      <c r="T59" s="179"/>
    </row>
    <row r="60" spans="1:20" x14ac:dyDescent="0.25">
      <c r="A60" s="60"/>
      <c r="B60" s="60"/>
      <c r="C60" s="126"/>
      <c r="D60" s="94"/>
      <c r="E60" s="94"/>
      <c r="F60" s="96"/>
      <c r="G60" s="96"/>
      <c r="H60" s="96"/>
      <c r="I60" s="96"/>
      <c r="J60" s="60"/>
      <c r="K60" s="60"/>
      <c r="L60" s="60"/>
      <c r="M60" s="60"/>
      <c r="N60" s="60"/>
      <c r="O60" s="60"/>
      <c r="P60" s="125"/>
      <c r="Q60" s="125"/>
      <c r="R60" s="125"/>
      <c r="S60" s="125"/>
      <c r="T60" s="125"/>
    </row>
    <row r="61" spans="1:20" x14ac:dyDescent="0.25">
      <c r="A61" s="94" t="str">
        <f>IF(COUNTBLANK(L61)=1," ",COUNTA($L$15:L61))</f>
        <v xml:space="preserve"> </v>
      </c>
      <c r="B61" s="60"/>
      <c r="C61" s="279" t="s">
        <v>334</v>
      </c>
      <c r="D61" s="94"/>
      <c r="E61" s="94"/>
      <c r="F61" s="96"/>
      <c r="G61" s="97"/>
      <c r="H61" s="96"/>
      <c r="I61" s="96"/>
      <c r="J61" s="185"/>
      <c r="K61" s="60"/>
      <c r="L61" s="60"/>
      <c r="M61" s="60"/>
      <c r="N61" s="60"/>
      <c r="O61" s="60"/>
      <c r="P61" s="129">
        <f>SUM(P13:P60)</f>
        <v>0</v>
      </c>
      <c r="Q61" s="129">
        <f t="shared" ref="Q61:T61" si="2">SUM(Q13:Q60)</f>
        <v>0</v>
      </c>
      <c r="R61" s="129">
        <f t="shared" si="2"/>
        <v>0</v>
      </c>
      <c r="S61" s="129">
        <f t="shared" si="2"/>
        <v>0</v>
      </c>
      <c r="T61" s="129">
        <f t="shared" si="2"/>
        <v>0</v>
      </c>
    </row>
    <row r="62" spans="1:20" x14ac:dyDescent="0.25">
      <c r="A62" s="56"/>
      <c r="B62" s="56"/>
      <c r="C62" s="58"/>
      <c r="D62" s="60"/>
      <c r="E62" s="60"/>
      <c r="F62" s="96"/>
      <c r="G62" s="96"/>
      <c r="H62" s="105"/>
      <c r="I62" s="96"/>
      <c r="J62" s="60"/>
      <c r="K62" s="63"/>
      <c r="L62" s="60"/>
      <c r="M62" s="60"/>
      <c r="N62" s="60"/>
      <c r="O62" s="60"/>
      <c r="P62" s="56"/>
      <c r="Q62" s="56"/>
      <c r="R62" s="56"/>
      <c r="S62" s="56"/>
      <c r="T62" s="56"/>
    </row>
    <row r="63" spans="1:20" x14ac:dyDescent="0.25">
      <c r="A63" s="56"/>
      <c r="B63" s="98" t="s">
        <v>335</v>
      </c>
      <c r="D63" s="63"/>
      <c r="F63" s="52"/>
      <c r="G63" s="52"/>
      <c r="H63" s="52"/>
      <c r="I63" s="52"/>
      <c r="J63" s="55"/>
      <c r="K63" s="63"/>
      <c r="L63" s="63"/>
      <c r="M63" s="63"/>
      <c r="N63" s="63"/>
      <c r="O63" s="63"/>
      <c r="P63" s="56"/>
      <c r="Q63" s="56"/>
      <c r="R63" s="56"/>
      <c r="S63" s="56"/>
      <c r="T63" s="56"/>
    </row>
    <row r="64" spans="1:20" x14ac:dyDescent="0.25">
      <c r="A64" s="56"/>
      <c r="C64" s="99" t="s">
        <v>336</v>
      </c>
      <c r="D64" s="55"/>
      <c r="E64" s="55"/>
      <c r="F64" s="52"/>
      <c r="G64" s="52"/>
      <c r="H64" s="52"/>
      <c r="I64" s="52"/>
      <c r="J64" s="55"/>
      <c r="K64" s="63"/>
      <c r="L64" s="63"/>
      <c r="M64" s="63"/>
      <c r="N64" s="63"/>
      <c r="O64" s="63"/>
      <c r="P64" s="63"/>
      <c r="Q64" s="63"/>
      <c r="R64" s="63"/>
      <c r="S64" s="63"/>
      <c r="T64" s="63"/>
    </row>
    <row r="65" spans="2:20" x14ac:dyDescent="0.25">
      <c r="B65" s="100"/>
      <c r="C65" s="100"/>
      <c r="D65" s="100"/>
      <c r="E65" s="100"/>
      <c r="F65" s="52"/>
      <c r="G65" s="52"/>
      <c r="H65" s="52"/>
      <c r="I65" s="52"/>
      <c r="J65" s="55"/>
      <c r="K65" s="63"/>
      <c r="L65" s="63"/>
      <c r="M65" s="63"/>
      <c r="N65" s="63"/>
      <c r="O65" s="63"/>
      <c r="P65" s="63"/>
      <c r="Q65" s="63"/>
      <c r="R65" s="63"/>
      <c r="S65" s="63"/>
      <c r="T65" s="63"/>
    </row>
    <row r="66" spans="2:20" x14ac:dyDescent="0.25">
      <c r="B66" s="101" t="s">
        <v>408</v>
      </c>
      <c r="D66" s="63"/>
      <c r="F66" s="98"/>
      <c r="G66" s="52"/>
      <c r="H66" s="98"/>
      <c r="I66" s="98"/>
      <c r="J66" s="55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spans="2:20" x14ac:dyDescent="0.25">
      <c r="B67" s="100"/>
      <c r="C67" s="100"/>
      <c r="D67" s="100"/>
      <c r="E67" s="100"/>
      <c r="F67" s="98"/>
      <c r="G67" s="102"/>
      <c r="H67" s="98"/>
      <c r="I67" s="98"/>
      <c r="J67" s="55"/>
      <c r="K67" s="63"/>
      <c r="L67" s="63"/>
      <c r="M67" s="63"/>
      <c r="N67" s="63"/>
      <c r="O67" s="63"/>
      <c r="P67" s="63"/>
      <c r="Q67" s="63"/>
      <c r="R67" s="63"/>
      <c r="S67" s="63"/>
      <c r="T67" s="63"/>
    </row>
    <row r="68" spans="2:20" x14ac:dyDescent="0.25">
      <c r="B68" s="23" t="s">
        <v>337</v>
      </c>
      <c r="D68" s="63"/>
      <c r="F68" s="98"/>
      <c r="G68" s="52"/>
      <c r="H68" s="98"/>
      <c r="I68" s="98"/>
      <c r="J68" s="55"/>
      <c r="K68" s="63"/>
      <c r="L68" s="63"/>
      <c r="M68" s="63"/>
      <c r="N68" s="63"/>
      <c r="O68" s="63"/>
      <c r="P68" s="63"/>
      <c r="Q68" s="63"/>
      <c r="R68" s="63"/>
      <c r="S68" s="63"/>
      <c r="T68" s="63"/>
    </row>
    <row r="69" spans="2:20" x14ac:dyDescent="0.25">
      <c r="C69" s="99" t="s">
        <v>336</v>
      </c>
      <c r="D69" s="55"/>
      <c r="E69" s="55"/>
      <c r="F69" s="23"/>
      <c r="G69" s="56"/>
    </row>
    <row r="70" spans="2:20" x14ac:dyDescent="0.25">
      <c r="B70" s="100"/>
      <c r="C70" s="23" t="s">
        <v>338</v>
      </c>
      <c r="D70" s="63"/>
      <c r="F70" s="23"/>
      <c r="G70" s="56"/>
      <c r="M70" s="23" t="s">
        <v>89</v>
      </c>
    </row>
    <row r="71" spans="2:20" x14ac:dyDescent="0.25">
      <c r="E71" s="23"/>
      <c r="F71" s="23"/>
      <c r="G71" s="56"/>
    </row>
    <row r="72" spans="2:20" x14ac:dyDescent="0.25">
      <c r="E72" s="23"/>
      <c r="F72" s="23"/>
      <c r="G72" s="56"/>
    </row>
    <row r="73" spans="2:20" x14ac:dyDescent="0.25">
      <c r="E73" s="23"/>
      <c r="F73" s="23"/>
      <c r="G73" s="56"/>
    </row>
    <row r="74" spans="2:20" x14ac:dyDescent="0.25">
      <c r="E74" s="23"/>
      <c r="F74" s="23"/>
      <c r="G74" s="56"/>
    </row>
  </sheetData>
  <mergeCells count="11">
    <mergeCell ref="A1:J1"/>
    <mergeCell ref="A8:G8"/>
    <mergeCell ref="J8:M8"/>
    <mergeCell ref="Q9:T9"/>
    <mergeCell ref="A10:A11"/>
    <mergeCell ref="B10:B11"/>
    <mergeCell ref="C10:F11"/>
    <mergeCell ref="G10:G11"/>
    <mergeCell ref="H10:H11"/>
    <mergeCell ref="J10:O10"/>
    <mergeCell ref="P10:T10"/>
  </mergeCells>
  <pageMargins left="0" right="0" top="0.78740157480314965" bottom="0.39370078740157483" header="0.51181102362204722" footer="0.51181102362204722"/>
  <pageSetup paperSize="9" scale="98" firstPageNumber="0" orientation="landscape" r:id="rId1"/>
  <rowBreaks count="3" manualBreakCount="3">
    <brk id="28" max="16383" man="1"/>
    <brk id="39" max="16383" man="1"/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G44"/>
  <sheetViews>
    <sheetView view="pageBreakPreview" zoomScaleNormal="100" zoomScaleSheetLayoutView="100" workbookViewId="0">
      <selection activeCell="B19" sqref="B19"/>
    </sheetView>
  </sheetViews>
  <sheetFormatPr defaultColWidth="9" defaultRowHeight="11.25" x14ac:dyDescent="0.25"/>
  <cols>
    <col min="1" max="1" width="13.140625" style="204"/>
    <col min="2" max="2" width="47.28515625" style="23" customWidth="1"/>
    <col min="3" max="3" width="6" style="23"/>
    <col min="4" max="4" width="7.5703125" style="23"/>
    <col min="5" max="5" width="5.28515625" style="23"/>
    <col min="6" max="7" width="5.5703125" style="23" customWidth="1"/>
    <col min="8" max="8" width="6" style="23"/>
    <col min="9" max="9" width="5.28515625" style="23"/>
    <col min="10" max="10" width="12.5703125" style="23" customWidth="1"/>
    <col min="11" max="11" width="9.28515625" style="23" bestFit="1" customWidth="1"/>
    <col min="12" max="12" width="8.7109375" style="23" customWidth="1"/>
    <col min="13" max="13" width="10.28515625" style="23"/>
    <col min="14" max="14" width="7.7109375" style="23"/>
    <col min="15" max="15" width="6" style="23"/>
    <col min="16" max="17" width="6.85546875" style="23"/>
    <col min="18" max="18" width="7.7109375" style="23" customWidth="1"/>
    <col min="19" max="19" width="6.85546875" style="23"/>
    <col min="20" max="20" width="8.5703125" style="23"/>
    <col min="21" max="21" width="7.5703125" style="23"/>
    <col min="22" max="28" width="9.7109375" style="57"/>
    <col min="29" max="33" width="8.5703125" style="57"/>
    <col min="34" max="1025" width="8.5703125" style="23"/>
    <col min="1026" max="16384" width="9" style="23"/>
  </cols>
  <sheetData>
    <row r="1" spans="1:33" s="52" customFormat="1" x14ac:dyDescent="0.25">
      <c r="A1" s="96"/>
      <c r="B1" s="211"/>
      <c r="C1" s="212"/>
      <c r="D1" s="212"/>
      <c r="E1" s="212"/>
      <c r="F1" s="212"/>
      <c r="G1" s="212"/>
      <c r="H1" s="212"/>
      <c r="I1" s="212"/>
      <c r="J1" s="212"/>
      <c r="K1" s="261" t="s">
        <v>134</v>
      </c>
      <c r="L1" s="261"/>
      <c r="M1" s="261" t="s">
        <v>135</v>
      </c>
      <c r="N1" s="261"/>
      <c r="O1" s="261" t="s">
        <v>136</v>
      </c>
      <c r="P1" s="261"/>
      <c r="Q1" s="262" t="s">
        <v>137</v>
      </c>
      <c r="R1" s="262"/>
      <c r="S1" s="262"/>
      <c r="T1" s="262"/>
      <c r="U1" s="262"/>
      <c r="V1" s="57" t="str">
        <f>U2</f>
        <v>Cokola profils EB PVC VARIO 220 vai ekvivalents</v>
      </c>
      <c r="W1" s="53"/>
      <c r="X1" s="53"/>
      <c r="Y1" s="53" t="s">
        <v>138</v>
      </c>
      <c r="Z1" s="53"/>
      <c r="AA1" s="53"/>
      <c r="AB1" s="53" t="s">
        <v>139</v>
      </c>
      <c r="AC1" s="53"/>
      <c r="AD1" s="53"/>
      <c r="AE1" s="53" t="s">
        <v>140</v>
      </c>
      <c r="AF1" s="53"/>
      <c r="AG1" s="53"/>
    </row>
    <row r="2" spans="1:33" s="56" customFormat="1" ht="14.25" customHeight="1" x14ac:dyDescent="0.25">
      <c r="A2" s="96"/>
      <c r="B2" s="263" t="s">
        <v>141</v>
      </c>
      <c r="C2" s="264" t="s">
        <v>142</v>
      </c>
      <c r="D2" s="264"/>
      <c r="E2" s="264"/>
      <c r="F2" s="264" t="s">
        <v>143</v>
      </c>
      <c r="G2" s="264"/>
      <c r="H2" s="264" t="s">
        <v>144</v>
      </c>
      <c r="I2" s="264"/>
      <c r="J2" s="264"/>
      <c r="K2" s="121"/>
      <c r="L2" s="121"/>
      <c r="M2" s="121" t="s">
        <v>145</v>
      </c>
      <c r="N2" s="121" t="s">
        <v>146</v>
      </c>
      <c r="O2" s="121" t="s">
        <v>147</v>
      </c>
      <c r="P2" s="121" t="s">
        <v>146</v>
      </c>
      <c r="Q2" s="265" t="s">
        <v>410</v>
      </c>
      <c r="R2" s="265" t="s">
        <v>411</v>
      </c>
      <c r="S2" s="265" t="s">
        <v>412</v>
      </c>
      <c r="T2" s="265" t="s">
        <v>413</v>
      </c>
      <c r="U2" s="266" t="s">
        <v>414</v>
      </c>
      <c r="V2" s="53"/>
      <c r="W2" s="53"/>
      <c r="X2" s="53"/>
      <c r="Y2" s="53"/>
      <c r="Z2" s="53"/>
      <c r="AA2" s="53"/>
      <c r="AB2" s="53"/>
      <c r="AC2" s="53"/>
      <c r="AD2" s="53"/>
      <c r="AF2" s="53"/>
      <c r="AG2" s="53"/>
    </row>
    <row r="3" spans="1:33" ht="26.25" customHeight="1" x14ac:dyDescent="0.25">
      <c r="A3" s="23"/>
      <c r="B3" s="263"/>
      <c r="C3" s="36" t="s">
        <v>148</v>
      </c>
      <c r="D3" s="36" t="s">
        <v>149</v>
      </c>
      <c r="E3" s="121" t="s">
        <v>17</v>
      </c>
      <c r="F3" s="121" t="s">
        <v>150</v>
      </c>
      <c r="G3" s="121" t="s">
        <v>151</v>
      </c>
      <c r="H3" s="121" t="s">
        <v>152</v>
      </c>
      <c r="I3" s="36" t="s">
        <v>148</v>
      </c>
      <c r="J3" s="183" t="s">
        <v>149</v>
      </c>
      <c r="K3" s="121" t="s">
        <v>153</v>
      </c>
      <c r="L3" s="121" t="s">
        <v>154</v>
      </c>
      <c r="M3" s="121">
        <v>0.15</v>
      </c>
      <c r="N3" s="121">
        <v>0.25</v>
      </c>
      <c r="P3" s="121"/>
      <c r="Q3" s="265"/>
      <c r="R3" s="265"/>
      <c r="S3" s="265"/>
      <c r="T3" s="265"/>
      <c r="U3" s="266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x14ac:dyDescent="0.25">
      <c r="A4" s="23"/>
      <c r="B4" s="213" t="s">
        <v>316</v>
      </c>
      <c r="C4" s="121">
        <f t="shared" ref="C4:C15" si="0">E4-D4</f>
        <v>29</v>
      </c>
      <c r="D4" s="121">
        <v>21</v>
      </c>
      <c r="E4" s="121">
        <f>D4+29</f>
        <v>50</v>
      </c>
      <c r="F4" s="121">
        <v>1.5</v>
      </c>
      <c r="G4" s="121">
        <v>1.4</v>
      </c>
      <c r="H4" s="122">
        <f t="shared" ref="H4:H19" si="1">F4*G4</f>
        <v>2.0999999999999996</v>
      </c>
      <c r="I4" s="122">
        <f t="shared" ref="I4:I19" si="2">H4*C4</f>
        <v>60.899999999999991</v>
      </c>
      <c r="J4" s="128">
        <f>H4*D4</f>
        <v>44.099999999999994</v>
      </c>
      <c r="K4" s="122">
        <f t="shared" ref="K4:K18" si="3">(F4*2+G4*2)*E4</f>
        <v>290</v>
      </c>
      <c r="L4" s="122">
        <f>(F4*2+G4*2)*D4</f>
        <v>121.8</v>
      </c>
      <c r="M4" s="122">
        <f>K4*$M$3</f>
        <v>43.5</v>
      </c>
      <c r="N4" s="122">
        <f>L4*$N$3</f>
        <v>30.45</v>
      </c>
      <c r="O4" s="122">
        <f>E4*F4*1.05</f>
        <v>78.75</v>
      </c>
      <c r="P4" s="122">
        <f>F4*D4</f>
        <v>31.5</v>
      </c>
      <c r="Q4" s="122">
        <f t="shared" ref="Q4:Q20" si="4">E4*(F4+2*G4)</f>
        <v>215</v>
      </c>
      <c r="R4" s="122">
        <f t="shared" ref="R4:R19" si="5">Q4</f>
        <v>215</v>
      </c>
      <c r="S4" s="122">
        <f t="shared" ref="S4:S20" si="6">E4*F4</f>
        <v>75</v>
      </c>
      <c r="T4" s="122">
        <f t="shared" ref="T4:T19" si="7">S4</f>
        <v>75</v>
      </c>
      <c r="U4" s="214"/>
      <c r="V4" s="5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x14ac:dyDescent="0.25">
      <c r="A5" s="23"/>
      <c r="B5" s="213" t="s">
        <v>155</v>
      </c>
      <c r="C5" s="121">
        <f t="shared" si="0"/>
        <v>33</v>
      </c>
      <c r="D5" s="121">
        <v>7</v>
      </c>
      <c r="E5" s="121">
        <f>D5+33</f>
        <v>40</v>
      </c>
      <c r="F5" s="121">
        <v>1.5</v>
      </c>
      <c r="G5" s="121">
        <v>1.4</v>
      </c>
      <c r="H5" s="122">
        <f t="shared" si="1"/>
        <v>2.0999999999999996</v>
      </c>
      <c r="I5" s="122">
        <f t="shared" si="2"/>
        <v>69.299999999999983</v>
      </c>
      <c r="J5" s="128">
        <f t="shared" ref="J5:J19" si="8">H5*D5</f>
        <v>14.699999999999998</v>
      </c>
      <c r="K5" s="122">
        <f t="shared" si="3"/>
        <v>232</v>
      </c>
      <c r="L5" s="122">
        <f t="shared" ref="L5:L18" si="9">(F5*2+G5*2)*D5</f>
        <v>40.6</v>
      </c>
      <c r="M5" s="122">
        <f t="shared" ref="M5:M20" si="10">K5*$M$3</f>
        <v>34.799999999999997</v>
      </c>
      <c r="N5" s="122">
        <f t="shared" ref="N5:N15" si="11">L5*$N$3</f>
        <v>10.15</v>
      </c>
      <c r="O5" s="122">
        <f>E5*F5*1.05</f>
        <v>63</v>
      </c>
      <c r="P5" s="122">
        <f>F5*D5</f>
        <v>10.5</v>
      </c>
      <c r="Q5" s="122">
        <f t="shared" si="4"/>
        <v>172</v>
      </c>
      <c r="R5" s="122">
        <f t="shared" si="5"/>
        <v>172</v>
      </c>
      <c r="S5" s="122">
        <f t="shared" si="6"/>
        <v>60</v>
      </c>
      <c r="T5" s="122">
        <f t="shared" si="7"/>
        <v>60</v>
      </c>
      <c r="U5" s="214"/>
      <c r="V5" s="5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x14ac:dyDescent="0.25">
      <c r="A6" s="23"/>
      <c r="B6" s="213" t="s">
        <v>156</v>
      </c>
      <c r="C6" s="121">
        <f t="shared" si="0"/>
        <v>71</v>
      </c>
      <c r="D6" s="121">
        <v>29</v>
      </c>
      <c r="E6" s="121">
        <f>D6+71</f>
        <v>100</v>
      </c>
      <c r="F6" s="121">
        <v>1.5</v>
      </c>
      <c r="G6" s="121">
        <v>1.4</v>
      </c>
      <c r="H6" s="122">
        <f t="shared" si="1"/>
        <v>2.0999999999999996</v>
      </c>
      <c r="I6" s="122">
        <f t="shared" si="2"/>
        <v>149.09999999999997</v>
      </c>
      <c r="J6" s="128">
        <f t="shared" si="8"/>
        <v>60.899999999999991</v>
      </c>
      <c r="K6" s="122">
        <f>(F6*2+G6)*E6</f>
        <v>440.00000000000006</v>
      </c>
      <c r="L6" s="122">
        <f>(F6*2+G6)*D6</f>
        <v>127.60000000000001</v>
      </c>
      <c r="M6" s="122">
        <f t="shared" si="10"/>
        <v>66</v>
      </c>
      <c r="N6" s="122">
        <f t="shared" si="11"/>
        <v>31.900000000000002</v>
      </c>
      <c r="O6" s="122">
        <f>E6*F6*1.05</f>
        <v>157.5</v>
      </c>
      <c r="P6" s="122">
        <f>F6*D6</f>
        <v>43.5</v>
      </c>
      <c r="Q6" s="122">
        <f t="shared" si="4"/>
        <v>430</v>
      </c>
      <c r="R6" s="122">
        <f t="shared" si="5"/>
        <v>430</v>
      </c>
      <c r="S6" s="122">
        <f t="shared" si="6"/>
        <v>150</v>
      </c>
      <c r="T6" s="122">
        <f t="shared" si="7"/>
        <v>150</v>
      </c>
      <c r="U6" s="214"/>
      <c r="V6" s="5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x14ac:dyDescent="0.25">
      <c r="A7" s="23"/>
      <c r="B7" s="213" t="s">
        <v>317</v>
      </c>
      <c r="C7" s="121">
        <f>E7-D7</f>
        <v>71</v>
      </c>
      <c r="D7" s="121">
        <f>D6</f>
        <v>29</v>
      </c>
      <c r="E7" s="121">
        <f>E6</f>
        <v>100</v>
      </c>
      <c r="F7" s="121">
        <v>0.7</v>
      </c>
      <c r="G7" s="121">
        <v>2.1</v>
      </c>
      <c r="H7" s="122">
        <f>F7*G7</f>
        <v>1.47</v>
      </c>
      <c r="I7" s="122">
        <f>H7*C7</f>
        <v>104.37</v>
      </c>
      <c r="J7" s="128">
        <f>H7*D7</f>
        <v>42.63</v>
      </c>
      <c r="K7" s="122">
        <f>(F7*2+(G7-G6)+G7)*E7</f>
        <v>420</v>
      </c>
      <c r="L7" s="122">
        <f>(F7*2+G7-G6+G7)*D7</f>
        <v>121.80000000000001</v>
      </c>
      <c r="M7" s="122">
        <f t="shared" si="10"/>
        <v>63</v>
      </c>
      <c r="N7" s="122">
        <f t="shared" si="11"/>
        <v>30.450000000000003</v>
      </c>
      <c r="O7" s="122"/>
      <c r="P7" s="122"/>
      <c r="Q7" s="122">
        <f t="shared" si="4"/>
        <v>490.00000000000006</v>
      </c>
      <c r="R7" s="122">
        <f>Q7</f>
        <v>490.00000000000006</v>
      </c>
      <c r="S7" s="122">
        <f t="shared" si="6"/>
        <v>70</v>
      </c>
      <c r="T7" s="122">
        <f>S7</f>
        <v>70</v>
      </c>
      <c r="U7" s="214"/>
      <c r="V7" s="5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x14ac:dyDescent="0.25">
      <c r="A8" s="23"/>
      <c r="B8" s="213" t="s">
        <v>157</v>
      </c>
      <c r="C8" s="121">
        <f t="shared" si="0"/>
        <v>99</v>
      </c>
      <c r="D8" s="121">
        <v>41</v>
      </c>
      <c r="E8" s="121">
        <f>D8+99</f>
        <v>140</v>
      </c>
      <c r="F8" s="121">
        <v>2.4</v>
      </c>
      <c r="G8" s="121">
        <v>1.4</v>
      </c>
      <c r="H8" s="122">
        <f t="shared" si="1"/>
        <v>3.36</v>
      </c>
      <c r="I8" s="122">
        <f t="shared" si="2"/>
        <v>332.64</v>
      </c>
      <c r="J8" s="128">
        <f t="shared" si="8"/>
        <v>137.76</v>
      </c>
      <c r="K8" s="122">
        <f t="shared" si="3"/>
        <v>1064</v>
      </c>
      <c r="L8" s="122">
        <f t="shared" si="9"/>
        <v>311.59999999999997</v>
      </c>
      <c r="M8" s="122">
        <f t="shared" si="10"/>
        <v>159.6</v>
      </c>
      <c r="N8" s="122">
        <f t="shared" si="11"/>
        <v>77.899999999999991</v>
      </c>
      <c r="O8" s="122">
        <f>E8*F8*1.05</f>
        <v>352.8</v>
      </c>
      <c r="P8" s="122">
        <f>F8*D8</f>
        <v>98.399999999999991</v>
      </c>
      <c r="Q8" s="122">
        <f t="shared" si="4"/>
        <v>727.99999999999989</v>
      </c>
      <c r="R8" s="122">
        <f t="shared" si="5"/>
        <v>727.99999999999989</v>
      </c>
      <c r="S8" s="122">
        <f t="shared" si="6"/>
        <v>336</v>
      </c>
      <c r="T8" s="122">
        <f t="shared" si="7"/>
        <v>336</v>
      </c>
      <c r="U8" s="214"/>
      <c r="V8" s="5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x14ac:dyDescent="0.25">
      <c r="A9" s="23"/>
      <c r="B9" s="213" t="s">
        <v>158</v>
      </c>
      <c r="C9" s="121">
        <f t="shared" si="0"/>
        <v>30</v>
      </c>
      <c r="D9" s="121">
        <v>10</v>
      </c>
      <c r="E9" s="121">
        <f>D9+30</f>
        <v>40</v>
      </c>
      <c r="F9" s="121">
        <v>1.5</v>
      </c>
      <c r="G9" s="121">
        <v>1.4</v>
      </c>
      <c r="H9" s="122">
        <f t="shared" si="1"/>
        <v>2.0999999999999996</v>
      </c>
      <c r="I9" s="122">
        <f t="shared" si="2"/>
        <v>62.999999999999986</v>
      </c>
      <c r="J9" s="128">
        <f t="shared" si="8"/>
        <v>20.999999999999996</v>
      </c>
      <c r="K9" s="122">
        <f>(F9*2+G9)*E9</f>
        <v>176</v>
      </c>
      <c r="L9" s="122">
        <f>(F9*2+G9)*D9</f>
        <v>44</v>
      </c>
      <c r="M9" s="122">
        <f t="shared" si="10"/>
        <v>26.4</v>
      </c>
      <c r="N9" s="122">
        <f t="shared" si="11"/>
        <v>11</v>
      </c>
      <c r="O9" s="122">
        <f>E9*F9*1.05</f>
        <v>63</v>
      </c>
      <c r="P9" s="122">
        <f>F9*D9</f>
        <v>15</v>
      </c>
      <c r="Q9" s="122">
        <f t="shared" si="4"/>
        <v>172</v>
      </c>
      <c r="R9" s="122">
        <f t="shared" si="5"/>
        <v>172</v>
      </c>
      <c r="S9" s="122">
        <f t="shared" si="6"/>
        <v>60</v>
      </c>
      <c r="T9" s="122">
        <f t="shared" si="7"/>
        <v>60</v>
      </c>
      <c r="U9" s="214"/>
      <c r="V9" s="5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x14ac:dyDescent="0.25">
      <c r="A10" s="23"/>
      <c r="B10" s="213" t="s">
        <v>159</v>
      </c>
      <c r="C10" s="121">
        <f t="shared" si="0"/>
        <v>30</v>
      </c>
      <c r="D10" s="121">
        <f>D9</f>
        <v>10</v>
      </c>
      <c r="E10" s="121">
        <f>E9</f>
        <v>40</v>
      </c>
      <c r="F10" s="121">
        <v>0.8</v>
      </c>
      <c r="G10" s="121">
        <v>2.21</v>
      </c>
      <c r="H10" s="122">
        <f t="shared" si="1"/>
        <v>1.768</v>
      </c>
      <c r="I10" s="122">
        <f t="shared" si="2"/>
        <v>53.04</v>
      </c>
      <c r="J10" s="128">
        <f t="shared" si="8"/>
        <v>17.68</v>
      </c>
      <c r="K10" s="122">
        <f>(F10*2+(G10-G9)+G10)*E10</f>
        <v>184.8</v>
      </c>
      <c r="L10" s="122">
        <f>(F10*2+G10-G9+G10)*D10</f>
        <v>46.2</v>
      </c>
      <c r="M10" s="122">
        <f t="shared" si="10"/>
        <v>27.720000000000002</v>
      </c>
      <c r="N10" s="122">
        <f t="shared" si="11"/>
        <v>11.55</v>
      </c>
      <c r="O10" s="122"/>
      <c r="P10" s="122"/>
      <c r="Q10" s="122">
        <f t="shared" si="4"/>
        <v>208.79999999999998</v>
      </c>
      <c r="R10" s="122">
        <f t="shared" si="5"/>
        <v>208.79999999999998</v>
      </c>
      <c r="S10" s="122">
        <f t="shared" si="6"/>
        <v>32</v>
      </c>
      <c r="T10" s="122">
        <f t="shared" si="7"/>
        <v>32</v>
      </c>
      <c r="U10" s="214"/>
      <c r="V10" s="5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23"/>
      <c r="B11" s="213" t="s">
        <v>318</v>
      </c>
      <c r="C11" s="121">
        <f>E11-D11</f>
        <v>0</v>
      </c>
      <c r="D11" s="121">
        <f>E11</f>
        <v>68</v>
      </c>
      <c r="E11" s="121">
        <v>68</v>
      </c>
      <c r="F11" s="121">
        <v>3.05</v>
      </c>
      <c r="G11" s="121">
        <v>1.6</v>
      </c>
      <c r="H11" s="122">
        <f>F11*G11</f>
        <v>4.88</v>
      </c>
      <c r="I11" s="122">
        <f>H11*C11</f>
        <v>0</v>
      </c>
      <c r="J11" s="128">
        <f>H11*D11</f>
        <v>331.84</v>
      </c>
      <c r="K11" s="122">
        <f>(F11*2+G11*2)*E11</f>
        <v>632.40000000000009</v>
      </c>
      <c r="L11" s="122">
        <f>(F11*2+G11*2)*D11</f>
        <v>632.40000000000009</v>
      </c>
      <c r="M11" s="122">
        <f t="shared" si="10"/>
        <v>94.860000000000014</v>
      </c>
      <c r="N11" s="122">
        <f t="shared" si="11"/>
        <v>158.10000000000002</v>
      </c>
      <c r="O11" s="122">
        <f>E11*F11*1.05</f>
        <v>217.76999999999998</v>
      </c>
      <c r="P11" s="122">
        <f>F11*D11</f>
        <v>207.39999999999998</v>
      </c>
      <c r="Q11" s="122">
        <f t="shared" si="4"/>
        <v>425</v>
      </c>
      <c r="R11" s="122">
        <f>Q11</f>
        <v>425</v>
      </c>
      <c r="S11" s="122">
        <f t="shared" si="6"/>
        <v>207.39999999999998</v>
      </c>
      <c r="T11" s="122">
        <f>S11</f>
        <v>207.39999999999998</v>
      </c>
      <c r="U11" s="214"/>
      <c r="V11" s="5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x14ac:dyDescent="0.25">
      <c r="A12" s="23"/>
      <c r="B12" s="213" t="s">
        <v>322</v>
      </c>
      <c r="C12" s="121">
        <f>E12-D12</f>
        <v>0</v>
      </c>
      <c r="D12" s="121">
        <f>E12</f>
        <v>31</v>
      </c>
      <c r="E12" s="121">
        <v>31</v>
      </c>
      <c r="F12" s="121">
        <v>3.05</v>
      </c>
      <c r="G12" s="121">
        <v>1.6</v>
      </c>
      <c r="H12" s="122">
        <f>F12*G12</f>
        <v>4.88</v>
      </c>
      <c r="I12" s="122">
        <f>H12*C12</f>
        <v>0</v>
      </c>
      <c r="J12" s="128">
        <f>H12*D12</f>
        <v>151.28</v>
      </c>
      <c r="K12" s="122">
        <f>(F12*2+G12*2)*E12</f>
        <v>288.3</v>
      </c>
      <c r="L12" s="122">
        <f>(F12*2+G12*2)*D12</f>
        <v>288.3</v>
      </c>
      <c r="M12" s="122">
        <f t="shared" si="10"/>
        <v>43.244999999999997</v>
      </c>
      <c r="N12" s="122">
        <f t="shared" si="11"/>
        <v>72.075000000000003</v>
      </c>
      <c r="O12" s="122">
        <f>E12*F12*1.05</f>
        <v>99.277500000000003</v>
      </c>
      <c r="P12" s="122">
        <f>F12*D12</f>
        <v>94.55</v>
      </c>
      <c r="Q12" s="122">
        <f t="shared" si="4"/>
        <v>193.75</v>
      </c>
      <c r="R12" s="122">
        <f>Q12</f>
        <v>193.75</v>
      </c>
      <c r="S12" s="122">
        <f t="shared" si="6"/>
        <v>94.55</v>
      </c>
      <c r="T12" s="122">
        <f>S12</f>
        <v>94.55</v>
      </c>
      <c r="U12" s="214"/>
      <c r="V12" s="5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x14ac:dyDescent="0.25">
      <c r="A13" s="23"/>
      <c r="B13" s="213" t="s">
        <v>319</v>
      </c>
      <c r="C13" s="121">
        <f>E13-D13</f>
        <v>0</v>
      </c>
      <c r="D13" s="121">
        <f>E13</f>
        <v>10</v>
      </c>
      <c r="E13" s="121">
        <v>10</v>
      </c>
      <c r="F13" s="121">
        <v>2.77</v>
      </c>
      <c r="G13" s="121">
        <v>1.6</v>
      </c>
      <c r="H13" s="122">
        <f>F13*G13</f>
        <v>4.4320000000000004</v>
      </c>
      <c r="I13" s="122">
        <f>H13*C13</f>
        <v>0</v>
      </c>
      <c r="J13" s="128">
        <f>H13*D13</f>
        <v>44.320000000000007</v>
      </c>
      <c r="K13" s="122">
        <f>(F13*2+G13*2)*E13</f>
        <v>87.4</v>
      </c>
      <c r="L13" s="122">
        <f>(F13*2+G13*2)*D13</f>
        <v>87.4</v>
      </c>
      <c r="M13" s="122">
        <f t="shared" si="10"/>
        <v>13.110000000000001</v>
      </c>
      <c r="N13" s="122">
        <f t="shared" si="11"/>
        <v>21.85</v>
      </c>
      <c r="O13" s="122">
        <f>E13*F13*1.05</f>
        <v>29.085000000000001</v>
      </c>
      <c r="P13" s="122">
        <f>F13*D13</f>
        <v>27.7</v>
      </c>
      <c r="Q13" s="122">
        <f t="shared" si="4"/>
        <v>59.7</v>
      </c>
      <c r="R13" s="122">
        <f>Q13</f>
        <v>59.7</v>
      </c>
      <c r="S13" s="122">
        <f t="shared" si="6"/>
        <v>27.7</v>
      </c>
      <c r="T13" s="122">
        <f>S13</f>
        <v>27.7</v>
      </c>
      <c r="U13" s="214"/>
      <c r="V13" s="5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x14ac:dyDescent="0.25">
      <c r="A14" s="23"/>
      <c r="B14" s="213" t="s">
        <v>320</v>
      </c>
      <c r="C14" s="121">
        <f t="shared" si="0"/>
        <v>50</v>
      </c>
      <c r="D14" s="121">
        <v>0</v>
      </c>
      <c r="E14" s="121">
        <v>50</v>
      </c>
      <c r="F14" s="121">
        <v>1.1000000000000001</v>
      </c>
      <c r="G14" s="121">
        <v>0.35</v>
      </c>
      <c r="H14" s="122">
        <f t="shared" si="1"/>
        <v>0.38500000000000001</v>
      </c>
      <c r="I14" s="122">
        <f t="shared" si="2"/>
        <v>19.25</v>
      </c>
      <c r="J14" s="128">
        <f t="shared" si="8"/>
        <v>0</v>
      </c>
      <c r="K14" s="122">
        <f t="shared" si="3"/>
        <v>145.00000000000003</v>
      </c>
      <c r="L14" s="122">
        <f t="shared" si="9"/>
        <v>0</v>
      </c>
      <c r="M14" s="122">
        <f t="shared" si="10"/>
        <v>21.750000000000004</v>
      </c>
      <c r="N14" s="122"/>
      <c r="O14" s="122">
        <f>E14*F14*1.05</f>
        <v>57.750000000000007</v>
      </c>
      <c r="P14" s="122">
        <f>F14*D14</f>
        <v>0</v>
      </c>
      <c r="Q14" s="122">
        <f t="shared" si="4"/>
        <v>90</v>
      </c>
      <c r="R14" s="122">
        <f t="shared" si="5"/>
        <v>90</v>
      </c>
      <c r="S14" s="122">
        <f t="shared" si="6"/>
        <v>55.000000000000007</v>
      </c>
      <c r="T14" s="122">
        <f t="shared" si="7"/>
        <v>55.000000000000007</v>
      </c>
      <c r="U14" s="166"/>
      <c r="V14" s="5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x14ac:dyDescent="0.25">
      <c r="A15" s="23"/>
      <c r="B15" s="213" t="s">
        <v>160</v>
      </c>
      <c r="C15" s="121">
        <f t="shared" si="0"/>
        <v>72</v>
      </c>
      <c r="D15" s="121">
        <v>0</v>
      </c>
      <c r="E15" s="121">
        <v>72</v>
      </c>
      <c r="F15" s="121">
        <v>2.36</v>
      </c>
      <c r="G15" s="121">
        <v>0.7</v>
      </c>
      <c r="H15" s="122">
        <f t="shared" si="1"/>
        <v>1.6519999999999999</v>
      </c>
      <c r="I15" s="122">
        <f t="shared" si="2"/>
        <v>118.94399999999999</v>
      </c>
      <c r="J15" s="128">
        <f t="shared" si="8"/>
        <v>0</v>
      </c>
      <c r="K15" s="122">
        <f t="shared" si="3"/>
        <v>440.63999999999993</v>
      </c>
      <c r="L15" s="122">
        <f t="shared" si="9"/>
        <v>0</v>
      </c>
      <c r="M15" s="122">
        <f t="shared" si="10"/>
        <v>66.095999999999989</v>
      </c>
      <c r="N15" s="122">
        <f t="shared" si="11"/>
        <v>0</v>
      </c>
      <c r="O15" s="122">
        <f>E15*F15*1.05</f>
        <v>178.416</v>
      </c>
      <c r="P15" s="122">
        <f>F15*D15</f>
        <v>0</v>
      </c>
      <c r="Q15" s="122">
        <f t="shared" si="4"/>
        <v>270.71999999999997</v>
      </c>
      <c r="R15" s="122">
        <f t="shared" si="5"/>
        <v>270.71999999999997</v>
      </c>
      <c r="S15" s="122">
        <f t="shared" si="6"/>
        <v>169.92</v>
      </c>
      <c r="T15" s="122">
        <f t="shared" si="7"/>
        <v>169.92</v>
      </c>
      <c r="U15" s="214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33.75" x14ac:dyDescent="0.25">
      <c r="A16" s="23"/>
      <c r="B16" s="215" t="s">
        <v>321</v>
      </c>
      <c r="C16" s="121">
        <f>E16-D16</f>
        <v>0</v>
      </c>
      <c r="D16" s="121">
        <v>8</v>
      </c>
      <c r="E16" s="121">
        <f t="shared" ref="E16:E20" si="12">D16</f>
        <v>8</v>
      </c>
      <c r="F16" s="121">
        <v>0.9</v>
      </c>
      <c r="G16" s="121">
        <v>2.0499999999999998</v>
      </c>
      <c r="H16" s="122">
        <f t="shared" si="1"/>
        <v>1.845</v>
      </c>
      <c r="I16" s="122">
        <f t="shared" si="2"/>
        <v>0</v>
      </c>
      <c r="J16" s="128">
        <f t="shared" si="8"/>
        <v>14.76</v>
      </c>
      <c r="K16" s="122">
        <f t="shared" si="3"/>
        <v>47.199999999999996</v>
      </c>
      <c r="L16" s="122">
        <f t="shared" si="9"/>
        <v>47.199999999999996</v>
      </c>
      <c r="M16" s="122">
        <f t="shared" si="10"/>
        <v>7.0799999999999992</v>
      </c>
      <c r="N16" s="122"/>
      <c r="O16" s="122"/>
      <c r="P16" s="122"/>
      <c r="Q16" s="122">
        <f t="shared" si="4"/>
        <v>40</v>
      </c>
      <c r="R16" s="122">
        <f t="shared" si="5"/>
        <v>40</v>
      </c>
      <c r="S16" s="122">
        <f t="shared" si="6"/>
        <v>7.2</v>
      </c>
      <c r="T16" s="122">
        <f t="shared" si="7"/>
        <v>7.2</v>
      </c>
      <c r="U16" s="166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28" s="23" customFormat="1" ht="78.75" x14ac:dyDescent="0.25">
      <c r="B17" s="215" t="s">
        <v>432</v>
      </c>
      <c r="C17" s="121">
        <f>E17-D17</f>
        <v>0</v>
      </c>
      <c r="D17" s="121">
        <v>8</v>
      </c>
      <c r="E17" s="121">
        <f t="shared" si="12"/>
        <v>8</v>
      </c>
      <c r="F17" s="121">
        <v>1.25</v>
      </c>
      <c r="G17" s="121">
        <v>2.0499999999999998</v>
      </c>
      <c r="H17" s="122">
        <f t="shared" si="1"/>
        <v>2.5625</v>
      </c>
      <c r="I17" s="122">
        <f t="shared" si="2"/>
        <v>0</v>
      </c>
      <c r="J17" s="128">
        <f t="shared" si="8"/>
        <v>20.5</v>
      </c>
      <c r="K17" s="122">
        <f t="shared" si="3"/>
        <v>52.8</v>
      </c>
      <c r="L17" s="122">
        <f t="shared" si="9"/>
        <v>52.8</v>
      </c>
      <c r="M17" s="122">
        <f t="shared" si="10"/>
        <v>7.919999999999999</v>
      </c>
      <c r="N17" s="122"/>
      <c r="O17" s="122"/>
      <c r="P17" s="122"/>
      <c r="Q17" s="122">
        <f t="shared" si="4"/>
        <v>42.8</v>
      </c>
      <c r="R17" s="122">
        <f t="shared" si="5"/>
        <v>42.8</v>
      </c>
      <c r="S17" s="122">
        <f t="shared" si="6"/>
        <v>10</v>
      </c>
      <c r="T17" s="122">
        <f t="shared" si="7"/>
        <v>10</v>
      </c>
      <c r="U17" s="166"/>
      <c r="V17" s="57"/>
    </row>
    <row r="18" spans="1:28" s="23" customFormat="1" x14ac:dyDescent="0.25">
      <c r="B18" s="213" t="s">
        <v>433</v>
      </c>
      <c r="C18" s="121">
        <f>E18-D18</f>
        <v>0</v>
      </c>
      <c r="D18" s="121">
        <v>43</v>
      </c>
      <c r="E18" s="121">
        <f t="shared" si="12"/>
        <v>43</v>
      </c>
      <c r="F18" s="121">
        <v>0.21</v>
      </c>
      <c r="G18" s="121">
        <v>0.21</v>
      </c>
      <c r="H18" s="122">
        <f t="shared" si="1"/>
        <v>4.4099999999999993E-2</v>
      </c>
      <c r="I18" s="122">
        <f t="shared" si="2"/>
        <v>0</v>
      </c>
      <c r="J18" s="128">
        <f t="shared" si="8"/>
        <v>1.8962999999999997</v>
      </c>
      <c r="K18" s="122">
        <f t="shared" si="3"/>
        <v>36.119999999999997</v>
      </c>
      <c r="L18" s="122">
        <f t="shared" si="9"/>
        <v>36.119999999999997</v>
      </c>
      <c r="M18" s="122">
        <f t="shared" si="10"/>
        <v>5.4179999999999993</v>
      </c>
      <c r="N18" s="122"/>
      <c r="O18" s="122"/>
      <c r="P18" s="122"/>
      <c r="Q18" s="122">
        <f t="shared" si="4"/>
        <v>27.09</v>
      </c>
      <c r="R18" s="122">
        <f t="shared" si="5"/>
        <v>27.09</v>
      </c>
      <c r="S18" s="122">
        <f t="shared" si="6"/>
        <v>9.0299999999999994</v>
      </c>
      <c r="T18" s="122">
        <f t="shared" si="7"/>
        <v>9.0299999999999994</v>
      </c>
      <c r="U18" s="166"/>
      <c r="V18" s="57" t="s">
        <v>161</v>
      </c>
      <c r="AB18" s="57" t="s">
        <v>162</v>
      </c>
    </row>
    <row r="19" spans="1:28" s="23" customFormat="1" x14ac:dyDescent="0.25">
      <c r="B19" s="213" t="s">
        <v>415</v>
      </c>
      <c r="C19" s="121">
        <f>E19-D19</f>
        <v>0</v>
      </c>
      <c r="D19" s="121">
        <v>8</v>
      </c>
      <c r="E19" s="121">
        <f t="shared" si="12"/>
        <v>8</v>
      </c>
      <c r="F19" s="121">
        <v>0.4</v>
      </c>
      <c r="G19" s="121">
        <v>0.3</v>
      </c>
      <c r="H19" s="122">
        <f t="shared" si="1"/>
        <v>0.12</v>
      </c>
      <c r="I19" s="122">
        <f t="shared" si="2"/>
        <v>0</v>
      </c>
      <c r="J19" s="128">
        <f t="shared" si="8"/>
        <v>0.96</v>
      </c>
      <c r="K19" s="122"/>
      <c r="L19" s="122"/>
      <c r="M19" s="122">
        <f t="shared" si="10"/>
        <v>0</v>
      </c>
      <c r="N19" s="122"/>
      <c r="O19" s="122"/>
      <c r="P19" s="122"/>
      <c r="Q19" s="122">
        <f t="shared" si="4"/>
        <v>8</v>
      </c>
      <c r="R19" s="122">
        <f t="shared" si="5"/>
        <v>8</v>
      </c>
      <c r="S19" s="122">
        <f t="shared" si="6"/>
        <v>3.2</v>
      </c>
      <c r="T19" s="122">
        <f t="shared" si="7"/>
        <v>3.2</v>
      </c>
      <c r="U19" s="166"/>
      <c r="V19" s="57"/>
      <c r="Y19" s="57" t="s">
        <v>163</v>
      </c>
      <c r="AB19" s="23" t="s">
        <v>164</v>
      </c>
    </row>
    <row r="20" spans="1:28" s="23" customFormat="1" x14ac:dyDescent="0.25">
      <c r="B20" s="213" t="s">
        <v>416</v>
      </c>
      <c r="C20" s="121">
        <f>E20-D20</f>
        <v>0</v>
      </c>
      <c r="D20" s="121">
        <v>120</v>
      </c>
      <c r="E20" s="121">
        <f t="shared" si="12"/>
        <v>120</v>
      </c>
      <c r="F20" s="121">
        <v>0.15</v>
      </c>
      <c r="G20" s="121">
        <v>0.15</v>
      </c>
      <c r="H20" s="122">
        <f>F20*G20</f>
        <v>2.2499999999999999E-2</v>
      </c>
      <c r="I20" s="122">
        <f>H20*C20</f>
        <v>0</v>
      </c>
      <c r="J20" s="128">
        <f>H20*D20</f>
        <v>2.6999999999999997</v>
      </c>
      <c r="K20" s="122"/>
      <c r="L20" s="122"/>
      <c r="M20" s="122">
        <f t="shared" si="10"/>
        <v>0</v>
      </c>
      <c r="N20" s="122"/>
      <c r="O20" s="122"/>
      <c r="P20" s="122"/>
      <c r="Q20" s="122">
        <f t="shared" si="4"/>
        <v>53.999999999999993</v>
      </c>
      <c r="R20" s="122">
        <f>Q20</f>
        <v>53.999999999999993</v>
      </c>
      <c r="S20" s="122">
        <f t="shared" si="6"/>
        <v>18</v>
      </c>
      <c r="T20" s="122">
        <f>S20</f>
        <v>18</v>
      </c>
      <c r="U20" s="167"/>
      <c r="V20" s="57"/>
      <c r="Y20" s="57"/>
    </row>
    <row r="21" spans="1:28" s="23" customFormat="1" ht="12" thickBot="1" x14ac:dyDescent="0.3">
      <c r="A21" s="204"/>
      <c r="B21" s="216"/>
      <c r="C21" s="168"/>
      <c r="D21" s="217"/>
      <c r="E21" s="218">
        <f>SUM(E4:E20)</f>
        <v>928</v>
      </c>
      <c r="F21" s="217"/>
      <c r="G21" s="217"/>
      <c r="H21" s="217"/>
      <c r="I21" s="218"/>
      <c r="J21" s="218">
        <f>SUM(J4:J20)</f>
        <v>907.02629999999999</v>
      </c>
      <c r="K21" s="218">
        <f t="shared" ref="K21:T21" si="13">SUM(K4:K20)</f>
        <v>4536.6600000000008</v>
      </c>
      <c r="L21" s="218">
        <f t="shared" si="13"/>
        <v>1957.82</v>
      </c>
      <c r="M21" s="218">
        <f t="shared" si="13"/>
        <v>680.49900000000002</v>
      </c>
      <c r="N21" s="218">
        <f>SUM(N4:N20)</f>
        <v>455.42500000000001</v>
      </c>
      <c r="O21" s="218">
        <f t="shared" ref="O21:P21" si="14">SUM(O4:O20)</f>
        <v>1297.3484999999998</v>
      </c>
      <c r="P21" s="218">
        <f t="shared" si="14"/>
        <v>528.54999999999995</v>
      </c>
      <c r="Q21" s="218">
        <f t="shared" si="13"/>
        <v>3626.86</v>
      </c>
      <c r="R21" s="218">
        <f t="shared" si="13"/>
        <v>3626.86</v>
      </c>
      <c r="S21" s="218">
        <f t="shared" si="13"/>
        <v>1385.0000000000002</v>
      </c>
      <c r="T21" s="218">
        <f t="shared" si="13"/>
        <v>1385.0000000000002</v>
      </c>
      <c r="U21" s="218">
        <v>321</v>
      </c>
    </row>
    <row r="22" spans="1:28" s="23" customFormat="1" x14ac:dyDescent="0.25">
      <c r="A22" s="204"/>
      <c r="B22" s="213" t="s">
        <v>324</v>
      </c>
      <c r="C22" s="121">
        <f t="shared" ref="C22:C27" si="15">E22-D22</f>
        <v>0</v>
      </c>
      <c r="D22" s="121">
        <v>12</v>
      </c>
      <c r="E22" s="121">
        <f t="shared" ref="E22:E27" si="16">D22</f>
        <v>12</v>
      </c>
      <c r="F22" s="121">
        <v>9.15</v>
      </c>
      <c r="G22" s="121">
        <v>1</v>
      </c>
      <c r="H22" s="122">
        <f t="shared" ref="H22:H27" si="17">F22*G22</f>
        <v>9.15</v>
      </c>
      <c r="I22" s="122">
        <f t="shared" ref="I22:I27" si="18">H22*C22</f>
        <v>0</v>
      </c>
      <c r="J22" s="128">
        <f t="shared" ref="J22:J27" si="19">H22*D22</f>
        <v>109.80000000000001</v>
      </c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</row>
    <row r="23" spans="1:28" s="23" customFormat="1" x14ac:dyDescent="0.25">
      <c r="A23" s="204"/>
      <c r="B23" s="213" t="s">
        <v>325</v>
      </c>
      <c r="C23" s="121">
        <f t="shared" si="15"/>
        <v>0</v>
      </c>
      <c r="D23" s="121">
        <v>8</v>
      </c>
      <c r="E23" s="121">
        <f t="shared" si="16"/>
        <v>8</v>
      </c>
      <c r="F23" s="121">
        <v>9.15</v>
      </c>
      <c r="G23" s="121">
        <v>1</v>
      </c>
      <c r="H23" s="122">
        <f t="shared" si="17"/>
        <v>9.15</v>
      </c>
      <c r="I23" s="122">
        <f t="shared" si="18"/>
        <v>0</v>
      </c>
      <c r="J23" s="128">
        <f t="shared" si="19"/>
        <v>73.2</v>
      </c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</row>
    <row r="24" spans="1:28" s="23" customFormat="1" x14ac:dyDescent="0.25">
      <c r="A24" s="204"/>
      <c r="B24" s="213" t="s">
        <v>326</v>
      </c>
      <c r="C24" s="121">
        <f t="shared" si="15"/>
        <v>0</v>
      </c>
      <c r="D24" s="121">
        <v>12</v>
      </c>
      <c r="E24" s="121">
        <f t="shared" si="16"/>
        <v>12</v>
      </c>
      <c r="F24" s="121">
        <v>8.8699999999999992</v>
      </c>
      <c r="G24" s="121">
        <v>1</v>
      </c>
      <c r="H24" s="122">
        <f t="shared" si="17"/>
        <v>8.8699999999999992</v>
      </c>
      <c r="I24" s="122">
        <f t="shared" si="18"/>
        <v>0</v>
      </c>
      <c r="J24" s="128">
        <f t="shared" si="19"/>
        <v>106.44</v>
      </c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</row>
    <row r="25" spans="1:28" s="23" customFormat="1" x14ac:dyDescent="0.25">
      <c r="A25" s="204"/>
      <c r="B25" s="213" t="s">
        <v>327</v>
      </c>
      <c r="C25" s="121">
        <f t="shared" si="15"/>
        <v>0</v>
      </c>
      <c r="D25" s="121">
        <v>8</v>
      </c>
      <c r="E25" s="121">
        <f t="shared" si="16"/>
        <v>8</v>
      </c>
      <c r="F25" s="121">
        <v>8.8699999999999992</v>
      </c>
      <c r="G25" s="121">
        <v>1</v>
      </c>
      <c r="H25" s="122">
        <f t="shared" si="17"/>
        <v>8.8699999999999992</v>
      </c>
      <c r="I25" s="122">
        <f t="shared" si="18"/>
        <v>0</v>
      </c>
      <c r="J25" s="128">
        <f t="shared" si="19"/>
        <v>70.959999999999994</v>
      </c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</row>
    <row r="26" spans="1:28" s="23" customFormat="1" x14ac:dyDescent="0.25">
      <c r="A26" s="204"/>
      <c r="B26" s="213" t="s">
        <v>328</v>
      </c>
      <c r="C26" s="121">
        <f t="shared" si="15"/>
        <v>0</v>
      </c>
      <c r="D26" s="121">
        <v>5</v>
      </c>
      <c r="E26" s="121">
        <f t="shared" si="16"/>
        <v>5</v>
      </c>
      <c r="F26" s="121">
        <v>3.05</v>
      </c>
      <c r="G26" s="121">
        <v>1</v>
      </c>
      <c r="H26" s="122">
        <f t="shared" si="17"/>
        <v>3.05</v>
      </c>
      <c r="I26" s="122">
        <f t="shared" si="18"/>
        <v>0</v>
      </c>
      <c r="J26" s="128">
        <f t="shared" si="19"/>
        <v>15.25</v>
      </c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</row>
    <row r="27" spans="1:28" s="23" customFormat="1" x14ac:dyDescent="0.25">
      <c r="A27" s="204"/>
      <c r="B27" s="213" t="s">
        <v>329</v>
      </c>
      <c r="C27" s="121">
        <f t="shared" si="15"/>
        <v>0</v>
      </c>
      <c r="D27" s="121">
        <v>15</v>
      </c>
      <c r="E27" s="121">
        <f t="shared" si="16"/>
        <v>15</v>
      </c>
      <c r="F27" s="121">
        <v>2.77</v>
      </c>
      <c r="G27" s="121">
        <v>1</v>
      </c>
      <c r="H27" s="122">
        <f t="shared" si="17"/>
        <v>2.77</v>
      </c>
      <c r="I27" s="122">
        <f t="shared" si="18"/>
        <v>0</v>
      </c>
      <c r="J27" s="128">
        <f t="shared" si="19"/>
        <v>41.55</v>
      </c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</row>
    <row r="28" spans="1:28" s="23" customFormat="1" x14ac:dyDescent="0.25">
      <c r="A28" s="204"/>
      <c r="B28" s="52"/>
      <c r="C28" s="55"/>
      <c r="D28" s="55"/>
      <c r="E28" s="115">
        <f>SUM(E22:E27)</f>
        <v>60</v>
      </c>
      <c r="F28" s="55"/>
      <c r="G28" s="55"/>
      <c r="H28" s="64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</row>
    <row r="29" spans="1:28" s="23" customFormat="1" x14ac:dyDescent="0.25">
      <c r="A29" s="204"/>
      <c r="B29" s="52"/>
      <c r="C29" s="55"/>
      <c r="D29" s="55"/>
      <c r="E29" s="55"/>
      <c r="F29" s="55"/>
      <c r="G29" s="55"/>
      <c r="H29" s="64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</row>
    <row r="30" spans="1:28" s="23" customFormat="1" x14ac:dyDescent="0.25">
      <c r="A30" s="204"/>
      <c r="B30" s="52"/>
      <c r="C30" s="56"/>
      <c r="D30" s="220"/>
      <c r="E30" s="219"/>
      <c r="F30" s="220"/>
      <c r="G30" s="220"/>
      <c r="H30" s="220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</row>
    <row r="31" spans="1:28" s="23" customFormat="1" x14ac:dyDescent="0.25">
      <c r="A31" s="204"/>
      <c r="B31" s="52"/>
      <c r="C31" s="56"/>
      <c r="D31" s="220"/>
      <c r="E31" s="219"/>
      <c r="F31" s="220"/>
      <c r="G31" s="220"/>
      <c r="H31" s="220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</row>
    <row r="32" spans="1:28" s="23" customFormat="1" x14ac:dyDescent="0.25">
      <c r="A32" s="204"/>
      <c r="B32" s="221" t="s">
        <v>165</v>
      </c>
      <c r="E32" s="222"/>
    </row>
    <row r="33" spans="1:12" s="23" customFormat="1" x14ac:dyDescent="0.25">
      <c r="A33" s="223" t="s">
        <v>166</v>
      </c>
      <c r="B33" s="224" t="s">
        <v>167</v>
      </c>
      <c r="C33" s="63"/>
      <c r="D33" s="224" t="s">
        <v>168</v>
      </c>
      <c r="E33" s="63"/>
    </row>
    <row r="34" spans="1:12" s="23" customFormat="1" x14ac:dyDescent="0.25">
      <c r="A34" s="223"/>
      <c r="B34" s="225" t="s">
        <v>169</v>
      </c>
      <c r="C34" s="63"/>
      <c r="D34" s="224"/>
      <c r="F34" s="63" t="s">
        <v>170</v>
      </c>
    </row>
    <row r="35" spans="1:12" s="23" customFormat="1" ht="45" x14ac:dyDescent="0.25">
      <c r="A35" s="176" t="s">
        <v>171</v>
      </c>
      <c r="B35" s="152" t="s">
        <v>385</v>
      </c>
      <c r="C35" s="226" t="s">
        <v>47</v>
      </c>
      <c r="D35" s="227">
        <v>750</v>
      </c>
      <c r="F35" s="63" t="s">
        <v>172</v>
      </c>
      <c r="G35" s="154" t="s">
        <v>176</v>
      </c>
    </row>
    <row r="36" spans="1:12" s="23" customFormat="1" ht="45" x14ac:dyDescent="0.25">
      <c r="A36" s="176" t="s">
        <v>349</v>
      </c>
      <c r="B36" s="152" t="s">
        <v>386</v>
      </c>
      <c r="C36" s="226" t="s">
        <v>47</v>
      </c>
      <c r="D36" s="227">
        <f>1500+520</f>
        <v>2020</v>
      </c>
      <c r="F36" s="63"/>
      <c r="G36" s="154"/>
    </row>
    <row r="37" spans="1:12" s="23" customFormat="1" ht="45" x14ac:dyDescent="0.25">
      <c r="A37" s="147" t="s">
        <v>348</v>
      </c>
      <c r="B37" s="6" t="s">
        <v>387</v>
      </c>
      <c r="C37" s="226" t="s">
        <v>47</v>
      </c>
      <c r="D37" s="228">
        <f>28*3.25</f>
        <v>91</v>
      </c>
      <c r="F37" s="63"/>
      <c r="G37" s="154"/>
    </row>
    <row r="38" spans="1:12" s="23" customFormat="1" x14ac:dyDescent="0.25">
      <c r="A38" s="147"/>
      <c r="B38" s="6"/>
      <c r="C38" s="229"/>
      <c r="D38" s="228">
        <f>SUM(D35:D37)</f>
        <v>2861</v>
      </c>
      <c r="F38" s="63"/>
      <c r="G38" s="154"/>
    </row>
    <row r="39" spans="1:12" s="23" customFormat="1" ht="33.75" x14ac:dyDescent="0.25">
      <c r="A39" s="176" t="s">
        <v>173</v>
      </c>
      <c r="B39" s="152" t="s">
        <v>382</v>
      </c>
      <c r="C39" s="226" t="s">
        <v>47</v>
      </c>
      <c r="D39" s="227"/>
      <c r="F39" s="63"/>
      <c r="G39" s="154"/>
    </row>
    <row r="40" spans="1:12" s="23" customFormat="1" x14ac:dyDescent="0.25">
      <c r="A40" s="147"/>
      <c r="B40" s="6"/>
      <c r="C40" s="229"/>
      <c r="D40" s="228"/>
      <c r="F40" s="63"/>
      <c r="G40" s="154"/>
    </row>
    <row r="41" spans="1:12" s="23" customFormat="1" ht="45" x14ac:dyDescent="0.25">
      <c r="A41" s="176" t="s">
        <v>347</v>
      </c>
      <c r="B41" s="152" t="s">
        <v>417</v>
      </c>
      <c r="C41" s="226" t="s">
        <v>47</v>
      </c>
      <c r="D41" s="227">
        <f>2.6*U21</f>
        <v>834.6</v>
      </c>
      <c r="F41" s="63" t="s">
        <v>383</v>
      </c>
      <c r="G41" s="63">
        <f>U21*1.6</f>
        <v>513.6</v>
      </c>
    </row>
    <row r="42" spans="1:12" s="23" customFormat="1" ht="33.75" x14ac:dyDescent="0.25">
      <c r="A42" s="176" t="s">
        <v>174</v>
      </c>
      <c r="B42" s="150" t="s">
        <v>418</v>
      </c>
      <c r="C42" s="226" t="s">
        <v>47</v>
      </c>
      <c r="D42" s="227">
        <f>1430+8*7</f>
        <v>1486</v>
      </c>
      <c r="F42" s="63"/>
      <c r="G42" s="63"/>
      <c r="H42" s="63"/>
      <c r="I42" s="63"/>
      <c r="J42" s="63"/>
      <c r="K42" s="63"/>
      <c r="L42" s="63"/>
    </row>
    <row r="43" spans="1:12" s="23" customFormat="1" ht="67.5" x14ac:dyDescent="0.25">
      <c r="A43" s="176" t="s">
        <v>175</v>
      </c>
      <c r="B43" s="150" t="s">
        <v>419</v>
      </c>
      <c r="C43" s="226" t="s">
        <v>47</v>
      </c>
      <c r="D43" s="227"/>
      <c r="E43" s="63"/>
      <c r="F43" s="63"/>
      <c r="G43" s="63"/>
      <c r="H43" s="63"/>
      <c r="I43" s="63"/>
      <c r="J43" s="63"/>
      <c r="K43" s="63"/>
      <c r="L43" s="63"/>
    </row>
    <row r="44" spans="1:12" s="23" customFormat="1" x14ac:dyDescent="0.25">
      <c r="A44" s="176"/>
      <c r="B44" s="150"/>
      <c r="C44" s="226"/>
      <c r="D44" s="121"/>
      <c r="E44" s="63"/>
      <c r="F44" s="63"/>
      <c r="G44" s="63"/>
      <c r="H44" s="63"/>
      <c r="I44" s="63"/>
      <c r="J44" s="63"/>
      <c r="K44" s="63"/>
      <c r="L44" s="63"/>
    </row>
  </sheetData>
  <mergeCells count="13">
    <mergeCell ref="K1:L1"/>
    <mergeCell ref="M1:N1"/>
    <mergeCell ref="O1:P1"/>
    <mergeCell ref="Q1:U1"/>
    <mergeCell ref="B2:B3"/>
    <mergeCell ref="C2:E2"/>
    <mergeCell ref="F2:G2"/>
    <mergeCell ref="H2:J2"/>
    <mergeCell ref="Q2:Q3"/>
    <mergeCell ref="R2:R3"/>
    <mergeCell ref="S2:S3"/>
    <mergeCell ref="T2:T3"/>
    <mergeCell ref="U2:U3"/>
  </mergeCells>
  <pageMargins left="0" right="0" top="0.78740157480314965" bottom="0.39370078740157483" header="0.51181102362204722" footer="0.51181102362204722"/>
  <pageSetup paperSize="9" scale="80" firstPageNumber="0" orientation="landscape" r:id="rId1"/>
  <rowBreaks count="2" manualBreakCount="2">
    <brk id="32" max="16383" man="1"/>
    <brk id="60" max="16383" man="1"/>
  </rowBreaks>
  <colBreaks count="1" manualBreakCount="1">
    <brk id="21" max="1048575" man="1"/>
  </colBreaks>
  <ignoredErrors>
    <ignoredError sqref="S4:S10 S16:S20 S11:S15 K7:L8 K10:L10 E2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38"/>
  <sheetViews>
    <sheetView zoomScaleNormal="100" zoomScaleSheetLayoutView="115" zoomScalePageLayoutView="115" workbookViewId="0">
      <selection activeCell="I5" sqref="I5"/>
    </sheetView>
  </sheetViews>
  <sheetFormatPr defaultColWidth="9" defaultRowHeight="11.25" x14ac:dyDescent="0.25"/>
  <cols>
    <col min="1" max="1" width="4.28515625" style="23" bestFit="1" customWidth="1"/>
    <col min="2" max="2" width="7.140625" style="23" customWidth="1"/>
    <col min="3" max="3" width="42.5703125" style="61" bestFit="1" customWidth="1"/>
    <col min="4" max="4" width="5.28515625" style="23" bestFit="1" customWidth="1"/>
    <col min="5" max="5" width="8.5703125" style="23" customWidth="1"/>
    <col min="6" max="6" width="4.140625" style="23" hidden="1" customWidth="1"/>
    <col min="7" max="7" width="6.140625" style="56" customWidth="1"/>
    <col min="8" max="12" width="6.140625" style="23" customWidth="1"/>
    <col min="13" max="13" width="7.85546875" style="23" customWidth="1"/>
    <col min="14" max="14" width="10" style="23" customWidth="1"/>
    <col min="15" max="17" width="7.85546875" style="23" customWidth="1"/>
    <col min="18" max="1022" width="8.140625" style="23"/>
    <col min="1023" max="16384" width="9" style="23"/>
  </cols>
  <sheetData>
    <row r="1" spans="1:17" s="52" customFormat="1" x14ac:dyDescent="0.25">
      <c r="A1" s="246" t="s">
        <v>23</v>
      </c>
      <c r="B1" s="246"/>
      <c r="C1" s="246"/>
      <c r="D1" s="246"/>
      <c r="E1" s="246"/>
      <c r="F1" s="246"/>
      <c r="G1" s="246"/>
      <c r="H1" s="148">
        <f>KPDV!A15</f>
        <v>3</v>
      </c>
      <c r="I1" s="103"/>
      <c r="J1" s="103"/>
      <c r="K1" s="103"/>
      <c r="L1" s="103"/>
    </row>
    <row r="2" spans="1:17" s="53" customFormat="1" x14ac:dyDescent="0.25">
      <c r="A2" s="54"/>
      <c r="B2" s="54"/>
      <c r="C2" s="54" t="s">
        <v>90</v>
      </c>
      <c r="D2" s="54"/>
      <c r="E2" s="54"/>
      <c r="F2" s="54"/>
      <c r="G2" s="54"/>
      <c r="H2" s="149"/>
      <c r="I2" s="54"/>
      <c r="J2" s="54"/>
      <c r="K2" s="54"/>
      <c r="L2" s="54"/>
    </row>
    <row r="3" spans="1:17" s="57" customFormat="1" x14ac:dyDescent="0.25">
      <c r="A3" s="57" t="str">
        <f>KPDV!A3</f>
        <v>Būves nosaukums: Daudzdzīvokļu dzīvojamās mājas fasādes vienkāršotā atjaunošana</v>
      </c>
    </row>
    <row r="4" spans="1:17" s="57" customFormat="1" x14ac:dyDescent="0.25">
      <c r="A4" s="57" t="str">
        <f>KPDV!A4</f>
        <v>Objekta nosaukums: fasādes vienkāršotā atjaunošana</v>
      </c>
    </row>
    <row r="5" spans="1:17" x14ac:dyDescent="0.25">
      <c r="A5" s="23" t="str">
        <f>KPDV!A5</f>
        <v>Objekta adrese: Tisē iela 75 Liepājā</v>
      </c>
      <c r="G5" s="23"/>
    </row>
    <row r="6" spans="1:17" x14ac:dyDescent="0.25">
      <c r="A6" s="23" t="str">
        <f>KPDV!A6</f>
        <v>Pasūtījuma Nr.EA-08-16</v>
      </c>
      <c r="G6" s="23"/>
    </row>
    <row r="7" spans="1:17" x14ac:dyDescent="0.25">
      <c r="A7" s="23" t="str">
        <f>KPDV!A7</f>
        <v>Pasūtītājs: SIA "Liepājas namu apsaimniekotājs"</v>
      </c>
      <c r="G7" s="23"/>
    </row>
    <row r="8" spans="1:17" x14ac:dyDescent="0.25">
      <c r="C8" s="98" t="str">
        <f>AR!D8</f>
        <v>Tāme sastādīta .gada tirgus cenās, pamatojoties uz:</v>
      </c>
      <c r="D8" s="23" t="str">
        <f>AR!E8</f>
        <v>ARun BK</v>
      </c>
      <c r="G8" s="23" t="str">
        <f>AR!G8</f>
        <v>daļas rasējumiem</v>
      </c>
    </row>
    <row r="9" spans="1:17" x14ac:dyDescent="0.25">
      <c r="A9" s="251" t="str">
        <f>AR!A9</f>
        <v>Tāmes izmaksas euro: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117">
        <f>Q25</f>
        <v>0</v>
      </c>
    </row>
    <row r="10" spans="1:17" x14ac:dyDescent="0.25">
      <c r="B10" s="160"/>
      <c r="C10" s="160"/>
      <c r="D10" s="160"/>
      <c r="E10" s="160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98" t="str">
        <f>KPDV!B10</f>
        <v>Tāme sastādīta</v>
      </c>
    </row>
    <row r="11" spans="1:17" s="57" customFormat="1" ht="10.15" customHeight="1" x14ac:dyDescent="0.25">
      <c r="A11" s="252" t="s">
        <v>27</v>
      </c>
      <c r="B11" s="252" t="s">
        <v>28</v>
      </c>
      <c r="C11" s="253" t="s">
        <v>29</v>
      </c>
      <c r="D11" s="254" t="s">
        <v>30</v>
      </c>
      <c r="E11" s="252" t="s">
        <v>31</v>
      </c>
      <c r="F11" s="130"/>
      <c r="G11" s="255" t="s">
        <v>32</v>
      </c>
      <c r="H11" s="255"/>
      <c r="I11" s="255"/>
      <c r="J11" s="255"/>
      <c r="K11" s="255"/>
      <c r="L11" s="255"/>
      <c r="M11" s="255" t="s">
        <v>33</v>
      </c>
      <c r="N11" s="255"/>
      <c r="O11" s="255"/>
      <c r="P11" s="255"/>
      <c r="Q11" s="255"/>
    </row>
    <row r="12" spans="1:17" ht="67.5" x14ac:dyDescent="0.25">
      <c r="A12" s="252"/>
      <c r="B12" s="252"/>
      <c r="C12" s="253"/>
      <c r="D12" s="254"/>
      <c r="E12" s="252"/>
      <c r="F12" s="67"/>
      <c r="G12" s="68" t="s">
        <v>34</v>
      </c>
      <c r="H12" s="69" t="s">
        <v>346</v>
      </c>
      <c r="I12" s="69" t="s">
        <v>35</v>
      </c>
      <c r="J12" s="69" t="s">
        <v>36</v>
      </c>
      <c r="K12" s="69" t="s">
        <v>37</v>
      </c>
      <c r="L12" s="70" t="s">
        <v>38</v>
      </c>
      <c r="M12" s="68" t="s">
        <v>39</v>
      </c>
      <c r="N12" s="69" t="s">
        <v>35</v>
      </c>
      <c r="O12" s="69" t="s">
        <v>36</v>
      </c>
      <c r="P12" s="69" t="s">
        <v>37</v>
      </c>
      <c r="Q12" s="70" t="s">
        <v>40</v>
      </c>
    </row>
    <row r="13" spans="1:17" x14ac:dyDescent="0.25">
      <c r="A13" s="72">
        <v>1</v>
      </c>
      <c r="B13" s="72">
        <f>A13+1</f>
        <v>2</v>
      </c>
      <c r="C13" s="73">
        <f>B13+1</f>
        <v>3</v>
      </c>
      <c r="D13" s="72">
        <f>C13+1</f>
        <v>4</v>
      </c>
      <c r="E13" s="72">
        <f>D13+1</f>
        <v>5</v>
      </c>
      <c r="F13" s="74"/>
      <c r="G13" s="75">
        <f>E13+1</f>
        <v>6</v>
      </c>
      <c r="H13" s="76">
        <f t="shared" ref="H13:Q13" si="0">G13+1</f>
        <v>7</v>
      </c>
      <c r="I13" s="76">
        <f t="shared" si="0"/>
        <v>8</v>
      </c>
      <c r="J13" s="76">
        <f t="shared" si="0"/>
        <v>9</v>
      </c>
      <c r="K13" s="77">
        <f t="shared" si="0"/>
        <v>10</v>
      </c>
      <c r="L13" s="72">
        <f t="shared" si="0"/>
        <v>11</v>
      </c>
      <c r="M13" s="75">
        <f t="shared" si="0"/>
        <v>12</v>
      </c>
      <c r="N13" s="76">
        <f t="shared" si="0"/>
        <v>13</v>
      </c>
      <c r="O13" s="76">
        <f t="shared" si="0"/>
        <v>14</v>
      </c>
      <c r="P13" s="76">
        <f t="shared" si="0"/>
        <v>15</v>
      </c>
      <c r="Q13" s="77">
        <f t="shared" si="0"/>
        <v>16</v>
      </c>
    </row>
    <row r="14" spans="1:17" x14ac:dyDescent="0.25">
      <c r="A14" s="36">
        <f>IF(COUNTBLANK(B14)=1," ",COUNTA(B$14:B14))</f>
        <v>1</v>
      </c>
      <c r="B14" s="37" t="s">
        <v>41</v>
      </c>
      <c r="C14" s="150" t="s">
        <v>91</v>
      </c>
      <c r="D14" s="121" t="s">
        <v>92</v>
      </c>
      <c r="E14" s="161">
        <f>E19*0.02</f>
        <v>29.72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2.5" x14ac:dyDescent="0.25">
      <c r="A15" s="36">
        <f>IF(COUNTBLANK(B15)=1," ",COUNTA(B$14:B15))</f>
        <v>2</v>
      </c>
      <c r="B15" s="37" t="s">
        <v>41</v>
      </c>
      <c r="C15" s="152" t="s">
        <v>93</v>
      </c>
      <c r="D15" s="151" t="s">
        <v>92</v>
      </c>
      <c r="E15" s="151">
        <f>12*8*3*0.05*0.2</f>
        <v>2.8800000000000003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20.85" customHeight="1" x14ac:dyDescent="0.25">
      <c r="A16" s="36">
        <f>IF(COUNTBLANK(B16)=1," ",COUNTA(B$14:B16))</f>
        <v>3</v>
      </c>
      <c r="B16" s="37" t="s">
        <v>41</v>
      </c>
      <c r="C16" s="152" t="s">
        <v>94</v>
      </c>
      <c r="D16" s="36" t="s">
        <v>58</v>
      </c>
      <c r="E16" s="151">
        <f>12*8</f>
        <v>96</v>
      </c>
      <c r="F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112" customFormat="1" ht="22.5" x14ac:dyDescent="0.25">
      <c r="A17" s="36">
        <f>IF(COUNTBLANK(B17)=1," ",COUNTA(B$14:B17))</f>
        <v>4</v>
      </c>
      <c r="B17" s="37" t="s">
        <v>41</v>
      </c>
      <c r="C17" s="150" t="s">
        <v>95</v>
      </c>
      <c r="D17" s="36" t="s">
        <v>47</v>
      </c>
      <c r="E17" s="151">
        <f>apjomi!D42</f>
        <v>1486</v>
      </c>
      <c r="F17" s="3"/>
      <c r="G17" s="3"/>
      <c r="H17" s="3"/>
      <c r="I17" s="39"/>
      <c r="J17" s="39"/>
      <c r="K17" s="3"/>
      <c r="L17" s="3"/>
      <c r="M17" s="3"/>
      <c r="N17" s="3"/>
      <c r="O17" s="3"/>
      <c r="P17" s="3"/>
      <c r="Q17" s="3"/>
    </row>
    <row r="18" spans="1:17" x14ac:dyDescent="0.25">
      <c r="A18" s="36" t="str">
        <f>IF(COUNTBLANK(B18)=1," ",COUNTA(B$14:B18))</f>
        <v xml:space="preserve"> </v>
      </c>
      <c r="B18" s="36"/>
      <c r="C18" s="7" t="s">
        <v>437</v>
      </c>
      <c r="D18" s="36" t="s">
        <v>55</v>
      </c>
      <c r="E18" s="3">
        <f>E17*F18</f>
        <v>371.5</v>
      </c>
      <c r="F18" s="3">
        <v>0.25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112" customFormat="1" ht="34.35" customHeight="1" x14ac:dyDescent="0.25">
      <c r="A19" s="36">
        <f>IF(COUNTBLANK(B19)=1," ",COUNTA(B$14:B19))</f>
        <v>5</v>
      </c>
      <c r="B19" s="150" t="str">
        <f>apjomi!A42</f>
        <v>P2 Pagraba pārseguma siltinājums</v>
      </c>
      <c r="C19" s="150" t="str">
        <f>apjomi!B42</f>
        <v>Esošs grīdas sastāvs, b=80mm, esošais dz-betona pārsegums, b=220mm; līmjava; akmensvates lamele ekviv. Paroc CGL 20 CY vai ekvivalents 0,037W/m×K, b=150mm;</v>
      </c>
      <c r="D19" s="36" t="s">
        <v>47</v>
      </c>
      <c r="E19" s="151">
        <f>E17</f>
        <v>1486</v>
      </c>
      <c r="F19" s="3"/>
      <c r="G19" s="3"/>
      <c r="H19" s="3"/>
      <c r="I19" s="39"/>
      <c r="J19" s="39"/>
      <c r="K19" s="3"/>
      <c r="L19" s="3"/>
      <c r="M19" s="3"/>
      <c r="N19" s="3"/>
      <c r="O19" s="3"/>
      <c r="P19" s="3"/>
      <c r="Q19" s="3"/>
    </row>
    <row r="20" spans="1:17" x14ac:dyDescent="0.25">
      <c r="A20" s="36" t="str">
        <f>IF(COUNTBLANK(B20)=1," ",COUNTA(B$14:B20))</f>
        <v xml:space="preserve"> </v>
      </c>
      <c r="B20" s="36"/>
      <c r="C20" s="150" t="s">
        <v>96</v>
      </c>
      <c r="D20" s="36" t="s">
        <v>61</v>
      </c>
      <c r="E20" s="3">
        <f>E19*F20</f>
        <v>1560.3</v>
      </c>
      <c r="F20" s="3">
        <v>1.05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6" t="str">
        <f>IF(COUNTBLANK(B21)=1," ",COUNTA(B$14:B21))</f>
        <v xml:space="preserve"> </v>
      </c>
      <c r="B21" s="36"/>
      <c r="C21" s="7" t="s">
        <v>426</v>
      </c>
      <c r="D21" s="36" t="s">
        <v>55</v>
      </c>
      <c r="E21" s="3">
        <f>E19*F21</f>
        <v>6687</v>
      </c>
      <c r="F21" s="3">
        <v>4.5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165" customFormat="1" x14ac:dyDescent="0.25">
      <c r="A22" s="36">
        <f>IF(COUNTBLANK(B22)=1," ",COUNTA(B$14:B22))</f>
        <v>6</v>
      </c>
      <c r="B22" s="37" t="s">
        <v>41</v>
      </c>
      <c r="C22" s="162" t="s">
        <v>68</v>
      </c>
      <c r="D22" s="121" t="s">
        <v>92</v>
      </c>
      <c r="E22" s="39">
        <f>E14*2</f>
        <v>59.44</v>
      </c>
      <c r="F22" s="39"/>
      <c r="G22" s="39"/>
      <c r="H22" s="3"/>
      <c r="I22" s="163"/>
      <c r="J22" s="164"/>
      <c r="K22" s="39"/>
      <c r="L22" s="3"/>
      <c r="M22" s="3"/>
      <c r="N22" s="3"/>
      <c r="O22" s="3"/>
      <c r="P22" s="3"/>
      <c r="Q22" s="3"/>
    </row>
    <row r="23" spans="1:17" x14ac:dyDescent="0.25">
      <c r="A23" s="36" t="str">
        <f>IF(COUNTBLANK(B23)=1," ",COUNTA(B$14:B23))</f>
        <v xml:space="preserve"> </v>
      </c>
      <c r="B23" s="37"/>
      <c r="C23" s="162" t="s">
        <v>70</v>
      </c>
      <c r="D23" s="164" t="s">
        <v>45</v>
      </c>
      <c r="E23" s="3">
        <f>ROUNDUP(E22/10,0)</f>
        <v>6</v>
      </c>
      <c r="F23" s="39">
        <v>0.14285714285714299</v>
      </c>
      <c r="G23" s="39"/>
      <c r="H23" s="39"/>
      <c r="I23" s="163"/>
      <c r="J23" s="164"/>
      <c r="K23" s="39"/>
      <c r="L23" s="3"/>
      <c r="M23" s="3"/>
      <c r="N23" s="3"/>
      <c r="O23" s="3"/>
      <c r="P23" s="3"/>
      <c r="Q23" s="3"/>
    </row>
    <row r="24" spans="1:17" x14ac:dyDescent="0.25">
      <c r="A24" s="60"/>
      <c r="B24" s="60"/>
      <c r="C24" s="126"/>
      <c r="D24" s="94"/>
      <c r="E24" s="94"/>
      <c r="F24" s="96"/>
      <c r="G24" s="96"/>
      <c r="H24" s="96"/>
      <c r="I24" s="96"/>
      <c r="J24" s="125"/>
      <c r="K24" s="125"/>
      <c r="L24" s="125"/>
      <c r="M24" s="125"/>
      <c r="N24" s="125"/>
      <c r="O24" s="125"/>
      <c r="P24" s="125"/>
      <c r="Q24" s="125"/>
    </row>
    <row r="25" spans="1:17" x14ac:dyDescent="0.25">
      <c r="A25" s="94" t="str">
        <f>IF(COUNTBLANK(L25)=1," ",COUNTA($L$15:L25))</f>
        <v xml:space="preserve"> </v>
      </c>
      <c r="B25" s="60"/>
      <c r="C25" s="95" t="s">
        <v>334</v>
      </c>
      <c r="D25" s="94"/>
      <c r="E25" s="94"/>
      <c r="F25" s="96"/>
      <c r="G25" s="97"/>
      <c r="H25" s="96"/>
      <c r="I25" s="96"/>
      <c r="J25" s="60"/>
      <c r="K25" s="60"/>
      <c r="L25" s="60"/>
      <c r="M25" s="125">
        <f>SUMIF($Q14:$Q23,"&gt;0",M14:M23)</f>
        <v>0</v>
      </c>
      <c r="N25" s="125">
        <f>SUMIF($Q14:$Q23,"&gt;0",N14:N23)</f>
        <v>0</v>
      </c>
      <c r="O25" s="125">
        <f>SUMIF($Q14:$Q23,"&gt;0",O14:O23)</f>
        <v>0</v>
      </c>
      <c r="P25" s="125">
        <f>SUMIF($Q14:$Q23,"&gt;0",P14:P23)</f>
        <v>0</v>
      </c>
      <c r="Q25" s="125">
        <f>SUMIF($Q14:$Q23,"&gt;0",Q14:Q23)</f>
        <v>0</v>
      </c>
    </row>
    <row r="26" spans="1:17" x14ac:dyDescent="0.25">
      <c r="A26" s="56"/>
      <c r="B26" s="56"/>
      <c r="C26" s="58"/>
      <c r="D26" s="60"/>
      <c r="E26" s="125"/>
      <c r="F26" s="96"/>
      <c r="G26" s="96"/>
      <c r="H26" s="52"/>
      <c r="I26" s="96"/>
      <c r="J26" s="60"/>
      <c r="K26" s="60"/>
      <c r="L26" s="60"/>
      <c r="M26" s="129"/>
      <c r="N26" s="94"/>
      <c r="O26" s="129"/>
      <c r="P26" s="129"/>
      <c r="Q26" s="129"/>
    </row>
    <row r="27" spans="1:17" x14ac:dyDescent="0.25">
      <c r="A27" s="56"/>
      <c r="B27" s="98" t="s">
        <v>335</v>
      </c>
      <c r="C27" s="23"/>
      <c r="D27" s="63"/>
      <c r="E27" s="63"/>
      <c r="F27" s="52"/>
      <c r="G27" s="52"/>
      <c r="H27" s="52"/>
      <c r="I27" s="52"/>
      <c r="J27" s="60"/>
      <c r="K27" s="60"/>
      <c r="L27" s="60"/>
      <c r="M27" s="56"/>
      <c r="N27" s="56"/>
      <c r="O27" s="56"/>
      <c r="P27" s="56"/>
      <c r="Q27" s="56"/>
    </row>
    <row r="28" spans="1:17" x14ac:dyDescent="0.25">
      <c r="A28" s="56"/>
      <c r="C28" s="99" t="s">
        <v>336</v>
      </c>
      <c r="D28" s="55"/>
      <c r="E28" s="55"/>
      <c r="F28" s="52"/>
      <c r="G28" s="52"/>
      <c r="H28" s="52"/>
      <c r="I28" s="52"/>
      <c r="M28" s="56"/>
      <c r="N28" s="56"/>
      <c r="O28" s="56"/>
      <c r="P28" s="56"/>
      <c r="Q28" s="56"/>
    </row>
    <row r="29" spans="1:17" x14ac:dyDescent="0.25">
      <c r="B29" s="100"/>
      <c r="C29" s="100"/>
      <c r="D29" s="100"/>
      <c r="E29" s="100"/>
      <c r="F29" s="52"/>
      <c r="G29" s="52"/>
      <c r="H29" s="52"/>
      <c r="I29" s="52"/>
    </row>
    <row r="30" spans="1:17" x14ac:dyDescent="0.25">
      <c r="B30" s="101" t="s">
        <v>408</v>
      </c>
      <c r="C30" s="23"/>
      <c r="D30" s="63"/>
      <c r="E30" s="63"/>
      <c r="F30" s="98"/>
      <c r="G30" s="52"/>
      <c r="H30" s="98"/>
      <c r="I30" s="98"/>
    </row>
    <row r="31" spans="1:17" x14ac:dyDescent="0.25">
      <c r="B31" s="100"/>
      <c r="C31" s="100"/>
      <c r="D31" s="100"/>
      <c r="E31" s="100"/>
      <c r="F31" s="98"/>
      <c r="G31" s="102"/>
      <c r="H31" s="98"/>
      <c r="I31" s="98"/>
    </row>
    <row r="32" spans="1:17" x14ac:dyDescent="0.25">
      <c r="B32" s="23" t="s">
        <v>337</v>
      </c>
      <c r="C32" s="23"/>
      <c r="D32" s="63"/>
      <c r="E32" s="63"/>
      <c r="F32" s="98"/>
      <c r="G32" s="52"/>
      <c r="H32" s="98"/>
      <c r="I32" s="98"/>
    </row>
    <row r="33" spans="2:5" x14ac:dyDescent="0.25">
      <c r="C33" s="99" t="s">
        <v>336</v>
      </c>
      <c r="D33" s="55"/>
      <c r="E33" s="55"/>
    </row>
    <row r="34" spans="2:5" x14ac:dyDescent="0.25">
      <c r="B34" s="100"/>
      <c r="C34" s="23" t="s">
        <v>338</v>
      </c>
      <c r="D34" s="63"/>
      <c r="E34" s="63"/>
    </row>
    <row r="35" spans="2:5" x14ac:dyDescent="0.25">
      <c r="C35" s="23"/>
    </row>
    <row r="36" spans="2:5" x14ac:dyDescent="0.25">
      <c r="C36" s="23"/>
    </row>
    <row r="37" spans="2:5" x14ac:dyDescent="0.25">
      <c r="C37" s="23"/>
    </row>
    <row r="38" spans="2:5" x14ac:dyDescent="0.25">
      <c r="C38" s="23"/>
    </row>
  </sheetData>
  <mergeCells count="9">
    <mergeCell ref="A1:G1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0157480314965" bottom="0.39370078740157483" header="0.51181102362204722" footer="0.51181102362204722"/>
  <pageSetup paperSize="9" scale="97" firstPageNumber="0" orientation="landscape" r:id="rId1"/>
  <rowBreaks count="1" manualBreakCount="1">
    <brk id="23" max="16" man="1"/>
  </rowBreaks>
  <ignoredErrors>
    <ignoredError sqref="E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61"/>
  <sheetViews>
    <sheetView zoomScaleNormal="100" zoomScaleSheetLayoutView="100" workbookViewId="0">
      <selection activeCell="E49" sqref="E49"/>
    </sheetView>
  </sheetViews>
  <sheetFormatPr defaultColWidth="9" defaultRowHeight="11.25" x14ac:dyDescent="0.25"/>
  <cols>
    <col min="1" max="1" width="4.140625" style="23"/>
    <col min="2" max="2" width="8.85546875" style="23" customWidth="1"/>
    <col min="3" max="3" width="41.28515625" style="61"/>
    <col min="4" max="4" width="6.140625" style="23"/>
    <col min="5" max="5" width="13.85546875" style="23" customWidth="1"/>
    <col min="6" max="6" width="9" style="23" hidden="1" customWidth="1"/>
    <col min="7" max="7" width="9" style="56" customWidth="1"/>
    <col min="8" max="17" width="9" style="23" customWidth="1"/>
    <col min="18" max="998" width="8.140625" style="23"/>
    <col min="999" max="16384" width="9" style="23"/>
  </cols>
  <sheetData>
    <row r="1" spans="1:17" s="52" customFormat="1" x14ac:dyDescent="0.25">
      <c r="B1" s="103"/>
      <c r="C1" s="103"/>
      <c r="D1" s="103"/>
      <c r="E1" s="103"/>
      <c r="F1" s="103"/>
      <c r="G1" s="103" t="s">
        <v>23</v>
      </c>
      <c r="H1" s="148">
        <f>KPDV!A16</f>
        <v>4</v>
      </c>
      <c r="I1" s="103"/>
      <c r="J1" s="103"/>
      <c r="K1" s="103"/>
      <c r="L1" s="103"/>
    </row>
    <row r="2" spans="1:17" s="53" customFormat="1" x14ac:dyDescent="0.25">
      <c r="A2" s="54"/>
      <c r="B2" s="54"/>
      <c r="C2" s="54" t="s">
        <v>97</v>
      </c>
      <c r="D2" s="54"/>
      <c r="E2" s="54"/>
      <c r="F2" s="54"/>
      <c r="G2" s="54"/>
      <c r="H2" s="149"/>
      <c r="I2" s="54"/>
      <c r="J2" s="54"/>
      <c r="K2" s="54"/>
      <c r="L2" s="54"/>
    </row>
    <row r="3" spans="1:17" s="57" customFormat="1" x14ac:dyDescent="0.25">
      <c r="A3" s="57" t="str">
        <f>KPDV!A3</f>
        <v>Būves nosaukums: Daudzdzīvokļu dzīvojamās mājas fasādes vienkāršotā atjaunošana</v>
      </c>
    </row>
    <row r="4" spans="1:17" s="57" customFormat="1" x14ac:dyDescent="0.25">
      <c r="A4" s="57" t="str">
        <f>KPDV!A4</f>
        <v>Objekta nosaukums: fasādes vienkāršotā atjaunošana</v>
      </c>
    </row>
    <row r="5" spans="1:17" x14ac:dyDescent="0.25">
      <c r="A5" s="23" t="str">
        <f>KPDV!A5</f>
        <v>Objekta adrese: Tisē iela 75 Liepājā</v>
      </c>
      <c r="G5" s="23"/>
    </row>
    <row r="6" spans="1:17" x14ac:dyDescent="0.25">
      <c r="A6" s="23" t="str">
        <f>KPDV!A6</f>
        <v>Pasūtījuma Nr.EA-08-16</v>
      </c>
      <c r="G6" s="23"/>
    </row>
    <row r="7" spans="1:17" x14ac:dyDescent="0.25">
      <c r="A7" s="23" t="str">
        <f>KPDV!A7</f>
        <v>Pasūtītājs: SIA "Liepājas namu apsaimniekotājs"</v>
      </c>
      <c r="G7" s="23"/>
    </row>
    <row r="8" spans="1:17" x14ac:dyDescent="0.25">
      <c r="C8" s="98" t="str">
        <f>AR!D8</f>
        <v>Tāme sastādīta .gada tirgus cenās, pamatojoties uz:</v>
      </c>
      <c r="D8" s="23" t="str">
        <f>AR!E8</f>
        <v>ARun BK</v>
      </c>
      <c r="G8" s="23" t="str">
        <f>AR!G8</f>
        <v>daļas rasējumiem</v>
      </c>
    </row>
    <row r="9" spans="1:17" x14ac:dyDescent="0.25">
      <c r="A9" s="251" t="str">
        <f>pagrabs!A9</f>
        <v>Tāmes izmaksas euro: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117">
        <f>Q48</f>
        <v>0</v>
      </c>
    </row>
    <row r="10" spans="1:17" x14ac:dyDescent="0.25"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98" t="str">
        <f>KPDV!B10</f>
        <v>Tāme sastādīta</v>
      </c>
    </row>
    <row r="11" spans="1:17" s="57" customFormat="1" ht="10.15" customHeight="1" x14ac:dyDescent="0.25">
      <c r="A11" s="252" t="s">
        <v>27</v>
      </c>
      <c r="B11" s="252" t="s">
        <v>28</v>
      </c>
      <c r="C11" s="253" t="s">
        <v>29</v>
      </c>
      <c r="D11" s="254" t="s">
        <v>30</v>
      </c>
      <c r="E11" s="252" t="s">
        <v>31</v>
      </c>
      <c r="F11" s="130"/>
      <c r="G11" s="255" t="s">
        <v>32</v>
      </c>
      <c r="H11" s="255"/>
      <c r="I11" s="255"/>
      <c r="J11" s="255"/>
      <c r="K11" s="255"/>
      <c r="L11" s="255"/>
      <c r="M11" s="255" t="s">
        <v>33</v>
      </c>
      <c r="N11" s="255"/>
      <c r="O11" s="255"/>
      <c r="P11" s="255"/>
      <c r="Q11" s="255"/>
    </row>
    <row r="12" spans="1:17" ht="44.65" customHeight="1" x14ac:dyDescent="0.25">
      <c r="A12" s="252"/>
      <c r="B12" s="252"/>
      <c r="C12" s="253"/>
      <c r="D12" s="254"/>
      <c r="E12" s="252"/>
      <c r="F12" s="67"/>
      <c r="G12" s="68" t="s">
        <v>34</v>
      </c>
      <c r="H12" s="69" t="s">
        <v>346</v>
      </c>
      <c r="I12" s="69" t="s">
        <v>35</v>
      </c>
      <c r="J12" s="69" t="s">
        <v>36</v>
      </c>
      <c r="K12" s="69" t="s">
        <v>37</v>
      </c>
      <c r="L12" s="70" t="s">
        <v>38</v>
      </c>
      <c r="M12" s="68" t="s">
        <v>39</v>
      </c>
      <c r="N12" s="69" t="s">
        <v>35</v>
      </c>
      <c r="O12" s="69" t="s">
        <v>36</v>
      </c>
      <c r="P12" s="69" t="s">
        <v>37</v>
      </c>
      <c r="Q12" s="70" t="s">
        <v>40</v>
      </c>
    </row>
    <row r="13" spans="1:17" x14ac:dyDescent="0.25">
      <c r="A13" s="72">
        <v>1</v>
      </c>
      <c r="B13" s="72">
        <f>A13+1</f>
        <v>2</v>
      </c>
      <c r="C13" s="73">
        <f>B13+1</f>
        <v>3</v>
      </c>
      <c r="D13" s="72">
        <f>C13+1</f>
        <v>4</v>
      </c>
      <c r="E13" s="72">
        <f>D13+1</f>
        <v>5</v>
      </c>
      <c r="F13" s="74"/>
      <c r="G13" s="75">
        <f>E13+1</f>
        <v>6</v>
      </c>
      <c r="H13" s="76">
        <f t="shared" ref="H13:Q13" si="0">G13+1</f>
        <v>7</v>
      </c>
      <c r="I13" s="76">
        <f t="shared" si="0"/>
        <v>8</v>
      </c>
      <c r="J13" s="76">
        <f t="shared" si="0"/>
        <v>9</v>
      </c>
      <c r="K13" s="77">
        <f t="shared" si="0"/>
        <v>10</v>
      </c>
      <c r="L13" s="72">
        <f t="shared" si="0"/>
        <v>11</v>
      </c>
      <c r="M13" s="75">
        <f t="shared" si="0"/>
        <v>12</v>
      </c>
      <c r="N13" s="76">
        <f t="shared" si="0"/>
        <v>13</v>
      </c>
      <c r="O13" s="76">
        <f t="shared" si="0"/>
        <v>14</v>
      </c>
      <c r="P13" s="76">
        <f t="shared" si="0"/>
        <v>15</v>
      </c>
      <c r="Q13" s="77">
        <f t="shared" si="0"/>
        <v>16</v>
      </c>
    </row>
    <row r="14" spans="1:17" ht="22.5" x14ac:dyDescent="0.25">
      <c r="A14" s="36">
        <f>IF(COUNTBLANK(B14)=1," ",COUNTA(B$14:B14))</f>
        <v>1</v>
      </c>
      <c r="B14" s="37" t="s">
        <v>41</v>
      </c>
      <c r="C14" s="150" t="s">
        <v>98</v>
      </c>
      <c r="D14" s="36" t="s">
        <v>47</v>
      </c>
      <c r="E14" s="36">
        <v>25</v>
      </c>
      <c r="F14" s="3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36">
        <f>IF(COUNTBLANK(B15)=1," ",COUNTA(B$14:B15))</f>
        <v>2</v>
      </c>
      <c r="B15" s="37" t="s">
        <v>41</v>
      </c>
      <c r="C15" s="150" t="s">
        <v>99</v>
      </c>
      <c r="D15" s="36" t="s">
        <v>47</v>
      </c>
      <c r="E15" s="151">
        <f>apjomi!G41</f>
        <v>513.6</v>
      </c>
      <c r="F15" s="1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36">
        <f>IF(COUNTBLANK(B16)=1," ",COUNTA(B$14:B16))</f>
        <v>3</v>
      </c>
      <c r="B16" s="37" t="s">
        <v>41</v>
      </c>
      <c r="C16" s="150" t="s">
        <v>355</v>
      </c>
      <c r="D16" s="36" t="s">
        <v>92</v>
      </c>
      <c r="E16" s="151">
        <f>apjomi!U21*1*1.2</f>
        <v>385.2</v>
      </c>
      <c r="F16" s="1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22.5" x14ac:dyDescent="0.25">
      <c r="A17" s="36">
        <f>IF(COUNTBLANK(B17)=1," ",COUNTA(B$14:B17))</f>
        <v>4</v>
      </c>
      <c r="B17" s="37" t="s">
        <v>41</v>
      </c>
      <c r="C17" s="150" t="s">
        <v>356</v>
      </c>
      <c r="D17" s="36" t="s">
        <v>92</v>
      </c>
      <c r="E17" s="151">
        <f>E16</f>
        <v>385.2</v>
      </c>
      <c r="F17" s="1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112" customFormat="1" ht="22.5" x14ac:dyDescent="0.25">
      <c r="A18" s="36">
        <f>IF(COUNTBLANK(B18)=1," ",COUNTA(B$14:B18))</f>
        <v>5</v>
      </c>
      <c r="B18" s="37" t="s">
        <v>41</v>
      </c>
      <c r="C18" s="150" t="s">
        <v>100</v>
      </c>
      <c r="D18" s="36" t="s">
        <v>47</v>
      </c>
      <c r="E18" s="151">
        <f>E15</f>
        <v>513.6</v>
      </c>
      <c r="F18" s="3"/>
      <c r="G18" s="3"/>
      <c r="H18" s="3"/>
      <c r="I18" s="39"/>
      <c r="J18" s="39"/>
      <c r="K18" s="3"/>
      <c r="L18" s="3"/>
      <c r="M18" s="3"/>
      <c r="N18" s="3"/>
      <c r="O18" s="3"/>
      <c r="P18" s="3"/>
      <c r="Q18" s="3"/>
    </row>
    <row r="19" spans="1:17" x14ac:dyDescent="0.25">
      <c r="A19" s="36" t="str">
        <f>IF(COUNTBLANK(B19)=1," ",COUNTA(B$14:B19))</f>
        <v xml:space="preserve"> </v>
      </c>
      <c r="B19" s="36"/>
      <c r="C19" s="152" t="s">
        <v>314</v>
      </c>
      <c r="D19" s="36" t="s">
        <v>55</v>
      </c>
      <c r="E19" s="3">
        <f>E18*F19</f>
        <v>256.8</v>
      </c>
      <c r="F19" s="3">
        <v>0.5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154" customFormat="1" ht="22.5" x14ac:dyDescent="0.25">
      <c r="A20" s="36">
        <f>IF(COUNTBLANK(B20)=1," ",COUNTA(B$14:B20))</f>
        <v>6</v>
      </c>
      <c r="B20" s="37" t="s">
        <v>41</v>
      </c>
      <c r="C20" s="150" t="s">
        <v>101</v>
      </c>
      <c r="D20" s="36" t="s">
        <v>47</v>
      </c>
      <c r="E20" s="151">
        <f>E18</f>
        <v>513.6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6" t="str">
        <f>IF(COUNTBLANK(B21)=1," ",COUNTA(B$14:B21))</f>
        <v xml:space="preserve"> </v>
      </c>
      <c r="B21" s="36"/>
      <c r="C21" s="152" t="s">
        <v>315</v>
      </c>
      <c r="D21" s="3" t="s">
        <v>55</v>
      </c>
      <c r="E21" s="3">
        <f>E20*F21</f>
        <v>513.6</v>
      </c>
      <c r="F21" s="3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153" customFormat="1" ht="56.25" x14ac:dyDescent="0.25">
      <c r="A22" s="36">
        <f>IF(COUNTBLANK(B22)=1," ",COUNTA(B$14:B22))</f>
        <v>7</v>
      </c>
      <c r="B22" s="155" t="str">
        <f>apjomi!A41</f>
        <v>S3 Pamatu sienu siltinājums</v>
      </c>
      <c r="C22" s="150" t="str">
        <f>apjomi!B41</f>
        <v>Apmetuma sistēma virs siltinājuma (AS-1), b=7mm; grunts; putupolistirola plāksne, Tenapors Neo EPS100 vai ekvivalents λ=0,031W/m×K,b=120mm; līmjava; vertikālā hidroizolācija; grunts; esošā  siena -ribotais panelis, b=350/140mm</v>
      </c>
      <c r="D22" s="36" t="s">
        <v>47</v>
      </c>
      <c r="E22" s="151">
        <f>apjomi!D41</f>
        <v>834.6</v>
      </c>
      <c r="F22" s="36"/>
      <c r="G22" s="3"/>
      <c r="H22" s="3"/>
      <c r="I22" s="3"/>
      <c r="J22" s="39"/>
      <c r="K22" s="36"/>
      <c r="L22" s="3"/>
      <c r="M22" s="3"/>
      <c r="N22" s="3"/>
      <c r="O22" s="3"/>
      <c r="P22" s="3"/>
      <c r="Q22" s="3"/>
    </row>
    <row r="23" spans="1:17" s="154" customFormat="1" ht="22.5" x14ac:dyDescent="0.25">
      <c r="A23" s="36" t="str">
        <f>IF(COUNTBLANK(B23)=1," ",COUNTA(B$14:B23))</f>
        <v xml:space="preserve"> </v>
      </c>
      <c r="B23" s="36"/>
      <c r="C23" s="150" t="s">
        <v>102</v>
      </c>
      <c r="D23" s="36" t="s">
        <v>61</v>
      </c>
      <c r="E23" s="3">
        <f>E22*F23</f>
        <v>876.33</v>
      </c>
      <c r="F23" s="36">
        <v>1.05</v>
      </c>
      <c r="G23" s="36"/>
      <c r="H23" s="36"/>
      <c r="I23" s="36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6" t="str">
        <f>IF(COUNTBLANK(B24)=1," ",COUNTA(B$14:B24))</f>
        <v xml:space="preserve"> </v>
      </c>
      <c r="B24" s="36"/>
      <c r="C24" s="8" t="s">
        <v>423</v>
      </c>
      <c r="D24" s="36" t="s">
        <v>55</v>
      </c>
      <c r="E24" s="3">
        <f>E22*F24</f>
        <v>4173</v>
      </c>
      <c r="F24" s="3">
        <v>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6" t="str">
        <f>IF(COUNTBLANK(B25)=1," ",COUNTA(B$14:B25))</f>
        <v xml:space="preserve"> </v>
      </c>
      <c r="B25" s="36"/>
      <c r="C25" s="150" t="s">
        <v>103</v>
      </c>
      <c r="D25" s="36" t="s">
        <v>58</v>
      </c>
      <c r="E25" s="3">
        <f>E22*F25</f>
        <v>4173</v>
      </c>
      <c r="F25" s="3">
        <v>5</v>
      </c>
      <c r="G25" s="3"/>
      <c r="H25" s="3"/>
      <c r="I25" s="36"/>
      <c r="J25" s="3"/>
      <c r="K25" s="3"/>
      <c r="L25" s="3"/>
      <c r="M25" s="3"/>
      <c r="N25" s="3"/>
      <c r="O25" s="3"/>
      <c r="P25" s="3"/>
      <c r="Q25" s="3"/>
    </row>
    <row r="26" spans="1:17" s="154" customFormat="1" ht="22.5" x14ac:dyDescent="0.25">
      <c r="A26" s="36">
        <f>IF(COUNTBLANK(B26)=1," ",COUNTA(B$14:B26))</f>
        <v>8</v>
      </c>
      <c r="B26" s="37" t="s">
        <v>41</v>
      </c>
      <c r="C26" s="150" t="s">
        <v>104</v>
      </c>
      <c r="D26" s="36" t="s">
        <v>47</v>
      </c>
      <c r="E26" s="151">
        <f>apjomi!G41</f>
        <v>513.6</v>
      </c>
      <c r="F26" s="3"/>
      <c r="G26" s="3"/>
      <c r="H26" s="3"/>
      <c r="I26" s="39"/>
      <c r="J26" s="39"/>
      <c r="K26" s="3"/>
      <c r="L26" s="3"/>
      <c r="M26" s="3"/>
      <c r="N26" s="3"/>
      <c r="O26" s="3"/>
      <c r="P26" s="3"/>
      <c r="Q26" s="3"/>
    </row>
    <row r="27" spans="1:17" x14ac:dyDescent="0.25">
      <c r="A27" s="36" t="str">
        <f>IF(COUNTBLANK(B27)=1," ",COUNTA(B$14:B27))</f>
        <v xml:space="preserve"> </v>
      </c>
      <c r="B27" s="36"/>
      <c r="C27" s="8" t="s">
        <v>438</v>
      </c>
      <c r="D27" s="36" t="s">
        <v>55</v>
      </c>
      <c r="E27" s="3">
        <f>E26*F27</f>
        <v>2568</v>
      </c>
      <c r="F27" s="3">
        <v>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6" t="str">
        <f>IF(COUNTBLANK(B28)=1," ",COUNTA(B$14:B28))</f>
        <v xml:space="preserve"> </v>
      </c>
      <c r="B28" s="36"/>
      <c r="C28" s="8" t="s">
        <v>439</v>
      </c>
      <c r="D28" s="36" t="s">
        <v>61</v>
      </c>
      <c r="E28" s="3">
        <f>E26*F28</f>
        <v>564.96</v>
      </c>
      <c r="F28" s="3">
        <v>1.1000000000000001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6" t="str">
        <f>IF(COUNTBLANK(B29)=1," ",COUNTA(B$14:B29))</f>
        <v xml:space="preserve"> </v>
      </c>
      <c r="B29" s="36"/>
      <c r="C29" s="150" t="s">
        <v>59</v>
      </c>
      <c r="D29" s="36" t="s">
        <v>60</v>
      </c>
      <c r="E29" s="3">
        <f>E26*F29</f>
        <v>46.224000000000004</v>
      </c>
      <c r="F29" s="3">
        <v>0.09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22.5" x14ac:dyDescent="0.25">
      <c r="A30" s="36" t="str">
        <f>IF(COUNTBLANK(B30)=1," ",COUNTA(B$14:B30))</f>
        <v xml:space="preserve"> </v>
      </c>
      <c r="B30" s="36"/>
      <c r="C30" s="5" t="s">
        <v>440</v>
      </c>
      <c r="D30" s="36" t="s">
        <v>55</v>
      </c>
      <c r="E30" s="3">
        <f>E26*F30</f>
        <v>154.08000000000001</v>
      </c>
      <c r="F30" s="3">
        <v>0.3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6" t="str">
        <f>IF(COUNTBLANK(B31)=1," ",COUNTA(B$14:B31))</f>
        <v xml:space="preserve"> </v>
      </c>
      <c r="B31" s="36"/>
      <c r="C31" s="8" t="s">
        <v>441</v>
      </c>
      <c r="D31" s="36" t="s">
        <v>55</v>
      </c>
      <c r="E31" s="3">
        <f>E26*F31</f>
        <v>2568</v>
      </c>
      <c r="F31" s="3">
        <v>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8.75" customHeight="1" x14ac:dyDescent="0.25">
      <c r="A32" s="36">
        <f>IF(COUNTBLANK(B32)=1," ",COUNTA(B$14:B32))</f>
        <v>9</v>
      </c>
      <c r="B32" s="37" t="s">
        <v>41</v>
      </c>
      <c r="C32" s="150" t="s">
        <v>105</v>
      </c>
      <c r="D32" s="36" t="s">
        <v>47</v>
      </c>
      <c r="E32" s="151">
        <f>apjomi!U21*0.375</f>
        <v>120.375</v>
      </c>
      <c r="F32" s="3"/>
      <c r="G32" s="3"/>
      <c r="H32" s="3"/>
      <c r="I32" s="39"/>
      <c r="J32" s="39"/>
      <c r="K32" s="3"/>
      <c r="L32" s="3"/>
      <c r="M32" s="3"/>
      <c r="N32" s="3"/>
      <c r="O32" s="3"/>
      <c r="P32" s="3"/>
      <c r="Q32" s="3"/>
    </row>
    <row r="33" spans="1:17" x14ac:dyDescent="0.25">
      <c r="A33" s="36" t="str">
        <f>IF(COUNTBLANK(B33)=1," ",COUNTA(B$14:B33))</f>
        <v xml:space="preserve"> </v>
      </c>
      <c r="B33" s="36"/>
      <c r="C33" s="150" t="s">
        <v>442</v>
      </c>
      <c r="D33" s="36" t="s">
        <v>55</v>
      </c>
      <c r="E33" s="3">
        <f>E32*F33</f>
        <v>421.3125</v>
      </c>
      <c r="F33" s="3">
        <v>3.5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s="153" customFormat="1" ht="18" customHeight="1" x14ac:dyDescent="0.25">
      <c r="A34" s="36" t="str">
        <f>IF(COUNTBLANK(B34)=1," ",COUNTA(B$14:B34))</f>
        <v xml:space="preserve"> </v>
      </c>
      <c r="B34" s="36"/>
      <c r="C34" s="156" t="s">
        <v>106</v>
      </c>
      <c r="D34" s="156"/>
      <c r="E34" s="156"/>
      <c r="F34" s="36"/>
      <c r="G34" s="36"/>
      <c r="H34" s="36"/>
      <c r="I34" s="36"/>
      <c r="J34" s="36"/>
      <c r="K34" s="36"/>
      <c r="L34" s="3"/>
      <c r="M34" s="3"/>
      <c r="N34" s="3"/>
      <c r="O34" s="3"/>
      <c r="P34" s="3"/>
      <c r="Q34" s="3"/>
    </row>
    <row r="35" spans="1:17" s="154" customFormat="1" x14ac:dyDescent="0.25">
      <c r="A35" s="36">
        <f>IF(COUNTBLANK(B35)=1," ",COUNTA(B$14:B35))</f>
        <v>10</v>
      </c>
      <c r="B35" s="37" t="s">
        <v>41</v>
      </c>
      <c r="C35" s="150" t="s">
        <v>107</v>
      </c>
      <c r="D35" s="36" t="s">
        <v>47</v>
      </c>
      <c r="E35" s="151">
        <v>420</v>
      </c>
      <c r="F35" s="36"/>
      <c r="G35" s="3"/>
      <c r="H35" s="3"/>
      <c r="I35" s="39"/>
      <c r="J35" s="39"/>
      <c r="K35" s="3"/>
      <c r="L35" s="3"/>
      <c r="M35" s="3"/>
      <c r="N35" s="3"/>
      <c r="O35" s="3"/>
      <c r="P35" s="3"/>
      <c r="Q35" s="3"/>
    </row>
    <row r="36" spans="1:17" x14ac:dyDescent="0.25">
      <c r="A36" s="36">
        <f>IF(COUNTBLANK(B36)=1," ",COUNTA(B$14:B36))</f>
        <v>11</v>
      </c>
      <c r="B36" s="37" t="s">
        <v>41</v>
      </c>
      <c r="C36" s="150" t="s">
        <v>108</v>
      </c>
      <c r="D36" s="36" t="s">
        <v>92</v>
      </c>
      <c r="E36" s="151">
        <f>E35*0.1</f>
        <v>42</v>
      </c>
      <c r="F36" s="15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36" t="str">
        <f>IF(COUNTBLANK(B37)=1," ",COUNTA(B$14:B37))</f>
        <v xml:space="preserve"> </v>
      </c>
      <c r="B37" s="36"/>
      <c r="C37" s="150" t="s">
        <v>109</v>
      </c>
      <c r="D37" s="36" t="s">
        <v>69</v>
      </c>
      <c r="E37" s="3">
        <f>E36*F37</f>
        <v>46.2</v>
      </c>
      <c r="F37" s="3">
        <v>1.1000000000000001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36">
        <f>IF(COUNTBLANK(B38)=1," ",COUNTA(B$14:B38))</f>
        <v>12</v>
      </c>
      <c r="B38" s="37" t="s">
        <v>41</v>
      </c>
      <c r="C38" s="150" t="s">
        <v>110</v>
      </c>
      <c r="D38" s="36" t="s">
        <v>92</v>
      </c>
      <c r="E38" s="151">
        <f>E35*0.05</f>
        <v>21</v>
      </c>
      <c r="F38" s="15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36" t="str">
        <f>IF(COUNTBLANK(B39)=1," ",COUNTA(B$14:B39))</f>
        <v xml:space="preserve"> </v>
      </c>
      <c r="B39" s="36"/>
      <c r="C39" s="150" t="s">
        <v>109</v>
      </c>
      <c r="D39" s="36" t="s">
        <v>69</v>
      </c>
      <c r="E39" s="3">
        <f>E38*F39</f>
        <v>23.1</v>
      </c>
      <c r="F39" s="3">
        <v>1.1000000000000001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36">
        <f>IF(COUNTBLANK(B40)=1," ",COUNTA(B$14:B40))</f>
        <v>13</v>
      </c>
      <c r="B40" s="37" t="s">
        <v>41</v>
      </c>
      <c r="C40" s="150" t="s">
        <v>111</v>
      </c>
      <c r="D40" s="36" t="s">
        <v>92</v>
      </c>
      <c r="E40" s="151">
        <f>E38</f>
        <v>21</v>
      </c>
      <c r="F40" s="15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s="158" customFormat="1" x14ac:dyDescent="0.25">
      <c r="A41" s="36" t="str">
        <f>IF(COUNTBLANK(B41)=1," ",COUNTA(B$14:B41))</f>
        <v xml:space="preserve"> </v>
      </c>
      <c r="B41" s="36"/>
      <c r="C41" s="150" t="s">
        <v>112</v>
      </c>
      <c r="D41" s="36" t="s">
        <v>69</v>
      </c>
      <c r="E41" s="3">
        <f>E40*F41</f>
        <v>23.1</v>
      </c>
      <c r="F41" s="3">
        <v>1.1000000000000001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36">
        <f>IF(COUNTBLANK(B42)=1," ",COUNTA(B$14:B42))</f>
        <v>14</v>
      </c>
      <c r="B42" s="37" t="s">
        <v>41</v>
      </c>
      <c r="C42" s="150" t="s">
        <v>113</v>
      </c>
      <c r="D42" s="36" t="s">
        <v>47</v>
      </c>
      <c r="E42" s="151">
        <f>E35</f>
        <v>420</v>
      </c>
      <c r="F42" s="3"/>
      <c r="G42" s="3"/>
      <c r="H42" s="3"/>
      <c r="I42" s="3"/>
      <c r="J42" s="39"/>
      <c r="K42" s="3"/>
      <c r="L42" s="3"/>
      <c r="M42" s="3"/>
      <c r="N42" s="3"/>
      <c r="O42" s="3"/>
      <c r="P42" s="3"/>
      <c r="Q42" s="3"/>
    </row>
    <row r="43" spans="1:17" s="154" customFormat="1" x14ac:dyDescent="0.25">
      <c r="A43" s="36" t="str">
        <f>IF(COUNTBLANK(B43)=1," ",COUNTA(B$14:B43))</f>
        <v xml:space="preserve"> </v>
      </c>
      <c r="B43" s="36"/>
      <c r="C43" s="150" t="s">
        <v>114</v>
      </c>
      <c r="D43" s="3" t="s">
        <v>47</v>
      </c>
      <c r="E43" s="3">
        <f>E42*F43</f>
        <v>441</v>
      </c>
      <c r="F43" s="3">
        <v>1.05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s="159" customFormat="1" x14ac:dyDescent="0.25">
      <c r="A44" s="36" t="str">
        <f>IF(COUNTBLANK(B44)=1," ",COUNTA(B$14:B44))</f>
        <v xml:space="preserve"> </v>
      </c>
      <c r="B44" s="36"/>
      <c r="C44" s="150" t="s">
        <v>115</v>
      </c>
      <c r="D44" s="3" t="s">
        <v>92</v>
      </c>
      <c r="E44" s="3">
        <f>E42*F44</f>
        <v>29.400000000000002</v>
      </c>
      <c r="F44" s="3">
        <v>7.0000000000000007E-2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s="154" customFormat="1" x14ac:dyDescent="0.25">
      <c r="A45" s="36">
        <f>IF(COUNTBLANK(B45)=1," ",COUNTA(B$14:B45))</f>
        <v>15</v>
      </c>
      <c r="B45" s="37" t="s">
        <v>41</v>
      </c>
      <c r="C45" s="150" t="s">
        <v>116</v>
      </c>
      <c r="D45" s="36" t="s">
        <v>43</v>
      </c>
      <c r="E45" s="151">
        <v>328</v>
      </c>
      <c r="F45" s="3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36">
        <f>IF(COUNTBLANK(B46)=1," ",COUNTA(B$14:B46))</f>
        <v>16</v>
      </c>
      <c r="B46" s="37" t="s">
        <v>41</v>
      </c>
      <c r="C46" s="150" t="s">
        <v>401</v>
      </c>
      <c r="D46" s="3" t="s">
        <v>92</v>
      </c>
      <c r="E46" s="151">
        <f>E45*0.1*0.3*F46</f>
        <v>10.824000000000003</v>
      </c>
      <c r="F46" s="36">
        <v>1.1000000000000001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60"/>
      <c r="B47" s="60"/>
      <c r="C47" s="126"/>
      <c r="D47" s="94"/>
      <c r="E47" s="94"/>
      <c r="F47" s="96"/>
      <c r="G47" s="96"/>
      <c r="H47" s="96"/>
      <c r="I47" s="96"/>
      <c r="J47" s="56"/>
      <c r="K47" s="56"/>
      <c r="L47" s="125"/>
      <c r="M47" s="125"/>
      <c r="N47" s="125"/>
      <c r="O47" s="125"/>
      <c r="P47" s="125"/>
      <c r="Q47" s="125"/>
    </row>
    <row r="48" spans="1:17" x14ac:dyDescent="0.25">
      <c r="A48" s="94" t="str">
        <f>IF(COUNTBLANK(L48)=1," ",COUNTA($L$15:L48))</f>
        <v xml:space="preserve"> </v>
      </c>
      <c r="B48" s="60"/>
      <c r="C48" s="95" t="s">
        <v>334</v>
      </c>
      <c r="D48" s="94"/>
      <c r="E48" s="94"/>
      <c r="F48" s="96"/>
      <c r="G48" s="97"/>
      <c r="H48" s="96"/>
      <c r="I48" s="96"/>
      <c r="J48" s="60"/>
      <c r="K48" s="60"/>
      <c r="L48" s="60"/>
      <c r="M48" s="129">
        <f>SUM(M14:M47)</f>
        <v>0</v>
      </c>
      <c r="N48" s="129">
        <f t="shared" ref="N48:Q48" si="1">SUM(N14:N47)</f>
        <v>0</v>
      </c>
      <c r="O48" s="129">
        <f t="shared" si="1"/>
        <v>0</v>
      </c>
      <c r="P48" s="129">
        <f t="shared" si="1"/>
        <v>0</v>
      </c>
      <c r="Q48" s="129">
        <f t="shared" si="1"/>
        <v>0</v>
      </c>
    </row>
    <row r="49" spans="1:17" x14ac:dyDescent="0.25">
      <c r="A49" s="56"/>
      <c r="B49" s="56"/>
      <c r="C49" s="58"/>
      <c r="D49" s="60"/>
      <c r="E49" s="125"/>
      <c r="F49" s="96"/>
      <c r="G49" s="96"/>
      <c r="H49" s="52"/>
      <c r="I49" s="96"/>
      <c r="J49" s="60"/>
      <c r="K49" s="60"/>
      <c r="L49" s="60"/>
      <c r="M49" s="56"/>
      <c r="N49" s="56"/>
      <c r="O49" s="56"/>
      <c r="P49" s="56"/>
      <c r="Q49" s="56"/>
    </row>
    <row r="50" spans="1:17" x14ac:dyDescent="0.25">
      <c r="A50" s="56"/>
      <c r="B50" s="98" t="s">
        <v>335</v>
      </c>
      <c r="C50" s="23"/>
      <c r="D50" s="63"/>
      <c r="E50" s="63"/>
      <c r="F50" s="52"/>
      <c r="G50" s="52"/>
      <c r="H50" s="52"/>
      <c r="I50" s="52"/>
      <c r="J50" s="56"/>
      <c r="K50" s="56"/>
      <c r="L50" s="56"/>
      <c r="M50" s="56"/>
      <c r="N50" s="56"/>
      <c r="O50" s="56"/>
      <c r="P50" s="56"/>
      <c r="Q50" s="56"/>
    </row>
    <row r="51" spans="1:17" x14ac:dyDescent="0.25">
      <c r="A51" s="56"/>
      <c r="C51" s="99" t="s">
        <v>336</v>
      </c>
      <c r="D51" s="55"/>
      <c r="E51" s="55"/>
      <c r="F51" s="52"/>
      <c r="G51" s="52"/>
      <c r="H51" s="52"/>
      <c r="I51" s="52"/>
      <c r="J51" s="56"/>
      <c r="K51" s="56"/>
      <c r="L51" s="56"/>
      <c r="M51" s="56"/>
      <c r="N51" s="56"/>
      <c r="O51" s="56"/>
      <c r="P51" s="56"/>
      <c r="Q51" s="56"/>
    </row>
    <row r="52" spans="1:17" x14ac:dyDescent="0.25">
      <c r="B52" s="100"/>
      <c r="C52" s="100"/>
      <c r="D52" s="100"/>
      <c r="E52" s="100"/>
      <c r="F52" s="52"/>
      <c r="G52" s="52"/>
      <c r="H52" s="52"/>
      <c r="I52" s="52"/>
    </row>
    <row r="53" spans="1:17" x14ac:dyDescent="0.25">
      <c r="B53" s="101" t="s">
        <v>408</v>
      </c>
      <c r="C53" s="23"/>
      <c r="D53" s="63"/>
      <c r="E53" s="63"/>
      <c r="F53" s="98"/>
      <c r="G53" s="52"/>
      <c r="H53" s="98"/>
      <c r="I53" s="98"/>
    </row>
    <row r="54" spans="1:17" x14ac:dyDescent="0.25">
      <c r="B54" s="100"/>
      <c r="C54" s="100"/>
      <c r="D54" s="100"/>
      <c r="E54" s="100"/>
      <c r="F54" s="98"/>
      <c r="G54" s="102"/>
      <c r="H54" s="98"/>
      <c r="I54" s="98"/>
    </row>
    <row r="55" spans="1:17" x14ac:dyDescent="0.25">
      <c r="B55" s="23" t="s">
        <v>337</v>
      </c>
      <c r="C55" s="23"/>
      <c r="D55" s="63"/>
      <c r="E55" s="63"/>
      <c r="F55" s="98"/>
      <c r="G55" s="52"/>
      <c r="H55" s="98"/>
      <c r="I55" s="98"/>
    </row>
    <row r="56" spans="1:17" x14ac:dyDescent="0.25">
      <c r="C56" s="99" t="s">
        <v>336</v>
      </c>
      <c r="D56" s="55"/>
      <c r="E56" s="55"/>
    </row>
    <row r="57" spans="1:17" x14ac:dyDescent="0.25">
      <c r="B57" s="100"/>
      <c r="C57" s="23" t="s">
        <v>338</v>
      </c>
      <c r="D57" s="63"/>
      <c r="E57" s="63"/>
    </row>
    <row r="58" spans="1:17" x14ac:dyDescent="0.25">
      <c r="C58" s="23"/>
    </row>
    <row r="59" spans="1:17" x14ac:dyDescent="0.25">
      <c r="C59" s="23"/>
    </row>
    <row r="60" spans="1:17" x14ac:dyDescent="0.25">
      <c r="C60" s="23"/>
    </row>
    <row r="61" spans="1:17" x14ac:dyDescent="0.25">
      <c r="C61" s="23"/>
    </row>
  </sheetData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0157480314965" bottom="0.39370078740157483" header="0.51181102362204722" footer="0.51181102362204722"/>
  <pageSetup paperSize="9" scale="87" firstPageNumber="0" orientation="landscape" r:id="rId1"/>
  <rowBreaks count="1" manualBreakCount="1">
    <brk id="31" max="16" man="1"/>
  </rowBreaks>
  <ignoredErrors>
    <ignoredError sqref="E22 E20 E38:E39 E41 E40 E4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H57"/>
  <sheetViews>
    <sheetView zoomScaleNormal="100" zoomScaleSheetLayoutView="85" workbookViewId="0">
      <selection activeCell="H2" sqref="H2"/>
    </sheetView>
  </sheetViews>
  <sheetFormatPr defaultColWidth="9" defaultRowHeight="11.25" x14ac:dyDescent="0.25"/>
  <cols>
    <col min="1" max="1" width="2.7109375" style="23" bestFit="1" customWidth="1"/>
    <col min="2" max="2" width="4.5703125" style="23"/>
    <col min="3" max="3" width="52.5703125" style="57" customWidth="1"/>
    <col min="4" max="4" width="3.5703125" style="23"/>
    <col min="5" max="5" width="7.42578125" style="23" bestFit="1" customWidth="1"/>
    <col min="6" max="6" width="4.28515625" style="23" hidden="1" customWidth="1"/>
    <col min="7" max="8" width="6" style="23" customWidth="1"/>
    <col min="9" max="9" width="6.7109375" style="23" customWidth="1"/>
    <col min="10" max="11" width="6" style="23" customWidth="1"/>
    <col min="12" max="12" width="7.140625" style="23" customWidth="1"/>
    <col min="13" max="14" width="7.85546875" style="23" customWidth="1"/>
    <col min="15" max="15" width="8.28515625" style="23" customWidth="1"/>
    <col min="16" max="16" width="7.85546875" style="23" customWidth="1"/>
    <col min="17" max="17" width="8.7109375" style="23" customWidth="1"/>
    <col min="18" max="1012" width="8.5703125" style="23"/>
    <col min="1013" max="16384" width="9" style="23"/>
  </cols>
  <sheetData>
    <row r="1" spans="1:17" s="52" customFormat="1" x14ac:dyDescent="0.25">
      <c r="A1" s="248" t="s">
        <v>23</v>
      </c>
      <c r="B1" s="248"/>
      <c r="C1" s="248"/>
      <c r="D1" s="248"/>
      <c r="E1" s="248"/>
      <c r="F1" s="248"/>
      <c r="G1" s="248"/>
      <c r="H1" s="52">
        <v>5</v>
      </c>
    </row>
    <row r="2" spans="1:17" s="56" customFormat="1" x14ac:dyDescent="0.25">
      <c r="A2" s="53"/>
      <c r="B2" s="52"/>
      <c r="C2" s="54" t="s">
        <v>181</v>
      </c>
      <c r="D2" s="52"/>
      <c r="E2" s="52"/>
      <c r="F2" s="52"/>
      <c r="G2" s="52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57" t="str">
        <f>KPDV!A3</f>
        <v>Būves nosaukums: Daudzdzīvokļu dzīvojamās mājas fasādes vienkāršotā atjaunošana</v>
      </c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60"/>
      <c r="N3" s="60"/>
      <c r="O3" s="60"/>
      <c r="P3" s="60"/>
      <c r="Q3" s="55"/>
    </row>
    <row r="4" spans="1:17" x14ac:dyDescent="0.25">
      <c r="A4" s="57" t="str">
        <f>KPDV!A4</f>
        <v>Objekta nosaukums: fasādes vienkāršotā atjaunošana</v>
      </c>
      <c r="B4" s="61"/>
      <c r="C4" s="62"/>
      <c r="D4" s="61"/>
      <c r="E4" s="61"/>
      <c r="F4" s="61"/>
      <c r="G4" s="61"/>
      <c r="H4" s="61"/>
      <c r="I4" s="63"/>
      <c r="J4" s="63"/>
      <c r="K4" s="60"/>
      <c r="L4" s="60"/>
      <c r="M4" s="60"/>
      <c r="N4" s="60"/>
      <c r="O4" s="60"/>
      <c r="P4" s="60"/>
      <c r="Q4" s="55"/>
    </row>
    <row r="5" spans="1:17" x14ac:dyDescent="0.25">
      <c r="A5" s="23" t="str">
        <f>KPDV!A5</f>
        <v>Objekta adrese: Tisē iela 75 Liepājā</v>
      </c>
      <c r="B5" s="63"/>
      <c r="D5" s="63"/>
      <c r="E5" s="61"/>
      <c r="F5" s="61"/>
      <c r="G5" s="63"/>
      <c r="H5" s="63"/>
      <c r="I5" s="63"/>
      <c r="J5" s="63"/>
      <c r="K5" s="60"/>
      <c r="L5" s="60"/>
      <c r="M5" s="60"/>
      <c r="N5" s="60"/>
      <c r="O5" s="60"/>
      <c r="P5" s="60"/>
      <c r="Q5" s="55"/>
    </row>
    <row r="6" spans="1:17" x14ac:dyDescent="0.25">
      <c r="A6" s="23" t="str">
        <f>KPDV!A6</f>
        <v>Pasūtījuma Nr.EA-08-16</v>
      </c>
      <c r="B6" s="63"/>
      <c r="D6" s="63"/>
      <c r="E6" s="63"/>
      <c r="F6" s="63"/>
      <c r="G6" s="63"/>
      <c r="H6" s="63"/>
      <c r="I6" s="63"/>
      <c r="J6" s="63"/>
      <c r="K6" s="60"/>
      <c r="L6" s="60"/>
      <c r="M6" s="60"/>
      <c r="N6" s="60"/>
      <c r="O6" s="60"/>
      <c r="P6" s="60"/>
      <c r="Q6" s="55"/>
    </row>
    <row r="7" spans="1:17" x14ac:dyDescent="0.25">
      <c r="A7" s="23" t="str">
        <f>KPDV!A7</f>
        <v>Pasūtītājs: SIA "Liepājas namu apsaimniekotājs"</v>
      </c>
      <c r="B7" s="63"/>
      <c r="D7" s="63"/>
      <c r="E7" s="63"/>
      <c r="F7" s="63"/>
      <c r="G7" s="63"/>
      <c r="H7" s="63"/>
      <c r="I7" s="63"/>
      <c r="J7" s="63"/>
      <c r="K7" s="60"/>
      <c r="L7" s="60"/>
      <c r="M7" s="60"/>
      <c r="N7" s="60"/>
      <c r="O7" s="60"/>
      <c r="P7" s="60"/>
      <c r="Q7" s="55"/>
    </row>
    <row r="8" spans="1:17" x14ac:dyDescent="0.25">
      <c r="A8" s="256" t="s">
        <v>409</v>
      </c>
      <c r="B8" s="256"/>
      <c r="C8" s="256"/>
      <c r="D8" s="256"/>
      <c r="E8" s="55" t="s">
        <v>360</v>
      </c>
      <c r="F8" s="55"/>
      <c r="G8" s="257" t="s">
        <v>25</v>
      </c>
      <c r="H8" s="257"/>
      <c r="I8" s="257"/>
      <c r="J8" s="257"/>
      <c r="K8" s="56"/>
      <c r="L8" s="56"/>
      <c r="M8" s="56"/>
      <c r="N8" s="56" t="s">
        <v>72</v>
      </c>
      <c r="O8" s="56"/>
      <c r="P8" s="64">
        <f>Q44</f>
        <v>0</v>
      </c>
      <c r="Q8" s="65" t="s">
        <v>73</v>
      </c>
    </row>
    <row r="9" spans="1:17" ht="12" thickBot="1" x14ac:dyDescent="0.3">
      <c r="A9" s="53"/>
      <c r="B9" s="55"/>
      <c r="C9" s="53"/>
      <c r="D9" s="55"/>
      <c r="E9" s="55"/>
      <c r="F9" s="55"/>
      <c r="G9" s="55"/>
      <c r="H9" s="55"/>
      <c r="I9" s="55"/>
      <c r="J9" s="55"/>
      <c r="K9" s="55"/>
      <c r="L9" s="55"/>
      <c r="M9" s="55"/>
      <c r="N9" s="258" t="s">
        <v>408</v>
      </c>
      <c r="O9" s="258"/>
      <c r="P9" s="258"/>
      <c r="Q9" s="258"/>
    </row>
    <row r="10" spans="1:17" ht="12" thickBot="1" x14ac:dyDescent="0.3">
      <c r="A10" s="259" t="s">
        <v>27</v>
      </c>
      <c r="B10" s="252" t="s">
        <v>28</v>
      </c>
      <c r="C10" s="267" t="s">
        <v>29</v>
      </c>
      <c r="D10" s="254" t="s">
        <v>30</v>
      </c>
      <c r="E10" s="252" t="s">
        <v>31</v>
      </c>
      <c r="F10" s="66"/>
      <c r="G10" s="255" t="s">
        <v>32</v>
      </c>
      <c r="H10" s="255"/>
      <c r="I10" s="255"/>
      <c r="J10" s="255"/>
      <c r="K10" s="255"/>
      <c r="L10" s="255"/>
      <c r="M10" s="255" t="s">
        <v>33</v>
      </c>
      <c r="N10" s="255"/>
      <c r="O10" s="255"/>
      <c r="P10" s="255"/>
      <c r="Q10" s="255"/>
    </row>
    <row r="11" spans="1:17" ht="68.25" thickBot="1" x14ac:dyDescent="0.3">
      <c r="A11" s="259"/>
      <c r="B11" s="252"/>
      <c r="C11" s="267"/>
      <c r="D11" s="254"/>
      <c r="E11" s="252"/>
      <c r="F11" s="67"/>
      <c r="G11" s="68" t="s">
        <v>34</v>
      </c>
      <c r="H11" s="69" t="s">
        <v>346</v>
      </c>
      <c r="I11" s="69" t="s">
        <v>35</v>
      </c>
      <c r="J11" s="69" t="s">
        <v>36</v>
      </c>
      <c r="K11" s="69" t="s">
        <v>37</v>
      </c>
      <c r="L11" s="70" t="s">
        <v>38</v>
      </c>
      <c r="M11" s="68" t="s">
        <v>39</v>
      </c>
      <c r="N11" s="69" t="s">
        <v>35</v>
      </c>
      <c r="O11" s="69" t="s">
        <v>36</v>
      </c>
      <c r="P11" s="69" t="s">
        <v>37</v>
      </c>
      <c r="Q11" s="70" t="s">
        <v>40</v>
      </c>
    </row>
    <row r="12" spans="1:17" x14ac:dyDescent="0.25">
      <c r="A12" s="71">
        <v>1</v>
      </c>
      <c r="B12" s="72">
        <f>A12+1</f>
        <v>2</v>
      </c>
      <c r="C12" s="73">
        <f>B12+1</f>
        <v>3</v>
      </c>
      <c r="D12" s="72">
        <f>C12+1</f>
        <v>4</v>
      </c>
      <c r="E12" s="72">
        <f>D12+1</f>
        <v>5</v>
      </c>
      <c r="F12" s="74"/>
      <c r="G12" s="75">
        <f>E12+1</f>
        <v>6</v>
      </c>
      <c r="H12" s="76">
        <f t="shared" ref="H12:Q12" si="0">G12+1</f>
        <v>7</v>
      </c>
      <c r="I12" s="76">
        <f t="shared" si="0"/>
        <v>8</v>
      </c>
      <c r="J12" s="76">
        <f t="shared" si="0"/>
        <v>9</v>
      </c>
      <c r="K12" s="77">
        <f t="shared" si="0"/>
        <v>10</v>
      </c>
      <c r="L12" s="72">
        <f t="shared" si="0"/>
        <v>11</v>
      </c>
      <c r="M12" s="75">
        <f t="shared" si="0"/>
        <v>12</v>
      </c>
      <c r="N12" s="76">
        <f t="shared" si="0"/>
        <v>13</v>
      </c>
      <c r="O12" s="76">
        <f t="shared" si="0"/>
        <v>14</v>
      </c>
      <c r="P12" s="76">
        <f t="shared" si="0"/>
        <v>15</v>
      </c>
      <c r="Q12" s="77">
        <f t="shared" si="0"/>
        <v>16</v>
      </c>
    </row>
    <row r="13" spans="1:17" ht="33.75" x14ac:dyDescent="0.25">
      <c r="A13" s="45">
        <f>IF(COUNTBLANK(B13)=1," ",COUNTA(B13:B$14))</f>
        <v>1</v>
      </c>
      <c r="B13" s="78" t="s">
        <v>41</v>
      </c>
      <c r="C13" s="79" t="s">
        <v>399</v>
      </c>
      <c r="D13" s="45" t="s">
        <v>45</v>
      </c>
      <c r="E13" s="80">
        <v>140</v>
      </c>
      <c r="F13" s="81"/>
      <c r="G13" s="81"/>
      <c r="H13" s="30"/>
      <c r="I13" s="82"/>
      <c r="J13" s="30"/>
      <c r="K13" s="30"/>
      <c r="L13" s="31"/>
      <c r="M13" s="32"/>
      <c r="N13" s="32"/>
      <c r="O13" s="32"/>
      <c r="P13" s="32"/>
      <c r="Q13" s="32"/>
    </row>
    <row r="14" spans="1:17" ht="22.5" x14ac:dyDescent="0.25">
      <c r="A14" s="45" t="str">
        <f>IF(COUNTBLANK(B14)=1," ",COUNTA(B14:B$14))</f>
        <v xml:space="preserve"> </v>
      </c>
      <c r="B14" s="35"/>
      <c r="C14" s="79" t="s">
        <v>400</v>
      </c>
      <c r="D14" s="45" t="s">
        <v>55</v>
      </c>
      <c r="E14" s="80">
        <v>192.92</v>
      </c>
      <c r="F14" s="30"/>
      <c r="G14" s="83"/>
      <c r="H14" s="30"/>
      <c r="I14" s="35"/>
      <c r="J14" s="35"/>
      <c r="K14" s="35"/>
      <c r="L14" s="31"/>
      <c r="M14" s="32"/>
      <c r="N14" s="32"/>
      <c r="O14" s="32"/>
      <c r="P14" s="32"/>
      <c r="Q14" s="32"/>
    </row>
    <row r="15" spans="1:17" ht="22.5" x14ac:dyDescent="0.25">
      <c r="A15" s="45" t="str">
        <f>IF(COUNTBLANK(B15)=1," ",COUNTA(B$14:B15))</f>
        <v xml:space="preserve"> </v>
      </c>
      <c r="B15" s="35"/>
      <c r="C15" s="79" t="s">
        <v>388</v>
      </c>
      <c r="D15" s="45" t="s">
        <v>45</v>
      </c>
      <c r="E15" s="80">
        <v>80</v>
      </c>
      <c r="F15" s="30"/>
      <c r="G15" s="83"/>
      <c r="H15" s="30"/>
      <c r="I15" s="35"/>
      <c r="J15" s="35"/>
      <c r="K15" s="35"/>
      <c r="L15" s="31"/>
      <c r="M15" s="32"/>
      <c r="N15" s="32"/>
      <c r="O15" s="32"/>
      <c r="P15" s="32"/>
      <c r="Q15" s="32"/>
    </row>
    <row r="16" spans="1:17" x14ac:dyDescent="0.25">
      <c r="A16" s="45" t="str">
        <f>IF(COUNTBLANK(B16)=1," ",COUNTA(B$14:B16))</f>
        <v xml:space="preserve"> </v>
      </c>
      <c r="B16" s="35"/>
      <c r="C16" s="79" t="s">
        <v>389</v>
      </c>
      <c r="D16" s="45" t="s">
        <v>45</v>
      </c>
      <c r="E16" s="80">
        <v>120</v>
      </c>
      <c r="F16" s="83"/>
      <c r="G16" s="30"/>
      <c r="H16" s="30"/>
      <c r="I16" s="35"/>
      <c r="J16" s="35"/>
      <c r="K16" s="35"/>
      <c r="L16" s="31"/>
      <c r="M16" s="32"/>
      <c r="N16" s="32"/>
      <c r="O16" s="32"/>
      <c r="P16" s="32"/>
      <c r="Q16" s="32"/>
    </row>
    <row r="17" spans="1:242" x14ac:dyDescent="0.25">
      <c r="A17" s="45" t="str">
        <f>IF(COUNTBLANK(B17)=1," ",COUNTA(B$14:B17))</f>
        <v xml:space="preserve"> </v>
      </c>
      <c r="B17" s="35"/>
      <c r="C17" s="79" t="s">
        <v>390</v>
      </c>
      <c r="D17" s="45" t="s">
        <v>55</v>
      </c>
      <c r="E17" s="80">
        <v>1095.56</v>
      </c>
      <c r="F17" s="30"/>
      <c r="G17" s="85"/>
      <c r="H17" s="30"/>
      <c r="I17" s="35"/>
      <c r="J17" s="35"/>
      <c r="K17" s="35"/>
      <c r="L17" s="31"/>
      <c r="M17" s="32"/>
      <c r="N17" s="32"/>
      <c r="O17" s="32"/>
      <c r="P17" s="32"/>
      <c r="Q17" s="32"/>
    </row>
    <row r="18" spans="1:242" x14ac:dyDescent="0.25">
      <c r="A18" s="45" t="str">
        <f>IF(COUNTBLANK(B18)=1," ",COUNTA(B$14:B18))</f>
        <v xml:space="preserve"> </v>
      </c>
      <c r="B18" s="35"/>
      <c r="C18" s="79" t="s">
        <v>391</v>
      </c>
      <c r="D18" s="45" t="s">
        <v>55</v>
      </c>
      <c r="E18" s="80">
        <v>2595.2199999999998</v>
      </c>
      <c r="F18" s="30"/>
      <c r="G18" s="85"/>
      <c r="H18" s="30"/>
      <c r="I18" s="35"/>
      <c r="J18" s="35"/>
      <c r="K18" s="35"/>
      <c r="L18" s="31"/>
      <c r="M18" s="32"/>
      <c r="N18" s="32"/>
      <c r="O18" s="32"/>
      <c r="P18" s="32"/>
      <c r="Q18" s="32"/>
    </row>
    <row r="19" spans="1:242" ht="22.5" x14ac:dyDescent="0.25">
      <c r="A19" s="45" t="str">
        <f>IF(COUNTBLANK(B19)=1," ",COUNTA(B$14:B19))</f>
        <v xml:space="preserve"> </v>
      </c>
      <c r="B19" s="35"/>
      <c r="C19" s="79" t="s">
        <v>392</v>
      </c>
      <c r="D19" s="45" t="s">
        <v>55</v>
      </c>
      <c r="E19" s="80">
        <v>628.6</v>
      </c>
      <c r="F19" s="30"/>
      <c r="G19" s="85"/>
      <c r="H19" s="30"/>
      <c r="I19" s="35"/>
      <c r="J19" s="35"/>
      <c r="K19" s="35"/>
      <c r="L19" s="31"/>
      <c r="M19" s="32"/>
      <c r="N19" s="32"/>
      <c r="O19" s="32"/>
      <c r="P19" s="32"/>
      <c r="Q19" s="32"/>
    </row>
    <row r="20" spans="1:242" ht="22.5" x14ac:dyDescent="0.25">
      <c r="A20" s="45" t="str">
        <f>IF(COUNTBLANK(B20)=1," ",COUNTA(B$14:B20))</f>
        <v xml:space="preserve"> </v>
      </c>
      <c r="B20" s="35"/>
      <c r="C20" s="79" t="s">
        <v>182</v>
      </c>
      <c r="D20" s="45" t="s">
        <v>45</v>
      </c>
      <c r="E20" s="80">
        <v>700</v>
      </c>
      <c r="F20" s="83"/>
      <c r="G20" s="85"/>
      <c r="H20" s="30"/>
      <c r="I20" s="35"/>
      <c r="J20" s="35"/>
      <c r="K20" s="35"/>
      <c r="L20" s="31"/>
      <c r="M20" s="32"/>
      <c r="N20" s="32"/>
      <c r="O20" s="32"/>
      <c r="P20" s="32"/>
      <c r="Q20" s="32"/>
    </row>
    <row r="21" spans="1:242" ht="22.5" x14ac:dyDescent="0.25">
      <c r="A21" s="45" t="str">
        <f>IF(COUNTBLANK(B21)=1," ",COUNTA(B$14:B21))</f>
        <v xml:space="preserve"> </v>
      </c>
      <c r="B21" s="35"/>
      <c r="C21" s="79" t="s">
        <v>393</v>
      </c>
      <c r="D21" s="45" t="s">
        <v>55</v>
      </c>
      <c r="E21" s="80">
        <v>156.44999999999999</v>
      </c>
      <c r="F21" s="30"/>
      <c r="G21" s="85"/>
      <c r="H21" s="30"/>
      <c r="I21" s="35"/>
      <c r="J21" s="35"/>
      <c r="K21" s="35"/>
      <c r="L21" s="31"/>
      <c r="M21" s="32"/>
      <c r="N21" s="32"/>
      <c r="O21" s="32"/>
      <c r="P21" s="32"/>
      <c r="Q21" s="32"/>
    </row>
    <row r="22" spans="1:242" ht="22.5" x14ac:dyDescent="0.25">
      <c r="A22" s="45" t="str">
        <f>IF(COUNTBLANK(B22)=1," ",COUNTA(B$14:B22))</f>
        <v xml:space="preserve"> </v>
      </c>
      <c r="B22" s="47"/>
      <c r="C22" s="79" t="s">
        <v>184</v>
      </c>
      <c r="D22" s="45" t="s">
        <v>45</v>
      </c>
      <c r="E22" s="80">
        <v>700</v>
      </c>
      <c r="F22" s="48"/>
      <c r="G22" s="86"/>
      <c r="H22" s="48"/>
      <c r="I22" s="47"/>
      <c r="J22" s="47"/>
      <c r="K22" s="47"/>
      <c r="L22" s="19"/>
      <c r="M22" s="20"/>
      <c r="N22" s="20"/>
      <c r="O22" s="20"/>
      <c r="P22" s="20"/>
      <c r="Q22" s="20"/>
    </row>
    <row r="23" spans="1:242" ht="22.5" x14ac:dyDescent="0.25">
      <c r="A23" s="45" t="str">
        <f>IF(COUNTBLANK(B23)=1," ",COUNTA(B$14:B23))</f>
        <v xml:space="preserve"> </v>
      </c>
      <c r="B23" s="47"/>
      <c r="C23" s="8" t="s">
        <v>395</v>
      </c>
      <c r="D23" s="11" t="s">
        <v>92</v>
      </c>
      <c r="E23" s="21" t="s">
        <v>394</v>
      </c>
      <c r="F23" s="48"/>
      <c r="G23" s="86"/>
      <c r="H23" s="48"/>
      <c r="I23" s="47"/>
      <c r="J23" s="47"/>
      <c r="K23" s="47"/>
      <c r="L23" s="19"/>
      <c r="M23" s="20"/>
      <c r="N23" s="20"/>
      <c r="O23" s="20"/>
      <c r="P23" s="20"/>
      <c r="Q23" s="20"/>
    </row>
    <row r="24" spans="1:242" x14ac:dyDescent="0.25">
      <c r="A24" s="45" t="str">
        <f>IF(COUNTBLANK(B24)=1," ",COUNTA(B$14:B24))</f>
        <v xml:space="preserve"> </v>
      </c>
      <c r="B24" s="47"/>
      <c r="C24" s="8" t="s">
        <v>396</v>
      </c>
      <c r="D24" s="11" t="s">
        <v>43</v>
      </c>
      <c r="E24" s="21">
        <v>448</v>
      </c>
      <c r="F24" s="48"/>
      <c r="G24" s="86"/>
      <c r="H24" s="48"/>
      <c r="I24" s="47"/>
      <c r="J24" s="47"/>
      <c r="K24" s="47"/>
      <c r="L24" s="19"/>
      <c r="M24" s="20"/>
      <c r="N24" s="20"/>
      <c r="O24" s="20"/>
      <c r="P24" s="20"/>
      <c r="Q24" s="20"/>
    </row>
    <row r="25" spans="1:242" ht="22.5" x14ac:dyDescent="0.25">
      <c r="A25" s="45" t="str">
        <f>IF(COUNTBLANK(B25)=1," ",COUNTA(B$14:B25))</f>
        <v xml:space="preserve"> </v>
      </c>
      <c r="B25" s="35"/>
      <c r="C25" s="79" t="s">
        <v>183</v>
      </c>
      <c r="D25" s="45" t="s">
        <v>55</v>
      </c>
      <c r="E25" s="80">
        <v>201</v>
      </c>
      <c r="F25" s="30"/>
      <c r="G25" s="85"/>
      <c r="H25" s="87"/>
      <c r="I25" s="35"/>
      <c r="J25" s="35"/>
      <c r="K25" s="35"/>
      <c r="L25" s="31"/>
      <c r="M25" s="32"/>
      <c r="N25" s="32"/>
      <c r="O25" s="32"/>
      <c r="P25" s="32"/>
      <c r="Q25" s="32"/>
    </row>
    <row r="26" spans="1:242" ht="22.5" x14ac:dyDescent="0.25">
      <c r="A26" s="45" t="str">
        <f>IF(COUNTBLANK(B26)=1," ",COUNTA(B$14:B26))</f>
        <v xml:space="preserve"> </v>
      </c>
      <c r="B26" s="35"/>
      <c r="C26" s="79" t="s">
        <v>185</v>
      </c>
      <c r="D26" s="45" t="s">
        <v>47</v>
      </c>
      <c r="E26" s="80">
        <v>103</v>
      </c>
      <c r="F26" s="83"/>
      <c r="G26" s="87"/>
      <c r="H26" s="87"/>
      <c r="I26" s="35"/>
      <c r="J26" s="35"/>
      <c r="K26" s="35"/>
      <c r="L26" s="31"/>
      <c r="M26" s="32"/>
      <c r="N26" s="32"/>
      <c r="O26" s="32"/>
      <c r="P26" s="32"/>
      <c r="Q26" s="32"/>
    </row>
    <row r="27" spans="1:242" x14ac:dyDescent="0.25">
      <c r="A27" s="45">
        <v>2</v>
      </c>
      <c r="B27" s="88" t="s">
        <v>41</v>
      </c>
      <c r="C27" s="79" t="s">
        <v>186</v>
      </c>
      <c r="D27" s="45" t="s">
        <v>47</v>
      </c>
      <c r="E27" s="80">
        <v>277</v>
      </c>
      <c r="F27" s="82"/>
      <c r="G27" s="82"/>
      <c r="H27" s="89"/>
      <c r="I27" s="82"/>
      <c r="J27" s="90"/>
      <c r="K27" s="82"/>
      <c r="L27" s="31"/>
      <c r="M27" s="32"/>
      <c r="N27" s="32"/>
      <c r="O27" s="32"/>
      <c r="P27" s="32"/>
      <c r="Q27" s="3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pans="1:242" x14ac:dyDescent="0.25">
      <c r="A28" s="45" t="str">
        <f>IF(COUNTBLANK(B28)=1," ",COUNTA(B$14:B28))</f>
        <v xml:space="preserve"> </v>
      </c>
      <c r="B28" s="91"/>
      <c r="C28" s="92" t="s">
        <v>339</v>
      </c>
      <c r="D28" s="91" t="s">
        <v>55</v>
      </c>
      <c r="E28" s="80">
        <f>ROUNDUP(E27*F28,2)</f>
        <v>110.8</v>
      </c>
      <c r="F28" s="82">
        <v>0.4</v>
      </c>
      <c r="G28" s="82"/>
      <c r="H28" s="82"/>
      <c r="I28" s="82"/>
      <c r="J28" s="82"/>
      <c r="K28" s="82"/>
      <c r="L28" s="31"/>
      <c r="M28" s="32"/>
      <c r="N28" s="32"/>
      <c r="O28" s="32"/>
      <c r="P28" s="32"/>
      <c r="Q28" s="3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pans="1:242" x14ac:dyDescent="0.25">
      <c r="A29" s="45">
        <v>3</v>
      </c>
      <c r="B29" s="88" t="s">
        <v>41</v>
      </c>
      <c r="C29" s="79" t="s">
        <v>187</v>
      </c>
      <c r="D29" s="45"/>
      <c r="E29" s="80"/>
      <c r="F29" s="30"/>
      <c r="G29" s="82"/>
      <c r="H29" s="89"/>
      <c r="I29" s="82"/>
      <c r="J29" s="90"/>
      <c r="K29" s="82"/>
      <c r="L29" s="31"/>
      <c r="M29" s="32"/>
      <c r="N29" s="32"/>
      <c r="O29" s="32"/>
      <c r="P29" s="32"/>
      <c r="Q29" s="32"/>
    </row>
    <row r="30" spans="1:242" x14ac:dyDescent="0.25">
      <c r="A30" s="45" t="str">
        <f>IF(COUNTBLANK(B30)=1," ",COUNTA(B$14:B30))</f>
        <v xml:space="preserve"> </v>
      </c>
      <c r="B30" s="35"/>
      <c r="C30" s="79" t="s">
        <v>188</v>
      </c>
      <c r="D30" s="45" t="s">
        <v>43</v>
      </c>
      <c r="E30" s="80">
        <v>448</v>
      </c>
      <c r="F30" s="30"/>
      <c r="G30" s="30"/>
      <c r="H30" s="93"/>
      <c r="I30" s="35"/>
      <c r="J30" s="35"/>
      <c r="K30" s="35"/>
      <c r="L30" s="31"/>
      <c r="M30" s="32"/>
      <c r="N30" s="32"/>
      <c r="O30" s="32"/>
      <c r="P30" s="32"/>
      <c r="Q30" s="32"/>
    </row>
    <row r="31" spans="1:242" x14ac:dyDescent="0.25">
      <c r="A31" s="45" t="str">
        <f>IF(COUNTBLANK(B31)=1," ",COUNTA(B$14:B31))</f>
        <v xml:space="preserve"> </v>
      </c>
      <c r="B31" s="35"/>
      <c r="C31" s="79" t="s">
        <v>189</v>
      </c>
      <c r="D31" s="45" t="s">
        <v>43</v>
      </c>
      <c r="E31" s="80">
        <v>448</v>
      </c>
      <c r="F31" s="30"/>
      <c r="G31" s="33"/>
      <c r="H31" s="34"/>
      <c r="I31" s="35"/>
      <c r="J31" s="35"/>
      <c r="K31" s="35"/>
      <c r="L31" s="31"/>
      <c r="M31" s="32"/>
      <c r="N31" s="32"/>
      <c r="O31" s="32"/>
      <c r="P31" s="32"/>
      <c r="Q31" s="32"/>
    </row>
    <row r="32" spans="1:242" ht="22.5" x14ac:dyDescent="0.25">
      <c r="A32" s="45" t="str">
        <f>IF(COUNTBLANK(B32)=1," ",COUNTA(B$14:B32))</f>
        <v xml:space="preserve"> </v>
      </c>
      <c r="B32" s="35"/>
      <c r="C32" s="79" t="s">
        <v>190</v>
      </c>
      <c r="D32" s="45" t="s">
        <v>45</v>
      </c>
      <c r="E32" s="80">
        <v>700</v>
      </c>
      <c r="F32" s="83"/>
      <c r="G32" s="33"/>
      <c r="H32" s="34"/>
      <c r="I32" s="35"/>
      <c r="J32" s="35"/>
      <c r="K32" s="35"/>
      <c r="L32" s="31"/>
      <c r="M32" s="32"/>
      <c r="N32" s="32"/>
      <c r="O32" s="32"/>
      <c r="P32" s="32"/>
      <c r="Q32" s="32"/>
    </row>
    <row r="33" spans="1:17" x14ac:dyDescent="0.25">
      <c r="A33" s="45" t="str">
        <f>IF(COUNTBLANK(B33)=1," ",COUNTA(B$14:B33))</f>
        <v xml:space="preserve"> </v>
      </c>
      <c r="B33" s="35"/>
      <c r="C33" s="79" t="s">
        <v>443</v>
      </c>
      <c r="D33" s="45" t="s">
        <v>43</v>
      </c>
      <c r="E33" s="80">
        <v>448</v>
      </c>
      <c r="F33" s="30"/>
      <c r="G33" s="33"/>
      <c r="H33" s="34"/>
      <c r="I33" s="35"/>
      <c r="J33" s="35"/>
      <c r="K33" s="35"/>
      <c r="L33" s="31"/>
      <c r="M33" s="32"/>
      <c r="N33" s="32"/>
      <c r="O33" s="32"/>
      <c r="P33" s="32"/>
      <c r="Q33" s="32"/>
    </row>
    <row r="34" spans="1:17" x14ac:dyDescent="0.25">
      <c r="A34" s="45" t="str">
        <f>IF(COUNTBLANK(B34)=1," ",COUNTA(B$14:B34))</f>
        <v xml:space="preserve"> </v>
      </c>
      <c r="B34" s="35"/>
      <c r="C34" s="79" t="s">
        <v>191</v>
      </c>
      <c r="D34" s="45" t="s">
        <v>43</v>
      </c>
      <c r="E34" s="80">
        <v>441</v>
      </c>
      <c r="F34" s="30"/>
      <c r="G34" s="33"/>
      <c r="H34" s="34"/>
      <c r="I34" s="35"/>
      <c r="J34" s="35"/>
      <c r="K34" s="35"/>
      <c r="L34" s="31"/>
      <c r="M34" s="32"/>
      <c r="N34" s="32"/>
      <c r="O34" s="32"/>
      <c r="P34" s="32"/>
      <c r="Q34" s="32"/>
    </row>
    <row r="35" spans="1:17" x14ac:dyDescent="0.25">
      <c r="A35" s="45" t="str">
        <f>IF(COUNTBLANK(B35)=1," ",COUNTA(B$14:B35))</f>
        <v xml:space="preserve"> </v>
      </c>
      <c r="B35" s="35"/>
      <c r="C35" s="79" t="s">
        <v>192</v>
      </c>
      <c r="D35" s="45" t="s">
        <v>43</v>
      </c>
      <c r="E35" s="80">
        <v>448</v>
      </c>
      <c r="F35" s="30"/>
      <c r="G35" s="33"/>
      <c r="H35" s="34"/>
      <c r="I35" s="35"/>
      <c r="J35" s="35"/>
      <c r="K35" s="35"/>
      <c r="L35" s="31"/>
      <c r="M35" s="32"/>
      <c r="N35" s="32"/>
      <c r="O35" s="32"/>
      <c r="P35" s="32"/>
      <c r="Q35" s="32"/>
    </row>
    <row r="36" spans="1:17" x14ac:dyDescent="0.25">
      <c r="A36" s="45" t="str">
        <f>IF(COUNTBLANK(B36)=1," ",COUNTA(B$14:B36))</f>
        <v xml:space="preserve"> </v>
      </c>
      <c r="B36" s="35"/>
      <c r="C36" s="79" t="s">
        <v>193</v>
      </c>
      <c r="D36" s="45" t="s">
        <v>43</v>
      </c>
      <c r="E36" s="80">
        <f>2*448</f>
        <v>896</v>
      </c>
      <c r="F36" s="30"/>
      <c r="G36" s="33"/>
      <c r="H36" s="34"/>
      <c r="I36" s="35"/>
      <c r="J36" s="35"/>
      <c r="K36" s="35"/>
      <c r="L36" s="31"/>
      <c r="M36" s="32"/>
      <c r="N36" s="32"/>
      <c r="O36" s="32"/>
      <c r="P36" s="32"/>
      <c r="Q36" s="32"/>
    </row>
    <row r="37" spans="1:17" x14ac:dyDescent="0.25">
      <c r="A37" s="45" t="str">
        <f>IF(COUNTBLANK(B37)=1," ",COUNTA(B$14:B37))</f>
        <v xml:space="preserve"> </v>
      </c>
      <c r="B37" s="35"/>
      <c r="C37" s="79" t="s">
        <v>444</v>
      </c>
      <c r="D37" s="45" t="s">
        <v>43</v>
      </c>
      <c r="E37" s="80">
        <v>448</v>
      </c>
      <c r="F37" s="30"/>
      <c r="G37" s="33"/>
      <c r="H37" s="34"/>
      <c r="I37" s="35"/>
      <c r="J37" s="35"/>
      <c r="K37" s="35"/>
      <c r="L37" s="31"/>
      <c r="M37" s="32"/>
      <c r="N37" s="32"/>
      <c r="O37" s="32"/>
      <c r="P37" s="32"/>
      <c r="Q37" s="32"/>
    </row>
    <row r="38" spans="1:17" ht="22.5" x14ac:dyDescent="0.25">
      <c r="A38" s="45" t="str">
        <f>IF(COUNTBLANK(B38)=1," ",COUNTA(B$14:B38))</f>
        <v xml:space="preserve"> </v>
      </c>
      <c r="B38" s="35"/>
      <c r="C38" s="79" t="s">
        <v>194</v>
      </c>
      <c r="D38" s="45" t="s">
        <v>43</v>
      </c>
      <c r="E38" s="80">
        <f>2.6*280</f>
        <v>728</v>
      </c>
      <c r="F38" s="30"/>
      <c r="G38" s="33"/>
      <c r="H38" s="34"/>
      <c r="I38" s="35"/>
      <c r="J38" s="35"/>
      <c r="K38" s="35"/>
      <c r="L38" s="31"/>
      <c r="M38" s="32"/>
      <c r="N38" s="32"/>
      <c r="O38" s="32"/>
      <c r="P38" s="32"/>
      <c r="Q38" s="32"/>
    </row>
    <row r="39" spans="1:17" ht="22.5" x14ac:dyDescent="0.25">
      <c r="A39" s="11"/>
      <c r="B39" s="47"/>
      <c r="C39" s="79" t="s">
        <v>446</v>
      </c>
      <c r="D39" s="45" t="s">
        <v>47</v>
      </c>
      <c r="E39" s="80">
        <v>462</v>
      </c>
      <c r="F39" s="48"/>
      <c r="G39" s="49"/>
      <c r="H39" s="50"/>
      <c r="I39" s="47"/>
      <c r="J39" s="47"/>
      <c r="K39" s="47"/>
      <c r="L39" s="19"/>
      <c r="M39" s="20"/>
      <c r="N39" s="20"/>
      <c r="O39" s="20"/>
      <c r="P39" s="20"/>
      <c r="Q39" s="20"/>
    </row>
    <row r="40" spans="1:17" ht="22.5" x14ac:dyDescent="0.25">
      <c r="A40" s="11"/>
      <c r="B40" s="47"/>
      <c r="C40" s="79" t="s">
        <v>397</v>
      </c>
      <c r="D40" s="45" t="s">
        <v>47</v>
      </c>
      <c r="E40" s="80">
        <v>462</v>
      </c>
      <c r="F40" s="48"/>
      <c r="G40" s="49"/>
      <c r="H40" s="50"/>
      <c r="I40" s="47"/>
      <c r="J40" s="47"/>
      <c r="K40" s="47"/>
      <c r="L40" s="19"/>
      <c r="M40" s="20"/>
      <c r="N40" s="20"/>
      <c r="O40" s="20"/>
      <c r="P40" s="20"/>
      <c r="Q40" s="20"/>
    </row>
    <row r="41" spans="1:17" ht="22.5" x14ac:dyDescent="0.25">
      <c r="A41" s="11"/>
      <c r="B41" s="47"/>
      <c r="C41" s="79" t="s">
        <v>445</v>
      </c>
      <c r="D41" s="45" t="s">
        <v>47</v>
      </c>
      <c r="E41" s="80">
        <v>45</v>
      </c>
      <c r="F41" s="48"/>
      <c r="G41" s="49"/>
      <c r="H41" s="50"/>
      <c r="I41" s="47"/>
      <c r="J41" s="47"/>
      <c r="K41" s="47"/>
      <c r="L41" s="19"/>
      <c r="M41" s="20"/>
      <c r="N41" s="20"/>
      <c r="O41" s="20"/>
      <c r="P41" s="20"/>
      <c r="Q41" s="20"/>
    </row>
    <row r="42" spans="1:17" x14ac:dyDescent="0.25">
      <c r="A42" s="45" t="str">
        <f>IF(COUNTBLANK(B42)=1," ",COUNTA(B$14:B42))</f>
        <v xml:space="preserve"> </v>
      </c>
      <c r="B42" s="35"/>
      <c r="C42" s="79" t="s">
        <v>398</v>
      </c>
      <c r="D42" s="45"/>
      <c r="E42" s="80"/>
      <c r="F42" s="30"/>
      <c r="G42" s="33"/>
      <c r="H42" s="34"/>
      <c r="I42" s="35"/>
      <c r="J42" s="35"/>
      <c r="K42" s="35"/>
      <c r="L42" s="31"/>
      <c r="M42" s="32"/>
      <c r="N42" s="32"/>
      <c r="O42" s="32"/>
      <c r="P42" s="32"/>
      <c r="Q42" s="32"/>
    </row>
    <row r="44" spans="1:17" x14ac:dyDescent="0.25">
      <c r="A44" s="94" t="str">
        <f>IF(COUNTBLANK(L44)=1," ",COUNTA($L$15:L44))</f>
        <v xml:space="preserve"> </v>
      </c>
      <c r="B44" s="60"/>
      <c r="C44" s="95" t="s">
        <v>334</v>
      </c>
      <c r="D44" s="94"/>
      <c r="E44" s="94"/>
      <c r="F44" s="96"/>
      <c r="G44" s="97"/>
      <c r="H44" s="96"/>
      <c r="I44" s="96"/>
      <c r="M44" s="2">
        <f>SUM(M13:M42)</f>
        <v>0</v>
      </c>
      <c r="N44" s="2">
        <f>SUM(N13:N42)</f>
        <v>0</v>
      </c>
      <c r="O44" s="2">
        <f>SUM(O13:O42)</f>
        <v>0</v>
      </c>
      <c r="P44" s="2">
        <f>SUM(P13:P42)</f>
        <v>0</v>
      </c>
      <c r="Q44" s="2">
        <f>SUM(Q13:Q42)</f>
        <v>0</v>
      </c>
    </row>
    <row r="45" spans="1:17" x14ac:dyDescent="0.25">
      <c r="A45" s="56"/>
      <c r="B45" s="56"/>
      <c r="C45" s="58"/>
      <c r="D45" s="60"/>
      <c r="E45" s="125"/>
      <c r="F45" s="96"/>
      <c r="G45" s="96"/>
      <c r="H45" s="52"/>
      <c r="I45" s="96"/>
    </row>
    <row r="46" spans="1:17" x14ac:dyDescent="0.25">
      <c r="A46" s="56"/>
      <c r="B46" s="98" t="s">
        <v>335</v>
      </c>
      <c r="C46" s="23"/>
      <c r="D46" s="63"/>
      <c r="E46" s="63"/>
      <c r="F46" s="52"/>
      <c r="G46" s="52"/>
      <c r="H46" s="52"/>
      <c r="I46" s="52"/>
    </row>
    <row r="47" spans="1:17" x14ac:dyDescent="0.25">
      <c r="A47" s="56"/>
      <c r="C47" s="99" t="s">
        <v>336</v>
      </c>
      <c r="D47" s="55"/>
      <c r="E47" s="55"/>
      <c r="F47" s="52"/>
      <c r="G47" s="52"/>
      <c r="H47" s="52"/>
      <c r="I47" s="52"/>
    </row>
    <row r="48" spans="1:17" x14ac:dyDescent="0.25">
      <c r="B48" s="100"/>
      <c r="C48" s="100"/>
      <c r="D48" s="100"/>
      <c r="E48" s="100"/>
      <c r="F48" s="52"/>
      <c r="G48" s="52"/>
      <c r="H48" s="52"/>
      <c r="I48" s="52"/>
    </row>
    <row r="49" spans="2:9" x14ac:dyDescent="0.25">
      <c r="B49" s="101" t="s">
        <v>408</v>
      </c>
      <c r="C49" s="23"/>
      <c r="D49" s="63"/>
      <c r="E49" s="63"/>
      <c r="F49" s="98"/>
      <c r="G49" s="52"/>
      <c r="H49" s="98"/>
      <c r="I49" s="98"/>
    </row>
    <row r="50" spans="2:9" x14ac:dyDescent="0.25">
      <c r="B50" s="100"/>
      <c r="C50" s="100"/>
      <c r="D50" s="100"/>
      <c r="E50" s="100"/>
      <c r="F50" s="98"/>
      <c r="G50" s="102"/>
      <c r="H50" s="98"/>
      <c r="I50" s="98"/>
    </row>
    <row r="51" spans="2:9" x14ac:dyDescent="0.25">
      <c r="B51" s="23" t="s">
        <v>337</v>
      </c>
      <c r="C51" s="23"/>
      <c r="D51" s="63"/>
      <c r="E51" s="63"/>
      <c r="F51" s="98"/>
      <c r="G51" s="52"/>
      <c r="H51" s="98"/>
      <c r="I51" s="98"/>
    </row>
    <row r="52" spans="2:9" x14ac:dyDescent="0.25">
      <c r="C52" s="99" t="s">
        <v>336</v>
      </c>
      <c r="D52" s="55"/>
      <c r="E52" s="55"/>
      <c r="G52" s="56"/>
    </row>
    <row r="53" spans="2:9" x14ac:dyDescent="0.25">
      <c r="B53" s="100"/>
      <c r="C53" s="23" t="s">
        <v>338</v>
      </c>
      <c r="D53" s="63"/>
      <c r="E53" s="63"/>
      <c r="G53" s="56"/>
    </row>
    <row r="54" spans="2:9" x14ac:dyDescent="0.25">
      <c r="C54" s="23"/>
      <c r="G54" s="56"/>
    </row>
    <row r="55" spans="2:9" x14ac:dyDescent="0.25">
      <c r="C55" s="23"/>
      <c r="G55" s="56"/>
    </row>
    <row r="56" spans="2:9" x14ac:dyDescent="0.25">
      <c r="C56" s="23"/>
      <c r="G56" s="56"/>
    </row>
    <row r="57" spans="2:9" x14ac:dyDescent="0.25">
      <c r="C57" s="23"/>
      <c r="G57" s="56"/>
    </row>
  </sheetData>
  <mergeCells count="11"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" right="0" top="0.78740157480314965" bottom="0.39370078740157483" header="0.51181102362204722" footer="0.51181102362204722"/>
  <pageSetup paperSize="9" scale="97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G135"/>
  <sheetViews>
    <sheetView topLeftCell="A121" zoomScaleNormal="100" zoomScaleSheetLayoutView="85" workbookViewId="0">
      <selection activeCell="K136" sqref="K136"/>
    </sheetView>
  </sheetViews>
  <sheetFormatPr defaultColWidth="9" defaultRowHeight="11.25" x14ac:dyDescent="0.25"/>
  <cols>
    <col min="1" max="1" width="5" style="23" customWidth="1"/>
    <col min="2" max="2" width="4.5703125" style="23"/>
    <col min="3" max="3" width="44.7109375" style="23"/>
    <col min="4" max="4" width="3.5703125" style="23"/>
    <col min="5" max="5" width="11" style="23" customWidth="1"/>
    <col min="6" max="6" width="4.7109375" style="23" hidden="1" customWidth="1"/>
    <col min="7" max="11" width="6.140625" style="23" customWidth="1"/>
    <col min="12" max="12" width="6.85546875" style="23" customWidth="1"/>
    <col min="13" max="14" width="7.85546875" style="23" customWidth="1"/>
    <col min="15" max="15" width="8.42578125" style="23" customWidth="1"/>
    <col min="16" max="16" width="9.140625" style="23" customWidth="1"/>
    <col min="17" max="17" width="8.7109375" style="23" customWidth="1"/>
    <col min="18" max="1010" width="8.5703125" style="23"/>
    <col min="1011" max="16384" width="9" style="23"/>
  </cols>
  <sheetData>
    <row r="1" spans="1:17" s="52" customFormat="1" x14ac:dyDescent="0.25">
      <c r="A1" s="248" t="s">
        <v>23</v>
      </c>
      <c r="B1" s="248"/>
      <c r="C1" s="248"/>
      <c r="D1" s="248"/>
      <c r="E1" s="248"/>
      <c r="F1" s="248"/>
      <c r="G1" s="248"/>
      <c r="H1" s="52">
        <v>6</v>
      </c>
    </row>
    <row r="2" spans="1:17" s="56" customFormat="1" x14ac:dyDescent="0.25">
      <c r="A2" s="53"/>
      <c r="B2" s="52"/>
      <c r="C2" s="127" t="s">
        <v>117</v>
      </c>
      <c r="D2" s="52"/>
      <c r="E2" s="52"/>
      <c r="F2" s="52"/>
      <c r="G2" s="52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57" t="str">
        <f>KPDV!A3</f>
        <v>Būves nosaukums: Daudzdzīvokļu dzīvojamās mājas fasādes vienkāršotā atjaunošana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60"/>
      <c r="N3" s="60"/>
      <c r="O3" s="60"/>
      <c r="P3" s="60"/>
      <c r="Q3" s="55"/>
    </row>
    <row r="4" spans="1:17" x14ac:dyDescent="0.25">
      <c r="A4" s="57" t="str">
        <f>KPDV!A4</f>
        <v>Objekta nosaukums: fasādes vienkāršotā atjaunošana</v>
      </c>
      <c r="B4" s="61"/>
      <c r="C4" s="61"/>
      <c r="D4" s="61"/>
      <c r="E4" s="61"/>
      <c r="F4" s="61"/>
      <c r="G4" s="61"/>
      <c r="H4" s="61"/>
      <c r="I4" s="63"/>
      <c r="J4" s="63"/>
      <c r="K4" s="60"/>
      <c r="L4" s="60"/>
      <c r="M4" s="60"/>
      <c r="N4" s="60"/>
      <c r="O4" s="60"/>
      <c r="P4" s="60"/>
      <c r="Q4" s="55"/>
    </row>
    <row r="5" spans="1:17" x14ac:dyDescent="0.25">
      <c r="A5" s="23" t="str">
        <f>KPDV!A5</f>
        <v>Objekta adrese: Tisē iela 75 Liepājā</v>
      </c>
      <c r="B5" s="63"/>
      <c r="D5" s="63"/>
      <c r="E5" s="61"/>
      <c r="F5" s="61"/>
      <c r="G5" s="63"/>
      <c r="H5" s="63"/>
      <c r="I5" s="63"/>
      <c r="J5" s="63"/>
      <c r="K5" s="60"/>
      <c r="L5" s="60"/>
      <c r="M5" s="60"/>
      <c r="N5" s="60"/>
      <c r="O5" s="60"/>
      <c r="P5" s="60"/>
      <c r="Q5" s="55"/>
    </row>
    <row r="6" spans="1:17" x14ac:dyDescent="0.25">
      <c r="A6" s="23" t="str">
        <f>KPDV!A6</f>
        <v>Pasūtījuma Nr.EA-08-16</v>
      </c>
      <c r="B6" s="63"/>
      <c r="D6" s="63"/>
      <c r="E6" s="63"/>
      <c r="F6" s="63"/>
      <c r="G6" s="63"/>
      <c r="H6" s="63"/>
      <c r="I6" s="63"/>
      <c r="J6" s="63"/>
      <c r="K6" s="60"/>
      <c r="L6" s="60"/>
      <c r="M6" s="60"/>
      <c r="N6" s="60"/>
      <c r="O6" s="60"/>
      <c r="P6" s="60"/>
      <c r="Q6" s="55"/>
    </row>
    <row r="7" spans="1:17" x14ac:dyDescent="0.25">
      <c r="A7" s="23" t="str">
        <f>KPDV!A7</f>
        <v>Pasūtītājs: SIA "Liepājas namu apsaimniekotājs"</v>
      </c>
      <c r="B7" s="63"/>
      <c r="D7" s="63"/>
      <c r="E7" s="63"/>
      <c r="F7" s="63"/>
      <c r="G7" s="63"/>
      <c r="H7" s="63"/>
      <c r="I7" s="63"/>
      <c r="J7" s="63"/>
      <c r="K7" s="60"/>
      <c r="L7" s="60"/>
      <c r="M7" s="60"/>
      <c r="N7" s="60"/>
      <c r="O7" s="60"/>
      <c r="P7" s="60"/>
      <c r="Q7" s="55"/>
    </row>
    <row r="8" spans="1:17" x14ac:dyDescent="0.25">
      <c r="A8" s="256" t="s">
        <v>409</v>
      </c>
      <c r="B8" s="256"/>
      <c r="C8" s="256"/>
      <c r="D8" s="256"/>
      <c r="E8" s="55" t="s">
        <v>360</v>
      </c>
      <c r="F8" s="55"/>
      <c r="G8" s="257" t="s">
        <v>25</v>
      </c>
      <c r="H8" s="257"/>
      <c r="I8" s="257"/>
      <c r="J8" s="257"/>
      <c r="K8" s="56"/>
      <c r="L8" s="56"/>
      <c r="M8" s="56"/>
      <c r="N8" s="56" t="s">
        <v>72</v>
      </c>
      <c r="O8" s="56"/>
      <c r="P8" s="64">
        <f>Q122</f>
        <v>0</v>
      </c>
      <c r="Q8" s="65" t="s">
        <v>73</v>
      </c>
    </row>
    <row r="9" spans="1:17" x14ac:dyDescent="0.25">
      <c r="A9" s="53"/>
      <c r="B9" s="55"/>
      <c r="C9" s="56"/>
      <c r="D9" s="55"/>
      <c r="E9" s="55"/>
      <c r="F9" s="55"/>
      <c r="G9" s="55"/>
      <c r="H9" s="55"/>
      <c r="I9" s="55"/>
      <c r="J9" s="55"/>
      <c r="K9" s="55"/>
      <c r="L9" s="55"/>
      <c r="M9" s="55"/>
      <c r="N9" s="258" t="s">
        <v>431</v>
      </c>
      <c r="O9" s="258"/>
      <c r="P9" s="258"/>
      <c r="Q9" s="258"/>
    </row>
    <row r="10" spans="1:17" x14ac:dyDescent="0.25">
      <c r="A10" s="268" t="s">
        <v>27</v>
      </c>
      <c r="B10" s="269" t="s">
        <v>28</v>
      </c>
      <c r="C10" s="270" t="s">
        <v>29</v>
      </c>
      <c r="D10" s="271" t="s">
        <v>30</v>
      </c>
      <c r="E10" s="269" t="s">
        <v>31</v>
      </c>
      <c r="F10" s="51"/>
      <c r="G10" s="272" t="s">
        <v>32</v>
      </c>
      <c r="H10" s="272"/>
      <c r="I10" s="272"/>
      <c r="J10" s="272"/>
      <c r="K10" s="272"/>
      <c r="L10" s="272"/>
      <c r="M10" s="272" t="s">
        <v>33</v>
      </c>
      <c r="N10" s="272"/>
      <c r="O10" s="272"/>
      <c r="P10" s="272"/>
      <c r="Q10" s="272"/>
    </row>
    <row r="11" spans="1:17" ht="67.5" x14ac:dyDescent="0.25">
      <c r="A11" s="268"/>
      <c r="B11" s="269"/>
      <c r="C11" s="270"/>
      <c r="D11" s="271"/>
      <c r="E11" s="269"/>
      <c r="F11" s="51"/>
      <c r="G11" s="51" t="s">
        <v>34</v>
      </c>
      <c r="H11" s="14" t="s">
        <v>346</v>
      </c>
      <c r="I11" s="14" t="s">
        <v>35</v>
      </c>
      <c r="J11" s="14" t="s">
        <v>36</v>
      </c>
      <c r="K11" s="14" t="s">
        <v>37</v>
      </c>
      <c r="L11" s="14" t="s">
        <v>38</v>
      </c>
      <c r="M11" s="51" t="s">
        <v>39</v>
      </c>
      <c r="N11" s="14" t="s">
        <v>35</v>
      </c>
      <c r="O11" s="14" t="s">
        <v>36</v>
      </c>
      <c r="P11" s="14" t="s">
        <v>37</v>
      </c>
      <c r="Q11" s="14" t="s">
        <v>40</v>
      </c>
    </row>
    <row r="12" spans="1:17" x14ac:dyDescent="0.25">
      <c r="A12" s="131">
        <v>1</v>
      </c>
      <c r="B12" s="44">
        <f>A12+1</f>
        <v>2</v>
      </c>
      <c r="C12" s="139">
        <f>B12+1</f>
        <v>3</v>
      </c>
      <c r="D12" s="44">
        <f>C12+1</f>
        <v>4</v>
      </c>
      <c r="E12" s="44">
        <f>D12+1</f>
        <v>5</v>
      </c>
      <c r="F12" s="44"/>
      <c r="G12" s="44">
        <f>E12+1</f>
        <v>6</v>
      </c>
      <c r="H12" s="44">
        <f t="shared" ref="H12:Q12" si="0">G12+1</f>
        <v>7</v>
      </c>
      <c r="I12" s="44">
        <f t="shared" si="0"/>
        <v>8</v>
      </c>
      <c r="J12" s="44">
        <f t="shared" si="0"/>
        <v>9</v>
      </c>
      <c r="K12" s="44">
        <f t="shared" si="0"/>
        <v>10</v>
      </c>
      <c r="L12" s="44">
        <f t="shared" si="0"/>
        <v>11</v>
      </c>
      <c r="M12" s="44">
        <f t="shared" si="0"/>
        <v>12</v>
      </c>
      <c r="N12" s="44">
        <f t="shared" si="0"/>
        <v>13</v>
      </c>
      <c r="O12" s="44">
        <f t="shared" si="0"/>
        <v>14</v>
      </c>
      <c r="P12" s="44">
        <f t="shared" si="0"/>
        <v>15</v>
      </c>
      <c r="Q12" s="44">
        <f t="shared" si="0"/>
        <v>16</v>
      </c>
    </row>
    <row r="13" spans="1:17" x14ac:dyDescent="0.25">
      <c r="A13" s="44"/>
      <c r="B13" s="44"/>
      <c r="C13" s="140" t="s">
        <v>195</v>
      </c>
      <c r="D13" s="140"/>
      <c r="E13" s="140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s="141" customFormat="1" ht="22.5" x14ac:dyDescent="0.25">
      <c r="A14" s="45">
        <f>IF(COUNTBLANK(B14)=1," ",COUNTA(B$14:B14))</f>
        <v>1</v>
      </c>
      <c r="B14" s="15" t="s">
        <v>41</v>
      </c>
      <c r="C14" s="8" t="s">
        <v>196</v>
      </c>
      <c r="D14" s="44" t="s">
        <v>47</v>
      </c>
      <c r="E14" s="11">
        <v>1571</v>
      </c>
      <c r="F14" s="44"/>
      <c r="G14" s="16"/>
      <c r="H14" s="17"/>
      <c r="I14" s="18"/>
      <c r="J14" s="18"/>
      <c r="K14" s="16"/>
      <c r="L14" s="19"/>
      <c r="M14" s="20"/>
      <c r="N14" s="20"/>
      <c r="O14" s="20"/>
      <c r="P14" s="20"/>
      <c r="Q14" s="20"/>
    </row>
    <row r="15" spans="1:17" ht="22.5" x14ac:dyDescent="0.25">
      <c r="A15" s="45">
        <f>IF(COUNTBLANK(B15)=1," ",COUNTA(B$14:B15))</f>
        <v>2</v>
      </c>
      <c r="B15" s="15" t="s">
        <v>41</v>
      </c>
      <c r="C15" s="8" t="s">
        <v>197</v>
      </c>
      <c r="D15" s="44" t="s">
        <v>47</v>
      </c>
      <c r="E15" s="11">
        <v>147</v>
      </c>
      <c r="F15" s="47"/>
      <c r="G15" s="16"/>
      <c r="H15" s="17"/>
      <c r="I15" s="18"/>
      <c r="J15" s="18"/>
      <c r="K15" s="16"/>
      <c r="L15" s="19"/>
      <c r="M15" s="20"/>
      <c r="N15" s="20"/>
      <c r="O15" s="20"/>
      <c r="P15" s="20"/>
      <c r="Q15" s="20"/>
    </row>
    <row r="16" spans="1:17" ht="22.5" x14ac:dyDescent="0.25">
      <c r="A16" s="45">
        <f>IF(COUNTBLANK(B16)=1," ",COUNTA(B$14:B16))</f>
        <v>3</v>
      </c>
      <c r="B16" s="15" t="s">
        <v>41</v>
      </c>
      <c r="C16" s="8" t="s">
        <v>198</v>
      </c>
      <c r="D16" s="44" t="s">
        <v>47</v>
      </c>
      <c r="E16" s="11">
        <v>42</v>
      </c>
      <c r="F16" s="47"/>
      <c r="G16" s="16"/>
      <c r="H16" s="17"/>
      <c r="I16" s="18"/>
      <c r="J16" s="18"/>
      <c r="K16" s="16"/>
      <c r="L16" s="19"/>
      <c r="M16" s="20"/>
      <c r="N16" s="20"/>
      <c r="O16" s="20"/>
      <c r="P16" s="20"/>
      <c r="Q16" s="20"/>
    </row>
    <row r="17" spans="1:17" ht="22.5" x14ac:dyDescent="0.25">
      <c r="A17" s="45">
        <f>IF(COUNTBLANK(B17)=1," ",COUNTA(B$14:B17))</f>
        <v>4</v>
      </c>
      <c r="B17" s="15" t="s">
        <v>41</v>
      </c>
      <c r="C17" s="8" t="s">
        <v>199</v>
      </c>
      <c r="D17" s="44" t="s">
        <v>92</v>
      </c>
      <c r="E17" s="11">
        <f>0.37*0.6*2.5*24</f>
        <v>13.32</v>
      </c>
      <c r="F17" s="47"/>
      <c r="G17" s="16"/>
      <c r="H17" s="17"/>
      <c r="I17" s="18"/>
      <c r="J17" s="18"/>
      <c r="K17" s="16"/>
      <c r="L17" s="19"/>
      <c r="M17" s="20"/>
      <c r="N17" s="20"/>
      <c r="O17" s="20"/>
      <c r="P17" s="20"/>
      <c r="Q17" s="20"/>
    </row>
    <row r="18" spans="1:17" ht="22.5" x14ac:dyDescent="0.25">
      <c r="A18" s="45">
        <f>IF(COUNTBLANK(B18)=1," ",COUNTA(B$14:B18))</f>
        <v>5</v>
      </c>
      <c r="B18" s="15" t="s">
        <v>41</v>
      </c>
      <c r="C18" s="8" t="s">
        <v>200</v>
      </c>
      <c r="D18" s="44" t="s">
        <v>47</v>
      </c>
      <c r="E18" s="11">
        <v>5.5</v>
      </c>
      <c r="F18" s="47"/>
      <c r="G18" s="16"/>
      <c r="H18" s="17"/>
      <c r="I18" s="18"/>
      <c r="J18" s="18"/>
      <c r="K18" s="16"/>
      <c r="L18" s="19"/>
      <c r="M18" s="20"/>
      <c r="N18" s="20"/>
      <c r="O18" s="20"/>
      <c r="P18" s="20"/>
      <c r="Q18" s="20"/>
    </row>
    <row r="19" spans="1:17" x14ac:dyDescent="0.25">
      <c r="A19" s="45">
        <f>IF(COUNTBLANK(B19)=1," ",COUNTA(B$14:B19))</f>
        <v>6</v>
      </c>
      <c r="B19" s="15" t="s">
        <v>41</v>
      </c>
      <c r="C19" s="8" t="s">
        <v>201</v>
      </c>
      <c r="D19" s="44" t="s">
        <v>47</v>
      </c>
      <c r="E19" s="11">
        <v>227</v>
      </c>
      <c r="F19" s="47"/>
      <c r="G19" s="16"/>
      <c r="H19" s="17"/>
      <c r="I19" s="18"/>
      <c r="J19" s="18"/>
      <c r="K19" s="16"/>
      <c r="L19" s="19"/>
      <c r="M19" s="20"/>
      <c r="N19" s="20"/>
      <c r="O19" s="20"/>
      <c r="P19" s="20"/>
      <c r="Q19" s="20"/>
    </row>
    <row r="20" spans="1:17" ht="22.5" x14ac:dyDescent="0.25">
      <c r="A20" s="45">
        <f>IF(COUNTBLANK(B20)=1," ",COUNTA(B$14:B20))</f>
        <v>7</v>
      </c>
      <c r="B20" s="15" t="s">
        <v>41</v>
      </c>
      <c r="C20" s="8" t="s">
        <v>202</v>
      </c>
      <c r="D20" s="44" t="s">
        <v>47</v>
      </c>
      <c r="E20" s="11">
        <v>57</v>
      </c>
      <c r="F20" s="47"/>
      <c r="G20" s="16"/>
      <c r="H20" s="17"/>
      <c r="I20" s="18"/>
      <c r="J20" s="18"/>
      <c r="K20" s="16"/>
      <c r="L20" s="19"/>
      <c r="M20" s="20"/>
      <c r="N20" s="20"/>
      <c r="O20" s="20"/>
      <c r="P20" s="20"/>
      <c r="Q20" s="20"/>
    </row>
    <row r="21" spans="1:17" x14ac:dyDescent="0.25">
      <c r="A21" s="45">
        <f>IF(COUNTBLANK(B21)=1," ",COUNTA(B$14:B21))</f>
        <v>8</v>
      </c>
      <c r="B21" s="15" t="s">
        <v>41</v>
      </c>
      <c r="C21" s="8" t="s">
        <v>203</v>
      </c>
      <c r="D21" s="44" t="s">
        <v>47</v>
      </c>
      <c r="E21" s="11">
        <v>8.5</v>
      </c>
      <c r="F21" s="47"/>
      <c r="G21" s="16"/>
      <c r="H21" s="17"/>
      <c r="I21" s="18"/>
      <c r="J21" s="18"/>
      <c r="K21" s="16"/>
      <c r="L21" s="19"/>
      <c r="M21" s="20"/>
      <c r="N21" s="20"/>
      <c r="O21" s="20"/>
      <c r="P21" s="20"/>
      <c r="Q21" s="20"/>
    </row>
    <row r="22" spans="1:17" ht="22.5" x14ac:dyDescent="0.25">
      <c r="A22" s="45">
        <f>IF(COUNTBLANK(B22)=1," ",COUNTA(B$14:B22))</f>
        <v>9</v>
      </c>
      <c r="B22" s="15" t="s">
        <v>41</v>
      </c>
      <c r="C22" s="8" t="s">
        <v>204</v>
      </c>
      <c r="D22" s="44" t="s">
        <v>47</v>
      </c>
      <c r="E22" s="11">
        <v>27</v>
      </c>
      <c r="F22" s="47"/>
      <c r="G22" s="16"/>
      <c r="H22" s="17"/>
      <c r="I22" s="18"/>
      <c r="J22" s="18"/>
      <c r="K22" s="16"/>
      <c r="L22" s="19"/>
      <c r="M22" s="20"/>
      <c r="N22" s="20"/>
      <c r="O22" s="20"/>
      <c r="P22" s="20"/>
      <c r="Q22" s="20"/>
    </row>
    <row r="23" spans="1:17" ht="22.5" x14ac:dyDescent="0.25">
      <c r="A23" s="45">
        <f>IF(COUNTBLANK(B23)=1," ",COUNTA(B$14:B23))</f>
        <v>10</v>
      </c>
      <c r="B23" s="15" t="s">
        <v>41</v>
      </c>
      <c r="C23" s="8" t="s">
        <v>205</v>
      </c>
      <c r="D23" s="44" t="s">
        <v>92</v>
      </c>
      <c r="E23" s="137">
        <f>1571*0.18</f>
        <v>282.77999999999997</v>
      </c>
      <c r="F23" s="47"/>
      <c r="G23" s="16"/>
      <c r="H23" s="17"/>
      <c r="I23" s="18"/>
      <c r="J23" s="18"/>
      <c r="K23" s="16"/>
      <c r="L23" s="19"/>
      <c r="M23" s="20"/>
      <c r="N23" s="20"/>
      <c r="O23" s="20"/>
      <c r="P23" s="20"/>
      <c r="Q23" s="20"/>
    </row>
    <row r="24" spans="1:17" ht="22.5" x14ac:dyDescent="0.25">
      <c r="A24" s="45">
        <f>IF(COUNTBLANK(B24)=1," ",COUNTA(B$14:B24))</f>
        <v>11</v>
      </c>
      <c r="B24" s="15" t="s">
        <v>41</v>
      </c>
      <c r="C24" s="8" t="s">
        <v>206</v>
      </c>
      <c r="D24" s="44" t="s">
        <v>43</v>
      </c>
      <c r="E24" s="138">
        <v>236</v>
      </c>
      <c r="F24" s="47"/>
      <c r="G24" s="16"/>
      <c r="H24" s="17"/>
      <c r="I24" s="18"/>
      <c r="J24" s="18"/>
      <c r="K24" s="16"/>
      <c r="L24" s="19"/>
      <c r="M24" s="20"/>
      <c r="N24" s="20"/>
      <c r="O24" s="20"/>
      <c r="P24" s="20"/>
      <c r="Q24" s="20"/>
    </row>
    <row r="25" spans="1:17" x14ac:dyDescent="0.25">
      <c r="A25" s="45" t="str">
        <f>IF(COUNTBLANK(B25)=1," ",COUNTA(B$14:B25))</f>
        <v xml:space="preserve"> </v>
      </c>
      <c r="B25" s="44"/>
      <c r="C25" s="140" t="s">
        <v>370</v>
      </c>
      <c r="D25" s="44"/>
      <c r="E25" s="137"/>
      <c r="F25" s="47"/>
      <c r="G25" s="47"/>
      <c r="H25" s="47"/>
      <c r="I25" s="47"/>
      <c r="J25" s="47"/>
      <c r="K25" s="47"/>
      <c r="L25" s="19"/>
      <c r="M25" s="20"/>
      <c r="N25" s="20"/>
      <c r="O25" s="20"/>
      <c r="P25" s="20"/>
      <c r="Q25" s="20"/>
    </row>
    <row r="26" spans="1:17" ht="22.5" x14ac:dyDescent="0.25">
      <c r="A26" s="45">
        <f>IF(COUNTBLANK(B26)=1," ",COUNTA(B$14:B26))</f>
        <v>12</v>
      </c>
      <c r="B26" s="15" t="s">
        <v>41</v>
      </c>
      <c r="C26" s="8" t="s">
        <v>207</v>
      </c>
      <c r="D26" s="44" t="s">
        <v>92</v>
      </c>
      <c r="E26" s="142">
        <v>196</v>
      </c>
      <c r="F26" s="47"/>
      <c r="G26" s="16"/>
      <c r="H26" s="17"/>
      <c r="I26" s="18"/>
      <c r="J26" s="18"/>
      <c r="K26" s="16"/>
      <c r="L26" s="19"/>
      <c r="M26" s="20"/>
      <c r="N26" s="20"/>
      <c r="O26" s="20"/>
      <c r="P26" s="20"/>
      <c r="Q26" s="20"/>
    </row>
    <row r="27" spans="1:17" ht="22.5" x14ac:dyDescent="0.25">
      <c r="A27" s="45">
        <f>IF(COUNTBLANK(B27)=1," ",COUNTA(B$14:B27))</f>
        <v>13</v>
      </c>
      <c r="B27" s="15" t="s">
        <v>41</v>
      </c>
      <c r="C27" s="8" t="s">
        <v>208</v>
      </c>
      <c r="D27" s="44" t="s">
        <v>47</v>
      </c>
      <c r="E27" s="46">
        <v>1571</v>
      </c>
      <c r="F27" s="11"/>
      <c r="G27" s="21"/>
      <c r="H27" s="17"/>
      <c r="I27" s="21"/>
      <c r="J27" s="22"/>
      <c r="K27" s="21"/>
      <c r="L27" s="19"/>
      <c r="M27" s="20"/>
      <c r="N27" s="20"/>
      <c r="O27" s="20"/>
      <c r="P27" s="20"/>
      <c r="Q27" s="20"/>
    </row>
    <row r="28" spans="1:17" x14ac:dyDescent="0.25">
      <c r="A28" s="45" t="str">
        <f>IF(COUNTBLANK(B28)=1," ",COUNTA(B$14:B28))</f>
        <v xml:space="preserve"> </v>
      </c>
      <c r="B28" s="15"/>
      <c r="C28" s="11" t="s">
        <v>340</v>
      </c>
      <c r="D28" s="11" t="s">
        <v>92</v>
      </c>
      <c r="E28" s="21">
        <f>ROUNDUP(E27*F28,2)</f>
        <v>47.13</v>
      </c>
      <c r="F28" s="11">
        <v>0.03</v>
      </c>
      <c r="G28" s="11"/>
      <c r="H28" s="11"/>
      <c r="I28" s="11"/>
      <c r="J28" s="11"/>
      <c r="K28" s="11"/>
      <c r="L28" s="19"/>
      <c r="M28" s="20"/>
      <c r="N28" s="20"/>
      <c r="O28" s="20"/>
      <c r="P28" s="20"/>
      <c r="Q28" s="20"/>
    </row>
    <row r="29" spans="1:17" x14ac:dyDescent="0.25">
      <c r="A29" s="45" t="str">
        <f>IF(COUNTBLANK(B29)=1," ",COUNTA(B$14:B29))</f>
        <v xml:space="preserve"> </v>
      </c>
      <c r="B29" s="15"/>
      <c r="C29" s="11" t="s">
        <v>341</v>
      </c>
      <c r="D29" s="24" t="s">
        <v>47</v>
      </c>
      <c r="E29" s="21">
        <f>ROUNDUP(E27*F29,2)</f>
        <v>1728.1</v>
      </c>
      <c r="F29" s="11">
        <v>1.1000000000000001</v>
      </c>
      <c r="G29" s="11"/>
      <c r="H29" s="11"/>
      <c r="I29" s="11"/>
      <c r="J29" s="11"/>
      <c r="K29" s="11"/>
      <c r="L29" s="19"/>
      <c r="M29" s="20"/>
      <c r="N29" s="20"/>
      <c r="O29" s="20"/>
      <c r="P29" s="20"/>
      <c r="Q29" s="20"/>
    </row>
    <row r="30" spans="1:17" ht="22.5" x14ac:dyDescent="0.25">
      <c r="A30" s="45">
        <f>IF(COUNTBLANK(B30)=1," ",COUNTA(B$14:B30))</f>
        <v>14</v>
      </c>
      <c r="B30" s="15" t="s">
        <v>41</v>
      </c>
      <c r="C30" s="8" t="s">
        <v>447</v>
      </c>
      <c r="D30" s="44" t="s">
        <v>47</v>
      </c>
      <c r="E30" s="142">
        <f>1571+147+52</f>
        <v>1770</v>
      </c>
      <c r="F30" s="47"/>
      <c r="G30" s="16"/>
      <c r="H30" s="17"/>
      <c r="I30" s="18"/>
      <c r="J30" s="18"/>
      <c r="K30" s="16"/>
      <c r="L30" s="19"/>
      <c r="M30" s="20"/>
      <c r="N30" s="20"/>
      <c r="O30" s="20"/>
      <c r="P30" s="20"/>
      <c r="Q30" s="20"/>
    </row>
    <row r="31" spans="1:17" ht="22.5" x14ac:dyDescent="0.25">
      <c r="A31" s="45">
        <f>IF(COUNTBLANK(B31)=1," ",COUNTA(B$14:B31))</f>
        <v>15</v>
      </c>
      <c r="B31" s="15" t="s">
        <v>41</v>
      </c>
      <c r="C31" s="8" t="s">
        <v>448</v>
      </c>
      <c r="D31" s="44" t="s">
        <v>92</v>
      </c>
      <c r="E31" s="46">
        <f>1571*0.25</f>
        <v>392.75</v>
      </c>
      <c r="F31" s="47"/>
      <c r="G31" s="21"/>
      <c r="H31" s="17"/>
      <c r="I31" s="21"/>
      <c r="J31" s="22"/>
      <c r="K31" s="21"/>
      <c r="L31" s="19"/>
      <c r="M31" s="20"/>
      <c r="N31" s="20"/>
      <c r="O31" s="20"/>
      <c r="P31" s="20"/>
      <c r="Q31" s="20"/>
    </row>
    <row r="32" spans="1:17" ht="22.5" x14ac:dyDescent="0.25">
      <c r="A32" s="45">
        <f>IF(COUNTBLANK(B32)=1," ",COUNTA(B$14:B32))</f>
        <v>16</v>
      </c>
      <c r="B32" s="15" t="s">
        <v>41</v>
      </c>
      <c r="C32" s="8" t="s">
        <v>449</v>
      </c>
      <c r="D32" s="44" t="s">
        <v>92</v>
      </c>
      <c r="E32" s="143">
        <f>1571*0.03</f>
        <v>47.129999999999995</v>
      </c>
      <c r="F32" s="47"/>
      <c r="G32" s="21"/>
      <c r="H32" s="17"/>
      <c r="I32" s="21"/>
      <c r="J32" s="22"/>
      <c r="K32" s="21"/>
      <c r="L32" s="19"/>
      <c r="M32" s="20"/>
      <c r="N32" s="20"/>
      <c r="O32" s="20"/>
      <c r="P32" s="20"/>
      <c r="Q32" s="20"/>
    </row>
    <row r="33" spans="1:17" ht="22.5" x14ac:dyDescent="0.25">
      <c r="A33" s="45">
        <f>IF(COUNTBLANK(B33)=1," ",COUNTA(B$14:B33))</f>
        <v>17</v>
      </c>
      <c r="B33" s="15" t="s">
        <v>41</v>
      </c>
      <c r="C33" s="8" t="s">
        <v>450</v>
      </c>
      <c r="D33" s="44" t="s">
        <v>92</v>
      </c>
      <c r="E33" s="143">
        <v>0.5</v>
      </c>
      <c r="F33" s="47"/>
      <c r="G33" s="21"/>
      <c r="H33" s="17"/>
      <c r="I33" s="21"/>
      <c r="J33" s="22"/>
      <c r="K33" s="21"/>
      <c r="L33" s="19"/>
      <c r="M33" s="20"/>
      <c r="N33" s="20"/>
      <c r="O33" s="20"/>
      <c r="P33" s="20"/>
      <c r="Q33" s="20"/>
    </row>
    <row r="34" spans="1:17" x14ac:dyDescent="0.25">
      <c r="A34" s="45">
        <f>IF(COUNTBLANK(B34)=1," ",COUNTA(B$14:B34))</f>
        <v>18</v>
      </c>
      <c r="B34" s="15" t="s">
        <v>41</v>
      </c>
      <c r="C34" s="8" t="s">
        <v>451</v>
      </c>
      <c r="D34" s="44" t="s">
        <v>47</v>
      </c>
      <c r="E34" s="46">
        <v>1571</v>
      </c>
      <c r="F34" s="47"/>
      <c r="G34" s="21"/>
      <c r="H34" s="17"/>
      <c r="I34" s="21"/>
      <c r="J34" s="22"/>
      <c r="K34" s="21"/>
      <c r="L34" s="19"/>
      <c r="M34" s="20"/>
      <c r="N34" s="20"/>
      <c r="O34" s="20"/>
      <c r="P34" s="20"/>
      <c r="Q34" s="20"/>
    </row>
    <row r="35" spans="1:17" x14ac:dyDescent="0.25">
      <c r="A35" s="45">
        <f>IF(COUNTBLANK(B35)=1," ",COUNTA(B$14:B35))</f>
        <v>19</v>
      </c>
      <c r="B35" s="15" t="s">
        <v>41</v>
      </c>
      <c r="C35" s="8" t="s">
        <v>452</v>
      </c>
      <c r="D35" s="44" t="s">
        <v>47</v>
      </c>
      <c r="E35" s="143">
        <v>383.2</v>
      </c>
      <c r="F35" s="47"/>
      <c r="G35" s="21"/>
      <c r="H35" s="17"/>
      <c r="I35" s="21"/>
      <c r="J35" s="22"/>
      <c r="K35" s="21"/>
      <c r="L35" s="19"/>
      <c r="M35" s="20"/>
      <c r="N35" s="20"/>
      <c r="O35" s="20"/>
      <c r="P35" s="20"/>
      <c r="Q35" s="20"/>
    </row>
    <row r="36" spans="1:17" x14ac:dyDescent="0.25">
      <c r="A36" s="45">
        <f>IF(COUNTBLANK(B36)=1," ",COUNTA(B$14:B36))</f>
        <v>20</v>
      </c>
      <c r="B36" s="15" t="s">
        <v>41</v>
      </c>
      <c r="C36" s="8" t="s">
        <v>453</v>
      </c>
      <c r="D36" s="44" t="s">
        <v>47</v>
      </c>
      <c r="E36" s="143">
        <v>105</v>
      </c>
      <c r="F36" s="47"/>
      <c r="G36" s="21"/>
      <c r="H36" s="17"/>
      <c r="I36" s="21"/>
      <c r="J36" s="22"/>
      <c r="K36" s="21"/>
      <c r="L36" s="19"/>
      <c r="M36" s="20"/>
      <c r="N36" s="20"/>
      <c r="O36" s="20"/>
      <c r="P36" s="20"/>
      <c r="Q36" s="20"/>
    </row>
    <row r="37" spans="1:17" ht="22.5" x14ac:dyDescent="0.25">
      <c r="A37" s="45">
        <f>IF(COUNTBLANK(B37)=1," ",COUNTA(B$14:B37))</f>
        <v>21</v>
      </c>
      <c r="B37" s="15" t="s">
        <v>41</v>
      </c>
      <c r="C37" s="8" t="s">
        <v>209</v>
      </c>
      <c r="D37" s="44" t="s">
        <v>45</v>
      </c>
      <c r="E37" s="46">
        <v>8</v>
      </c>
      <c r="F37" s="47"/>
      <c r="G37" s="21"/>
      <c r="H37" s="17"/>
      <c r="I37" s="21"/>
      <c r="J37" s="22"/>
      <c r="K37" s="21"/>
      <c r="L37" s="19"/>
      <c r="M37" s="20"/>
      <c r="N37" s="20"/>
      <c r="O37" s="20"/>
      <c r="P37" s="20"/>
      <c r="Q37" s="20"/>
    </row>
    <row r="38" spans="1:17" ht="22.5" x14ac:dyDescent="0.25">
      <c r="A38" s="45">
        <f>IF(COUNTBLANK(B38)=1," ",COUNTA(B$14:B38))</f>
        <v>22</v>
      </c>
      <c r="B38" s="15" t="s">
        <v>41</v>
      </c>
      <c r="C38" s="8" t="s">
        <v>210</v>
      </c>
      <c r="D38" s="44" t="s">
        <v>45</v>
      </c>
      <c r="E38" s="46">
        <v>8</v>
      </c>
      <c r="F38" s="47"/>
      <c r="G38" s="21"/>
      <c r="H38" s="17"/>
      <c r="I38" s="21"/>
      <c r="J38" s="22"/>
      <c r="K38" s="21"/>
      <c r="L38" s="19"/>
      <c r="M38" s="20"/>
      <c r="N38" s="20"/>
      <c r="O38" s="20"/>
      <c r="P38" s="20"/>
      <c r="Q38" s="20"/>
    </row>
    <row r="39" spans="1:17" x14ac:dyDescent="0.25">
      <c r="A39" s="45">
        <f>IF(COUNTBLANK(B39)=1," ",COUNTA(B$14:B39))</f>
        <v>23</v>
      </c>
      <c r="B39" s="15" t="s">
        <v>41</v>
      </c>
      <c r="C39" s="8" t="s">
        <v>454</v>
      </c>
      <c r="D39" s="44" t="s">
        <v>47</v>
      </c>
      <c r="E39" s="143">
        <v>10.5</v>
      </c>
      <c r="F39" s="47"/>
      <c r="G39" s="21"/>
      <c r="H39" s="17"/>
      <c r="I39" s="21"/>
      <c r="J39" s="22"/>
      <c r="K39" s="21"/>
      <c r="L39" s="19"/>
      <c r="M39" s="20"/>
      <c r="N39" s="20"/>
      <c r="O39" s="20"/>
      <c r="P39" s="20"/>
      <c r="Q39" s="20"/>
    </row>
    <row r="40" spans="1:17" ht="22.5" x14ac:dyDescent="0.25">
      <c r="A40" s="45">
        <f>IF(COUNTBLANK(B40)=1," ",COUNTA(B$14:B40))</f>
        <v>24</v>
      </c>
      <c r="B40" s="15" t="s">
        <v>41</v>
      </c>
      <c r="C40" s="8" t="s">
        <v>211</v>
      </c>
      <c r="D40" s="44" t="s">
        <v>45</v>
      </c>
      <c r="E40" s="46">
        <v>12</v>
      </c>
      <c r="F40" s="47"/>
      <c r="G40" s="21"/>
      <c r="H40" s="17"/>
      <c r="I40" s="21"/>
      <c r="J40" s="22"/>
      <c r="K40" s="21"/>
      <c r="L40" s="19"/>
      <c r="M40" s="20"/>
      <c r="N40" s="20"/>
      <c r="O40" s="20"/>
      <c r="P40" s="20"/>
      <c r="Q40" s="20"/>
    </row>
    <row r="41" spans="1:17" ht="22.5" x14ac:dyDescent="0.25">
      <c r="A41" s="45">
        <f>IF(COUNTBLANK(B41)=1," ",COUNTA(B$14:B41))</f>
        <v>25</v>
      </c>
      <c r="B41" s="15" t="s">
        <v>41</v>
      </c>
      <c r="C41" s="8" t="s">
        <v>212</v>
      </c>
      <c r="D41" s="44" t="s">
        <v>47</v>
      </c>
      <c r="E41" s="143">
        <v>2.5</v>
      </c>
      <c r="F41" s="47"/>
      <c r="G41" s="21"/>
      <c r="H41" s="17"/>
      <c r="I41" s="21"/>
      <c r="J41" s="22"/>
      <c r="K41" s="21"/>
      <c r="L41" s="19"/>
      <c r="M41" s="20"/>
      <c r="N41" s="20"/>
      <c r="O41" s="20"/>
      <c r="P41" s="20"/>
      <c r="Q41" s="20"/>
    </row>
    <row r="42" spans="1:17" ht="22.5" x14ac:dyDescent="0.25">
      <c r="A42" s="45">
        <f>IF(COUNTBLANK(B42)=1," ",COUNTA(B$14:B42))</f>
        <v>26</v>
      </c>
      <c r="B42" s="15" t="s">
        <v>41</v>
      </c>
      <c r="C42" s="8" t="s">
        <v>213</v>
      </c>
      <c r="D42" s="44" t="s">
        <v>118</v>
      </c>
      <c r="E42" s="143">
        <v>1</v>
      </c>
      <c r="F42" s="47"/>
      <c r="G42" s="21"/>
      <c r="H42" s="17"/>
      <c r="I42" s="21"/>
      <c r="J42" s="22"/>
      <c r="K42" s="21"/>
      <c r="L42" s="19"/>
      <c r="M42" s="20"/>
      <c r="N42" s="20"/>
      <c r="O42" s="20"/>
      <c r="P42" s="20"/>
      <c r="Q42" s="20"/>
    </row>
    <row r="43" spans="1:17" ht="22.5" x14ac:dyDescent="0.25">
      <c r="A43" s="45" t="str">
        <f>IF(COUNTBLANK(B43)=1," ",COUNTA(B$14:B43))</f>
        <v xml:space="preserve"> </v>
      </c>
      <c r="B43" s="44"/>
      <c r="C43" s="8" t="s">
        <v>214</v>
      </c>
      <c r="D43" s="44" t="s">
        <v>45</v>
      </c>
      <c r="E43" s="46">
        <v>4729</v>
      </c>
      <c r="F43" s="47"/>
      <c r="G43" s="47"/>
      <c r="H43" s="47"/>
      <c r="I43" s="47"/>
      <c r="J43" s="47"/>
      <c r="K43" s="47"/>
      <c r="L43" s="19"/>
      <c r="M43" s="20"/>
      <c r="N43" s="20"/>
      <c r="O43" s="20"/>
      <c r="P43" s="20"/>
      <c r="Q43" s="20"/>
    </row>
    <row r="44" spans="1:17" ht="22.5" x14ac:dyDescent="0.25">
      <c r="A44" s="45" t="str">
        <f>IF(COUNTBLANK(B44)=1," ",COUNTA(B$14:B44))</f>
        <v xml:space="preserve"> </v>
      </c>
      <c r="B44" s="44"/>
      <c r="C44" s="8" t="s">
        <v>215</v>
      </c>
      <c r="D44" s="44" t="s">
        <v>45</v>
      </c>
      <c r="E44" s="46">
        <v>6231</v>
      </c>
      <c r="F44" s="47"/>
      <c r="G44" s="47"/>
      <c r="H44" s="47"/>
      <c r="I44" s="47"/>
      <c r="J44" s="47"/>
      <c r="K44" s="47"/>
      <c r="L44" s="19"/>
      <c r="M44" s="20"/>
      <c r="N44" s="20"/>
      <c r="O44" s="20"/>
      <c r="P44" s="20"/>
      <c r="Q44" s="20"/>
    </row>
    <row r="45" spans="1:17" x14ac:dyDescent="0.25">
      <c r="A45" s="45" t="str">
        <f>IF(COUNTBLANK(B45)=1," ",COUNTA(B$14:B45))</f>
        <v xml:space="preserve"> </v>
      </c>
      <c r="B45" s="44"/>
      <c r="C45" s="8" t="s">
        <v>455</v>
      </c>
      <c r="D45" s="44" t="s">
        <v>43</v>
      </c>
      <c r="E45" s="46">
        <v>302</v>
      </c>
      <c r="F45" s="47"/>
      <c r="G45" s="47"/>
      <c r="H45" s="47"/>
      <c r="I45" s="47"/>
      <c r="J45" s="47"/>
      <c r="K45" s="47"/>
      <c r="L45" s="19"/>
      <c r="M45" s="20"/>
      <c r="N45" s="20"/>
      <c r="O45" s="20"/>
      <c r="P45" s="20"/>
      <c r="Q45" s="20"/>
    </row>
    <row r="46" spans="1:17" ht="22.5" x14ac:dyDescent="0.25">
      <c r="A46" s="45" t="str">
        <f>IF(COUNTBLANK(B46)=1," ",COUNTA(B$14:B46))</f>
        <v xml:space="preserve"> </v>
      </c>
      <c r="B46" s="133"/>
      <c r="C46" s="144" t="s">
        <v>216</v>
      </c>
      <c r="D46" s="133"/>
      <c r="E46" s="133"/>
      <c r="F46" s="47"/>
      <c r="G46" s="47"/>
      <c r="H46" s="47"/>
      <c r="I46" s="47"/>
      <c r="J46" s="47"/>
      <c r="K46" s="47"/>
      <c r="L46" s="19"/>
      <c r="M46" s="20"/>
      <c r="N46" s="20"/>
      <c r="O46" s="20"/>
      <c r="P46" s="20"/>
      <c r="Q46" s="20"/>
    </row>
    <row r="47" spans="1:17" ht="22.5" x14ac:dyDescent="0.25">
      <c r="A47" s="45" t="str">
        <f>IF(COUNTBLANK(B47)=1," ",COUNTA(B$14:B47))</f>
        <v xml:space="preserve"> </v>
      </c>
      <c r="B47" s="44"/>
      <c r="C47" s="140" t="s">
        <v>217</v>
      </c>
      <c r="D47" s="44"/>
      <c r="E47" s="143"/>
      <c r="F47" s="47"/>
      <c r="G47" s="47"/>
      <c r="H47" s="47"/>
      <c r="I47" s="47"/>
      <c r="J47" s="47"/>
      <c r="K47" s="47"/>
      <c r="L47" s="19"/>
      <c r="M47" s="20"/>
      <c r="N47" s="20"/>
      <c r="O47" s="20"/>
      <c r="P47" s="20"/>
      <c r="Q47" s="20"/>
    </row>
    <row r="48" spans="1:17" ht="22.5" x14ac:dyDescent="0.25">
      <c r="A48" s="45" t="str">
        <f>IF(COUNTBLANK(B48)=1," ",COUNTA(B$14:B48))</f>
        <v xml:space="preserve"> </v>
      </c>
      <c r="B48" s="44"/>
      <c r="C48" s="8" t="s">
        <v>218</v>
      </c>
      <c r="D48" s="44" t="s">
        <v>45</v>
      </c>
      <c r="E48" s="143">
        <v>4</v>
      </c>
      <c r="F48" s="47"/>
      <c r="G48" s="47"/>
      <c r="H48" s="47"/>
      <c r="I48" s="47"/>
      <c r="J48" s="47"/>
      <c r="K48" s="47"/>
      <c r="L48" s="19"/>
      <c r="M48" s="20"/>
      <c r="N48" s="20"/>
      <c r="O48" s="20"/>
      <c r="P48" s="20"/>
      <c r="Q48" s="20"/>
    </row>
    <row r="49" spans="1:241" ht="22.5" x14ac:dyDescent="0.25">
      <c r="A49" s="45">
        <f>IF(COUNTBLANK(B49)=1," ",COUNTA(B$14:B49))</f>
        <v>27</v>
      </c>
      <c r="B49" s="15" t="s">
        <v>41</v>
      </c>
      <c r="C49" s="8" t="s">
        <v>219</v>
      </c>
      <c r="D49" s="44" t="s">
        <v>92</v>
      </c>
      <c r="E49" s="145">
        <v>0.21</v>
      </c>
      <c r="F49" s="47"/>
      <c r="G49" s="16"/>
      <c r="H49" s="17"/>
      <c r="I49" s="18"/>
      <c r="J49" s="18"/>
      <c r="K49" s="16"/>
      <c r="L49" s="19"/>
      <c r="M49" s="20"/>
      <c r="N49" s="20"/>
      <c r="O49" s="20"/>
      <c r="P49" s="20"/>
      <c r="Q49" s="20"/>
    </row>
    <row r="50" spans="1:241" ht="22.5" x14ac:dyDescent="0.25">
      <c r="A50" s="45">
        <f>IF(COUNTBLANK(B50)=1," ",COUNTA(B$14:B50))</f>
        <v>28</v>
      </c>
      <c r="B50" s="15" t="s">
        <v>41</v>
      </c>
      <c r="C50" s="8" t="s">
        <v>220</v>
      </c>
      <c r="D50" s="44" t="s">
        <v>47</v>
      </c>
      <c r="E50" s="143">
        <v>2</v>
      </c>
      <c r="F50" s="11"/>
      <c r="G50" s="21"/>
      <c r="H50" s="17"/>
      <c r="I50" s="21"/>
      <c r="J50" s="22"/>
      <c r="K50" s="21"/>
      <c r="L50" s="19"/>
      <c r="M50" s="20"/>
      <c r="N50" s="20"/>
      <c r="O50" s="20"/>
      <c r="P50" s="20"/>
      <c r="Q50" s="20"/>
    </row>
    <row r="51" spans="1:241" x14ac:dyDescent="0.25">
      <c r="A51" s="45" t="str">
        <f>IF(COUNTBLANK(B51)=1," ",COUNTA(B$14:B51))</f>
        <v xml:space="preserve"> </v>
      </c>
      <c r="B51" s="15"/>
      <c r="C51" s="11" t="s">
        <v>340</v>
      </c>
      <c r="D51" s="11" t="s">
        <v>92</v>
      </c>
      <c r="E51" s="21">
        <f>ROUNDUP(E50*F51,2)</f>
        <v>0.04</v>
      </c>
      <c r="F51" s="11">
        <v>0.02</v>
      </c>
      <c r="G51" s="11"/>
      <c r="H51" s="11"/>
      <c r="I51" s="11"/>
      <c r="J51" s="11"/>
      <c r="K51" s="11"/>
      <c r="L51" s="19"/>
      <c r="M51" s="20"/>
      <c r="N51" s="20"/>
      <c r="O51" s="20"/>
      <c r="P51" s="20"/>
      <c r="Q51" s="20"/>
    </row>
    <row r="52" spans="1:241" s="26" customFormat="1" ht="22.5" x14ac:dyDescent="0.25">
      <c r="A52" s="45">
        <f>IF(COUNTBLANK(B52)=1," ",COUNTA(B$14:B52))</f>
        <v>29</v>
      </c>
      <c r="B52" s="15" t="s">
        <v>41</v>
      </c>
      <c r="C52" s="8" t="s">
        <v>456</v>
      </c>
      <c r="D52" s="44" t="s">
        <v>92</v>
      </c>
      <c r="E52" s="143">
        <v>1.2</v>
      </c>
      <c r="F52" s="16"/>
      <c r="G52" s="16"/>
      <c r="H52" s="17"/>
      <c r="I52" s="18"/>
      <c r="J52" s="22"/>
      <c r="K52" s="16"/>
      <c r="L52" s="19"/>
      <c r="M52" s="20"/>
      <c r="N52" s="20"/>
      <c r="O52" s="20"/>
      <c r="P52" s="20"/>
      <c r="Q52" s="20"/>
    </row>
    <row r="53" spans="1:241" s="26" customFormat="1" x14ac:dyDescent="0.25">
      <c r="A53" s="45" t="str">
        <f>IF(COUNTBLANK(B53)=1," ",COUNTA(B$14:B53))</f>
        <v xml:space="preserve"> </v>
      </c>
      <c r="B53" s="15"/>
      <c r="C53" s="25" t="s">
        <v>342</v>
      </c>
      <c r="D53" s="11" t="s">
        <v>92</v>
      </c>
      <c r="E53" s="21">
        <f>ROUNDUP(E52*F53,2)</f>
        <v>0.18</v>
      </c>
      <c r="F53" s="16">
        <v>0.15</v>
      </c>
      <c r="G53" s="16"/>
      <c r="H53" s="16"/>
      <c r="I53" s="16"/>
      <c r="J53" s="16"/>
      <c r="K53" s="16"/>
      <c r="L53" s="19"/>
      <c r="M53" s="20"/>
      <c r="N53" s="20"/>
      <c r="O53" s="20"/>
      <c r="P53" s="20"/>
      <c r="Q53" s="20"/>
    </row>
    <row r="54" spans="1:241" s="27" customFormat="1" x14ac:dyDescent="0.25">
      <c r="A54" s="45" t="str">
        <f>IF(COUNTBLANK(B54)=1," ",COUNTA(B$14:B54))</f>
        <v xml:space="preserve"> </v>
      </c>
      <c r="B54" s="15"/>
      <c r="C54" s="25" t="s">
        <v>343</v>
      </c>
      <c r="D54" s="11" t="s">
        <v>92</v>
      </c>
      <c r="E54" s="21">
        <f>ROUNDUP(E52*F54,2)</f>
        <v>1.1200000000000001</v>
      </c>
      <c r="F54" s="16">
        <v>0.93</v>
      </c>
      <c r="G54" s="16"/>
      <c r="H54" s="16"/>
      <c r="I54" s="16"/>
      <c r="J54" s="16"/>
      <c r="K54" s="16"/>
      <c r="L54" s="19"/>
      <c r="M54" s="20"/>
      <c r="N54" s="20"/>
      <c r="O54" s="20"/>
      <c r="P54" s="20"/>
      <c r="Q54" s="20"/>
    </row>
    <row r="55" spans="1:241" s="28" customFormat="1" x14ac:dyDescent="0.25">
      <c r="A55" s="45" t="str">
        <f>IF(COUNTBLANK(B55)=1," ",COUNTA(B$14:B55))</f>
        <v xml:space="preserve"> </v>
      </c>
      <c r="B55" s="15"/>
      <c r="C55" s="25" t="s">
        <v>59</v>
      </c>
      <c r="D55" s="25" t="s">
        <v>118</v>
      </c>
      <c r="E55" s="21">
        <f>ROUNDUP(E52*F55,0)</f>
        <v>1</v>
      </c>
      <c r="F55" s="16">
        <v>0.5</v>
      </c>
      <c r="G55" s="16"/>
      <c r="H55" s="16"/>
      <c r="I55" s="16"/>
      <c r="J55" s="16"/>
      <c r="K55" s="16"/>
      <c r="L55" s="19"/>
      <c r="M55" s="20"/>
      <c r="N55" s="20"/>
      <c r="O55" s="20"/>
      <c r="P55" s="20"/>
      <c r="Q55" s="20"/>
    </row>
    <row r="56" spans="1:241" ht="22.5" x14ac:dyDescent="0.25">
      <c r="A56" s="45" t="str">
        <f>IF(COUNTBLANK(B56)=1," ",COUNTA(B$14:B56))</f>
        <v xml:space="preserve"> </v>
      </c>
      <c r="B56" s="44"/>
      <c r="C56" s="8" t="s">
        <v>221</v>
      </c>
      <c r="D56" s="44" t="s">
        <v>55</v>
      </c>
      <c r="E56" s="143">
        <f>5.18*4*10.4</f>
        <v>215.488</v>
      </c>
      <c r="F56" s="47"/>
      <c r="G56" s="47"/>
      <c r="H56" s="47"/>
      <c r="I56" s="47"/>
      <c r="J56" s="47"/>
      <c r="K56" s="47"/>
      <c r="L56" s="19"/>
      <c r="M56" s="20"/>
      <c r="N56" s="20"/>
      <c r="O56" s="20"/>
      <c r="P56" s="20"/>
      <c r="Q56" s="20"/>
    </row>
    <row r="57" spans="1:241" ht="22.5" x14ac:dyDescent="0.25">
      <c r="A57" s="45" t="str">
        <f>IF(COUNTBLANK(B57)=1," ",COUNTA(B$14:B57))</f>
        <v xml:space="preserve"> </v>
      </c>
      <c r="B57" s="44"/>
      <c r="C57" s="8" t="s">
        <v>222</v>
      </c>
      <c r="D57" s="44" t="s">
        <v>45</v>
      </c>
      <c r="E57" s="46">
        <v>20</v>
      </c>
      <c r="F57" s="47"/>
      <c r="G57" s="47"/>
      <c r="H57" s="47"/>
      <c r="I57" s="47"/>
      <c r="J57" s="47"/>
      <c r="K57" s="47"/>
      <c r="L57" s="19"/>
      <c r="M57" s="20"/>
      <c r="N57" s="20"/>
      <c r="O57" s="20"/>
      <c r="P57" s="20"/>
      <c r="Q57" s="20"/>
    </row>
    <row r="58" spans="1:241" ht="22.5" x14ac:dyDescent="0.25">
      <c r="A58" s="45" t="str">
        <f>IF(COUNTBLANK(B58)=1," ",COUNTA(B$14:B58))</f>
        <v xml:space="preserve"> </v>
      </c>
      <c r="B58" s="44"/>
      <c r="C58" s="8" t="s">
        <v>223</v>
      </c>
      <c r="D58" s="44" t="s">
        <v>45</v>
      </c>
      <c r="E58" s="46">
        <v>36</v>
      </c>
      <c r="F58" s="47"/>
      <c r="G58" s="47"/>
      <c r="H58" s="47"/>
      <c r="I58" s="47"/>
      <c r="J58" s="47"/>
      <c r="K58" s="47"/>
      <c r="L58" s="19"/>
      <c r="M58" s="20"/>
      <c r="N58" s="20"/>
      <c r="O58" s="20"/>
      <c r="P58" s="20"/>
      <c r="Q58" s="20"/>
    </row>
    <row r="59" spans="1:241" ht="22.5" x14ac:dyDescent="0.25">
      <c r="A59" s="45" t="str">
        <f>IF(COUNTBLANK(B59)=1," ",COUNTA(B$14:B59))</f>
        <v xml:space="preserve"> </v>
      </c>
      <c r="B59" s="44"/>
      <c r="C59" s="8" t="s">
        <v>224</v>
      </c>
      <c r="D59" s="44" t="s">
        <v>55</v>
      </c>
      <c r="E59" s="143">
        <f>0.4*10.79</f>
        <v>4.3159999999999998</v>
      </c>
      <c r="F59" s="47"/>
      <c r="G59" s="47"/>
      <c r="H59" s="47"/>
      <c r="I59" s="47"/>
      <c r="J59" s="47"/>
      <c r="K59" s="47"/>
      <c r="L59" s="19"/>
      <c r="M59" s="20"/>
      <c r="N59" s="20"/>
      <c r="O59" s="20"/>
      <c r="P59" s="20"/>
      <c r="Q59" s="20"/>
    </row>
    <row r="60" spans="1:241" ht="22.5" x14ac:dyDescent="0.25">
      <c r="A60" s="45" t="str">
        <f>IF(COUNTBLANK(B60)=1," ",COUNTA(B$14:B60))</f>
        <v xml:space="preserve"> </v>
      </c>
      <c r="B60" s="44"/>
      <c r="C60" s="8" t="s">
        <v>225</v>
      </c>
      <c r="D60" s="44" t="s">
        <v>45</v>
      </c>
      <c r="E60" s="46">
        <v>4</v>
      </c>
      <c r="F60" s="47"/>
      <c r="G60" s="47"/>
      <c r="H60" s="47"/>
      <c r="I60" s="47"/>
      <c r="J60" s="47"/>
      <c r="K60" s="47"/>
      <c r="L60" s="19"/>
      <c r="M60" s="20"/>
      <c r="N60" s="20"/>
      <c r="O60" s="20"/>
      <c r="P60" s="20"/>
      <c r="Q60" s="20"/>
    </row>
    <row r="61" spans="1:241" x14ac:dyDescent="0.25">
      <c r="A61" s="45">
        <f>IF(COUNTBLANK(B61)=1," ",COUNTA(B$14:B61))</f>
        <v>30</v>
      </c>
      <c r="B61" s="15" t="s">
        <v>41</v>
      </c>
      <c r="C61" s="8" t="s">
        <v>186</v>
      </c>
      <c r="D61" s="11" t="s">
        <v>47</v>
      </c>
      <c r="E61" s="138">
        <v>9.5</v>
      </c>
      <c r="F61" s="16"/>
      <c r="G61" s="16"/>
      <c r="H61" s="17"/>
      <c r="I61" s="16"/>
      <c r="J61" s="22"/>
      <c r="K61" s="16"/>
      <c r="L61" s="19"/>
      <c r="M61" s="20"/>
      <c r="N61" s="20"/>
      <c r="O61" s="20"/>
      <c r="P61" s="20"/>
      <c r="Q61" s="2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x14ac:dyDescent="0.25">
      <c r="A62" s="45" t="str">
        <f>IF(COUNTBLANK(B62)=1," ",COUNTA(B$14:B62))</f>
        <v xml:space="preserve"> </v>
      </c>
      <c r="B62" s="25"/>
      <c r="C62" s="29" t="s">
        <v>339</v>
      </c>
      <c r="D62" s="25" t="s">
        <v>55</v>
      </c>
      <c r="E62" s="21">
        <f>ROUNDUP(E61*F62,2)</f>
        <v>3.8</v>
      </c>
      <c r="F62" s="16">
        <v>0.4</v>
      </c>
      <c r="G62" s="16"/>
      <c r="H62" s="16"/>
      <c r="I62" s="16"/>
      <c r="J62" s="16"/>
      <c r="K62" s="16"/>
      <c r="L62" s="19"/>
      <c r="M62" s="20"/>
      <c r="N62" s="20"/>
      <c r="O62" s="20"/>
      <c r="P62" s="20"/>
      <c r="Q62" s="2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ht="22.5" x14ac:dyDescent="0.25">
      <c r="A63" s="45">
        <f>IF(COUNTBLANK(B63)=1," ",COUNTA(B$14:B63))</f>
        <v>31</v>
      </c>
      <c r="B63" s="15" t="s">
        <v>41</v>
      </c>
      <c r="C63" s="8" t="s">
        <v>226</v>
      </c>
      <c r="D63" s="44" t="s">
        <v>47</v>
      </c>
      <c r="E63" s="143">
        <v>1.5</v>
      </c>
      <c r="F63" s="11"/>
      <c r="G63" s="21"/>
      <c r="H63" s="17"/>
      <c r="I63" s="21"/>
      <c r="J63" s="22"/>
      <c r="K63" s="21"/>
      <c r="L63" s="19"/>
      <c r="M63" s="20"/>
      <c r="N63" s="20"/>
      <c r="O63" s="20"/>
      <c r="P63" s="20"/>
      <c r="Q63" s="20"/>
    </row>
    <row r="64" spans="1:241" x14ac:dyDescent="0.25">
      <c r="A64" s="45" t="str">
        <f>IF(COUNTBLANK(B64)=1," ",COUNTA(B$14:B64))</f>
        <v xml:space="preserve"> </v>
      </c>
      <c r="B64" s="15"/>
      <c r="C64" s="11" t="s">
        <v>340</v>
      </c>
      <c r="D64" s="11" t="s">
        <v>92</v>
      </c>
      <c r="E64" s="21">
        <f>ROUNDUP(E63*F64,2)</f>
        <v>0.03</v>
      </c>
      <c r="F64" s="11">
        <v>1.4999999999999999E-2</v>
      </c>
      <c r="G64" s="11"/>
      <c r="H64" s="11"/>
      <c r="I64" s="11"/>
      <c r="J64" s="11"/>
      <c r="K64" s="11"/>
      <c r="L64" s="19"/>
      <c r="M64" s="20"/>
      <c r="N64" s="20"/>
      <c r="O64" s="20"/>
      <c r="P64" s="20"/>
      <c r="Q64" s="20"/>
    </row>
    <row r="65" spans="1:17" ht="22.5" x14ac:dyDescent="0.25">
      <c r="A65" s="45">
        <f>IF(COUNTBLANK(B65)=1," ",COUNTA(B$14:B65))</f>
        <v>32</v>
      </c>
      <c r="B65" s="15" t="s">
        <v>41</v>
      </c>
      <c r="C65" s="8" t="s">
        <v>457</v>
      </c>
      <c r="D65" s="44" t="s">
        <v>47</v>
      </c>
      <c r="E65" s="143">
        <v>6.5</v>
      </c>
      <c r="F65" s="11"/>
      <c r="G65" s="21"/>
      <c r="H65" s="17"/>
      <c r="I65" s="21"/>
      <c r="J65" s="22"/>
      <c r="K65" s="21"/>
      <c r="L65" s="19"/>
      <c r="M65" s="20"/>
      <c r="N65" s="20"/>
      <c r="O65" s="20"/>
      <c r="P65" s="20"/>
      <c r="Q65" s="20"/>
    </row>
    <row r="66" spans="1:17" x14ac:dyDescent="0.25">
      <c r="A66" s="45" t="str">
        <f>IF(COUNTBLANK(B66)=1," ",COUNTA(B$14:B66))</f>
        <v xml:space="preserve"> </v>
      </c>
      <c r="B66" s="15"/>
      <c r="C66" s="11" t="s">
        <v>340</v>
      </c>
      <c r="D66" s="11" t="s">
        <v>92</v>
      </c>
      <c r="E66" s="21">
        <f>ROUNDUP(E65*F66,2)</f>
        <v>9.9999999999999992E-2</v>
      </c>
      <c r="F66" s="11">
        <v>1.4999999999999999E-2</v>
      </c>
      <c r="G66" s="11"/>
      <c r="H66" s="11"/>
      <c r="I66" s="11"/>
      <c r="J66" s="11"/>
      <c r="K66" s="11"/>
      <c r="L66" s="19"/>
      <c r="M66" s="20"/>
      <c r="N66" s="20"/>
      <c r="O66" s="20"/>
      <c r="P66" s="20"/>
      <c r="Q66" s="20"/>
    </row>
    <row r="67" spans="1:17" x14ac:dyDescent="0.25">
      <c r="A67" s="45">
        <f>IF(COUNTBLANK(B67)=1," ",COUNTA(B$14:B67))</f>
        <v>33</v>
      </c>
      <c r="B67" s="15" t="s">
        <v>41</v>
      </c>
      <c r="C67" s="8" t="s">
        <v>461</v>
      </c>
      <c r="D67" s="44" t="s">
        <v>45</v>
      </c>
      <c r="E67" s="46">
        <v>4</v>
      </c>
      <c r="F67" s="47"/>
      <c r="G67" s="21"/>
      <c r="H67" s="17"/>
      <c r="I67" s="21"/>
      <c r="J67" s="22"/>
      <c r="K67" s="21"/>
      <c r="L67" s="19"/>
      <c r="M67" s="20"/>
      <c r="N67" s="20"/>
      <c r="O67" s="20"/>
      <c r="P67" s="20"/>
      <c r="Q67" s="20"/>
    </row>
    <row r="68" spans="1:17" ht="22.5" x14ac:dyDescent="0.25">
      <c r="A68" s="45">
        <f>IF(COUNTBLANK(B68)=1," ",COUNTA(B$14:B68))</f>
        <v>34</v>
      </c>
      <c r="B68" s="15" t="s">
        <v>41</v>
      </c>
      <c r="C68" s="8" t="s">
        <v>227</v>
      </c>
      <c r="D68" s="44" t="s">
        <v>47</v>
      </c>
      <c r="E68" s="143">
        <v>6.4</v>
      </c>
      <c r="F68" s="47"/>
      <c r="G68" s="21"/>
      <c r="H68" s="17"/>
      <c r="I68" s="21"/>
      <c r="J68" s="22"/>
      <c r="K68" s="21"/>
      <c r="L68" s="19"/>
      <c r="M68" s="20"/>
      <c r="N68" s="20"/>
      <c r="O68" s="20"/>
      <c r="P68" s="20"/>
      <c r="Q68" s="20"/>
    </row>
    <row r="69" spans="1:17" ht="22.5" x14ac:dyDescent="0.25">
      <c r="A69" s="45">
        <f>IF(COUNTBLANK(B69)=1," ",COUNTA(B$14:B69))</f>
        <v>35</v>
      </c>
      <c r="B69" s="15" t="s">
        <v>41</v>
      </c>
      <c r="C69" s="8" t="s">
        <v>228</v>
      </c>
      <c r="D69" s="44" t="s">
        <v>45</v>
      </c>
      <c r="E69" s="46">
        <v>4</v>
      </c>
      <c r="F69" s="47"/>
      <c r="G69" s="21"/>
      <c r="H69" s="17"/>
      <c r="I69" s="21"/>
      <c r="J69" s="22"/>
      <c r="K69" s="21"/>
      <c r="L69" s="19"/>
      <c r="M69" s="20"/>
      <c r="N69" s="20"/>
      <c r="O69" s="20"/>
      <c r="P69" s="20"/>
      <c r="Q69" s="20"/>
    </row>
    <row r="70" spans="1:17" ht="22.5" x14ac:dyDescent="0.25">
      <c r="A70" s="45" t="str">
        <f>IF(COUNTBLANK(B70)=1," ",COUNTA(B$14:B70))</f>
        <v xml:space="preserve"> </v>
      </c>
      <c r="B70" s="44"/>
      <c r="C70" s="8" t="s">
        <v>229</v>
      </c>
      <c r="D70" s="44"/>
      <c r="E70" s="143"/>
      <c r="F70" s="47"/>
      <c r="G70" s="47"/>
      <c r="H70" s="47"/>
      <c r="I70" s="47"/>
      <c r="J70" s="47"/>
      <c r="K70" s="47"/>
      <c r="L70" s="19"/>
      <c r="M70" s="20"/>
      <c r="N70" s="20"/>
      <c r="O70" s="20"/>
      <c r="P70" s="20"/>
      <c r="Q70" s="20"/>
    </row>
    <row r="71" spans="1:17" x14ac:dyDescent="0.25">
      <c r="A71" s="45" t="str">
        <f>IF(COUNTBLANK(B71)=1," ",COUNTA(B$14:B71))</f>
        <v xml:space="preserve"> </v>
      </c>
      <c r="B71" s="44"/>
      <c r="C71" s="8" t="s">
        <v>230</v>
      </c>
      <c r="D71" s="44" t="s">
        <v>45</v>
      </c>
      <c r="E71" s="46">
        <v>4</v>
      </c>
      <c r="F71" s="47"/>
      <c r="G71" s="47"/>
      <c r="H71" s="47"/>
      <c r="I71" s="47"/>
      <c r="J71" s="47"/>
      <c r="K71" s="47"/>
      <c r="L71" s="19"/>
      <c r="M71" s="20"/>
      <c r="N71" s="20"/>
      <c r="O71" s="20"/>
      <c r="P71" s="20"/>
      <c r="Q71" s="20"/>
    </row>
    <row r="72" spans="1:17" ht="22.5" x14ac:dyDescent="0.25">
      <c r="A72" s="45">
        <f>IF(COUNTBLANK(B72)=1," ",COUNTA(B$14:B72))</f>
        <v>36</v>
      </c>
      <c r="B72" s="15" t="s">
        <v>41</v>
      </c>
      <c r="C72" s="8" t="s">
        <v>231</v>
      </c>
      <c r="D72" s="44" t="s">
        <v>47</v>
      </c>
      <c r="E72" s="143">
        <v>12.6</v>
      </c>
      <c r="F72" s="11"/>
      <c r="G72" s="21"/>
      <c r="H72" s="17"/>
      <c r="I72" s="21"/>
      <c r="J72" s="22"/>
      <c r="K72" s="21"/>
      <c r="L72" s="19"/>
      <c r="M72" s="20"/>
      <c r="N72" s="20"/>
      <c r="O72" s="20"/>
      <c r="P72" s="20"/>
      <c r="Q72" s="20"/>
    </row>
    <row r="73" spans="1:17" x14ac:dyDescent="0.25">
      <c r="A73" s="45" t="str">
        <f>IF(COUNTBLANK(B73)=1," ",COUNTA(B$14:B73))</f>
        <v xml:space="preserve"> </v>
      </c>
      <c r="B73" s="15"/>
      <c r="C73" s="11" t="s">
        <v>340</v>
      </c>
      <c r="D73" s="11" t="s">
        <v>92</v>
      </c>
      <c r="E73" s="21">
        <f>ROUNDUP(E72*F73,2)</f>
        <v>0.38</v>
      </c>
      <c r="F73" s="11">
        <v>0.03</v>
      </c>
      <c r="G73" s="11"/>
      <c r="H73" s="11"/>
      <c r="I73" s="11"/>
      <c r="J73" s="11"/>
      <c r="K73" s="11"/>
      <c r="L73" s="19"/>
      <c r="M73" s="20"/>
      <c r="N73" s="20"/>
      <c r="O73" s="20"/>
      <c r="P73" s="20"/>
      <c r="Q73" s="20"/>
    </row>
    <row r="74" spans="1:17" x14ac:dyDescent="0.25">
      <c r="A74" s="45">
        <f>IF(COUNTBLANK(B74)=1," ",COUNTA(B$14:B74))</f>
        <v>37</v>
      </c>
      <c r="B74" s="15" t="s">
        <v>41</v>
      </c>
      <c r="C74" s="8" t="s">
        <v>461</v>
      </c>
      <c r="D74" s="44" t="s">
        <v>45</v>
      </c>
      <c r="E74" s="46">
        <v>4</v>
      </c>
      <c r="F74" s="47"/>
      <c r="G74" s="21"/>
      <c r="H74" s="17"/>
      <c r="I74" s="21"/>
      <c r="J74" s="22"/>
      <c r="K74" s="21"/>
      <c r="L74" s="19"/>
      <c r="M74" s="20"/>
      <c r="N74" s="20"/>
      <c r="O74" s="20"/>
      <c r="P74" s="20"/>
      <c r="Q74" s="20"/>
    </row>
    <row r="75" spans="1:17" ht="22.5" x14ac:dyDescent="0.25">
      <c r="A75" s="45" t="str">
        <f>IF(COUNTBLANK(B75)=1," ",COUNTA(B$14:B75))</f>
        <v xml:space="preserve"> </v>
      </c>
      <c r="B75" s="44"/>
      <c r="C75" s="8" t="s">
        <v>232</v>
      </c>
      <c r="D75" s="44"/>
      <c r="E75" s="143"/>
      <c r="F75" s="47"/>
      <c r="G75" s="47"/>
      <c r="H75" s="47"/>
      <c r="I75" s="47"/>
      <c r="J75" s="47"/>
      <c r="K75" s="47"/>
      <c r="L75" s="19"/>
      <c r="M75" s="20"/>
      <c r="N75" s="20"/>
      <c r="O75" s="20"/>
      <c r="P75" s="20"/>
      <c r="Q75" s="20"/>
    </row>
    <row r="76" spans="1:17" x14ac:dyDescent="0.25">
      <c r="A76" s="45" t="str">
        <f>IF(COUNTBLANK(B76)=1," ",COUNTA(B$14:B76))</f>
        <v xml:space="preserve"> </v>
      </c>
      <c r="B76" s="44"/>
      <c r="C76" s="8" t="s">
        <v>233</v>
      </c>
      <c r="D76" s="44"/>
      <c r="E76" s="145"/>
      <c r="F76" s="47"/>
      <c r="G76" s="47"/>
      <c r="H76" s="47"/>
      <c r="I76" s="47"/>
      <c r="J76" s="47"/>
      <c r="K76" s="47"/>
      <c r="L76" s="19"/>
      <c r="M76" s="20"/>
      <c r="N76" s="20"/>
      <c r="O76" s="20"/>
      <c r="P76" s="20"/>
      <c r="Q76" s="20"/>
    </row>
    <row r="77" spans="1:17" ht="22.5" x14ac:dyDescent="0.25">
      <c r="A77" s="45">
        <f>IF(COUNTBLANK(B77)=1," ",COUNTA(B$14:B77))</f>
        <v>38</v>
      </c>
      <c r="B77" s="15" t="s">
        <v>41</v>
      </c>
      <c r="C77" s="8" t="s">
        <v>234</v>
      </c>
      <c r="D77" s="44" t="s">
        <v>47</v>
      </c>
      <c r="E77" s="143">
        <v>144.30000000000001</v>
      </c>
      <c r="F77" s="11"/>
      <c r="G77" s="21"/>
      <c r="H77" s="17"/>
      <c r="I77" s="21"/>
      <c r="J77" s="22"/>
      <c r="K77" s="21"/>
      <c r="L77" s="19"/>
      <c r="M77" s="20"/>
      <c r="N77" s="20"/>
      <c r="O77" s="20"/>
      <c r="P77" s="20"/>
      <c r="Q77" s="20"/>
    </row>
    <row r="78" spans="1:17" x14ac:dyDescent="0.25">
      <c r="A78" s="45" t="str">
        <f>IF(COUNTBLANK(B78)=1," ",COUNTA(B$14:B78))</f>
        <v xml:space="preserve"> </v>
      </c>
      <c r="B78" s="15"/>
      <c r="C78" s="11" t="s">
        <v>340</v>
      </c>
      <c r="D78" s="11" t="s">
        <v>92</v>
      </c>
      <c r="E78" s="21">
        <f>ROUNDUP(E77*F78,2)</f>
        <v>4.33</v>
      </c>
      <c r="F78" s="11">
        <v>0.03</v>
      </c>
      <c r="G78" s="11"/>
      <c r="H78" s="11"/>
      <c r="I78" s="11"/>
      <c r="J78" s="11"/>
      <c r="K78" s="11"/>
      <c r="L78" s="19"/>
      <c r="M78" s="20"/>
      <c r="N78" s="20"/>
      <c r="O78" s="20"/>
      <c r="P78" s="20"/>
      <c r="Q78" s="20"/>
    </row>
    <row r="79" spans="1:17" s="26" customFormat="1" ht="22.5" x14ac:dyDescent="0.25">
      <c r="A79" s="45">
        <f>IF(COUNTBLANK(B79)=1," ",COUNTA(B$14:B79))</f>
        <v>39</v>
      </c>
      <c r="B79" s="15" t="s">
        <v>41</v>
      </c>
      <c r="C79" s="8" t="s">
        <v>235</v>
      </c>
      <c r="D79" s="44" t="s">
        <v>92</v>
      </c>
      <c r="E79" s="143">
        <f>0.3*0.2*316</f>
        <v>18.96</v>
      </c>
      <c r="F79" s="16"/>
      <c r="G79" s="16"/>
      <c r="H79" s="17"/>
      <c r="I79" s="18"/>
      <c r="J79" s="22"/>
      <c r="K79" s="16"/>
      <c r="L79" s="19"/>
      <c r="M79" s="20"/>
      <c r="N79" s="20"/>
      <c r="O79" s="20"/>
      <c r="P79" s="20"/>
      <c r="Q79" s="20"/>
    </row>
    <row r="80" spans="1:17" s="26" customFormat="1" x14ac:dyDescent="0.25">
      <c r="A80" s="45" t="str">
        <f>IF(COUNTBLANK(B80)=1," ",COUNTA(B$14:B80))</f>
        <v xml:space="preserve"> </v>
      </c>
      <c r="B80" s="15"/>
      <c r="C80" s="25" t="s">
        <v>342</v>
      </c>
      <c r="D80" s="11" t="s">
        <v>92</v>
      </c>
      <c r="E80" s="21">
        <f>ROUNDUP(E79*F80,2)</f>
        <v>2.8499999999999996</v>
      </c>
      <c r="F80" s="16">
        <v>0.15</v>
      </c>
      <c r="G80" s="16"/>
      <c r="H80" s="16"/>
      <c r="I80" s="16"/>
      <c r="J80" s="16"/>
      <c r="K80" s="16"/>
      <c r="L80" s="19"/>
      <c r="M80" s="20"/>
      <c r="N80" s="20"/>
      <c r="O80" s="20"/>
      <c r="P80" s="20"/>
      <c r="Q80" s="20"/>
    </row>
    <row r="81" spans="1:17" s="27" customFormat="1" x14ac:dyDescent="0.25">
      <c r="A81" s="45" t="str">
        <f>IF(COUNTBLANK(B81)=1," ",COUNTA(B$14:B81))</f>
        <v xml:space="preserve"> </v>
      </c>
      <c r="B81" s="15"/>
      <c r="C81" s="25" t="s">
        <v>343</v>
      </c>
      <c r="D81" s="11" t="s">
        <v>92</v>
      </c>
      <c r="E81" s="21">
        <f>ROUNDUP(E79*F81,2)</f>
        <v>17.64</v>
      </c>
      <c r="F81" s="16">
        <v>0.93</v>
      </c>
      <c r="G81" s="16"/>
      <c r="H81" s="16"/>
      <c r="I81" s="16"/>
      <c r="J81" s="16"/>
      <c r="K81" s="16"/>
      <c r="L81" s="19"/>
      <c r="M81" s="20"/>
      <c r="N81" s="20"/>
      <c r="O81" s="20"/>
      <c r="P81" s="20"/>
      <c r="Q81" s="20"/>
    </row>
    <row r="82" spans="1:17" s="28" customFormat="1" x14ac:dyDescent="0.25">
      <c r="A82" s="45" t="str">
        <f>IF(COUNTBLANK(B82)=1," ",COUNTA(B$14:B82))</f>
        <v xml:space="preserve"> </v>
      </c>
      <c r="B82" s="15"/>
      <c r="C82" s="25" t="s">
        <v>59</v>
      </c>
      <c r="D82" s="25" t="s">
        <v>118</v>
      </c>
      <c r="E82" s="21">
        <f>ROUNDUP(E79*F82,0)</f>
        <v>10</v>
      </c>
      <c r="F82" s="16">
        <v>0.5</v>
      </c>
      <c r="G82" s="16"/>
      <c r="H82" s="16"/>
      <c r="I82" s="16"/>
      <c r="J82" s="16"/>
      <c r="K82" s="16"/>
      <c r="L82" s="19"/>
      <c r="M82" s="20"/>
      <c r="N82" s="20"/>
      <c r="O82" s="20"/>
      <c r="P82" s="20"/>
      <c r="Q82" s="20"/>
    </row>
    <row r="83" spans="1:17" ht="22.5" x14ac:dyDescent="0.25">
      <c r="A83" s="45" t="str">
        <f>IF(COUNTBLANK(B83)=1," ",COUNTA(B$14:B83))</f>
        <v xml:space="preserve"> </v>
      </c>
      <c r="B83" s="44"/>
      <c r="C83" s="8" t="s">
        <v>236</v>
      </c>
      <c r="D83" s="44" t="s">
        <v>45</v>
      </c>
      <c r="E83" s="46">
        <f>316/0.6</f>
        <v>526.66666666666674</v>
      </c>
      <c r="F83" s="47"/>
      <c r="G83" s="47"/>
      <c r="H83" s="47"/>
      <c r="I83" s="47"/>
      <c r="J83" s="47"/>
      <c r="K83" s="47"/>
      <c r="L83" s="19"/>
      <c r="M83" s="20"/>
      <c r="N83" s="20"/>
      <c r="O83" s="20"/>
      <c r="P83" s="20"/>
      <c r="Q83" s="20"/>
    </row>
    <row r="84" spans="1:17" ht="22.5" x14ac:dyDescent="0.25">
      <c r="A84" s="45">
        <f>IF(COUNTBLANK(B84)=1," ",COUNTA(B$14:B84))</f>
        <v>40</v>
      </c>
      <c r="B84" s="15" t="s">
        <v>41</v>
      </c>
      <c r="C84" s="8" t="s">
        <v>237</v>
      </c>
      <c r="D84" s="44" t="s">
        <v>47</v>
      </c>
      <c r="E84" s="143">
        <f>0.3*316</f>
        <v>94.8</v>
      </c>
      <c r="F84" s="11"/>
      <c r="G84" s="21"/>
      <c r="H84" s="17"/>
      <c r="I84" s="21"/>
      <c r="J84" s="22"/>
      <c r="K84" s="21"/>
      <c r="L84" s="19"/>
      <c r="M84" s="20"/>
      <c r="N84" s="20"/>
      <c r="O84" s="20"/>
      <c r="P84" s="20"/>
      <c r="Q84" s="20"/>
    </row>
    <row r="85" spans="1:17" x14ac:dyDescent="0.25">
      <c r="A85" s="45" t="str">
        <f>IF(COUNTBLANK(B85)=1," ",COUNTA(B$14:B85))</f>
        <v xml:space="preserve"> </v>
      </c>
      <c r="B85" s="15"/>
      <c r="C85" s="11" t="s">
        <v>340</v>
      </c>
      <c r="D85" s="11" t="s">
        <v>92</v>
      </c>
      <c r="E85" s="21">
        <f>ROUNDUP(E84*F85,2)</f>
        <v>2.8499999999999996</v>
      </c>
      <c r="F85" s="11">
        <v>0.03</v>
      </c>
      <c r="G85" s="11"/>
      <c r="H85" s="11"/>
      <c r="I85" s="11"/>
      <c r="J85" s="11"/>
      <c r="K85" s="11"/>
      <c r="L85" s="19"/>
      <c r="M85" s="20"/>
      <c r="N85" s="20"/>
      <c r="O85" s="20"/>
      <c r="P85" s="20"/>
      <c r="Q85" s="20"/>
    </row>
    <row r="86" spans="1:17" s="26" customFormat="1" ht="22.5" x14ac:dyDescent="0.25">
      <c r="A86" s="45">
        <f>IF(COUNTBLANK(B86)=1," ",COUNTA(B$14:B86))</f>
        <v>41</v>
      </c>
      <c r="B86" s="15" t="s">
        <v>41</v>
      </c>
      <c r="C86" s="8" t="s">
        <v>238</v>
      </c>
      <c r="D86" s="44" t="s">
        <v>92</v>
      </c>
      <c r="E86" s="143">
        <f>0.6*0.2*28.2</f>
        <v>3.3839999999999999</v>
      </c>
      <c r="F86" s="16"/>
      <c r="G86" s="16"/>
      <c r="H86" s="17"/>
      <c r="I86" s="18"/>
      <c r="J86" s="22"/>
      <c r="K86" s="16"/>
      <c r="L86" s="19"/>
      <c r="M86" s="20"/>
      <c r="N86" s="20"/>
      <c r="O86" s="20"/>
      <c r="P86" s="20"/>
      <c r="Q86" s="20"/>
    </row>
    <row r="87" spans="1:17" s="26" customFormat="1" x14ac:dyDescent="0.25">
      <c r="A87" s="45" t="str">
        <f>IF(COUNTBLANK(B87)=1," ",COUNTA(B$14:B87))</f>
        <v xml:space="preserve"> </v>
      </c>
      <c r="B87" s="15"/>
      <c r="C87" s="25" t="s">
        <v>342</v>
      </c>
      <c r="D87" s="11" t="s">
        <v>92</v>
      </c>
      <c r="E87" s="21">
        <f>ROUNDUP(E86*F87,2)</f>
        <v>0.51</v>
      </c>
      <c r="F87" s="16">
        <v>0.15</v>
      </c>
      <c r="G87" s="16"/>
      <c r="H87" s="16"/>
      <c r="I87" s="16"/>
      <c r="J87" s="16"/>
      <c r="K87" s="16"/>
      <c r="L87" s="19"/>
      <c r="M87" s="20"/>
      <c r="N87" s="20"/>
      <c r="O87" s="20"/>
      <c r="P87" s="20"/>
      <c r="Q87" s="20"/>
    </row>
    <row r="88" spans="1:17" s="27" customFormat="1" x14ac:dyDescent="0.25">
      <c r="A88" s="45" t="str">
        <f>IF(COUNTBLANK(B88)=1," ",COUNTA(B$14:B88))</f>
        <v xml:space="preserve"> </v>
      </c>
      <c r="B88" s="15"/>
      <c r="C88" s="25" t="s">
        <v>343</v>
      </c>
      <c r="D88" s="11" t="s">
        <v>92</v>
      </c>
      <c r="E88" s="21">
        <f>ROUNDUP(E86*F88,2)</f>
        <v>3.15</v>
      </c>
      <c r="F88" s="16">
        <v>0.93</v>
      </c>
      <c r="G88" s="16"/>
      <c r="H88" s="16"/>
      <c r="I88" s="16"/>
      <c r="J88" s="16"/>
      <c r="K88" s="16"/>
      <c r="L88" s="19"/>
      <c r="M88" s="20"/>
      <c r="N88" s="20"/>
      <c r="O88" s="20"/>
      <c r="P88" s="20"/>
      <c r="Q88" s="20"/>
    </row>
    <row r="89" spans="1:17" s="28" customFormat="1" x14ac:dyDescent="0.25">
      <c r="A89" s="45" t="str">
        <f>IF(COUNTBLANK(B89)=1," ",COUNTA(B$14:B89))</f>
        <v xml:space="preserve"> </v>
      </c>
      <c r="B89" s="15"/>
      <c r="C89" s="25" t="s">
        <v>59</v>
      </c>
      <c r="D89" s="25" t="s">
        <v>118</v>
      </c>
      <c r="E89" s="21">
        <f>ROUNDUP(E86*F89,0)</f>
        <v>2</v>
      </c>
      <c r="F89" s="16">
        <v>0.5</v>
      </c>
      <c r="G89" s="16"/>
      <c r="H89" s="16"/>
      <c r="I89" s="16"/>
      <c r="J89" s="16"/>
      <c r="K89" s="16"/>
      <c r="L89" s="19"/>
      <c r="M89" s="20"/>
      <c r="N89" s="20"/>
      <c r="O89" s="20"/>
      <c r="P89" s="20"/>
      <c r="Q89" s="20"/>
    </row>
    <row r="90" spans="1:17" ht="22.5" x14ac:dyDescent="0.25">
      <c r="A90" s="45" t="str">
        <f>IF(COUNTBLANK(B90)=1," ",COUNTA(B$14:B90))</f>
        <v xml:space="preserve"> </v>
      </c>
      <c r="B90" s="44"/>
      <c r="C90" s="8" t="s">
        <v>236</v>
      </c>
      <c r="D90" s="44" t="s">
        <v>45</v>
      </c>
      <c r="E90" s="46">
        <f>28.2/0.6</f>
        <v>47</v>
      </c>
      <c r="F90" s="47"/>
      <c r="G90" s="47"/>
      <c r="H90" s="47"/>
      <c r="I90" s="47"/>
      <c r="J90" s="47"/>
      <c r="K90" s="47"/>
      <c r="L90" s="19"/>
      <c r="M90" s="20"/>
      <c r="N90" s="20"/>
      <c r="O90" s="20"/>
      <c r="P90" s="20"/>
      <c r="Q90" s="20"/>
    </row>
    <row r="91" spans="1:17" ht="22.5" x14ac:dyDescent="0.25">
      <c r="A91" s="45">
        <f>IF(COUNTBLANK(B91)=1," ",COUNTA(B$14:B91))</f>
        <v>42</v>
      </c>
      <c r="B91" s="15" t="s">
        <v>41</v>
      </c>
      <c r="C91" s="8" t="s">
        <v>237</v>
      </c>
      <c r="D91" s="44" t="s">
        <v>47</v>
      </c>
      <c r="E91" s="143">
        <f>0.6*28.2</f>
        <v>16.919999999999998</v>
      </c>
      <c r="F91" s="11"/>
      <c r="G91" s="21"/>
      <c r="H91" s="17"/>
      <c r="I91" s="21"/>
      <c r="J91" s="22"/>
      <c r="K91" s="21"/>
      <c r="L91" s="19"/>
      <c r="M91" s="20"/>
      <c r="N91" s="20"/>
      <c r="O91" s="20"/>
      <c r="P91" s="20"/>
      <c r="Q91" s="20"/>
    </row>
    <row r="92" spans="1:17" x14ac:dyDescent="0.25">
      <c r="A92" s="45" t="str">
        <f>IF(COUNTBLANK(B92)=1," ",COUNTA(B$14:B92))</f>
        <v xml:space="preserve"> </v>
      </c>
      <c r="B92" s="15"/>
      <c r="C92" s="11" t="s">
        <v>340</v>
      </c>
      <c r="D92" s="11" t="s">
        <v>92</v>
      </c>
      <c r="E92" s="21">
        <f>ROUNDUP(E91*F92,2)</f>
        <v>0.51</v>
      </c>
      <c r="F92" s="11">
        <v>0.03</v>
      </c>
      <c r="G92" s="11"/>
      <c r="H92" s="11"/>
      <c r="I92" s="11"/>
      <c r="J92" s="11"/>
      <c r="K92" s="11"/>
      <c r="L92" s="19"/>
      <c r="M92" s="20"/>
      <c r="N92" s="20"/>
      <c r="O92" s="20"/>
      <c r="P92" s="20"/>
      <c r="Q92" s="20"/>
    </row>
    <row r="93" spans="1:17" ht="22.5" x14ac:dyDescent="0.25">
      <c r="A93" s="45">
        <f>IF(COUNTBLANK(B93)=1," ",COUNTA(B$14:B93))</f>
        <v>43</v>
      </c>
      <c r="B93" s="15" t="s">
        <v>41</v>
      </c>
      <c r="C93" s="8" t="s">
        <v>239</v>
      </c>
      <c r="D93" s="44" t="s">
        <v>118</v>
      </c>
      <c r="E93" s="143">
        <v>1</v>
      </c>
      <c r="F93" s="47"/>
      <c r="G93" s="21"/>
      <c r="H93" s="17"/>
      <c r="I93" s="21"/>
      <c r="J93" s="22"/>
      <c r="K93" s="21"/>
      <c r="L93" s="19"/>
      <c r="M93" s="20"/>
      <c r="N93" s="20"/>
      <c r="O93" s="20"/>
      <c r="P93" s="20"/>
      <c r="Q93" s="20"/>
    </row>
    <row r="94" spans="1:17" ht="22.5" x14ac:dyDescent="0.25">
      <c r="A94" s="45" t="str">
        <f>IF(COUNTBLANK(B94)=1," ",COUNTA(B$14:B94))</f>
        <v xml:space="preserve"> </v>
      </c>
      <c r="B94" s="44"/>
      <c r="C94" s="8" t="s">
        <v>240</v>
      </c>
      <c r="D94" s="44" t="s">
        <v>92</v>
      </c>
      <c r="E94" s="145">
        <f>0.05*0.05*0.7*47</f>
        <v>8.2250000000000018E-2</v>
      </c>
      <c r="F94" s="47"/>
      <c r="G94" s="47"/>
      <c r="H94" s="47"/>
      <c r="I94" s="47"/>
      <c r="J94" s="47"/>
      <c r="K94" s="47"/>
      <c r="L94" s="19"/>
      <c r="M94" s="20"/>
      <c r="N94" s="20"/>
      <c r="O94" s="20"/>
      <c r="P94" s="20"/>
      <c r="Q94" s="20"/>
    </row>
    <row r="95" spans="1:17" x14ac:dyDescent="0.25">
      <c r="A95" s="45" t="str">
        <f>IF(COUNTBLANK(B95)=1," ",COUNTA(B$14:B95))</f>
        <v xml:space="preserve"> </v>
      </c>
      <c r="B95" s="44"/>
      <c r="C95" s="8" t="s">
        <v>241</v>
      </c>
      <c r="D95" s="44" t="s">
        <v>45</v>
      </c>
      <c r="E95" s="46">
        <f>47*2</f>
        <v>94</v>
      </c>
      <c r="F95" s="47"/>
      <c r="G95" s="47"/>
      <c r="H95" s="47"/>
      <c r="I95" s="47"/>
      <c r="J95" s="47"/>
      <c r="K95" s="47"/>
      <c r="L95" s="19"/>
      <c r="M95" s="20"/>
      <c r="N95" s="20"/>
      <c r="O95" s="20"/>
      <c r="P95" s="20"/>
      <c r="Q95" s="20"/>
    </row>
    <row r="96" spans="1:17" ht="22.5" x14ac:dyDescent="0.25">
      <c r="A96" s="45" t="str">
        <f>IF(COUNTBLANK(B96)=1," ",COUNTA(B$14:B96))</f>
        <v xml:space="preserve"> </v>
      </c>
      <c r="B96" s="44"/>
      <c r="C96" s="8" t="s">
        <v>458</v>
      </c>
      <c r="D96" s="44" t="s">
        <v>92</v>
      </c>
      <c r="E96" s="145">
        <v>1.34</v>
      </c>
      <c r="F96" s="47"/>
      <c r="G96" s="47"/>
      <c r="H96" s="47"/>
      <c r="I96" s="47"/>
      <c r="J96" s="47"/>
      <c r="K96" s="47"/>
      <c r="L96" s="19"/>
      <c r="M96" s="20"/>
      <c r="N96" s="20"/>
      <c r="O96" s="20"/>
      <c r="P96" s="20"/>
      <c r="Q96" s="20"/>
    </row>
    <row r="97" spans="1:17" ht="22.5" x14ac:dyDescent="0.25">
      <c r="A97" s="45" t="str">
        <f>IF(COUNTBLANK(B97)=1," ",COUNTA(B$14:B97))</f>
        <v xml:space="preserve"> </v>
      </c>
      <c r="B97" s="44"/>
      <c r="C97" s="8" t="s">
        <v>402</v>
      </c>
      <c r="D97" s="44" t="s">
        <v>47</v>
      </c>
      <c r="E97" s="143">
        <f>0.7*28.2</f>
        <v>19.739999999999998</v>
      </c>
      <c r="F97" s="47"/>
      <c r="G97" s="47"/>
      <c r="H97" s="47"/>
      <c r="I97" s="47"/>
      <c r="J97" s="47"/>
      <c r="K97" s="47"/>
      <c r="L97" s="19"/>
      <c r="M97" s="20"/>
      <c r="N97" s="20"/>
      <c r="O97" s="20"/>
      <c r="P97" s="20"/>
      <c r="Q97" s="20"/>
    </row>
    <row r="98" spans="1:17" ht="22.5" x14ac:dyDescent="0.25">
      <c r="A98" s="45" t="str">
        <f>IF(COUNTBLANK(B98)=1," ",COUNTA(B$14:B98))</f>
        <v xml:space="preserve"> </v>
      </c>
      <c r="B98" s="44"/>
      <c r="C98" s="8" t="s">
        <v>242</v>
      </c>
      <c r="D98" s="44" t="s">
        <v>55</v>
      </c>
      <c r="E98" s="143">
        <f>0.004*0.04*1*47*7800</f>
        <v>58.656000000000006</v>
      </c>
      <c r="F98" s="47"/>
      <c r="G98" s="47"/>
      <c r="H98" s="47"/>
      <c r="I98" s="47"/>
      <c r="J98" s="47"/>
      <c r="K98" s="47"/>
      <c r="L98" s="19"/>
      <c r="M98" s="20"/>
      <c r="N98" s="20"/>
      <c r="O98" s="20"/>
      <c r="P98" s="20"/>
      <c r="Q98" s="20"/>
    </row>
    <row r="99" spans="1:17" ht="22.5" x14ac:dyDescent="0.25">
      <c r="A99" s="45" t="str">
        <f>IF(COUNTBLANK(B99)=1," ",COUNTA(B$14:B99))</f>
        <v xml:space="preserve"> </v>
      </c>
      <c r="B99" s="44"/>
      <c r="C99" s="8" t="s">
        <v>243</v>
      </c>
      <c r="D99" s="44" t="s">
        <v>47</v>
      </c>
      <c r="E99" s="143">
        <f>1*28.2</f>
        <v>28.2</v>
      </c>
      <c r="F99" s="47"/>
      <c r="G99" s="47"/>
      <c r="H99" s="47"/>
      <c r="I99" s="47"/>
      <c r="J99" s="47"/>
      <c r="K99" s="47"/>
      <c r="L99" s="19"/>
      <c r="M99" s="20"/>
      <c r="N99" s="20"/>
      <c r="O99" s="20"/>
      <c r="P99" s="20"/>
      <c r="Q99" s="20"/>
    </row>
    <row r="100" spans="1:17" ht="22.5" x14ac:dyDescent="0.25">
      <c r="A100" s="45">
        <f>IF(COUNTBLANK(B100)=1," ",COUNTA(B$14:B100))</f>
        <v>44</v>
      </c>
      <c r="B100" s="15" t="s">
        <v>41</v>
      </c>
      <c r="C100" s="8" t="s">
        <v>244</v>
      </c>
      <c r="D100" s="44" t="s">
        <v>118</v>
      </c>
      <c r="E100" s="143">
        <v>1</v>
      </c>
      <c r="F100" s="47"/>
      <c r="G100" s="21"/>
      <c r="H100" s="17"/>
      <c r="I100" s="21"/>
      <c r="J100" s="22"/>
      <c r="K100" s="21"/>
      <c r="L100" s="19"/>
      <c r="M100" s="20"/>
      <c r="N100" s="20"/>
      <c r="O100" s="20"/>
      <c r="P100" s="20"/>
      <c r="Q100" s="20"/>
    </row>
    <row r="101" spans="1:17" ht="22.5" x14ac:dyDescent="0.25">
      <c r="A101" s="45" t="str">
        <f>IF(COUNTBLANK(B101)=1," ",COUNTA(B$14:B101))</f>
        <v xml:space="preserve"> </v>
      </c>
      <c r="B101" s="44"/>
      <c r="C101" s="8" t="s">
        <v>245</v>
      </c>
      <c r="D101" s="44" t="s">
        <v>92</v>
      </c>
      <c r="E101" s="145">
        <f>0.05*0.05*0.55*237</f>
        <v>0.32587500000000008</v>
      </c>
      <c r="F101" s="47"/>
      <c r="G101" s="47"/>
      <c r="H101" s="47"/>
      <c r="I101" s="47"/>
      <c r="J101" s="47"/>
      <c r="K101" s="47"/>
      <c r="L101" s="19"/>
      <c r="M101" s="20"/>
      <c r="N101" s="20"/>
      <c r="O101" s="20"/>
      <c r="P101" s="20"/>
      <c r="Q101" s="20"/>
    </row>
    <row r="102" spans="1:17" x14ac:dyDescent="0.25">
      <c r="A102" s="45" t="str">
        <f>IF(COUNTBLANK(B102)=1," ",COUNTA(B$14:B102))</f>
        <v xml:space="preserve"> </v>
      </c>
      <c r="B102" s="44"/>
      <c r="C102" s="8" t="s">
        <v>241</v>
      </c>
      <c r="D102" s="44" t="s">
        <v>45</v>
      </c>
      <c r="E102" s="46">
        <f>237*2</f>
        <v>474</v>
      </c>
      <c r="F102" s="47"/>
      <c r="G102" s="47"/>
      <c r="H102" s="47"/>
      <c r="I102" s="47"/>
      <c r="J102" s="47"/>
      <c r="K102" s="47"/>
      <c r="L102" s="19"/>
      <c r="M102" s="20"/>
      <c r="N102" s="20"/>
      <c r="O102" s="20"/>
      <c r="P102" s="20"/>
      <c r="Q102" s="20"/>
    </row>
    <row r="103" spans="1:17" ht="22.5" x14ac:dyDescent="0.25">
      <c r="A103" s="11" t="str">
        <f>IF(COUNTBLANK(B103)=1," ",COUNTA(B$14:B103))</f>
        <v xml:space="preserve"> </v>
      </c>
      <c r="B103" s="44"/>
      <c r="C103" s="8" t="s">
        <v>459</v>
      </c>
      <c r="D103" s="44" t="s">
        <v>92</v>
      </c>
      <c r="E103" s="145">
        <v>5.69</v>
      </c>
      <c r="F103" s="47"/>
      <c r="G103" s="47"/>
      <c r="H103" s="47"/>
      <c r="I103" s="47"/>
      <c r="J103" s="47"/>
      <c r="K103" s="47"/>
      <c r="L103" s="19"/>
      <c r="M103" s="20"/>
      <c r="N103" s="20"/>
      <c r="O103" s="20"/>
      <c r="P103" s="20"/>
      <c r="Q103" s="20"/>
    </row>
    <row r="104" spans="1:17" ht="22.5" x14ac:dyDescent="0.25">
      <c r="A104" s="11" t="str">
        <f>IF(COUNTBLANK(B104)=1," ",COUNTA(B$14:B104))</f>
        <v xml:space="preserve"> </v>
      </c>
      <c r="B104" s="44"/>
      <c r="C104" s="8" t="s">
        <v>403</v>
      </c>
      <c r="D104" s="44" t="s">
        <v>47</v>
      </c>
      <c r="E104" s="143">
        <f>0.55*142.3</f>
        <v>78.265000000000015</v>
      </c>
      <c r="F104" s="47"/>
      <c r="G104" s="47"/>
      <c r="H104" s="47"/>
      <c r="I104" s="47"/>
      <c r="J104" s="47"/>
      <c r="K104" s="47"/>
      <c r="L104" s="19"/>
      <c r="M104" s="20"/>
      <c r="N104" s="20"/>
      <c r="O104" s="20"/>
      <c r="P104" s="20"/>
      <c r="Q104" s="20"/>
    </row>
    <row r="105" spans="1:17" ht="22.5" x14ac:dyDescent="0.25">
      <c r="A105" s="11" t="str">
        <f>IF(COUNTBLANK(B105)=1," ",COUNTA(B$14:B105))</f>
        <v xml:space="preserve"> </v>
      </c>
      <c r="B105" s="44"/>
      <c r="C105" s="8" t="s">
        <v>246</v>
      </c>
      <c r="D105" s="44" t="s">
        <v>55</v>
      </c>
      <c r="E105" s="143">
        <f>0.004*0.04*1*237*7800</f>
        <v>295.77600000000001</v>
      </c>
      <c r="F105" s="47"/>
      <c r="G105" s="47"/>
      <c r="H105" s="47"/>
      <c r="I105" s="47"/>
      <c r="J105" s="47"/>
      <c r="K105" s="47"/>
      <c r="L105" s="19"/>
      <c r="M105" s="20"/>
      <c r="N105" s="20"/>
      <c r="O105" s="20"/>
      <c r="P105" s="20"/>
      <c r="Q105" s="20"/>
    </row>
    <row r="106" spans="1:17" ht="22.5" x14ac:dyDescent="0.25">
      <c r="A106" s="11" t="str">
        <f>IF(COUNTBLANK(B106)=1," ",COUNTA(B$14:B106))</f>
        <v xml:space="preserve"> </v>
      </c>
      <c r="B106" s="44"/>
      <c r="C106" s="8" t="s">
        <v>243</v>
      </c>
      <c r="D106" s="44" t="s">
        <v>47</v>
      </c>
      <c r="E106" s="143">
        <f>0.85*142.3</f>
        <v>120.95500000000001</v>
      </c>
      <c r="F106" s="47"/>
      <c r="G106" s="47"/>
      <c r="H106" s="47"/>
      <c r="I106" s="47"/>
      <c r="J106" s="47"/>
      <c r="K106" s="47"/>
      <c r="L106" s="19"/>
      <c r="M106" s="20"/>
      <c r="N106" s="20"/>
      <c r="O106" s="20"/>
      <c r="P106" s="20"/>
      <c r="Q106" s="20"/>
    </row>
    <row r="107" spans="1:17" ht="22.5" x14ac:dyDescent="0.25">
      <c r="A107" s="11">
        <f>IF(COUNTBLANK(B107)=1," ",COUNTA(B$14:B107))</f>
        <v>45</v>
      </c>
      <c r="B107" s="15" t="s">
        <v>41</v>
      </c>
      <c r="C107" s="8" t="s">
        <v>247</v>
      </c>
      <c r="D107" s="44" t="s">
        <v>118</v>
      </c>
      <c r="E107" s="143">
        <v>1</v>
      </c>
      <c r="F107" s="47"/>
      <c r="G107" s="21"/>
      <c r="H107" s="17"/>
      <c r="I107" s="21"/>
      <c r="J107" s="22"/>
      <c r="K107" s="21"/>
      <c r="L107" s="19"/>
      <c r="M107" s="20"/>
      <c r="N107" s="20"/>
      <c r="O107" s="20"/>
      <c r="P107" s="20"/>
      <c r="Q107" s="20"/>
    </row>
    <row r="108" spans="1:17" ht="22.5" x14ac:dyDescent="0.25">
      <c r="A108" s="11" t="str">
        <f>IF(COUNTBLANK(B108)=1," ",COUNTA(B$14:B108))</f>
        <v xml:space="preserve"> </v>
      </c>
      <c r="B108" s="44"/>
      <c r="C108" s="8" t="s">
        <v>248</v>
      </c>
      <c r="D108" s="44" t="s">
        <v>92</v>
      </c>
      <c r="E108" s="145">
        <f>0.05*0.05*0.55*297</f>
        <v>0.4083750000000001</v>
      </c>
      <c r="F108" s="47"/>
      <c r="G108" s="47"/>
      <c r="H108" s="47"/>
      <c r="I108" s="47"/>
      <c r="J108" s="47"/>
      <c r="K108" s="47"/>
      <c r="L108" s="19"/>
      <c r="M108" s="20"/>
      <c r="N108" s="20"/>
      <c r="O108" s="20"/>
      <c r="P108" s="20"/>
      <c r="Q108" s="20"/>
    </row>
    <row r="109" spans="1:17" x14ac:dyDescent="0.25">
      <c r="A109" s="11" t="str">
        <f>IF(COUNTBLANK(B109)=1," ",COUNTA(B$14:B109))</f>
        <v xml:space="preserve"> </v>
      </c>
      <c r="B109" s="44"/>
      <c r="C109" s="8" t="s">
        <v>241</v>
      </c>
      <c r="D109" s="44" t="s">
        <v>45</v>
      </c>
      <c r="E109" s="46">
        <f>297*2</f>
        <v>594</v>
      </c>
      <c r="F109" s="47"/>
      <c r="G109" s="47"/>
      <c r="H109" s="47"/>
      <c r="I109" s="47"/>
      <c r="J109" s="47"/>
      <c r="K109" s="47"/>
      <c r="L109" s="19"/>
      <c r="M109" s="20"/>
      <c r="N109" s="20"/>
      <c r="O109" s="20"/>
      <c r="P109" s="20"/>
      <c r="Q109" s="20"/>
    </row>
    <row r="110" spans="1:17" ht="22.5" x14ac:dyDescent="0.25">
      <c r="A110" s="11" t="str">
        <f>IF(COUNTBLANK(B110)=1," ",COUNTA(B$14:B110))</f>
        <v xml:space="preserve"> </v>
      </c>
      <c r="B110" s="44"/>
      <c r="C110" s="8" t="s">
        <v>460</v>
      </c>
      <c r="D110" s="44" t="s">
        <v>92</v>
      </c>
      <c r="E110" s="145">
        <v>6.86</v>
      </c>
      <c r="F110" s="47"/>
      <c r="G110" s="47"/>
      <c r="H110" s="47"/>
      <c r="I110" s="47"/>
      <c r="J110" s="47"/>
      <c r="K110" s="47"/>
      <c r="L110" s="19"/>
      <c r="M110" s="20"/>
      <c r="N110" s="20"/>
      <c r="O110" s="20"/>
      <c r="P110" s="20"/>
      <c r="Q110" s="20"/>
    </row>
    <row r="111" spans="1:17" ht="22.5" x14ac:dyDescent="0.25">
      <c r="A111" s="11" t="str">
        <f>IF(COUNTBLANK(B111)=1," ",COUNTA(B$14:B111))</f>
        <v xml:space="preserve"> </v>
      </c>
      <c r="B111" s="44"/>
      <c r="C111" s="8" t="s">
        <v>404</v>
      </c>
      <c r="D111" s="44" t="s">
        <v>47</v>
      </c>
      <c r="E111" s="143">
        <f>0.52*178.3</f>
        <v>92.716000000000008</v>
      </c>
      <c r="F111" s="47"/>
      <c r="G111" s="47"/>
      <c r="H111" s="47"/>
      <c r="I111" s="47"/>
      <c r="J111" s="47"/>
      <c r="K111" s="47"/>
      <c r="L111" s="19"/>
      <c r="M111" s="20"/>
      <c r="N111" s="20"/>
      <c r="O111" s="20"/>
      <c r="P111" s="20"/>
      <c r="Q111" s="20"/>
    </row>
    <row r="112" spans="1:17" ht="22.5" x14ac:dyDescent="0.25">
      <c r="A112" s="11" t="str">
        <f>IF(COUNTBLANK(B112)=1," ",COUNTA(B$14:B112))</f>
        <v xml:space="preserve"> </v>
      </c>
      <c r="B112" s="44"/>
      <c r="C112" s="8" t="s">
        <v>249</v>
      </c>
      <c r="D112" s="44" t="s">
        <v>55</v>
      </c>
      <c r="E112" s="143">
        <f>0.004*0.04*1*297*7800</f>
        <v>370.65600000000006</v>
      </c>
      <c r="F112" s="47"/>
      <c r="G112" s="47"/>
      <c r="H112" s="47"/>
      <c r="I112" s="47"/>
      <c r="J112" s="47"/>
      <c r="K112" s="47"/>
      <c r="L112" s="19"/>
      <c r="M112" s="20"/>
      <c r="N112" s="20"/>
      <c r="O112" s="20"/>
      <c r="P112" s="20"/>
      <c r="Q112" s="20"/>
    </row>
    <row r="113" spans="1:20" ht="22.5" x14ac:dyDescent="0.25">
      <c r="A113" s="11" t="str">
        <f>IF(COUNTBLANK(B113)=1," ",COUNTA(B$14:B113))</f>
        <v xml:space="preserve"> </v>
      </c>
      <c r="B113" s="44"/>
      <c r="C113" s="8" t="s">
        <v>243</v>
      </c>
      <c r="D113" s="44" t="s">
        <v>47</v>
      </c>
      <c r="E113" s="143">
        <f>0.82*178.3</f>
        <v>146.20599999999999</v>
      </c>
      <c r="F113" s="47"/>
      <c r="G113" s="47"/>
      <c r="H113" s="47"/>
      <c r="I113" s="47"/>
      <c r="J113" s="47"/>
      <c r="K113" s="47"/>
      <c r="L113" s="19"/>
      <c r="M113" s="20"/>
      <c r="N113" s="20"/>
      <c r="O113" s="20"/>
      <c r="P113" s="20"/>
      <c r="Q113" s="20"/>
    </row>
    <row r="114" spans="1:20" x14ac:dyDescent="0.25">
      <c r="A114" s="11" t="str">
        <f>IF(COUNTBLANK(B114)=1," ",COUNTA(B$14:B114))</f>
        <v xml:space="preserve"> </v>
      </c>
      <c r="B114" s="44"/>
      <c r="C114" s="8" t="s">
        <v>250</v>
      </c>
      <c r="D114" s="44" t="s">
        <v>45</v>
      </c>
      <c r="E114" s="142">
        <v>24</v>
      </c>
      <c r="F114" s="47"/>
      <c r="G114" s="21"/>
      <c r="H114" s="17"/>
      <c r="I114" s="21"/>
      <c r="J114" s="22"/>
      <c r="K114" s="21"/>
      <c r="L114" s="19"/>
      <c r="M114" s="20"/>
      <c r="N114" s="20"/>
      <c r="O114" s="20"/>
      <c r="P114" s="20"/>
      <c r="Q114" s="20"/>
    </row>
    <row r="115" spans="1:20" ht="22.5" x14ac:dyDescent="0.25">
      <c r="A115" s="11">
        <f>IF(COUNTBLANK(B115)=1," ",COUNTA(B$14:B115))</f>
        <v>46</v>
      </c>
      <c r="B115" s="15" t="s">
        <v>41</v>
      </c>
      <c r="C115" s="8" t="s">
        <v>251</v>
      </c>
      <c r="D115" s="44" t="s">
        <v>47</v>
      </c>
      <c r="E115" s="142">
        <f>139.2*0.6+30</f>
        <v>113.52</v>
      </c>
      <c r="F115" s="11"/>
      <c r="G115" s="21"/>
      <c r="H115" s="17"/>
      <c r="I115" s="21"/>
      <c r="J115" s="22"/>
      <c r="K115" s="21"/>
      <c r="L115" s="19"/>
      <c r="M115" s="20"/>
      <c r="N115" s="20"/>
      <c r="O115" s="20"/>
      <c r="P115" s="20"/>
      <c r="Q115" s="20"/>
    </row>
    <row r="116" spans="1:20" x14ac:dyDescent="0.25">
      <c r="A116" s="11" t="str">
        <f>IF(COUNTBLANK(B116)=1," ",COUNTA(B$14:B116))</f>
        <v xml:space="preserve"> </v>
      </c>
      <c r="B116" s="15"/>
      <c r="C116" s="11" t="s">
        <v>340</v>
      </c>
      <c r="D116" s="11" t="s">
        <v>92</v>
      </c>
      <c r="E116" s="21">
        <f>ROUNDUP(E115*F116,2)</f>
        <v>3.4099999999999997</v>
      </c>
      <c r="F116" s="11">
        <v>0.03</v>
      </c>
      <c r="G116" s="11"/>
      <c r="H116" s="11"/>
      <c r="I116" s="11"/>
      <c r="J116" s="11"/>
      <c r="K116" s="11"/>
      <c r="L116" s="19"/>
      <c r="M116" s="20"/>
      <c r="N116" s="20"/>
      <c r="O116" s="20"/>
      <c r="P116" s="20"/>
      <c r="Q116" s="20"/>
    </row>
    <row r="117" spans="1:20" ht="45" x14ac:dyDescent="0.25">
      <c r="A117" s="11">
        <f>IF(COUNTBLANK(B117)=1," ",COUNTA(B$14:B117))</f>
        <v>47</v>
      </c>
      <c r="B117" s="15" t="s">
        <v>41</v>
      </c>
      <c r="C117" s="8" t="s">
        <v>252</v>
      </c>
      <c r="D117" s="44" t="s">
        <v>45</v>
      </c>
      <c r="E117" s="142">
        <v>24</v>
      </c>
      <c r="F117" s="47"/>
      <c r="G117" s="21"/>
      <c r="H117" s="17"/>
      <c r="I117" s="21"/>
      <c r="J117" s="22"/>
      <c r="K117" s="21"/>
      <c r="L117" s="19"/>
      <c r="M117" s="20"/>
      <c r="N117" s="20"/>
      <c r="O117" s="20"/>
      <c r="P117" s="20"/>
      <c r="Q117" s="20"/>
    </row>
    <row r="118" spans="1:20" x14ac:dyDescent="0.25">
      <c r="A118" s="11" t="str">
        <f>IF(COUNTBLANK(B118)=1," ",COUNTA(B$14:B118))</f>
        <v xml:space="preserve"> </v>
      </c>
      <c r="B118" s="44"/>
      <c r="C118" s="8" t="s">
        <v>253</v>
      </c>
      <c r="D118" s="44" t="s">
        <v>45</v>
      </c>
      <c r="E118" s="142">
        <f>16*24</f>
        <v>384</v>
      </c>
      <c r="F118" s="47"/>
      <c r="G118" s="47"/>
      <c r="H118" s="47"/>
      <c r="I118" s="47"/>
      <c r="J118" s="47"/>
      <c r="K118" s="47"/>
      <c r="L118" s="19"/>
      <c r="M118" s="20"/>
      <c r="N118" s="20"/>
      <c r="O118" s="20"/>
      <c r="P118" s="20"/>
      <c r="Q118" s="20"/>
    </row>
    <row r="119" spans="1:20" ht="22.5" x14ac:dyDescent="0.25">
      <c r="A119" s="11">
        <f>IF(COUNTBLANK(B119)=1," ",COUNTA(B$14:B119))</f>
        <v>48</v>
      </c>
      <c r="B119" s="15" t="s">
        <v>41</v>
      </c>
      <c r="C119" s="8" t="s">
        <v>254</v>
      </c>
      <c r="D119" s="44" t="s">
        <v>43</v>
      </c>
      <c r="E119" s="142">
        <v>139.19999999999999</v>
      </c>
      <c r="F119" s="47"/>
      <c r="G119" s="16"/>
      <c r="H119" s="17"/>
      <c r="I119" s="16"/>
      <c r="J119" s="18"/>
      <c r="K119" s="16"/>
      <c r="L119" s="19"/>
      <c r="M119" s="20"/>
      <c r="N119" s="20"/>
      <c r="O119" s="20"/>
      <c r="P119" s="20"/>
      <c r="Q119" s="20"/>
    </row>
    <row r="120" spans="1:20" ht="22.5" x14ac:dyDescent="0.25">
      <c r="A120" s="11" t="str">
        <f>IF(COUNTBLANK(B120)=1," ",COUNTA(B$14:B120))</f>
        <v xml:space="preserve"> </v>
      </c>
      <c r="B120" s="44"/>
      <c r="C120" s="8" t="s">
        <v>255</v>
      </c>
      <c r="D120" s="44"/>
      <c r="E120" s="142"/>
      <c r="F120" s="47"/>
      <c r="G120" s="47"/>
      <c r="H120" s="47"/>
      <c r="I120" s="47"/>
      <c r="J120" s="47"/>
      <c r="K120" s="47"/>
      <c r="L120" s="19"/>
      <c r="M120" s="20"/>
      <c r="N120" s="20"/>
      <c r="O120" s="20"/>
      <c r="P120" s="20"/>
      <c r="Q120" s="20"/>
    </row>
    <row r="121" spans="1:20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</row>
    <row r="122" spans="1:20" x14ac:dyDescent="0.25">
      <c r="A122" s="94" t="str">
        <f>IF(COUNTBLANK(L122)=1," ",COUNTA($L$15:L122))</f>
        <v xml:space="preserve"> </v>
      </c>
      <c r="B122" s="60"/>
      <c r="C122" s="95" t="s">
        <v>334</v>
      </c>
      <c r="D122" s="94"/>
      <c r="E122" s="94"/>
      <c r="F122" s="96"/>
      <c r="G122" s="97"/>
      <c r="H122" s="96"/>
      <c r="I122" s="96"/>
      <c r="J122" s="56"/>
      <c r="K122" s="56"/>
      <c r="L122" s="56"/>
      <c r="M122" s="2">
        <f>SUM(M14:M121)</f>
        <v>0</v>
      </c>
      <c r="N122" s="2">
        <f t="shared" ref="N122:Q122" si="1">SUM(N14:N121)</f>
        <v>0</v>
      </c>
      <c r="O122" s="2">
        <f t="shared" si="1"/>
        <v>0</v>
      </c>
      <c r="P122" s="2">
        <f t="shared" si="1"/>
        <v>0</v>
      </c>
      <c r="Q122" s="2">
        <f t="shared" si="1"/>
        <v>0</v>
      </c>
      <c r="R122" s="56"/>
      <c r="S122" s="56"/>
      <c r="T122" s="56"/>
    </row>
    <row r="123" spans="1:20" x14ac:dyDescent="0.25">
      <c r="A123" s="56"/>
      <c r="B123" s="56"/>
      <c r="C123" s="58"/>
      <c r="D123" s="60"/>
      <c r="E123" s="125"/>
      <c r="F123" s="96"/>
      <c r="G123" s="96"/>
      <c r="H123" s="52"/>
      <c r="I123" s="9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</row>
    <row r="124" spans="1:20" x14ac:dyDescent="0.25">
      <c r="A124" s="56"/>
      <c r="B124" s="52" t="s">
        <v>335</v>
      </c>
      <c r="C124" s="56"/>
      <c r="D124" s="55"/>
      <c r="E124" s="55"/>
      <c r="F124" s="52"/>
      <c r="G124" s="52"/>
      <c r="H124" s="52"/>
      <c r="I124" s="52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</row>
    <row r="125" spans="1:20" x14ac:dyDescent="0.25">
      <c r="A125" s="56"/>
      <c r="C125" s="55" t="s">
        <v>336</v>
      </c>
      <c r="D125" s="55"/>
      <c r="E125" s="55"/>
      <c r="F125" s="52"/>
      <c r="G125" s="52"/>
      <c r="H125" s="52"/>
      <c r="I125" s="52"/>
    </row>
    <row r="126" spans="1:20" x14ac:dyDescent="0.25">
      <c r="B126" s="100"/>
      <c r="C126" s="100"/>
      <c r="D126" s="100"/>
      <c r="E126" s="100"/>
      <c r="F126" s="52"/>
      <c r="G126" s="52"/>
      <c r="H126" s="52"/>
      <c r="I126" s="52"/>
    </row>
    <row r="127" spans="1:20" x14ac:dyDescent="0.25">
      <c r="B127" s="101" t="s">
        <v>408</v>
      </c>
      <c r="D127" s="63"/>
      <c r="E127" s="63"/>
      <c r="F127" s="98"/>
      <c r="G127" s="52"/>
      <c r="H127" s="98"/>
      <c r="I127" s="98"/>
    </row>
    <row r="128" spans="1:20" x14ac:dyDescent="0.25">
      <c r="B128" s="100"/>
      <c r="C128" s="100"/>
      <c r="D128" s="100"/>
      <c r="E128" s="100"/>
      <c r="F128" s="98"/>
      <c r="G128" s="102"/>
      <c r="H128" s="98"/>
      <c r="I128" s="98"/>
    </row>
    <row r="129" spans="2:9" x14ac:dyDescent="0.25">
      <c r="B129" s="23" t="s">
        <v>337</v>
      </c>
      <c r="D129" s="63"/>
      <c r="E129" s="63"/>
      <c r="F129" s="98"/>
      <c r="G129" s="52"/>
      <c r="H129" s="98"/>
      <c r="I129" s="98"/>
    </row>
    <row r="130" spans="2:9" x14ac:dyDescent="0.25">
      <c r="C130" s="99" t="s">
        <v>336</v>
      </c>
      <c r="D130" s="55"/>
      <c r="E130" s="55"/>
      <c r="G130" s="56"/>
    </row>
    <row r="131" spans="2:9" x14ac:dyDescent="0.25">
      <c r="B131" s="100"/>
      <c r="C131" s="23" t="s">
        <v>338</v>
      </c>
      <c r="D131" s="63"/>
      <c r="E131" s="63"/>
      <c r="G131" s="56"/>
    </row>
    <row r="132" spans="2:9" x14ac:dyDescent="0.25">
      <c r="G132" s="56"/>
    </row>
    <row r="133" spans="2:9" x14ac:dyDescent="0.25">
      <c r="G133" s="56"/>
    </row>
    <row r="134" spans="2:9" x14ac:dyDescent="0.25">
      <c r="G134" s="56"/>
    </row>
    <row r="135" spans="2:9" x14ac:dyDescent="0.25">
      <c r="G135" s="56"/>
    </row>
  </sheetData>
  <autoFilter ref="A13:ALV120" xr:uid="{00000000-0009-0000-0000-000007000000}"/>
  <mergeCells count="11"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" right="0" top="0.78740157480314965" bottom="0.39370078740157483" header="0.51181102362204722" footer="0.51181102362204722"/>
  <pageSetup paperSize="9" scale="97" firstPageNumber="0" orientation="landscape" r:id="rId1"/>
  <rowBreaks count="1" manualBreakCount="1">
    <brk id="112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48"/>
  <sheetViews>
    <sheetView topLeftCell="A13" zoomScaleNormal="100" zoomScaleSheetLayoutView="85" workbookViewId="0">
      <selection activeCell="R20" sqref="R20"/>
    </sheetView>
  </sheetViews>
  <sheetFormatPr defaultColWidth="9" defaultRowHeight="11.25" x14ac:dyDescent="0.25"/>
  <cols>
    <col min="1" max="1" width="2.85546875" style="23" bestFit="1" customWidth="1"/>
    <col min="2" max="2" width="4.7109375" style="23" bestFit="1" customWidth="1"/>
    <col min="3" max="3" width="46.140625" style="57" customWidth="1"/>
    <col min="4" max="4" width="5.85546875" style="23" bestFit="1" customWidth="1"/>
    <col min="5" max="5" width="8.28515625" style="23" customWidth="1"/>
    <col min="6" max="6" width="3.7109375" style="23" hidden="1" customWidth="1"/>
    <col min="7" max="11" width="6.140625" style="23" customWidth="1"/>
    <col min="12" max="12" width="6" style="23" customWidth="1"/>
    <col min="13" max="14" width="7.85546875" style="23" customWidth="1"/>
    <col min="15" max="15" width="8.42578125" style="23" customWidth="1"/>
    <col min="16" max="16" width="7.85546875" style="23" customWidth="1"/>
    <col min="17" max="17" width="8.7109375" style="23" customWidth="1"/>
    <col min="18" max="18" width="17" style="23" customWidth="1"/>
    <col min="19" max="1019" width="8.5703125" style="23"/>
    <col min="1020" max="16384" width="9" style="23"/>
  </cols>
  <sheetData>
    <row r="1" spans="1:17" s="52" customFormat="1" x14ac:dyDescent="0.25">
      <c r="A1" s="248" t="s">
        <v>23</v>
      </c>
      <c r="B1" s="248"/>
      <c r="C1" s="248"/>
      <c r="D1" s="248"/>
      <c r="E1" s="248"/>
      <c r="F1" s="248"/>
      <c r="G1" s="248"/>
      <c r="H1" s="52">
        <v>7</v>
      </c>
    </row>
    <row r="2" spans="1:17" s="56" customFormat="1" x14ac:dyDescent="0.25">
      <c r="A2" s="53"/>
      <c r="B2" s="52"/>
      <c r="C2" s="54" t="s">
        <v>119</v>
      </c>
      <c r="D2" s="52"/>
      <c r="E2" s="52"/>
      <c r="F2" s="52"/>
      <c r="G2" s="52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57" t="str">
        <f>KPDV!A3</f>
        <v>Būves nosaukums: Daudzdzīvokļu dzīvojamās mājas fasādes vienkāršotā atjaunošana</v>
      </c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60"/>
      <c r="N3" s="60"/>
      <c r="O3" s="60"/>
      <c r="P3" s="60"/>
      <c r="Q3" s="55"/>
    </row>
    <row r="4" spans="1:17" x14ac:dyDescent="0.25">
      <c r="A4" s="57" t="str">
        <f>KPDV!A4</f>
        <v>Objekta nosaukums: fasādes vienkāršotā atjaunošana</v>
      </c>
      <c r="B4" s="61"/>
      <c r="C4" s="62"/>
      <c r="D4" s="61"/>
      <c r="E4" s="61"/>
      <c r="F4" s="61"/>
      <c r="G4" s="61"/>
      <c r="H4" s="61"/>
      <c r="I4" s="63"/>
      <c r="J4" s="63"/>
      <c r="K4" s="60"/>
      <c r="L4" s="60"/>
      <c r="M4" s="60"/>
      <c r="N4" s="60"/>
      <c r="O4" s="60"/>
      <c r="P4" s="60"/>
      <c r="Q4" s="55"/>
    </row>
    <row r="5" spans="1:17" x14ac:dyDescent="0.25">
      <c r="A5" s="23" t="str">
        <f>KPDV!A5</f>
        <v>Objekta adrese: Tisē iela 75 Liepājā</v>
      </c>
      <c r="B5" s="63"/>
      <c r="D5" s="63"/>
      <c r="E5" s="61"/>
      <c r="F5" s="61"/>
      <c r="G5" s="63"/>
      <c r="H5" s="63"/>
      <c r="I5" s="63"/>
      <c r="J5" s="63"/>
      <c r="K5" s="60"/>
      <c r="L5" s="60"/>
      <c r="M5" s="60"/>
      <c r="N5" s="60"/>
      <c r="O5" s="60"/>
      <c r="P5" s="60"/>
      <c r="Q5" s="55"/>
    </row>
    <row r="6" spans="1:17" x14ac:dyDescent="0.25">
      <c r="A6" s="23" t="str">
        <f>KPDV!A6</f>
        <v>Pasūtījuma Nr.EA-08-16</v>
      </c>
      <c r="B6" s="63"/>
      <c r="D6" s="63"/>
      <c r="E6" s="63"/>
      <c r="F6" s="63"/>
      <c r="G6" s="63"/>
      <c r="H6" s="63"/>
      <c r="I6" s="63"/>
      <c r="J6" s="63"/>
      <c r="K6" s="60"/>
      <c r="L6" s="60"/>
      <c r="M6" s="60"/>
      <c r="N6" s="60"/>
      <c r="O6" s="60"/>
      <c r="P6" s="60"/>
      <c r="Q6" s="55"/>
    </row>
    <row r="7" spans="1:17" x14ac:dyDescent="0.25">
      <c r="A7" s="23" t="str">
        <f>KPDV!A7</f>
        <v>Pasūtītājs: SIA "Liepājas namu apsaimniekotājs"</v>
      </c>
      <c r="B7" s="63"/>
      <c r="D7" s="63"/>
      <c r="E7" s="63"/>
      <c r="F7" s="63"/>
      <c r="G7" s="63"/>
      <c r="H7" s="63"/>
      <c r="I7" s="63"/>
      <c r="J7" s="63"/>
      <c r="K7" s="60"/>
      <c r="L7" s="60"/>
      <c r="M7" s="60"/>
      <c r="N7" s="60"/>
      <c r="O7" s="60"/>
      <c r="P7" s="60"/>
      <c r="Q7" s="55"/>
    </row>
    <row r="8" spans="1:17" x14ac:dyDescent="0.25">
      <c r="A8" s="256" t="s">
        <v>409</v>
      </c>
      <c r="B8" s="256"/>
      <c r="C8" s="256"/>
      <c r="D8" s="256"/>
      <c r="E8" s="55" t="s">
        <v>360</v>
      </c>
      <c r="F8" s="55"/>
      <c r="G8" s="257" t="s">
        <v>25</v>
      </c>
      <c r="H8" s="257"/>
      <c r="I8" s="257"/>
      <c r="J8" s="257"/>
      <c r="K8" s="56"/>
      <c r="L8" s="56"/>
      <c r="M8" s="56"/>
      <c r="N8" s="56" t="s">
        <v>72</v>
      </c>
      <c r="O8" s="56"/>
      <c r="P8" s="64">
        <f>Q35</f>
        <v>0</v>
      </c>
      <c r="Q8" s="65" t="s">
        <v>73</v>
      </c>
    </row>
    <row r="9" spans="1:17" x14ac:dyDescent="0.25">
      <c r="A9" s="53"/>
      <c r="B9" s="55"/>
      <c r="C9" s="53"/>
      <c r="D9" s="55"/>
      <c r="E9" s="55"/>
      <c r="F9" s="55"/>
      <c r="G9" s="55"/>
      <c r="H9" s="55"/>
      <c r="I9" s="55"/>
      <c r="J9" s="55"/>
      <c r="K9" s="55"/>
      <c r="L9" s="55"/>
      <c r="M9" s="55"/>
      <c r="N9" s="258" t="s">
        <v>408</v>
      </c>
      <c r="O9" s="258"/>
      <c r="P9" s="258"/>
      <c r="Q9" s="258"/>
    </row>
    <row r="10" spans="1:17" x14ac:dyDescent="0.25">
      <c r="A10" s="259" t="s">
        <v>27</v>
      </c>
      <c r="B10" s="252" t="s">
        <v>28</v>
      </c>
      <c r="C10" s="267" t="s">
        <v>29</v>
      </c>
      <c r="D10" s="254" t="s">
        <v>30</v>
      </c>
      <c r="E10" s="252" t="s">
        <v>31</v>
      </c>
      <c r="F10" s="130"/>
      <c r="G10" s="255" t="s">
        <v>32</v>
      </c>
      <c r="H10" s="255"/>
      <c r="I10" s="255"/>
      <c r="J10" s="255"/>
      <c r="K10" s="255"/>
      <c r="L10" s="255"/>
      <c r="M10" s="255" t="s">
        <v>33</v>
      </c>
      <c r="N10" s="255"/>
      <c r="O10" s="255"/>
      <c r="P10" s="255"/>
      <c r="Q10" s="255"/>
    </row>
    <row r="11" spans="1:17" ht="67.5" x14ac:dyDescent="0.25">
      <c r="A11" s="259"/>
      <c r="B11" s="252"/>
      <c r="C11" s="267"/>
      <c r="D11" s="254"/>
      <c r="E11" s="252"/>
      <c r="F11" s="67"/>
      <c r="G11" s="68" t="s">
        <v>34</v>
      </c>
      <c r="H11" s="69" t="s">
        <v>346</v>
      </c>
      <c r="I11" s="69" t="s">
        <v>35</v>
      </c>
      <c r="J11" s="69" t="s">
        <v>36</v>
      </c>
      <c r="K11" s="69" t="s">
        <v>37</v>
      </c>
      <c r="L11" s="70" t="s">
        <v>38</v>
      </c>
      <c r="M11" s="68" t="s">
        <v>39</v>
      </c>
      <c r="N11" s="69" t="s">
        <v>35</v>
      </c>
      <c r="O11" s="69" t="s">
        <v>36</v>
      </c>
      <c r="P11" s="69" t="s">
        <v>37</v>
      </c>
      <c r="Q11" s="70" t="s">
        <v>40</v>
      </c>
    </row>
    <row r="12" spans="1:17" x14ac:dyDescent="0.25">
      <c r="A12" s="131">
        <v>1</v>
      </c>
      <c r="B12" s="44">
        <f>A12+1</f>
        <v>2</v>
      </c>
      <c r="C12" s="132">
        <f>B12+1</f>
        <v>3</v>
      </c>
      <c r="D12" s="44">
        <f>C12+1</f>
        <v>4</v>
      </c>
      <c r="E12" s="44">
        <f>D12+1</f>
        <v>5</v>
      </c>
      <c r="F12" s="44"/>
      <c r="G12" s="44">
        <f>E12+1</f>
        <v>6</v>
      </c>
      <c r="H12" s="44">
        <f t="shared" ref="H12:Q12" si="0">G12+1</f>
        <v>7</v>
      </c>
      <c r="I12" s="44">
        <f t="shared" si="0"/>
        <v>8</v>
      </c>
      <c r="J12" s="44">
        <f t="shared" si="0"/>
        <v>9</v>
      </c>
      <c r="K12" s="44">
        <f t="shared" si="0"/>
        <v>10</v>
      </c>
      <c r="L12" s="44">
        <f t="shared" si="0"/>
        <v>11</v>
      </c>
      <c r="M12" s="44">
        <f t="shared" si="0"/>
        <v>12</v>
      </c>
      <c r="N12" s="44">
        <f t="shared" si="0"/>
        <v>13</v>
      </c>
      <c r="O12" s="44">
        <f t="shared" si="0"/>
        <v>14</v>
      </c>
      <c r="P12" s="44">
        <f t="shared" si="0"/>
        <v>15</v>
      </c>
      <c r="Q12" s="44">
        <f t="shared" si="0"/>
        <v>16</v>
      </c>
    </row>
    <row r="13" spans="1:17" x14ac:dyDescent="0.25">
      <c r="A13" s="47"/>
      <c r="B13" s="133"/>
      <c r="C13" s="133" t="s">
        <v>369</v>
      </c>
      <c r="D13" s="133"/>
      <c r="E13" s="13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2.5" x14ac:dyDescent="0.25">
      <c r="A14" s="11" t="str">
        <f>IF(COUNTBLANK(H14)=1," ",COUNTA($H$14:H14))</f>
        <v xml:space="preserve"> </v>
      </c>
      <c r="B14" s="15" t="s">
        <v>41</v>
      </c>
      <c r="C14" s="8" t="s">
        <v>256</v>
      </c>
      <c r="D14" s="44" t="s">
        <v>92</v>
      </c>
      <c r="E14" s="11">
        <f>2.2*8</f>
        <v>17.600000000000001</v>
      </c>
      <c r="F14" s="47"/>
      <c r="G14" s="16"/>
      <c r="H14" s="17"/>
      <c r="I14" s="18"/>
      <c r="J14" s="18"/>
      <c r="K14" s="16"/>
      <c r="L14" s="19"/>
      <c r="M14" s="20"/>
      <c r="N14" s="20"/>
      <c r="O14" s="20"/>
      <c r="P14" s="20"/>
      <c r="Q14" s="20"/>
    </row>
    <row r="15" spans="1:17" ht="22.5" x14ac:dyDescent="0.25">
      <c r="A15" s="11" t="str">
        <f>IF(COUNTBLANK(H15)=1," ",COUNTA($H$14:H15))</f>
        <v xml:space="preserve"> </v>
      </c>
      <c r="B15" s="15" t="s">
        <v>41</v>
      </c>
      <c r="C15" s="8" t="s">
        <v>257</v>
      </c>
      <c r="D15" s="44" t="s">
        <v>92</v>
      </c>
      <c r="E15" s="11">
        <f>0.7*8</f>
        <v>5.6</v>
      </c>
      <c r="F15" s="47"/>
      <c r="G15" s="16"/>
      <c r="H15" s="17"/>
      <c r="I15" s="18"/>
      <c r="J15" s="18"/>
      <c r="K15" s="16"/>
      <c r="L15" s="19"/>
      <c r="M15" s="20"/>
      <c r="N15" s="20"/>
      <c r="O15" s="20"/>
      <c r="P15" s="20"/>
      <c r="Q15" s="20"/>
    </row>
    <row r="16" spans="1:17" x14ac:dyDescent="0.25">
      <c r="A16" s="11" t="str">
        <f>IF(COUNTBLANK(H16)=1," ",COUNTA($H$14:H16))</f>
        <v xml:space="preserve"> </v>
      </c>
      <c r="B16" s="15" t="s">
        <v>41</v>
      </c>
      <c r="C16" s="8" t="s">
        <v>258</v>
      </c>
      <c r="D16" s="44" t="s">
        <v>92</v>
      </c>
      <c r="E16" s="11">
        <v>5.6</v>
      </c>
      <c r="F16" s="47"/>
      <c r="G16" s="16"/>
      <c r="H16" s="17"/>
      <c r="I16" s="16"/>
      <c r="J16" s="21"/>
      <c r="K16" s="21"/>
      <c r="L16" s="19"/>
      <c r="M16" s="20"/>
      <c r="N16" s="20"/>
      <c r="O16" s="20"/>
      <c r="P16" s="20"/>
      <c r="Q16" s="20"/>
    </row>
    <row r="17" spans="1:18" s="12" customFormat="1" ht="22.5" x14ac:dyDescent="0.25">
      <c r="A17" s="11" t="str">
        <f>IF(COUNTBLANK(H17)=1," ",COUNTA($H$14:H17))</f>
        <v xml:space="preserve"> </v>
      </c>
      <c r="B17" s="15" t="s">
        <v>41</v>
      </c>
      <c r="C17" s="8" t="s">
        <v>259</v>
      </c>
      <c r="D17" s="44" t="s">
        <v>47</v>
      </c>
      <c r="E17" s="11">
        <v>22</v>
      </c>
      <c r="F17" s="16"/>
      <c r="G17" s="16"/>
      <c r="H17" s="17"/>
      <c r="I17" s="16"/>
      <c r="J17" s="18"/>
      <c r="K17" s="16"/>
      <c r="L17" s="19"/>
      <c r="M17" s="20"/>
      <c r="N17" s="20"/>
      <c r="O17" s="20"/>
      <c r="P17" s="20"/>
      <c r="Q17" s="20"/>
    </row>
    <row r="18" spans="1:18" s="12" customFormat="1" x14ac:dyDescent="0.25">
      <c r="A18" s="11" t="str">
        <f>IF(COUNTBLANK(H18)=1," ",COUNTA($H$14:H18))</f>
        <v xml:space="preserve"> </v>
      </c>
      <c r="B18" s="25"/>
      <c r="C18" s="134" t="s">
        <v>344</v>
      </c>
      <c r="D18" s="16" t="s">
        <v>92</v>
      </c>
      <c r="E18" s="16">
        <f>ROUND(E17*F18,2)</f>
        <v>7.26</v>
      </c>
      <c r="F18" s="16">
        <v>0.33</v>
      </c>
      <c r="G18" s="16"/>
      <c r="H18" s="16"/>
      <c r="I18" s="16"/>
      <c r="J18" s="16"/>
      <c r="K18" s="16"/>
      <c r="L18" s="19"/>
      <c r="M18" s="20"/>
      <c r="N18" s="20"/>
      <c r="O18" s="20"/>
      <c r="P18" s="20"/>
      <c r="Q18" s="20"/>
    </row>
    <row r="19" spans="1:18" s="13" customFormat="1" x14ac:dyDescent="0.25">
      <c r="A19" s="11" t="str">
        <f>IF(COUNTBLANK(H19)=1," ",COUNTA($H$14:H19))</f>
        <v xml:space="preserve"> </v>
      </c>
      <c r="B19" s="25"/>
      <c r="C19" s="135" t="s">
        <v>345</v>
      </c>
      <c r="D19" s="136" t="s">
        <v>55</v>
      </c>
      <c r="E19" s="21">
        <f>ROUNDUP(E17*F19,0)</f>
        <v>1</v>
      </c>
      <c r="F19" s="18">
        <v>2.1999999999999999E-2</v>
      </c>
      <c r="G19" s="18"/>
      <c r="H19" s="18"/>
      <c r="I19" s="18"/>
      <c r="J19" s="18"/>
      <c r="K19" s="18"/>
      <c r="L19" s="19"/>
      <c r="M19" s="20"/>
      <c r="N19" s="20"/>
      <c r="O19" s="20"/>
      <c r="P19" s="20"/>
      <c r="Q19" s="20"/>
    </row>
    <row r="20" spans="1:18" ht="22.5" x14ac:dyDescent="0.25">
      <c r="A20" s="11" t="str">
        <f>IF(COUNTBLANK(H20)=1," ",COUNTA($H$14:H20))</f>
        <v xml:space="preserve"> </v>
      </c>
      <c r="B20" s="15" t="s">
        <v>41</v>
      </c>
      <c r="C20" s="8" t="s">
        <v>462</v>
      </c>
      <c r="D20" s="44" t="s">
        <v>47</v>
      </c>
      <c r="E20" s="11">
        <v>1.2</v>
      </c>
      <c r="F20" s="47"/>
      <c r="G20" s="16"/>
      <c r="H20" s="17"/>
      <c r="I20" s="16"/>
      <c r="J20" s="21"/>
      <c r="K20" s="21"/>
      <c r="L20" s="19"/>
      <c r="M20" s="20"/>
      <c r="N20" s="20"/>
      <c r="O20" s="20"/>
      <c r="P20" s="20"/>
      <c r="Q20" s="20"/>
      <c r="R20" s="61"/>
    </row>
    <row r="21" spans="1:18" ht="22.5" x14ac:dyDescent="0.25">
      <c r="A21" s="11" t="str">
        <f>IF(COUNTBLANK(H21)=1," ",COUNTA($H$14:H21))</f>
        <v xml:space="preserve"> </v>
      </c>
      <c r="B21" s="15" t="s">
        <v>41</v>
      </c>
      <c r="C21" s="8" t="s">
        <v>463</v>
      </c>
      <c r="D21" s="44" t="s">
        <v>47</v>
      </c>
      <c r="E21" s="11">
        <v>70</v>
      </c>
      <c r="F21" s="47"/>
      <c r="G21" s="16"/>
      <c r="H21" s="17"/>
      <c r="I21" s="16"/>
      <c r="J21" s="21"/>
      <c r="K21" s="21"/>
      <c r="L21" s="19"/>
      <c r="M21" s="20"/>
      <c r="N21" s="20"/>
      <c r="O21" s="20"/>
      <c r="P21" s="20"/>
      <c r="Q21" s="20"/>
    </row>
    <row r="22" spans="1:18" ht="22.5" x14ac:dyDescent="0.25">
      <c r="A22" s="11" t="str">
        <f>IF(COUNTBLANK(H22)=1," ",COUNTA($H$14:H22))</f>
        <v xml:space="preserve"> </v>
      </c>
      <c r="B22" s="44"/>
      <c r="C22" s="8" t="s">
        <v>260</v>
      </c>
      <c r="D22" s="44"/>
      <c r="E22" s="11"/>
      <c r="F22" s="47"/>
      <c r="G22" s="47"/>
      <c r="H22" s="47"/>
      <c r="I22" s="47"/>
      <c r="J22" s="47"/>
      <c r="K22" s="47"/>
      <c r="L22" s="19"/>
      <c r="M22" s="20"/>
      <c r="N22" s="20"/>
      <c r="O22" s="20"/>
      <c r="P22" s="20"/>
      <c r="Q22" s="20"/>
    </row>
    <row r="23" spans="1:18" x14ac:dyDescent="0.25">
      <c r="A23" s="11" t="str">
        <f>IF(COUNTBLANK(H23)=1," ",COUNTA($H$14:H23))</f>
        <v xml:space="preserve"> </v>
      </c>
      <c r="B23" s="15" t="s">
        <v>41</v>
      </c>
      <c r="C23" s="8" t="s">
        <v>261</v>
      </c>
      <c r="D23" s="44" t="s">
        <v>43</v>
      </c>
      <c r="E23" s="11">
        <v>27.2</v>
      </c>
      <c r="F23" s="47"/>
      <c r="G23" s="16"/>
      <c r="H23" s="17"/>
      <c r="I23" s="16"/>
      <c r="J23" s="18"/>
      <c r="K23" s="16"/>
      <c r="L23" s="19"/>
      <c r="M23" s="20"/>
      <c r="N23" s="20"/>
      <c r="O23" s="20"/>
      <c r="P23" s="20"/>
      <c r="Q23" s="20"/>
    </row>
    <row r="24" spans="1:18" ht="22.5" x14ac:dyDescent="0.25">
      <c r="A24" s="11" t="str">
        <f>IF(COUNTBLANK(H24)=1," ",COUNTA($H$14:H24))</f>
        <v xml:space="preserve"> </v>
      </c>
      <c r="B24" s="15" t="s">
        <v>41</v>
      </c>
      <c r="C24" s="8" t="s">
        <v>262</v>
      </c>
      <c r="D24" s="44" t="s">
        <v>43</v>
      </c>
      <c r="E24" s="11">
        <v>27.2</v>
      </c>
      <c r="F24" s="47"/>
      <c r="G24" s="16"/>
      <c r="H24" s="17"/>
      <c r="I24" s="16"/>
      <c r="J24" s="18"/>
      <c r="K24" s="16"/>
      <c r="L24" s="19"/>
      <c r="M24" s="20"/>
      <c r="N24" s="20"/>
      <c r="O24" s="20"/>
      <c r="P24" s="20"/>
      <c r="Q24" s="20"/>
    </row>
    <row r="25" spans="1:18" x14ac:dyDescent="0.25">
      <c r="A25" s="11" t="str">
        <f>IF(COUNTBLANK(H25)=1," ",COUNTA($H$14:H25))</f>
        <v xml:space="preserve"> </v>
      </c>
      <c r="B25" s="15" t="s">
        <v>41</v>
      </c>
      <c r="C25" s="8" t="s">
        <v>263</v>
      </c>
      <c r="D25" s="44" t="s">
        <v>43</v>
      </c>
      <c r="E25" s="137">
        <v>27.2</v>
      </c>
      <c r="F25" s="47"/>
      <c r="G25" s="16"/>
      <c r="H25" s="17"/>
      <c r="I25" s="16"/>
      <c r="J25" s="18"/>
      <c r="K25" s="16"/>
      <c r="L25" s="19"/>
      <c r="M25" s="20"/>
      <c r="N25" s="20"/>
      <c r="O25" s="20"/>
      <c r="P25" s="20"/>
      <c r="Q25" s="20"/>
    </row>
    <row r="26" spans="1:18" ht="22.5" x14ac:dyDescent="0.25">
      <c r="A26" s="11" t="str">
        <f>IF(COUNTBLANK(H26)=1," ",COUNTA($H$14:H26))</f>
        <v xml:space="preserve"> </v>
      </c>
      <c r="B26" s="15" t="s">
        <v>41</v>
      </c>
      <c r="C26" s="8" t="s">
        <v>264</v>
      </c>
      <c r="D26" s="44" t="s">
        <v>43</v>
      </c>
      <c r="E26" s="137">
        <v>27.2</v>
      </c>
      <c r="F26" s="47"/>
      <c r="G26" s="16"/>
      <c r="H26" s="17"/>
      <c r="I26" s="16"/>
      <c r="J26" s="18"/>
      <c r="K26" s="16"/>
      <c r="L26" s="19"/>
      <c r="M26" s="20"/>
      <c r="N26" s="20"/>
      <c r="O26" s="20"/>
      <c r="P26" s="20"/>
      <c r="Q26" s="20"/>
    </row>
    <row r="27" spans="1:18" x14ac:dyDescent="0.25">
      <c r="A27" s="11" t="str">
        <f>IF(COUNTBLANK(H27)=1," ",COUNTA($H$14:H27))</f>
        <v xml:space="preserve"> </v>
      </c>
      <c r="B27" s="44"/>
      <c r="C27" s="8" t="s">
        <v>265</v>
      </c>
      <c r="D27" s="44"/>
      <c r="E27" s="138"/>
      <c r="F27" s="47"/>
      <c r="G27" s="47"/>
      <c r="H27" s="47"/>
      <c r="I27" s="47"/>
      <c r="J27" s="47"/>
      <c r="K27" s="47"/>
      <c r="L27" s="19"/>
      <c r="M27" s="20"/>
      <c r="N27" s="20"/>
      <c r="O27" s="20"/>
      <c r="P27" s="20"/>
      <c r="Q27" s="20"/>
    </row>
    <row r="28" spans="1:18" ht="22.5" x14ac:dyDescent="0.25">
      <c r="A28" s="11" t="str">
        <f>IF(COUNTBLANK(H28)=1," ",COUNTA($H$14:H28))</f>
        <v xml:space="preserve"> </v>
      </c>
      <c r="B28" s="15" t="s">
        <v>41</v>
      </c>
      <c r="C28" s="8" t="s">
        <v>464</v>
      </c>
      <c r="D28" s="11" t="s">
        <v>43</v>
      </c>
      <c r="E28" s="137">
        <v>27.2</v>
      </c>
      <c r="F28" s="47"/>
      <c r="G28" s="16"/>
      <c r="H28" s="17"/>
      <c r="I28" s="16"/>
      <c r="J28" s="18"/>
      <c r="K28" s="16"/>
      <c r="L28" s="19"/>
      <c r="M28" s="20"/>
      <c r="N28" s="20"/>
      <c r="O28" s="20"/>
      <c r="P28" s="20"/>
      <c r="Q28" s="20"/>
    </row>
    <row r="29" spans="1:18" ht="22.5" x14ac:dyDescent="0.25">
      <c r="A29" s="11" t="str">
        <f>IF(COUNTBLANK(H29)=1," ",COUNTA($H$14:H29))</f>
        <v xml:space="preserve"> </v>
      </c>
      <c r="B29" s="15" t="s">
        <v>41</v>
      </c>
      <c r="C29" s="8" t="s">
        <v>465</v>
      </c>
      <c r="D29" s="11" t="s">
        <v>47</v>
      </c>
      <c r="E29" s="137">
        <f>0.15*27.2</f>
        <v>4.08</v>
      </c>
      <c r="F29" s="47"/>
      <c r="G29" s="16"/>
      <c r="H29" s="17"/>
      <c r="I29" s="16"/>
      <c r="J29" s="18"/>
      <c r="K29" s="16"/>
      <c r="L29" s="19"/>
      <c r="M29" s="20"/>
      <c r="N29" s="20"/>
      <c r="O29" s="20"/>
      <c r="P29" s="20"/>
      <c r="Q29" s="20"/>
      <c r="R29" s="273"/>
    </row>
    <row r="30" spans="1:18" x14ac:dyDescent="0.25">
      <c r="A30" s="11" t="str">
        <f>IF(COUNTBLANK(H30)=1," ",COUNTA($H$14:H30))</f>
        <v xml:space="preserve"> </v>
      </c>
      <c r="B30" s="15" t="s">
        <v>41</v>
      </c>
      <c r="C30" s="8" t="s">
        <v>466</v>
      </c>
      <c r="D30" s="11" t="s">
        <v>43</v>
      </c>
      <c r="E30" s="137">
        <v>27.2</v>
      </c>
      <c r="F30" s="47"/>
      <c r="G30" s="16"/>
      <c r="H30" s="17"/>
      <c r="I30" s="16"/>
      <c r="J30" s="18"/>
      <c r="K30" s="16"/>
      <c r="L30" s="19"/>
      <c r="M30" s="20"/>
      <c r="N30" s="20"/>
      <c r="O30" s="20"/>
      <c r="P30" s="20"/>
      <c r="Q30" s="20"/>
      <c r="R30" s="273"/>
    </row>
    <row r="31" spans="1:18" x14ac:dyDescent="0.25">
      <c r="A31" s="11" t="str">
        <f>IF(COUNTBLANK(H31)=1," ",COUNTA($H$14:H31))</f>
        <v xml:space="preserve"> </v>
      </c>
      <c r="B31" s="15" t="s">
        <v>41</v>
      </c>
      <c r="C31" s="8" t="s">
        <v>266</v>
      </c>
      <c r="D31" s="11" t="s">
        <v>47</v>
      </c>
      <c r="E31" s="137">
        <f>27.2*0.7</f>
        <v>19.04</v>
      </c>
      <c r="F31" s="47"/>
      <c r="G31" s="16"/>
      <c r="H31" s="17"/>
      <c r="I31" s="16"/>
      <c r="J31" s="18"/>
      <c r="K31" s="16"/>
      <c r="L31" s="19"/>
      <c r="M31" s="20"/>
      <c r="N31" s="20"/>
      <c r="O31" s="20"/>
      <c r="P31" s="20"/>
      <c r="Q31" s="20"/>
      <c r="R31" s="273"/>
    </row>
    <row r="32" spans="1:18" x14ac:dyDescent="0.25">
      <c r="A32" s="11" t="str">
        <f>IF(COUNTBLANK(H32)=1," ",COUNTA($H$14:H32))</f>
        <v xml:space="preserve"> </v>
      </c>
      <c r="B32" s="15" t="s">
        <v>41</v>
      </c>
      <c r="C32" s="8" t="s">
        <v>267</v>
      </c>
      <c r="D32" s="11" t="s">
        <v>43</v>
      </c>
      <c r="E32" s="137">
        <v>27.2</v>
      </c>
      <c r="F32" s="47"/>
      <c r="G32" s="16"/>
      <c r="H32" s="17"/>
      <c r="I32" s="16"/>
      <c r="J32" s="18"/>
      <c r="K32" s="16"/>
      <c r="L32" s="19"/>
      <c r="M32" s="20"/>
      <c r="N32" s="20"/>
      <c r="O32" s="20"/>
      <c r="P32" s="20"/>
      <c r="Q32" s="20"/>
      <c r="R32" s="273"/>
    </row>
    <row r="33" spans="1:18" x14ac:dyDescent="0.25">
      <c r="A33" s="11" t="str">
        <f>IF(COUNTBLANK(H33)=1," ",COUNTA($H$14:H33))</f>
        <v xml:space="preserve"> </v>
      </c>
      <c r="B33" s="15" t="s">
        <v>41</v>
      </c>
      <c r="C33" s="8" t="s">
        <v>268</v>
      </c>
      <c r="D33" s="11" t="s">
        <v>43</v>
      </c>
      <c r="E33" s="137">
        <v>27.2</v>
      </c>
      <c r="F33" s="47"/>
      <c r="G33" s="16"/>
      <c r="H33" s="17"/>
      <c r="I33" s="16"/>
      <c r="J33" s="18"/>
      <c r="K33" s="16"/>
      <c r="L33" s="19"/>
      <c r="M33" s="20"/>
      <c r="N33" s="20"/>
      <c r="O33" s="20"/>
      <c r="P33" s="20"/>
      <c r="Q33" s="20"/>
      <c r="R33" s="112"/>
    </row>
    <row r="35" spans="1:18" x14ac:dyDescent="0.25">
      <c r="A35" s="94" t="str">
        <f>IF(COUNTBLANK(L35)=1," ",COUNTA($L$15:L35))</f>
        <v xml:space="preserve"> </v>
      </c>
      <c r="B35" s="60"/>
      <c r="C35" s="95" t="s">
        <v>334</v>
      </c>
      <c r="D35" s="94"/>
      <c r="E35" s="94"/>
      <c r="F35" s="96"/>
      <c r="G35" s="97"/>
      <c r="H35" s="96"/>
      <c r="I35" s="96"/>
      <c r="M35" s="2">
        <f>SUM(M14:M34)</f>
        <v>0</v>
      </c>
      <c r="N35" s="2">
        <f t="shared" ref="N35:Q35" si="1">SUM(N14:N34)</f>
        <v>0</v>
      </c>
      <c r="O35" s="2">
        <f t="shared" si="1"/>
        <v>0</v>
      </c>
      <c r="P35" s="2">
        <f t="shared" si="1"/>
        <v>0</v>
      </c>
      <c r="Q35" s="2">
        <f t="shared" si="1"/>
        <v>0</v>
      </c>
    </row>
    <row r="36" spans="1:18" x14ac:dyDescent="0.25">
      <c r="A36" s="56"/>
      <c r="B36" s="56"/>
      <c r="C36" s="58"/>
      <c r="D36" s="60"/>
      <c r="E36" s="245"/>
      <c r="F36" s="96"/>
      <c r="G36" s="96"/>
      <c r="H36" s="52"/>
      <c r="I36" s="96"/>
    </row>
    <row r="37" spans="1:18" x14ac:dyDescent="0.25">
      <c r="A37" s="56"/>
      <c r="B37" s="98" t="s">
        <v>335</v>
      </c>
      <c r="C37" s="23"/>
      <c r="D37" s="63"/>
      <c r="E37" s="63"/>
      <c r="F37" s="52"/>
      <c r="G37" s="52"/>
      <c r="H37" s="52"/>
      <c r="I37" s="52"/>
    </row>
    <row r="38" spans="1:18" x14ac:dyDescent="0.25">
      <c r="A38" s="56"/>
      <c r="C38" s="99" t="s">
        <v>336</v>
      </c>
      <c r="D38" s="55"/>
      <c r="E38" s="55"/>
      <c r="F38" s="52"/>
      <c r="G38" s="52"/>
      <c r="H38" s="52"/>
      <c r="I38" s="52"/>
    </row>
    <row r="39" spans="1:18" x14ac:dyDescent="0.25">
      <c r="B39" s="100"/>
      <c r="C39" s="100"/>
      <c r="D39" s="100"/>
      <c r="E39" s="100"/>
      <c r="F39" s="52"/>
      <c r="G39" s="52"/>
      <c r="H39" s="52"/>
      <c r="I39" s="52"/>
    </row>
    <row r="40" spans="1:18" x14ac:dyDescent="0.25">
      <c r="B40" s="101" t="s">
        <v>408</v>
      </c>
      <c r="C40" s="23"/>
      <c r="D40" s="63"/>
      <c r="E40" s="63"/>
      <c r="F40" s="98"/>
      <c r="G40" s="52"/>
      <c r="H40" s="98"/>
      <c r="I40" s="98"/>
    </row>
    <row r="41" spans="1:18" x14ac:dyDescent="0.25">
      <c r="B41" s="100"/>
      <c r="C41" s="100"/>
      <c r="D41" s="100"/>
      <c r="E41" s="100"/>
      <c r="F41" s="98"/>
      <c r="G41" s="102"/>
      <c r="H41" s="98"/>
      <c r="I41" s="98"/>
    </row>
    <row r="42" spans="1:18" x14ac:dyDescent="0.25">
      <c r="B42" s="23" t="s">
        <v>337</v>
      </c>
      <c r="C42" s="23"/>
      <c r="D42" s="63"/>
      <c r="E42" s="63"/>
      <c r="F42" s="98"/>
      <c r="G42" s="52"/>
      <c r="H42" s="98"/>
      <c r="I42" s="98"/>
    </row>
    <row r="43" spans="1:18" x14ac:dyDescent="0.25">
      <c r="C43" s="99" t="s">
        <v>336</v>
      </c>
      <c r="D43" s="55"/>
      <c r="E43" s="55"/>
      <c r="G43" s="56"/>
    </row>
    <row r="44" spans="1:18" x14ac:dyDescent="0.25">
      <c r="B44" s="100"/>
      <c r="C44" s="23" t="s">
        <v>338</v>
      </c>
      <c r="D44" s="63"/>
      <c r="E44" s="63"/>
      <c r="G44" s="56"/>
    </row>
    <row r="45" spans="1:18" x14ac:dyDescent="0.25">
      <c r="C45" s="23"/>
      <c r="G45" s="56"/>
    </row>
    <row r="46" spans="1:18" x14ac:dyDescent="0.25">
      <c r="C46" s="23"/>
      <c r="G46" s="56"/>
    </row>
    <row r="47" spans="1:18" x14ac:dyDescent="0.25">
      <c r="C47" s="23"/>
      <c r="G47" s="56"/>
    </row>
    <row r="48" spans="1:18" x14ac:dyDescent="0.25">
      <c r="C48" s="23"/>
      <c r="G48" s="56"/>
    </row>
  </sheetData>
  <autoFilter ref="A13:AME33" xr:uid="{00000000-0009-0000-0000-000008000000}"/>
  <mergeCells count="12">
    <mergeCell ref="R29:R32"/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" right="0" top="0.78740157480314965" bottom="0.39370078740157483" header="0.51181102362204722" footer="0.51181102362204722"/>
  <pageSetup paperSize="9" scale="90" firstPageNumber="0" orientation="landscape" r:id="rId1"/>
  <rowBreaks count="1" manualBreakCount="1">
    <brk id="3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10</vt:i4>
      </vt:variant>
      <vt:variant>
        <vt:lpstr>Diapazoni ar nosaukumiem</vt:lpstr>
      </vt:variant>
      <vt:variant>
        <vt:i4>21</vt:i4>
      </vt:variant>
    </vt:vector>
  </HeadingPairs>
  <TitlesOfParts>
    <vt:vector size="31" baseType="lpstr">
      <vt:lpstr>KPDV</vt:lpstr>
      <vt:lpstr>AR</vt:lpstr>
      <vt:lpstr>Logi</vt:lpstr>
      <vt:lpstr>apjomi</vt:lpstr>
      <vt:lpstr>pagrabs</vt:lpstr>
      <vt:lpstr>cokols</vt:lpstr>
      <vt:lpstr>BK</vt:lpstr>
      <vt:lpstr>jumts</vt:lpstr>
      <vt:lpstr>ieejas</vt:lpstr>
      <vt:lpstr>AVK</vt:lpstr>
      <vt:lpstr>AR!_FilterDatabase_0</vt:lpstr>
      <vt:lpstr>AR!_FiltraDatuBaze</vt:lpstr>
      <vt:lpstr>dat</vt:lpstr>
      <vt:lpstr>apjomi!Drukas_apgabals</vt:lpstr>
      <vt:lpstr>AR!Drukas_apgabals</vt:lpstr>
      <vt:lpstr>BK!Drukas_apgabals</vt:lpstr>
      <vt:lpstr>cokols!Drukas_apgabals</vt:lpstr>
      <vt:lpstr>ieejas!Drukas_apgabals</vt:lpstr>
      <vt:lpstr>jumts!Drukas_apgabals</vt:lpstr>
      <vt:lpstr>KPDV!Drukas_apgabals</vt:lpstr>
      <vt:lpstr>pagrabs!Drukas_apgabals</vt:lpstr>
      <vt:lpstr>cokols!Excel_BuiltIn__FilterDatabase</vt:lpstr>
      <vt:lpstr>pagrabs!Excel_BuiltIn__FilterDatabase</vt:lpstr>
      <vt:lpstr>AR!Print_Area_0</vt:lpstr>
      <vt:lpstr>AVK!Print_Area_0</vt:lpstr>
      <vt:lpstr>BK!Print_Area_0</vt:lpstr>
      <vt:lpstr>cokols!Print_Area_0</vt:lpstr>
      <vt:lpstr>ieejas!Print_Area_0</vt:lpstr>
      <vt:lpstr>jumts!Print_Area_0</vt:lpstr>
      <vt:lpstr>KPDV!Print_Area_0</vt:lpstr>
      <vt:lpstr>pagrabs!Print_Area_0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Sandijs-I7</dc:creator>
  <cp:lastModifiedBy>Prezenta</cp:lastModifiedBy>
  <cp:revision>2</cp:revision>
  <cp:lastPrinted>2018-12-21T20:13:02Z</cp:lastPrinted>
  <dcterms:created xsi:type="dcterms:W3CDTF">2017-01-03T16:46:03Z</dcterms:created>
  <dcterms:modified xsi:type="dcterms:W3CDTF">2019-02-12T14:57:48Z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