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36_Turaidas_8A\"/>
    </mc:Choice>
  </mc:AlternateContent>
  <xr:revisionPtr revIDLastSave="0" documentId="13_ncr:1_{89F27C01-1B01-419F-A14A-17CB824291B4}" xr6:coauthVersionLast="40" xr6:coauthVersionMax="40" xr10:uidLastSave="{00000000-0000-0000-0000-000000000000}"/>
  <bookViews>
    <workbookView xWindow="0" yWindow="0" windowWidth="20070" windowHeight="11880" tabRatio="683" activeTab="2" xr2:uid="{00000000-000D-0000-FFFF-FFFF00000000}"/>
  </bookViews>
  <sheets>
    <sheet name="KOP" sheetId="1" r:id="rId1"/>
    <sheet name="kpdv" sheetId="2" r:id="rId2"/>
    <sheet name="AR" sheetId="3" r:id="rId3"/>
    <sheet name="logi" sheetId="4" r:id="rId4"/>
    <sheet name="apjoms" sheetId="5" state="hidden" r:id="rId5"/>
    <sheet name="Cokol" sheetId="6" r:id="rId6"/>
    <sheet name="Jumts" sheetId="7" r:id="rId7"/>
    <sheet name="pagr" sheetId="8" r:id="rId8"/>
    <sheet name="balkoni" sheetId="9" r:id="rId9"/>
    <sheet name="ieejas" sheetId="10" r:id="rId10"/>
    <sheet name="AVK" sheetId="11" r:id="rId11"/>
    <sheet name="zibens" sheetId="12" r:id="rId12"/>
    <sheet name="gaze" sheetId="13" r:id="rId13"/>
  </sheets>
  <definedNames>
    <definedName name="_xlnm._FilterDatabase" localSheetId="2">AR!$A$13:$WVE$64</definedName>
    <definedName name="_xlnm._FilterDatabase" localSheetId="8" hidden="1">balkoni!$A$12:$Q$67</definedName>
    <definedName name="_xlnm._FilterDatabase" localSheetId="5">Cokol!$A$12:$XER$60</definedName>
    <definedName name="_xlnm._FilterDatabase" localSheetId="12" hidden="1">gaze!$A$12:$R$12</definedName>
    <definedName name="_xlnm._FilterDatabase" localSheetId="9" hidden="1">ieejas!$A$12:$Q$49</definedName>
    <definedName name="_xlnm._FilterDatabase" localSheetId="6" hidden="1">Jumts!$A$12:$ID$68</definedName>
    <definedName name="_xlnm._FilterDatabase" localSheetId="3" hidden="1">logi!$12:$12</definedName>
    <definedName name="_xlnm._FilterDatabase" localSheetId="11" hidden="1">zibens!$A$12:$Q$12</definedName>
    <definedName name="dat">kpdv!$B$31</definedName>
    <definedName name="_xlnm.Print_Area" localSheetId="4">apjoms!$A$1:$V$39</definedName>
    <definedName name="_xlnm.Print_Area" localSheetId="2">AR!$A$1:$Q$76</definedName>
    <definedName name="_xlnm.Print_Area" localSheetId="10">AVK!$A$1:$Q$216</definedName>
    <definedName name="_xlnm.Print_Area" localSheetId="8">balkoni!$A$1:$Q$74</definedName>
    <definedName name="_xlnm.Print_Area" localSheetId="5">Cokol!$A$1:$Q$61</definedName>
    <definedName name="_xlnm.Print_Area" localSheetId="12">gaze!$A$1:$R$28</definedName>
    <definedName name="_xlnm.Print_Area" localSheetId="9">ieejas!$A$1:$Q$56</definedName>
    <definedName name="_xlnm.Print_Area" localSheetId="1">kpdv!$A$1:$H$36</definedName>
    <definedName name="_xlnm.Print_Area" localSheetId="3">logi!$A$1:$T$68</definedName>
    <definedName name="_xlnm.Print_Area" localSheetId="11">zibens!$A$1:$Q$51</definedName>
    <definedName name="okei">kpdv!$C$28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D20" i="2"/>
  <c r="E19" i="2"/>
  <c r="F19" i="2"/>
  <c r="G19" i="2"/>
  <c r="H19" i="2"/>
  <c r="D19" i="2"/>
  <c r="E37" i="9"/>
  <c r="E33" i="9"/>
  <c r="E34" i="9"/>
  <c r="E35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15" i="9"/>
  <c r="A16" i="9"/>
  <c r="E52" i="7"/>
  <c r="E55" i="7"/>
  <c r="E56" i="7"/>
  <c r="E54" i="7"/>
  <c r="E53" i="7"/>
  <c r="E57" i="7"/>
  <c r="F35" i="10"/>
  <c r="E29" i="10"/>
  <c r="E32" i="10"/>
  <c r="E34" i="10"/>
  <c r="E35" i="10"/>
  <c r="F21" i="10"/>
  <c r="E60" i="9"/>
  <c r="N63" i="9"/>
  <c r="O63" i="9"/>
  <c r="P63" i="9"/>
  <c r="Q63" i="9"/>
  <c r="M63" i="9"/>
  <c r="E61" i="9"/>
  <c r="A61" i="9"/>
  <c r="A60" i="9"/>
  <c r="A59" i="9"/>
  <c r="E52" i="9"/>
  <c r="E49" i="9"/>
  <c r="E14" i="7"/>
  <c r="E44" i="6"/>
  <c r="E34" i="6"/>
  <c r="E39" i="6"/>
  <c r="E41" i="6"/>
  <c r="E42" i="6"/>
  <c r="E37" i="6"/>
  <c r="E40" i="6"/>
  <c r="I13" i="5"/>
  <c r="K13" i="5"/>
  <c r="H33" i="4"/>
  <c r="E33" i="4"/>
  <c r="F33" i="4"/>
  <c r="D33" i="4"/>
  <c r="M14" i="5"/>
  <c r="N14" i="5"/>
  <c r="O14" i="5"/>
  <c r="R14" i="5"/>
  <c r="S14" i="5"/>
  <c r="T14" i="5"/>
  <c r="U14" i="5"/>
  <c r="D13" i="5"/>
  <c r="J13" i="5"/>
  <c r="I4" i="5"/>
  <c r="K4" i="5"/>
  <c r="H5" i="5"/>
  <c r="I5" i="5"/>
  <c r="K5" i="5"/>
  <c r="G6" i="5"/>
  <c r="I6" i="5"/>
  <c r="E6" i="5"/>
  <c r="K6" i="5"/>
  <c r="I7" i="5"/>
  <c r="K7" i="5"/>
  <c r="I8" i="5"/>
  <c r="K8" i="5"/>
  <c r="G9" i="5"/>
  <c r="H9" i="5"/>
  <c r="I9" i="5"/>
  <c r="K9" i="5"/>
  <c r="I10" i="5"/>
  <c r="K10" i="5"/>
  <c r="I11" i="5"/>
  <c r="K11" i="5"/>
  <c r="I12" i="5"/>
  <c r="K12" i="5"/>
  <c r="I14" i="5"/>
  <c r="K14" i="5"/>
  <c r="I15" i="5"/>
  <c r="K15" i="5"/>
  <c r="K17" i="5"/>
  <c r="F4" i="5"/>
  <c r="F5" i="5"/>
  <c r="F6" i="5"/>
  <c r="F17" i="5"/>
  <c r="A33" i="4"/>
  <c r="H30" i="4"/>
  <c r="H31" i="4"/>
  <c r="I16" i="5"/>
  <c r="K16" i="5"/>
  <c r="H32" i="4"/>
  <c r="H34" i="4"/>
  <c r="H35" i="4"/>
  <c r="Q4" i="5"/>
  <c r="Q5" i="5"/>
  <c r="Q6" i="5"/>
  <c r="Q7" i="5"/>
  <c r="Q8" i="5"/>
  <c r="Q9" i="5"/>
  <c r="Q10" i="5"/>
  <c r="Q17" i="5"/>
  <c r="H43" i="4"/>
  <c r="M16" i="5"/>
  <c r="M15" i="5"/>
  <c r="L16" i="5"/>
  <c r="L15" i="5"/>
  <c r="M4" i="5"/>
  <c r="M5" i="5"/>
  <c r="M6" i="5"/>
  <c r="M7" i="5"/>
  <c r="M8" i="5"/>
  <c r="M9" i="5"/>
  <c r="M17" i="5"/>
  <c r="H42" i="4"/>
  <c r="L4" i="5"/>
  <c r="L5" i="5"/>
  <c r="L6" i="5"/>
  <c r="L7" i="5"/>
  <c r="L8" i="5"/>
  <c r="L9" i="5"/>
  <c r="L10" i="5"/>
  <c r="L11" i="5"/>
  <c r="L14" i="5"/>
  <c r="L17" i="5"/>
  <c r="H41" i="4"/>
  <c r="E14" i="9"/>
  <c r="A14" i="9"/>
  <c r="E61" i="3"/>
  <c r="T6" i="5"/>
  <c r="U6" i="5"/>
  <c r="T8" i="5"/>
  <c r="U8" i="5"/>
  <c r="T9" i="5"/>
  <c r="U9" i="5"/>
  <c r="T4" i="5"/>
  <c r="U4" i="5"/>
  <c r="T5" i="5"/>
  <c r="U5" i="5"/>
  <c r="T7" i="5"/>
  <c r="U7" i="5"/>
  <c r="T10" i="5"/>
  <c r="U10" i="5"/>
  <c r="T11" i="5"/>
  <c r="U11" i="5"/>
  <c r="T15" i="5"/>
  <c r="U15" i="5"/>
  <c r="U17" i="5"/>
  <c r="E59" i="3"/>
  <c r="T17" i="5"/>
  <c r="E58" i="3"/>
  <c r="R6" i="5"/>
  <c r="S6" i="5"/>
  <c r="R8" i="5"/>
  <c r="S8" i="5"/>
  <c r="R9" i="5"/>
  <c r="S9" i="5"/>
  <c r="R4" i="5"/>
  <c r="S4" i="5"/>
  <c r="R5" i="5"/>
  <c r="S5" i="5"/>
  <c r="R7" i="5"/>
  <c r="S7" i="5"/>
  <c r="R10" i="5"/>
  <c r="S10" i="5"/>
  <c r="R11" i="5"/>
  <c r="S11" i="5"/>
  <c r="R15" i="5"/>
  <c r="S15" i="5"/>
  <c r="S17" i="5"/>
  <c r="E57" i="3"/>
  <c r="R17" i="5"/>
  <c r="E56" i="3"/>
  <c r="E55" i="3"/>
  <c r="N6" i="5"/>
  <c r="N8" i="5"/>
  <c r="N9" i="5"/>
  <c r="N4" i="5"/>
  <c r="N5" i="5"/>
  <c r="N7" i="5"/>
  <c r="N10" i="5"/>
  <c r="N11" i="5"/>
  <c r="N15" i="5"/>
  <c r="N17" i="5"/>
  <c r="E47" i="3"/>
  <c r="E50" i="3"/>
  <c r="E48" i="3"/>
  <c r="E27" i="3"/>
  <c r="D20" i="5"/>
  <c r="E34" i="3"/>
  <c r="E36" i="3"/>
  <c r="E41" i="3"/>
  <c r="E42" i="3"/>
  <c r="E39" i="3"/>
  <c r="E28" i="3"/>
  <c r="E31" i="3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R16" i="13"/>
  <c r="R8" i="13"/>
  <c r="M39" i="12"/>
  <c r="N39" i="12"/>
  <c r="O39" i="12"/>
  <c r="P39" i="12"/>
  <c r="Q39" i="12"/>
  <c r="Q8" i="12"/>
  <c r="Q205" i="11"/>
  <c r="Q7" i="11"/>
  <c r="Q45" i="10"/>
  <c r="Q8" i="10"/>
  <c r="Q8" i="9"/>
  <c r="Q19" i="8"/>
  <c r="Q8" i="8"/>
  <c r="M103" i="7"/>
  <c r="N103" i="7"/>
  <c r="O103" i="7"/>
  <c r="P103" i="7"/>
  <c r="Q103" i="7"/>
  <c r="Q8" i="7"/>
  <c r="Q50" i="6"/>
  <c r="Q8" i="6"/>
  <c r="T58" i="4"/>
  <c r="T8" i="4"/>
  <c r="Q66" i="3"/>
  <c r="Q8" i="3"/>
  <c r="D13" i="3"/>
  <c r="E13" i="3"/>
  <c r="G13" i="3"/>
  <c r="H13" i="3"/>
  <c r="I13" i="3"/>
  <c r="J13" i="3"/>
  <c r="K13" i="3"/>
  <c r="L13" i="3"/>
  <c r="M13" i="3"/>
  <c r="N13" i="3"/>
  <c r="O13" i="3"/>
  <c r="P13" i="3"/>
  <c r="E8" i="2"/>
  <c r="A17" i="13"/>
  <c r="Q16" i="13"/>
  <c r="P16" i="13"/>
  <c r="O16" i="13"/>
  <c r="N16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B12" i="13"/>
  <c r="A39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B12" i="12"/>
  <c r="P205" i="11"/>
  <c r="O205" i="11"/>
  <c r="N205" i="11"/>
  <c r="M205" i="11"/>
  <c r="A205" i="11"/>
  <c r="F70" i="11"/>
  <c r="F69" i="11"/>
  <c r="F68" i="11"/>
  <c r="F67" i="11"/>
  <c r="F65" i="11"/>
  <c r="F64" i="11"/>
  <c r="F63" i="11"/>
  <c r="F62" i="11"/>
  <c r="F61" i="11"/>
  <c r="F60" i="11"/>
  <c r="F59" i="11"/>
  <c r="F58" i="11"/>
  <c r="F57" i="11"/>
  <c r="F56" i="11"/>
  <c r="F13" i="11"/>
  <c r="D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B11" i="11"/>
  <c r="A46" i="10"/>
  <c r="P45" i="10"/>
  <c r="O45" i="10"/>
  <c r="N45" i="10"/>
  <c r="M45" i="10"/>
  <c r="E43" i="10"/>
  <c r="A43" i="10"/>
  <c r="E42" i="10"/>
  <c r="A42" i="10"/>
  <c r="A41" i="10"/>
  <c r="E40" i="10"/>
  <c r="E41" i="10"/>
  <c r="A40" i="10"/>
  <c r="E39" i="10"/>
  <c r="A39" i="10"/>
  <c r="A38" i="10"/>
  <c r="E37" i="10"/>
  <c r="E38" i="10"/>
  <c r="A37" i="10"/>
  <c r="A36" i="10"/>
  <c r="A35" i="10"/>
  <c r="A34" i="10"/>
  <c r="A33" i="10"/>
  <c r="A32" i="10"/>
  <c r="A31" i="10"/>
  <c r="A30" i="10"/>
  <c r="A29" i="10"/>
  <c r="E28" i="10"/>
  <c r="A28" i="10"/>
  <c r="E27" i="10"/>
  <c r="A27" i="10"/>
  <c r="A26" i="10"/>
  <c r="E25" i="10"/>
  <c r="A25" i="10"/>
  <c r="A24" i="10"/>
  <c r="E23" i="10"/>
  <c r="E24" i="10"/>
  <c r="A23" i="10"/>
  <c r="A22" i="10"/>
  <c r="A21" i="10"/>
  <c r="A20" i="10"/>
  <c r="A19" i="10"/>
  <c r="A18" i="10"/>
  <c r="A17" i="10"/>
  <c r="A16" i="10"/>
  <c r="E15" i="10"/>
  <c r="E20" i="10"/>
  <c r="A15" i="10"/>
  <c r="E14" i="10"/>
  <c r="A14" i="10"/>
  <c r="A13" i="10"/>
  <c r="D12" i="10"/>
  <c r="E12" i="10"/>
  <c r="G12" i="10"/>
  <c r="H12" i="10"/>
  <c r="I12" i="10"/>
  <c r="J12" i="10"/>
  <c r="K12" i="10"/>
  <c r="L12" i="10"/>
  <c r="M12" i="10"/>
  <c r="N12" i="10"/>
  <c r="O12" i="10"/>
  <c r="P12" i="10"/>
  <c r="Q12" i="10"/>
  <c r="B12" i="10"/>
  <c r="A64" i="9"/>
  <c r="E58" i="9"/>
  <c r="A58" i="9"/>
  <c r="E54" i="9"/>
  <c r="E51" i="9"/>
  <c r="C48" i="9"/>
  <c r="C47" i="9"/>
  <c r="C46" i="9"/>
  <c r="C45" i="9"/>
  <c r="C44" i="9"/>
  <c r="C43" i="9"/>
  <c r="C42" i="9"/>
  <c r="C41" i="9"/>
  <c r="C40" i="9"/>
  <c r="C39" i="9"/>
  <c r="E38" i="9"/>
  <c r="F29" i="9"/>
  <c r="E29" i="9"/>
  <c r="F28" i="9"/>
  <c r="E25" i="9"/>
  <c r="E27" i="9"/>
  <c r="E28" i="9"/>
  <c r="E16" i="9"/>
  <c r="E20" i="9"/>
  <c r="A13" i="9"/>
  <c r="D12" i="9"/>
  <c r="E12" i="9"/>
  <c r="G12" i="9"/>
  <c r="H12" i="9"/>
  <c r="I12" i="9"/>
  <c r="J12" i="9"/>
  <c r="K12" i="9"/>
  <c r="L12" i="9"/>
  <c r="M12" i="9"/>
  <c r="N12" i="9"/>
  <c r="O12" i="9"/>
  <c r="P12" i="9"/>
  <c r="Q12" i="9"/>
  <c r="B12" i="9"/>
  <c r="A20" i="8"/>
  <c r="P19" i="8"/>
  <c r="O19" i="8"/>
  <c r="N19" i="8"/>
  <c r="M19" i="8"/>
  <c r="A17" i="8"/>
  <c r="A16" i="8"/>
  <c r="E13" i="8"/>
  <c r="E15" i="8"/>
  <c r="E17" i="8"/>
  <c r="C15" i="8"/>
  <c r="A15" i="8"/>
  <c r="A14" i="8"/>
  <c r="E14" i="8"/>
  <c r="A13" i="8"/>
  <c r="D12" i="8"/>
  <c r="E12" i="8"/>
  <c r="G12" i="8"/>
  <c r="H12" i="8"/>
  <c r="I12" i="8"/>
  <c r="J12" i="8"/>
  <c r="K12" i="8"/>
  <c r="L12" i="8"/>
  <c r="M12" i="8"/>
  <c r="N12" i="8"/>
  <c r="O12" i="8"/>
  <c r="P12" i="8"/>
  <c r="Q12" i="8"/>
  <c r="B12" i="8"/>
  <c r="A104" i="7"/>
  <c r="E100" i="7"/>
  <c r="A100" i="7"/>
  <c r="E99" i="7"/>
  <c r="A99" i="7"/>
  <c r="E98" i="7"/>
  <c r="A98" i="7"/>
  <c r="E96" i="7"/>
  <c r="A96" i="7"/>
  <c r="A91" i="7"/>
  <c r="E90" i="7"/>
  <c r="A90" i="7"/>
  <c r="A88" i="7"/>
  <c r="A87" i="7"/>
  <c r="A86" i="7"/>
  <c r="A84" i="7"/>
  <c r="E83" i="7"/>
  <c r="A83" i="7"/>
  <c r="A76" i="7"/>
  <c r="E75" i="7"/>
  <c r="A75" i="7"/>
  <c r="A70" i="7"/>
  <c r="E68" i="7"/>
  <c r="A66" i="7"/>
  <c r="E65" i="7"/>
  <c r="E66" i="7"/>
  <c r="C65" i="7"/>
  <c r="A63" i="7"/>
  <c r="E61" i="7"/>
  <c r="E62" i="7"/>
  <c r="E63" i="7"/>
  <c r="A60" i="7"/>
  <c r="A58" i="7"/>
  <c r="A57" i="7"/>
  <c r="A56" i="7"/>
  <c r="A55" i="7"/>
  <c r="A54" i="7"/>
  <c r="A53" i="7"/>
  <c r="A52" i="7"/>
  <c r="A50" i="7"/>
  <c r="A49" i="7"/>
  <c r="E40" i="7"/>
  <c r="E48" i="7"/>
  <c r="E50" i="7"/>
  <c r="E47" i="7"/>
  <c r="E46" i="7"/>
  <c r="E45" i="7"/>
  <c r="E44" i="7"/>
  <c r="A43" i="7"/>
  <c r="E41" i="7"/>
  <c r="E42" i="7"/>
  <c r="E43" i="7"/>
  <c r="A39" i="7"/>
  <c r="E35" i="7"/>
  <c r="A35" i="7"/>
  <c r="E34" i="7"/>
  <c r="B34" i="7"/>
  <c r="A94" i="7"/>
  <c r="E32" i="7"/>
  <c r="A32" i="7"/>
  <c r="F31" i="7"/>
  <c r="E31" i="7"/>
  <c r="A31" i="7"/>
  <c r="E30" i="7"/>
  <c r="A30" i="7"/>
  <c r="A29" i="7"/>
  <c r="A28" i="7"/>
  <c r="E27" i="7"/>
  <c r="A27" i="7"/>
  <c r="E25" i="7"/>
  <c r="A25" i="7"/>
  <c r="A24" i="7"/>
  <c r="A23" i="7"/>
  <c r="A22" i="7"/>
  <c r="E21" i="7"/>
  <c r="A21" i="7"/>
  <c r="E17" i="7"/>
  <c r="E19" i="7"/>
  <c r="E20" i="7"/>
  <c r="A19" i="7"/>
  <c r="E18" i="7"/>
  <c r="A17" i="7"/>
  <c r="A16" i="7"/>
  <c r="A15" i="7"/>
  <c r="E22" i="7"/>
  <c r="A14" i="7"/>
  <c r="A13" i="7"/>
  <c r="D12" i="7"/>
  <c r="E12" i="7"/>
  <c r="G12" i="7"/>
  <c r="H12" i="7"/>
  <c r="I12" i="7"/>
  <c r="J12" i="7"/>
  <c r="K12" i="7"/>
  <c r="L12" i="7"/>
  <c r="M12" i="7"/>
  <c r="N12" i="7"/>
  <c r="O12" i="7"/>
  <c r="P12" i="7"/>
  <c r="Q12" i="7"/>
  <c r="B12" i="7"/>
  <c r="A97" i="7"/>
  <c r="A51" i="6"/>
  <c r="P50" i="6"/>
  <c r="O50" i="6"/>
  <c r="N50" i="6"/>
  <c r="M50" i="6"/>
  <c r="A48" i="6"/>
  <c r="A47" i="6"/>
  <c r="A46" i="6"/>
  <c r="E45" i="6"/>
  <c r="E47" i="6"/>
  <c r="E48" i="6"/>
  <c r="A45" i="6"/>
  <c r="A43" i="6"/>
  <c r="A42" i="6"/>
  <c r="A41" i="6"/>
  <c r="A40" i="6"/>
  <c r="A39" i="6"/>
  <c r="A38" i="6"/>
  <c r="A37" i="6"/>
  <c r="A36" i="6"/>
  <c r="A35" i="6"/>
  <c r="E35" i="6"/>
  <c r="E36" i="6"/>
  <c r="A34" i="6"/>
  <c r="A33" i="6"/>
  <c r="A32" i="6"/>
  <c r="A31" i="6"/>
  <c r="A30" i="6"/>
  <c r="F29" i="6"/>
  <c r="A29" i="6"/>
  <c r="A28" i="6"/>
  <c r="E27" i="6"/>
  <c r="E29" i="6"/>
  <c r="A27" i="6"/>
  <c r="A26" i="6"/>
  <c r="A25" i="6"/>
  <c r="A24" i="6"/>
  <c r="A23" i="6"/>
  <c r="C22" i="6"/>
  <c r="A22" i="6"/>
  <c r="A21" i="6"/>
  <c r="A19" i="6"/>
  <c r="A18" i="6"/>
  <c r="E17" i="6"/>
  <c r="E18" i="6"/>
  <c r="A17" i="6"/>
  <c r="A16" i="6"/>
  <c r="A15" i="6"/>
  <c r="E14" i="6"/>
  <c r="E26" i="6"/>
  <c r="A14" i="6"/>
  <c r="E13" i="6"/>
  <c r="A13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B12" i="6"/>
  <c r="H39" i="5"/>
  <c r="H38" i="5"/>
  <c r="E48" i="9"/>
  <c r="H37" i="5"/>
  <c r="E47" i="9"/>
  <c r="H36" i="5"/>
  <c r="E46" i="9"/>
  <c r="G34" i="5"/>
  <c r="H34" i="5"/>
  <c r="E45" i="9"/>
  <c r="G33" i="5"/>
  <c r="H33" i="5"/>
  <c r="E44" i="9"/>
  <c r="F32" i="5"/>
  <c r="E32" i="5"/>
  <c r="G32" i="5"/>
  <c r="H32" i="5"/>
  <c r="E43" i="9"/>
  <c r="F31" i="5"/>
  <c r="E31" i="5"/>
  <c r="G31" i="5"/>
  <c r="H31" i="5"/>
  <c r="E42" i="9"/>
  <c r="E30" i="5"/>
  <c r="G30" i="5"/>
  <c r="H30" i="5"/>
  <c r="E41" i="9"/>
  <c r="E29" i="5"/>
  <c r="G29" i="5"/>
  <c r="H29" i="5"/>
  <c r="E40" i="9"/>
  <c r="A29" i="5"/>
  <c r="A30" i="5"/>
  <c r="A31" i="5"/>
  <c r="A32" i="5"/>
  <c r="A33" i="5"/>
  <c r="A34" i="5"/>
  <c r="A36" i="5"/>
  <c r="A37" i="5"/>
  <c r="A38" i="5"/>
  <c r="A39" i="5"/>
  <c r="G28" i="5"/>
  <c r="H28" i="5"/>
  <c r="E39" i="9"/>
  <c r="G35" i="5"/>
  <c r="D21" i="5"/>
  <c r="E15" i="6"/>
  <c r="T16" i="5"/>
  <c r="U16" i="5"/>
  <c r="R16" i="5"/>
  <c r="S16" i="5"/>
  <c r="O16" i="5"/>
  <c r="N16" i="5"/>
  <c r="D16" i="5"/>
  <c r="J16" i="5"/>
  <c r="O15" i="5"/>
  <c r="D15" i="5"/>
  <c r="J15" i="5"/>
  <c r="D14" i="5"/>
  <c r="J14" i="5"/>
  <c r="D12" i="5"/>
  <c r="J12" i="5"/>
  <c r="O11" i="5"/>
  <c r="D11" i="5"/>
  <c r="J11" i="5"/>
  <c r="O10" i="5"/>
  <c r="D10" i="5"/>
  <c r="P9" i="5"/>
  <c r="O9" i="5"/>
  <c r="H21" i="4"/>
  <c r="D9" i="5"/>
  <c r="P8" i="5"/>
  <c r="O8" i="5"/>
  <c r="H20" i="4"/>
  <c r="D8" i="5"/>
  <c r="P7" i="5"/>
  <c r="O7" i="5"/>
  <c r="H19" i="4"/>
  <c r="D7" i="5"/>
  <c r="H18" i="4"/>
  <c r="O6" i="5"/>
  <c r="P5" i="5"/>
  <c r="O5" i="5"/>
  <c r="D5" i="5"/>
  <c r="P4" i="5"/>
  <c r="D4" i="5"/>
  <c r="K3" i="5"/>
  <c r="J3" i="5"/>
  <c r="A59" i="4"/>
  <c r="S58" i="4"/>
  <c r="R58" i="4"/>
  <c r="F13" i="2"/>
  <c r="Q58" i="4"/>
  <c r="E13" i="2"/>
  <c r="P58" i="4"/>
  <c r="D13" i="2"/>
  <c r="A56" i="4"/>
  <c r="H55" i="4"/>
  <c r="A55" i="4"/>
  <c r="H54" i="4"/>
  <c r="A54" i="4"/>
  <c r="H53" i="4"/>
  <c r="A53" i="4"/>
  <c r="H52" i="4"/>
  <c r="A52" i="4"/>
  <c r="H51" i="4"/>
  <c r="A51" i="4"/>
  <c r="H50" i="4"/>
  <c r="A50" i="4"/>
  <c r="A49" i="4"/>
  <c r="H48" i="4"/>
  <c r="A48" i="4"/>
  <c r="H47" i="4"/>
  <c r="A47" i="4"/>
  <c r="H46" i="4"/>
  <c r="A46" i="4"/>
  <c r="H45" i="4"/>
  <c r="A45" i="4"/>
  <c r="H44" i="4"/>
  <c r="A44" i="4"/>
  <c r="A43" i="4"/>
  <c r="A42" i="4"/>
  <c r="A41" i="4"/>
  <c r="A40" i="4"/>
  <c r="A39" i="4"/>
  <c r="A38" i="4"/>
  <c r="A37" i="4"/>
  <c r="A36" i="4"/>
  <c r="A35" i="4"/>
  <c r="F34" i="4"/>
  <c r="E34" i="4"/>
  <c r="D34" i="4"/>
  <c r="A34" i="4"/>
  <c r="F32" i="4"/>
  <c r="E32" i="4"/>
  <c r="D32" i="4"/>
  <c r="A32" i="4"/>
  <c r="F31" i="4"/>
  <c r="E31" i="4"/>
  <c r="D31" i="4"/>
  <c r="A31" i="4"/>
  <c r="F30" i="4"/>
  <c r="E30" i="4"/>
  <c r="D30" i="4"/>
  <c r="A30" i="4"/>
  <c r="F29" i="4"/>
  <c r="E29" i="4"/>
  <c r="D29" i="4"/>
  <c r="A29" i="4"/>
  <c r="A28" i="4"/>
  <c r="A27" i="4"/>
  <c r="A26" i="4"/>
  <c r="A25" i="4"/>
  <c r="A24" i="4"/>
  <c r="A23" i="4"/>
  <c r="A22" i="4"/>
  <c r="F21" i="4"/>
  <c r="E21" i="4"/>
  <c r="D21" i="4"/>
  <c r="C21" i="4"/>
  <c r="A21" i="4"/>
  <c r="F20" i="4"/>
  <c r="E20" i="4"/>
  <c r="D20" i="4"/>
  <c r="C20" i="4"/>
  <c r="A20" i="4"/>
  <c r="F19" i="4"/>
  <c r="E19" i="4"/>
  <c r="D19" i="4"/>
  <c r="C19" i="4"/>
  <c r="A19" i="4"/>
  <c r="F18" i="4"/>
  <c r="E18" i="4"/>
  <c r="D18" i="4"/>
  <c r="C18" i="4"/>
  <c r="A18" i="4"/>
  <c r="F17" i="4"/>
  <c r="E17" i="4"/>
  <c r="D17" i="4"/>
  <c r="C17" i="4"/>
  <c r="A17" i="4"/>
  <c r="F16" i="4"/>
  <c r="E16" i="4"/>
  <c r="D16" i="4"/>
  <c r="C16" i="4"/>
  <c r="A16" i="4"/>
  <c r="A15" i="4"/>
  <c r="A14" i="4"/>
  <c r="A13" i="4"/>
  <c r="B12" i="4"/>
  <c r="C12" i="4"/>
  <c r="G12" i="4"/>
  <c r="H12" i="4"/>
  <c r="J12" i="4"/>
  <c r="K12" i="4"/>
  <c r="L12" i="4"/>
  <c r="M12" i="4"/>
  <c r="N12" i="4"/>
  <c r="O12" i="4"/>
  <c r="P12" i="4"/>
  <c r="Q12" i="4"/>
  <c r="R12" i="4"/>
  <c r="S12" i="4"/>
  <c r="T12" i="4"/>
  <c r="A67" i="3"/>
  <c r="P66" i="3"/>
  <c r="O66" i="3"/>
  <c r="F12" i="2"/>
  <c r="N66" i="3"/>
  <c r="E12" i="2"/>
  <c r="E14" i="2"/>
  <c r="E15" i="2"/>
  <c r="E16" i="2"/>
  <c r="E17" i="2"/>
  <c r="E18" i="2"/>
  <c r="E23" i="2"/>
  <c r="E21" i="2"/>
  <c r="M66" i="3"/>
  <c r="D12" i="2"/>
  <c r="E64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C36" i="3"/>
  <c r="A36" i="3"/>
  <c r="A35" i="3"/>
  <c r="A34" i="3"/>
  <c r="A32" i="3"/>
  <c r="A31" i="3"/>
  <c r="A29" i="3"/>
  <c r="E32" i="3"/>
  <c r="C28" i="3"/>
  <c r="A28" i="3"/>
  <c r="A27" i="3"/>
  <c r="A26" i="3"/>
  <c r="A25" i="3"/>
  <c r="A24" i="3"/>
  <c r="A23" i="3"/>
  <c r="A22" i="3"/>
  <c r="A21" i="3"/>
  <c r="A20" i="3"/>
  <c r="A19" i="3"/>
  <c r="E18" i="3"/>
  <c r="E20" i="3"/>
  <c r="A18" i="3"/>
  <c r="A17" i="3"/>
  <c r="F16" i="3"/>
  <c r="E16" i="3"/>
  <c r="A16" i="3"/>
  <c r="E15" i="3"/>
  <c r="A15" i="3"/>
  <c r="A14" i="3"/>
  <c r="Q13" i="3"/>
  <c r="B13" i="3"/>
  <c r="A5" i="1"/>
  <c r="A5" i="3"/>
  <c r="A3" i="1"/>
  <c r="A3" i="3"/>
  <c r="G21" i="2"/>
  <c r="F21" i="2"/>
  <c r="D21" i="2"/>
  <c r="C21" i="2"/>
  <c r="C20" i="2"/>
  <c r="C19" i="2"/>
  <c r="G18" i="2"/>
  <c r="F18" i="2"/>
  <c r="D18" i="2"/>
  <c r="C18" i="2"/>
  <c r="G17" i="2"/>
  <c r="G12" i="2"/>
  <c r="G13" i="2"/>
  <c r="G14" i="2"/>
  <c r="G15" i="2"/>
  <c r="G16" i="2"/>
  <c r="G23" i="2"/>
  <c r="F17" i="2"/>
  <c r="D17" i="2"/>
  <c r="C17" i="2"/>
  <c r="F16" i="2"/>
  <c r="D16" i="2"/>
  <c r="C16" i="2"/>
  <c r="F15" i="2"/>
  <c r="D15" i="2"/>
  <c r="C15" i="2"/>
  <c r="H14" i="2"/>
  <c r="F14" i="2"/>
  <c r="D14" i="2"/>
  <c r="C14" i="2"/>
  <c r="C13" i="2"/>
  <c r="B13" i="2"/>
  <c r="H1" i="4"/>
  <c r="A13" i="2"/>
  <c r="C12" i="2"/>
  <c r="A12" i="2"/>
  <c r="A6" i="1"/>
  <c r="A5" i="6"/>
  <c r="A4" i="1"/>
  <c r="A3" i="6"/>
  <c r="H16" i="4"/>
  <c r="E40" i="3"/>
  <c r="E38" i="3"/>
  <c r="E37" i="3"/>
  <c r="D23" i="2"/>
  <c r="E7" i="2"/>
  <c r="F23" i="2"/>
  <c r="H13" i="2"/>
  <c r="E19" i="3"/>
  <c r="E29" i="3"/>
  <c r="E30" i="3"/>
  <c r="E35" i="3"/>
  <c r="A3" i="4"/>
  <c r="A5" i="4"/>
  <c r="O4" i="5"/>
  <c r="O17" i="5"/>
  <c r="H17" i="4"/>
  <c r="P6" i="5"/>
  <c r="P17" i="5"/>
  <c r="H56" i="4"/>
  <c r="J7" i="5"/>
  <c r="J8" i="5"/>
  <c r="J9" i="5"/>
  <c r="J10" i="5"/>
  <c r="E22" i="6"/>
  <c r="E19" i="6"/>
  <c r="E16" i="6"/>
  <c r="H35" i="5"/>
  <c r="E23" i="9"/>
  <c r="E21" i="9"/>
  <c r="E22" i="9"/>
  <c r="A4" i="11"/>
  <c r="A4" i="10"/>
  <c r="A4" i="13"/>
  <c r="A4" i="12"/>
  <c r="A4" i="8"/>
  <c r="A4" i="9"/>
  <c r="A4" i="7"/>
  <c r="A6" i="11"/>
  <c r="A6" i="10"/>
  <c r="A6" i="13"/>
  <c r="A6" i="12"/>
  <c r="A6" i="8"/>
  <c r="A6" i="7"/>
  <c r="A6" i="9"/>
  <c r="A3" i="13"/>
  <c r="A3" i="12"/>
  <c r="A3" i="11"/>
  <c r="A3" i="10"/>
  <c r="A3" i="9"/>
  <c r="A3" i="8"/>
  <c r="A3" i="7"/>
  <c r="A5" i="13"/>
  <c r="A5" i="12"/>
  <c r="A5" i="11"/>
  <c r="A5" i="10"/>
  <c r="A5" i="9"/>
  <c r="A5" i="8"/>
  <c r="A5" i="7"/>
  <c r="B14" i="2"/>
  <c r="A4" i="3"/>
  <c r="A6" i="3"/>
  <c r="A4" i="4"/>
  <c r="A6" i="4"/>
  <c r="A4" i="6"/>
  <c r="A6" i="6"/>
  <c r="E30" i="6"/>
  <c r="E31" i="6"/>
  <c r="E32" i="6"/>
  <c r="E15" i="7"/>
  <c r="A34" i="7"/>
  <c r="A37" i="7"/>
  <c r="A47" i="7"/>
  <c r="A48" i="7"/>
  <c r="A51" i="7"/>
  <c r="A65" i="7"/>
  <c r="A68" i="7"/>
  <c r="A72" i="7"/>
  <c r="A74" i="7"/>
  <c r="A77" i="7"/>
  <c r="A79" i="7"/>
  <c r="A81" i="7"/>
  <c r="A93" i="7"/>
  <c r="A95" i="7"/>
  <c r="E22" i="10"/>
  <c r="E21" i="10"/>
  <c r="E28" i="6"/>
  <c r="E46" i="6"/>
  <c r="A33" i="7"/>
  <c r="A36" i="7"/>
  <c r="A38" i="7"/>
  <c r="A40" i="7"/>
  <c r="A41" i="7"/>
  <c r="A42" i="7"/>
  <c r="E49" i="7"/>
  <c r="A59" i="7"/>
  <c r="A61" i="7"/>
  <c r="A62" i="7"/>
  <c r="A64" i="7"/>
  <c r="A67" i="7"/>
  <c r="A71" i="7"/>
  <c r="A73" i="7"/>
  <c r="A78" i="7"/>
  <c r="A80" i="7"/>
  <c r="A82" i="7"/>
  <c r="A85" i="7"/>
  <c r="A89" i="7"/>
  <c r="A92" i="7"/>
  <c r="E16" i="8"/>
  <c r="E17" i="9"/>
  <c r="E18" i="9"/>
  <c r="E19" i="9"/>
  <c r="E26" i="9"/>
  <c r="E33" i="10"/>
  <c r="E50" i="9"/>
  <c r="E53" i="9"/>
  <c r="E16" i="10"/>
  <c r="E17" i="10"/>
  <c r="E18" i="10"/>
  <c r="E19" i="10"/>
  <c r="E30" i="10"/>
  <c r="E31" i="10"/>
  <c r="H40" i="4"/>
  <c r="H39" i="4"/>
  <c r="H38" i="4"/>
  <c r="H37" i="4"/>
  <c r="H36" i="4"/>
  <c r="H21" i="2"/>
  <c r="H17" i="2"/>
  <c r="H12" i="2"/>
  <c r="H15" i="2"/>
  <c r="H16" i="2"/>
  <c r="H18" i="2"/>
  <c r="H23" i="2"/>
  <c r="E23" i="7"/>
  <c r="E16" i="7"/>
  <c r="E38" i="6"/>
  <c r="E1" i="6"/>
  <c r="B15" i="2"/>
  <c r="A14" i="2"/>
  <c r="E24" i="9"/>
  <c r="E30" i="9"/>
  <c r="E31" i="9"/>
  <c r="E32" i="9"/>
  <c r="E25" i="6"/>
  <c r="E24" i="6"/>
  <c r="E23" i="6"/>
  <c r="D6" i="5"/>
  <c r="J6" i="5"/>
  <c r="E52" i="3"/>
  <c r="E54" i="3"/>
  <c r="E53" i="3"/>
  <c r="H13" i="4"/>
  <c r="E36" i="10"/>
  <c r="E60" i="3"/>
  <c r="E21" i="6"/>
  <c r="E20" i="6"/>
  <c r="H22" i="4"/>
  <c r="E26" i="3"/>
  <c r="H28" i="4"/>
  <c r="H27" i="4"/>
  <c r="H26" i="4"/>
  <c r="H25" i="4"/>
  <c r="H24" i="4"/>
  <c r="H23" i="4"/>
  <c r="E51" i="3"/>
  <c r="E49" i="3"/>
  <c r="E1" i="7"/>
  <c r="B16" i="2"/>
  <c r="A15" i="2"/>
  <c r="E1" i="8"/>
  <c r="B17" i="2"/>
  <c r="A16" i="2"/>
  <c r="E46" i="3"/>
  <c r="E45" i="3"/>
  <c r="E44" i="3"/>
  <c r="E43" i="3"/>
  <c r="E1" i="10"/>
  <c r="E1" i="9"/>
  <c r="B18" i="2"/>
  <c r="A17" i="2"/>
  <c r="B19" i="2"/>
  <c r="A18" i="2"/>
  <c r="I1" i="11"/>
  <c r="B20" i="2"/>
  <c r="A19" i="2"/>
  <c r="B21" i="2"/>
  <c r="A20" i="2"/>
  <c r="E1" i="12"/>
  <c r="F1" i="13"/>
  <c r="A21" i="2"/>
</calcChain>
</file>

<file path=xl/sharedStrings.xml><?xml version="1.0" encoding="utf-8"?>
<sst xmlns="http://schemas.openxmlformats.org/spreadsheetml/2006/main" count="1609" uniqueCount="530">
  <si>
    <t>Būvniecības koptāme</t>
  </si>
  <si>
    <t>Nr.p.k.</t>
  </si>
  <si>
    <t>Objekta nosaukums</t>
  </si>
  <si>
    <t>Objekta izmaksas(euro)</t>
  </si>
  <si>
    <t>Celtniecības darbi</t>
  </si>
  <si>
    <t>Kopā</t>
  </si>
  <si>
    <t>PVN (21%)</t>
  </si>
  <si>
    <t>Kopā ar PVN</t>
  </si>
  <si>
    <t>Sastādīja:</t>
  </si>
  <si>
    <t>būvprakses sertifikāts Nr.</t>
  </si>
  <si>
    <t>Kopsavilkuma aprēķini pa darbu vai konstruktīvo elementu veidiem.</t>
  </si>
  <si>
    <t>Celtniecības remontdarbi</t>
  </si>
  <si>
    <t>Būves nosaukums:  Dzīvojamās māja</t>
  </si>
  <si>
    <t>Objekta nosaukums: Dzīvojamās ēkas fasādes vienkāršota atjaunošana</t>
  </si>
  <si>
    <t>Objekta adrese: Turaidas iela 8a, Liepājā</t>
  </si>
  <si>
    <t>Pasūtījuma Nr.EA-79-16</t>
  </si>
  <si>
    <t>Kopājā darbietilpība, c/h:</t>
  </si>
  <si>
    <t>Kods tāmes Nr.</t>
  </si>
  <si>
    <t>Būvdarbu veids vai konstruktīvā elementa nosaukums</t>
  </si>
  <si>
    <t>Darba ietilpība, (c/h)</t>
  </si>
  <si>
    <t>Tai skaitā</t>
  </si>
  <si>
    <t>Tāmes izmaksas</t>
  </si>
  <si>
    <t>Darba alga</t>
  </si>
  <si>
    <t>būvizstrādājumi</t>
  </si>
  <si>
    <t>Mehānismi</t>
  </si>
  <si>
    <t>Kopā:</t>
  </si>
  <si>
    <t>Virsizdevumi:</t>
  </si>
  <si>
    <t>t.sk.darba aizsardzība</t>
  </si>
  <si>
    <t>Peļņa:</t>
  </si>
  <si>
    <t>Pavisam kopā</t>
  </si>
  <si>
    <t>bez PVN</t>
  </si>
  <si>
    <t>Sastādīja</t>
  </si>
  <si>
    <t>(paraksts un tā atšifrējums, datums)</t>
  </si>
  <si>
    <t>Pārbaudīja</t>
  </si>
  <si>
    <t>Sertifikāta Nr.</t>
  </si>
  <si>
    <t>Lokālā tāme Nr.:</t>
  </si>
  <si>
    <t>Ārsienu siltināšanas darbi</t>
  </si>
  <si>
    <t>AR/BK</t>
  </si>
  <si>
    <t>daļas rasējumiem.</t>
  </si>
  <si>
    <t>Tāmes izmaksas euro: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</si>
  <si>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</si>
  <si>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</si>
  <si>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</si>
  <si>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</si>
  <si>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</si>
  <si>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</si>
  <si>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norma,
c/h</t>
  </si>
  <si>
    <t>Darba alga,euro</t>
  </si>
  <si>
    <t>Mehānismi,euro</t>
  </si>
  <si>
    <t>Summa,euro</t>
  </si>
  <si>
    <t>Darbietilpība,
c/h</t>
  </si>
  <si>
    <t>līg.c.</t>
  </si>
  <si>
    <t>Metāla nožogojuma montāža, h=2,0 m</t>
  </si>
  <si>
    <t>m</t>
  </si>
  <si>
    <t>v</t>
  </si>
  <si>
    <t>Žogs 3,5×2m</t>
  </si>
  <si>
    <t>gb</t>
  </si>
  <si>
    <t>Pēda</t>
  </si>
  <si>
    <t>Signāllentes novilkšana.</t>
  </si>
  <si>
    <t>Sastatņu montēšana, t.sk. aizsargsiets</t>
  </si>
  <si>
    <t>m²</t>
  </si>
  <si>
    <t>Sastatnes</t>
  </si>
  <si>
    <t>celtniecības aizsargsiets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</si>
  <si>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</si>
  <si>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</si>
  <si>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</si>
  <si>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</si>
  <si>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</si>
  <si>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</si>
  <si>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>Esošo skārda ārējo palodžu demontāža</t>
  </si>
  <si>
    <t>Ārsienu  siltināšana ar akmensvati līmējot un piestiprinot to pie ārsienas ar mehāniskajiem stiprinājumiem</t>
  </si>
  <si>
    <t>Grunts Sakret PG vai ekvivalents</t>
  </si>
  <si>
    <t>kg</t>
  </si>
  <si>
    <t>Siltumizolācija</t>
  </si>
  <si>
    <t>Dībeli virsmas klasifikācija ETA A,B,C,D,E, galvas Ø60, nagla tērauda Ø8-10, Punkta siltumatdeves koeficients 0,002 W/K, min iestrādes dziļums &gt;35mm, vai ekvivalents 215mm</t>
  </si>
  <si>
    <t>Mitrumizturīga siltinājuma pielīmēšana pie ārsienas balkonu vietās (BK-6.lapa)</t>
  </si>
  <si>
    <t>hidroizolācijas ieklāšana, h=500mm</t>
  </si>
  <si>
    <t>Līmjava SAKRET BK vai ekvivalents</t>
  </si>
  <si>
    <t>Apmetuma izveidošana pēc sistēmas AS-2 kārtas armējošās javas un armējošā stikla šķiedras sieta uzklāšana , zemapmetuma grunts uzklāšana, dekoratīvā gatavā silikona apmetuma ar tonējumu uznešana</t>
  </si>
  <si>
    <t>Līmjava Sakret BAK vai ekvivalents</t>
  </si>
  <si>
    <t>Siets stikla šķiedra SSA 1363-160 vai ekvivalents</t>
  </si>
  <si>
    <t>Paligmateriāli</t>
  </si>
  <si>
    <t>komp</t>
  </si>
  <si>
    <t>Durvju un logu aiļu apdare ar akmensvates plātnēm (ekvivalents Paroc Linio 15 λ=0,037W/m²K,)  b=30mm,</t>
  </si>
  <si>
    <t>litri</t>
  </si>
  <si>
    <t>Siltumizolācija sienām</t>
  </si>
  <si>
    <t>Logu un durvju aiļu ārējo stūru armēšana ar sietu papildus sietu 0,3×0,5m platumā no ailes un ailē (ekviv. Valmieras E-stikls) stiepes izturība &gt;200N/5cm, Struktūras stabilitāte &gt;22%, Atbilst REACH , sieta acojuma lielums 4×4mm.</t>
  </si>
  <si>
    <t>Metāla karoga kāta turētāja montāža</t>
  </si>
  <si>
    <t>Būvgružu savākšana un aizvešana</t>
  </si>
  <si>
    <t>m³</t>
  </si>
  <si>
    <t>Gružu konteiners</t>
  </si>
  <si>
    <t>Tiešās izmaksas kopā, t. sk. darba devēja sociālais nodoklis (%)</t>
  </si>
  <si>
    <t>Logu nomaiņa</t>
  </si>
  <si>
    <t>Esošo koka logu, tsk. ārdurvju demontāža</t>
  </si>
  <si>
    <t>PVC loga  bloks ar  stikla paketi krāsa - balta Stikla paketes 
Siltuma caurlaidības koef.:  Ug    1,0 w/m²×K Dziļums: 80 mm Siltuma caurlaidības koef.:  Uf    1,1 W / m² K. PVC profila montāžas dziļums ( profila biezums ) ≤ 80*mm PVC profiili nedīkst saturēt svinu un kadmiju</t>
  </si>
  <si>
    <t>daudzums</t>
  </si>
  <si>
    <t>L</t>
  </si>
  <si>
    <t>H</t>
  </si>
  <si>
    <t>Logu montāžas palīgmateriāli uz  apjomu</t>
  </si>
  <si>
    <t>montāžas skavas</t>
  </si>
  <si>
    <t>dibeļi</t>
  </si>
  <si>
    <t>montāžas puta</t>
  </si>
  <si>
    <t>l</t>
  </si>
  <si>
    <t>skrūves</t>
  </si>
  <si>
    <t>hermētiķis SILIKON vai ekvivalents</t>
  </si>
  <si>
    <t>palodzes profils</t>
  </si>
  <si>
    <t>Pret koroziju apstrādātas metāla žalūzijas R1 ar manuālo aizvēršanas mehānismu. Atvērumu izmērs nodrošina kaķu, suņu, putnu neiekļūšanu pagrabā. Kompektā ar cinkotu resti, acs izmērs 40x40.</t>
  </si>
  <si>
    <t>Pret koroziju apstrādātas metāla vai plastmasas restes  R2 
tehnsikajā bēniņu stāvā, izmērus precizēt uz vietas</t>
  </si>
  <si>
    <t>Metāla konstrukcijas lūka LB-1</t>
  </si>
  <si>
    <t>Durvju un lūku montāžas palīgmateriāli uz  apjomu</t>
  </si>
  <si>
    <t>gab</t>
  </si>
  <si>
    <t>Hidroizolācijas lentas montēšana logos, durvīs</t>
  </si>
  <si>
    <t>Difūzijas lentas montēšana nomaināmajos logos, durvīs</t>
  </si>
  <si>
    <t>Jaunu krāsotu ārējo skārda palodžu montāža visiem logiem, biezumā: 0,4mm, plata=350mm* ņemot vērā pārkares lāseni 50mm</t>
  </si>
  <si>
    <t>metāla stiprinājumi</t>
  </si>
  <si>
    <t>skārda palodze</t>
  </si>
  <si>
    <t>mūrjava</t>
  </si>
  <si>
    <t>Apmetuma atjaunošana pēc logu nomaiņas, krāsošana iekštelpās( b~0,4m)</t>
  </si>
  <si>
    <t>Līmlente</t>
  </si>
  <si>
    <t>Jaunu iekštelpu MDF palodžu montēšana, b=300mm.</t>
  </si>
  <si>
    <t>Perimetrs lentei, m</t>
  </si>
  <si>
    <t>aiļu platums apdares m²</t>
  </si>
  <si>
    <t>palodzes, m</t>
  </si>
  <si>
    <t>tips</t>
  </si>
  <si>
    <t>skaits</t>
  </si>
  <si>
    <t>Loga izmērs, m</t>
  </si>
  <si>
    <t>Logu platība m²</t>
  </si>
  <si>
    <t>ārējās</t>
  </si>
  <si>
    <t>iekšējās</t>
  </si>
  <si>
    <t>Stūra profils  EC S</t>
  </si>
  <si>
    <t>Loga pielaiduma profils EW</t>
  </si>
  <si>
    <t>Stūra lāsenis ED CO2</t>
  </si>
  <si>
    <t>Palodzes montāžas profils EW US01</t>
  </si>
  <si>
    <t>Cokola profils EB PVC VARIO 220</t>
  </si>
  <si>
    <t>esošie PVC</t>
  </si>
  <si>
    <t>maināmie koka</t>
  </si>
  <si>
    <t>kopā</t>
  </si>
  <si>
    <t>h</t>
  </si>
  <si>
    <t>1.gb</t>
  </si>
  <si>
    <t>hidroizolācijas</t>
  </si>
  <si>
    <t>difūzijas</t>
  </si>
  <si>
    <t>L1</t>
  </si>
  <si>
    <t>L2</t>
  </si>
  <si>
    <t>L2 durvis</t>
  </si>
  <si>
    <t>L3</t>
  </si>
  <si>
    <t>L4</t>
  </si>
  <si>
    <t>L5</t>
  </si>
  <si>
    <t>R1</t>
  </si>
  <si>
    <t>R2</t>
  </si>
  <si>
    <t>LB1</t>
  </si>
  <si>
    <t>D2</t>
  </si>
  <si>
    <t>ĀD1</t>
  </si>
  <si>
    <t>ĀD2</t>
  </si>
  <si>
    <t>SILTINĀJUMS</t>
  </si>
  <si>
    <t>Siltinājums</t>
  </si>
  <si>
    <t>Sastāvs</t>
  </si>
  <si>
    <t>Vienība</t>
  </si>
  <si>
    <t>S1-Vieglbetona paneļu ārējās garensienas siltinājums</t>
  </si>
  <si>
    <t>Garensienas, grunts, siltinājums - akmensvate ( ekvivalentsTechnofacade Cottage vai  ekvivalents, λ=0,036W/m²K, b=150mm), līmjava, grunts. Vieglbetona panelis 250mm</t>
  </si>
  <si>
    <t>Balkonu pieslēguma vietā pie sienas</t>
  </si>
  <si>
    <t>S2-Pamatu sienu siltinājums</t>
  </si>
  <si>
    <t>P1- pagraba pārseguma siltinājums</t>
  </si>
  <si>
    <t>Siltumizolācijas akmensvates lameļu līmēšana pie pārseguma apakšas  ( Paroc CGL20 CY l≤0,037 W/m×K vai ekvivalents), b=150mm</t>
  </si>
  <si>
    <t>P2- bēniņu pārseguma siltinājums</t>
  </si>
  <si>
    <t>Neizdzēst Balkonu metāla margu elementu specifikācija 1 balkonam (1000x3000) ēkā ir balkoni gb</t>
  </si>
  <si>
    <t>N.p.k.</t>
  </si>
  <si>
    <t>Materiāla un darba nosaukums, izmēri (mm)</t>
  </si>
  <si>
    <t>Mērvien.</t>
  </si>
  <si>
    <t>Skaits uz uz 1 elem</t>
  </si>
  <si>
    <t>Kop.l(m)</t>
  </si>
  <si>
    <t>1 m masa(kg)</t>
  </si>
  <si>
    <t>Kop. masa (kg)</t>
  </si>
  <si>
    <t>Pavisam kopā masa (kg)</t>
  </si>
  <si>
    <t>Balkona margu caurule Ø42x1,5</t>
  </si>
  <si>
    <t>Margu stati, plakantērauds -10x50x1,5, 1100</t>
  </si>
  <si>
    <t>Margu statu konsoles, plakantērauds -10x50x1,5, 200</t>
  </si>
  <si>
    <t>Margu statu režģa elementi, plakantērauds -10x501,5, 4600</t>
  </si>
  <si>
    <t>Plakantērauda joslas -6x30x4700 apšuvuma stiprināšanai</t>
  </si>
  <si>
    <t>Statu atblastplāksne -6x100x150</t>
  </si>
  <si>
    <t>Margu atbalstplātne -6x200x200</t>
  </si>
  <si>
    <t>Visu detaļu kopēja kasrtā cinkošana, ZN pārklājums 80 mikroni</t>
  </si>
  <si>
    <t>m131</t>
  </si>
  <si>
    <t>Cokola siltināšanas darbi</t>
  </si>
  <si>
    <t>Betona apmales demontāža</t>
  </si>
  <si>
    <t>Grunts rakšanas darbi 1,2m dziļumā,1000 mm platumā</t>
  </si>
  <si>
    <t>Cokola sienas sagatavošana siltināšanai - virsmu notīrīšana un gruntēšana,</t>
  </si>
  <si>
    <t>Grunts hidroizolācijai Denbit-R (11kg patēriņš aptuveni 0,5kg/m²) vai ekvivalents</t>
  </si>
  <si>
    <t>Savienojuma vietu šuvju hermatizācija</t>
  </si>
  <si>
    <t>āra hermētiķis</t>
  </si>
  <si>
    <t>Jaunas šķidrās hidroizolācijas uzklāšana  visā siltinājuma augstumā</t>
  </si>
  <si>
    <t>Līmjava CERESIT ZS vai ekvivalents</t>
  </si>
  <si>
    <t>Dībeli virsmas klasifikācija ETA A,B,C galvas Ø60, nagla tērauda 8-10, Punkta siltumatdeves koeficients 0,002 W/K, min iestrādes dziļums &gt;35mm, vai ekvivalents 195mm</t>
  </si>
  <si>
    <t>Atrakto vietu aizbēršana ar esošo minerālgrunti</t>
  </si>
  <si>
    <t>Cokola apmešana ar homogēno masā tonēto apmetumu uz minerālšķiedru sieta (b=7mm) pēc sistēmas AS-1</t>
  </si>
  <si>
    <t>Armējošā līmjava CERESIT ZU vai ekvivalents</t>
  </si>
  <si>
    <t>siets, 160 g/m² stikla šķiedra divās kārtās</t>
  </si>
  <si>
    <t>kpl</t>
  </si>
  <si>
    <t>Jaunu bruģakmens lietusūdens novadīšanas apmaļu ierīkošana:</t>
  </si>
  <si>
    <t>Ģeotekstila plēves ieklāšana</t>
  </si>
  <si>
    <t>Šķembas (fr.40-70mm) kārtas ieklāšana 100mm</t>
  </si>
  <si>
    <t>šķembas</t>
  </si>
  <si>
    <t>Šķembas (fr.0-40mm) kārtas ieklāšana 50mm</t>
  </si>
  <si>
    <t>grants</t>
  </si>
  <si>
    <t>Bruģakmens 700mm biez.likšana 26gb/m²</t>
  </si>
  <si>
    <t>Bortakmens 80x200x1000  malas likšana 1gb/t.m</t>
  </si>
  <si>
    <t>Melnzemes uzbēršana zālāju sējumiem</t>
  </si>
  <si>
    <t>Zālāju sējumu ierīkošana</t>
  </si>
  <si>
    <t>zālāju sēklas</t>
  </si>
  <si>
    <t>Jumta siltināšanas darbi</t>
  </si>
  <si>
    <t>Tehnoloģisko atvērumu 600x800 mm izbūve ribotu dzelzsbetona paneļu plātnē, b=30 mm:</t>
  </si>
  <si>
    <t>* jumta sastāva izgriešana līdz panelim (4*- kārtu ruberoīds, cem.java-20), pa 0,5 m²</t>
  </si>
  <si>
    <t>Tehnoloģisko atvērumu aizbetonēšana pēc bēniņu pārseguma siltināšanas</t>
  </si>
  <si>
    <t>* metāla sijas U-profils Nr.8 atvēruma malās, kop.l=0,8 m;</t>
  </si>
  <si>
    <t>U-profils Nr.8</t>
  </si>
  <si>
    <t>* leņķdzelzs 50x5, metināts pie U-profila sijām, kop.l=0,8 m</t>
  </si>
  <si>
    <t>leņķdzelzs 50x5</t>
  </si>
  <si>
    <t>* stiegru Ø8AIII siets 100x100 mm atvērumu aizbetonēšanai, (0,6x0,8 m),</t>
  </si>
  <si>
    <t>* betons B20 F50, b=50 mm, atvērumu 600x800 mm aizbetonēšanai</t>
  </si>
  <si>
    <t>* mitruma izturīgās OSB plātnes, b=15 mm, 600x800 mm</t>
  </si>
  <si>
    <t>* metāla elementu pretkorozijas krāsošana</t>
  </si>
  <si>
    <t>Jumta seguma iesegums</t>
  </si>
  <si>
    <t>* esošo jumta zonas parapetu, b=80 cm,  attīrīšana</t>
  </si>
  <si>
    <t>*  ruberoīds 2 kārtās jumta segumam un pieslēgumiem pie parapeta, vēdin. izvadiem un lūkām</t>
  </si>
  <si>
    <t>Gāze</t>
  </si>
  <si>
    <t>bal.</t>
  </si>
  <si>
    <t>Ruberoīda papildkārtas ieklāšana savācējpiltuves vietāsØ 500</t>
  </si>
  <si>
    <t>Ruberoids apakš.</t>
  </si>
  <si>
    <t>Bitumena izolācijas ieklāšana savācējpiltuves vietās Ø 500 ,b=4mm</t>
  </si>
  <si>
    <t>kpl.</t>
  </si>
  <si>
    <t>Savienojuma  pārejas veidgabals no esošās PVC caurules un lietus ūdens savienojošo cauruli 1,5-2m</t>
  </si>
  <si>
    <t>gb.</t>
  </si>
  <si>
    <t>Parapetu paaugstināšana, parapetu detaļas pa jumta perimetru:</t>
  </si>
  <si>
    <t>* esošā cinkotā skārda apšuvuma noņemšana no paneļu sienu parapetiem</t>
  </si>
  <si>
    <t>* ārsienu parapetu augšējās virsmas attīrīšana mūra darbu veikšanai-parapetu paaugstināšanai</t>
  </si>
  <si>
    <t>* uz paneļu sienu parapeta uzklāt javas kārtu</t>
  </si>
  <si>
    <t>java</t>
  </si>
  <si>
    <t>Bi armatūra Ø4 starp blokiem</t>
  </si>
  <si>
    <t>* liekti metāla enkuri -4x40, l=750, s=600, parapeta skārda aplocīšanai,</t>
  </si>
  <si>
    <t>* jumta skārds parapetu apšūšanai pēc sienu siltināšanas</t>
  </si>
  <si>
    <t>Skārds</t>
  </si>
  <si>
    <t>2∅12 AII</t>
  </si>
  <si>
    <t>hermētiķis</t>
  </si>
  <si>
    <t>(Līdz jumta atjaunošanai sakaru kabeļi jāpārliek tā, lai netraucētu jumta seguma nomaiņai)</t>
  </si>
  <si>
    <t>Bēniņu pārseguma siltināšana:</t>
  </si>
  <si>
    <t>* būvgružu, citu uzslāņojumu izdedžu siltinājuma izvākšana izvākšana no mikrobēniņu telpas, biezums pieņemts ~0,35 m</t>
  </si>
  <si>
    <t>* tvaika izolācijas ieklāšana uz izlīdzinātas virsmas, ar uzliekumu uz sienām, izvadien, lūkām</t>
  </si>
  <si>
    <t>berama akmensvate</t>
  </si>
  <si>
    <t>* urbumu Ø100 izveidošana augšējos ārsienu paneļos, b=250 mm</t>
  </si>
  <si>
    <t>* gaisa vadu ierīkošana atvērumos, Ø100, ar restīti fasādē un uzliekumu bēniņos, l=1 m</t>
  </si>
  <si>
    <t>Lūku izbūve</t>
  </si>
  <si>
    <t>Metāla roktura elementi:</t>
  </si>
  <si>
    <t>Plāksne -5x60</t>
  </si>
  <si>
    <t>Apaļdzelzs Ø16</t>
  </si>
  <si>
    <t>Kokskrūves Ø4,5</t>
  </si>
  <si>
    <t>Pretkorozijas krāsojums</t>
  </si>
  <si>
    <t>Lūkas karkasa elementi:</t>
  </si>
  <si>
    <t>Karkasa dēļi a×b=120×60</t>
  </si>
  <si>
    <t>Pie lūkas iekšējās betona virsmas
 stirpināmie dēļi a×b=80×40</t>
  </si>
  <si>
    <t>Lūkas vāka ietvetošs dēļu karkass
 a×b=100×120, ar frēzējumu</t>
  </si>
  <si>
    <t>Prettrupes un prettuguns sastāvs</t>
  </si>
  <si>
    <t>KA-1U  vai ekvivalents</t>
  </si>
  <si>
    <t>Lūkas vāka elementi:</t>
  </si>
  <si>
    <t>Koka aploda</t>
  </si>
  <si>
    <t>Vāka iekšpuses siltinājums</t>
  </si>
  <si>
    <t>Finieris, b=17</t>
  </si>
  <si>
    <t>Apšuvuma cinkots skārds</t>
  </si>
  <si>
    <t>Bēniņa lūkas stiprinājuma elementi</t>
  </si>
  <si>
    <t>∟100×6,85</t>
  </si>
  <si>
    <t>Ķīmiskie dībeļi  Ø10</t>
  </si>
  <si>
    <t>Kokskrūves  Ø8</t>
  </si>
  <si>
    <t>Gāzbetona bloku mūris 0,15x0,4x4 m lūkas malu paaugstināšanai</t>
  </si>
  <si>
    <t>Java</t>
  </si>
  <si>
    <t>Bloki</t>
  </si>
  <si>
    <t>Pagraba pārseguma  siltināšanas darbi</t>
  </si>
  <si>
    <t>Dzelzsbetona pārsegumu notīrīšana, izlīdzināšana, sagatavošana siltināšanai</t>
  </si>
  <si>
    <t>Grunts Ceresit CT17 vai ekvivalents</t>
  </si>
  <si>
    <t>Balkonu atjaunošana</t>
  </si>
  <si>
    <t>Balkonu plātnes (1m x 3m) atjaunošana</t>
  </si>
  <si>
    <t>Esošās cementa javas grīdas seguma un sānu malu remonts - izdrupumu un bojājumu aizpildīšana ar javu M100</t>
  </si>
  <si>
    <t>Betona aizsargkārtas nokalšana no plātnes augšas</t>
  </si>
  <si>
    <t>lentas iestrāde</t>
  </si>
  <si>
    <t>Tonēšana gaiši pelēkā tonī U-720</t>
  </si>
  <si>
    <t>Lodžijas pārseguma virsmas atjaunošana:</t>
  </si>
  <si>
    <t xml:space="preserve">Lodžijas metālu margu konstrukciju demontāža </t>
  </si>
  <si>
    <t>Lodžijas metālu margu konstrukciju montāža Tērauda marka S235JRH</t>
  </si>
  <si>
    <t>Skārda nosegpanelis PP20 profils 0,5mm
 (RAL7037 un 1017) 2400×850mm</t>
  </si>
  <si>
    <t>PP20</t>
  </si>
  <si>
    <t>Skrūves</t>
  </si>
  <si>
    <t>Skārda nosegpanelis PP20 profils 0,5mm
 (RAL7037 un 1017) 680×850mm</t>
  </si>
  <si>
    <t>paneļu stiprināšanas kniedes Ø6</t>
  </si>
  <si>
    <t>ķimiskie stirpinājumi dībeļi Ø10, l=120</t>
  </si>
  <si>
    <t>Ieejas mezglu atjaunošana</t>
  </si>
  <si>
    <t>Ieejas mezgli pa asi 3</t>
  </si>
  <si>
    <t>Rakšanas darbi jaunā lieveņa izveidošanai</t>
  </si>
  <si>
    <t>Esošās grunts noblietēšana</t>
  </si>
  <si>
    <t>Vidēji rupjas smilts sagatavojuma kārtas un pildījuma izveidošana, b=100mm</t>
  </si>
  <si>
    <t>smilts</t>
  </si>
  <si>
    <t>Betona bruģakmens, b=60mm</t>
  </si>
  <si>
    <t>Bruģakmens b=60mm iestrāde betonā</t>
  </si>
  <si>
    <t>Betons B15 F50-100, b=160mm; stiegrots ar sietu Ø6AI, 100x100</t>
  </si>
  <si>
    <t>betons</t>
  </si>
  <si>
    <t>AI 6Bpl siets 100x100</t>
  </si>
  <si>
    <t>Sānu malas. Betons B15 F50-100, b=160mm; stiegrots ar sietu Ø6AI, 100x100</t>
  </si>
  <si>
    <t>Ieejas mezgli pa asi 1</t>
  </si>
  <si>
    <t>Esošā lieveņa betona platformas demontāža</t>
  </si>
  <si>
    <t xml:space="preserve"> </t>
  </si>
  <si>
    <t>Pamatnes izveidošana zem pakāpieniem no betona B15, F50, b=0,3m</t>
  </si>
  <si>
    <t>Sausā betona pākāpienu montāža 300×150(h)m l=1850mm</t>
  </si>
  <si>
    <t>kompl</t>
  </si>
  <si>
    <t>Apkures sistēmas pārbūve</t>
  </si>
  <si>
    <t>Koplietošanas  apkures tīkli</t>
  </si>
  <si>
    <t>Esošās apkures sistēmas demontāža</t>
  </si>
  <si>
    <t>k-ts</t>
  </si>
  <si>
    <t>Polipropilēna caurules, Dn50, montāža, stiprināšana pie sienas</t>
  </si>
  <si>
    <t>Polipropilēna caurules, Dn40, montāža, stiprināšana pie sienas</t>
  </si>
  <si>
    <t>Polipropilēna caurules, Dn32, montāža, stiprināšana pie sienas</t>
  </si>
  <si>
    <t>Polipropilēna caurules, Dn25, montāža, stiprināšana pie sienas</t>
  </si>
  <si>
    <t>Polipropilēna caurules, Dn20, montāža, stiprināšana pie sienas</t>
  </si>
  <si>
    <t>Ventilis lodveida; t=110 °C; P=8 bar; Dn50; uzstādīšana</t>
  </si>
  <si>
    <t>gab*</t>
  </si>
  <si>
    <t>Ventilis lodveida; t=110 °C; P=8 bar; Dn32; uzstādīšana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</si>
  <si>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</si>
  <si>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</si>
  <si>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</si>
  <si>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</si>
  <si>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 montāža</t>
  </si>
  <si>
    <t>Polipropilēna cauruļvadu trejgabali Dn50, montāža</t>
  </si>
  <si>
    <t>Polipropilēna cauruļvadu trejgabali Dn40, montāža</t>
  </si>
  <si>
    <t>Polipropilēna cauruļvadu trejgabali Dn25, montāža</t>
  </si>
  <si>
    <t>Polipropilēna cauruļvadu trejgabali Dn20, montāža</t>
  </si>
  <si>
    <t>Polipropilēna cauruļvadu X veida savienojums  Dn20, montāža</t>
  </si>
  <si>
    <t>Polipropilēna cauruļvadu X veida savienojums  Dn32, montāža</t>
  </si>
  <si>
    <t>Polipropilēna cauruļvadu X veida savienojums  Dn25, montāža</t>
  </si>
  <si>
    <t>Polipropilēna cauruļvadu X veida savienojums  Dn15, montāža</t>
  </si>
  <si>
    <t>Polipropilēna cauruļvadu Dn50 pagrieziens 90°, montāža</t>
  </si>
  <si>
    <t>Polipropilēna cauruļvadu Dn32 pagrieziens 90°, montāža</t>
  </si>
  <si>
    <t>Polipropilēna cauruļvadu Dn15 pagrieziens 90°, montāža</t>
  </si>
  <si>
    <t>Atgaisotājs automātisks, t-110°C, P-9 bar, uzstādīšana</t>
  </si>
  <si>
    <t>Cauruļvada Dn50 termokompensācijas balsts, izbūve caur sienu/ griestiem, hermetizācija, apmetuma un krāsojuma atjaunošana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</si>
  <si>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</si>
  <si>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</si>
  <si>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</si>
  <si>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Dn20 termokompensācijas balsts, izbūve caur sienu/ griestiem, hermetizācija, apmetuma un krāsojuma atjaunošana</t>
  </si>
  <si>
    <t>Atvēruma Ø180 izveidošana sienā</t>
  </si>
  <si>
    <t>Cauruļvada Dn50 siltumizolācijas čaula, b=&gt;50 mm,
l= 0.040 W/K×m², caurules siltumizolēšana</t>
  </si>
  <si>
    <t>Cauruļvada Dn40 siltumizolācijas čaula, b=&gt;50 mm,
l= 0.040 W/K×m², caurules siltumizolēšana</t>
  </si>
  <si>
    <t>Cauruļvada Dn32 siltumizolācijas čaula, b=&gt;50 mm,
l= 0.040 W/K×m², caurules siltumizolēšana</t>
  </si>
  <si>
    <t>Cauruļvada Dn25 siltumizolācijas čaula, b=&gt;50 mm,
l= 0.040 W/K×m², caurules siltumizolēšana</t>
  </si>
  <si>
    <t>Cauruļvada Dn20 siltumizolācijas čaula, b=&gt;50 mm,
l= 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</si>
  <si>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</si>
  <si>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</si>
  <si>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</si>
  <si>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Cauruļvadu un metāla konstrukciju gruntēšana ar grunts krāsu GF-020 un krāsošana ar eļļas krāsu</t>
  </si>
  <si>
    <t>Apkures sistēmas ieregulēšana pārbaude un 
nodošana ekspluatācijā</t>
  </si>
  <si>
    <t>Dzīvokļu siltuma uzskaites mezgls (pavisam uzstāda 45 dzīvokļos)</t>
  </si>
  <si>
    <t>Ventilis lodveida; t=110°C; P=8 bar; Dn15</t>
  </si>
  <si>
    <t>Netīrumu savācējs; t=110°C; P=8 bar; Dn15</t>
  </si>
  <si>
    <t>Apkures sistēmas ieregulēšana pārbaude un nodošana ekspluatācijā</t>
  </si>
  <si>
    <t>Ventilācijas sistēma</t>
  </si>
  <si>
    <t>Esošo ventilācijas kanālu (skursteņu, cuku) apskate, tīrīšana</t>
  </si>
  <si>
    <t>Esošo gaisa nosūces restīšu 250*×150* demontāža (virtuvēs un tualetēs)</t>
  </si>
  <si>
    <t>Gaisa nosūces restītes 250*×150*</t>
  </si>
  <si>
    <t>Cauruļvada Dn15 siltumizolācijas čaula, b=&gt;30 mm, caurules siltumizolēšana</t>
  </si>
  <si>
    <t>Trīsistabu dzīvoklim Nr. 1</t>
  </si>
  <si>
    <t>Vara caurule apkurei, Dn15, montāža, stiprināšana pie sienas</t>
  </si>
  <si>
    <t>Vara caurules pagrieziens 90°, Dn15, montāža</t>
  </si>
  <si>
    <t>Vara caurules trejgabals Dn15, montāža</t>
  </si>
  <si>
    <t>Ventilis lodveida; t=110°C; P=8 bar; Dn15; uzstādīšana</t>
  </si>
  <si>
    <t>Cauruļvada Dn15 termokompensējošs balsts, izbūve caur sienu, hermetizācija, apmetuma un krāsojuma atjaunošana</t>
  </si>
  <si>
    <t>Trīsistabu dzīvoklim Nr. 16; 21; 24; 27; 30; 31</t>
  </si>
  <si>
    <t>Divistabu dzīvoklim Nr. 6; 9; 12; 15; 34; 37; 40; 43</t>
  </si>
  <si>
    <t>Vienistabas dzīvoklim Nr. 2; 17</t>
  </si>
  <si>
    <t>Divistabu dzīvoklim Nr. 5; 8; 11; 14; 35; 38; 41; 44</t>
  </si>
  <si>
    <t>Apkures sistēmas ieregulēšana pārbaude un nodošana ekspluatācijā.</t>
  </si>
  <si>
    <t>Vienistabas dzīvoklim Nr. 3; 18; 20; 23; 26; 29</t>
  </si>
  <si>
    <t>Divistabu dzīvoklim Nr. 4; 7; 10; 13; 19; 22; 25; 28; 36; 39; 42; 45</t>
  </si>
  <si>
    <t>Vienistabas dzīvoklim Nr. 32</t>
  </si>
  <si>
    <t>Grīdas seguma uzlaušana, atjaunošana 0.2 m² platībā</t>
  </si>
  <si>
    <t>Divistabu dzīvoklim Nr. 33</t>
  </si>
  <si>
    <t>Zibensaizsardzība</t>
  </si>
  <si>
    <t>GA/GAT</t>
  </si>
  <si>
    <t>Zemējuma lente 30x3.5mm, cinkots tērauds, 62m/rullis</t>
  </si>
  <si>
    <t>PROPSTER/100 335</t>
  </si>
  <si>
    <t>Zemējuma stienis Ø20mm 1.5m ar šlicēm A-tips, c. tērauda</t>
  </si>
  <si>
    <t>PROPSTER/110 020</t>
  </si>
  <si>
    <t>gab.</t>
  </si>
  <si>
    <t xml:space="preserve">Elektroda spice </t>
  </si>
  <si>
    <t>PROPSTER/2058</t>
  </si>
  <si>
    <t>Pieslēgspaile pie zemējuma stieņa</t>
  </si>
  <si>
    <t xml:space="preserve">PROPSTER/JP-2021
</t>
  </si>
  <si>
    <t>PROPSTER/1343</t>
  </si>
  <si>
    <t>PROPSTER/1340</t>
  </si>
  <si>
    <t>Savienotājklemme</t>
  </si>
  <si>
    <t>PROPSTER/2100</t>
  </si>
  <si>
    <t>Zemējuma stieple Ø10mm, tŗauda 84m/rullis</t>
  </si>
  <si>
    <t>PROPSTER/1000010</t>
  </si>
  <si>
    <t>Pretkorozijas lenta 50mm 10m/rullis</t>
  </si>
  <si>
    <t>PROPSTER/1024</t>
  </si>
  <si>
    <t>Sienas stiprinājumi stieplei</t>
  </si>
  <si>
    <t>PROPSTER /110 056 S</t>
  </si>
  <si>
    <t>PROPSTER/111 270 S</t>
  </si>
  <si>
    <t>Multiklemme stieples savienošanai</t>
  </si>
  <si>
    <t>PROPSTER / 1270</t>
  </si>
  <si>
    <t>PROPSTER /  1339</t>
  </si>
  <si>
    <t>Zibens uztvērēja stieple Ø8mm, alumīnija 148m/rullis</t>
  </si>
  <si>
    <t>PROPSTER / 100 019</t>
  </si>
  <si>
    <t>Stieples turētāji pie jumta</t>
  </si>
  <si>
    <t>PROPSTER / 111 730</t>
  </si>
  <si>
    <t>Stieples un turētājstieņa savienojums</t>
  </si>
  <si>
    <t>PROPSTER / 1313</t>
  </si>
  <si>
    <t>Cauruļu sazemēšanas klemme</t>
  </si>
  <si>
    <t>PROPSTER / 111 260</t>
  </si>
  <si>
    <t>Zibens uztvērējstienis Ø16/10mm 3m, alumīnijs</t>
  </si>
  <si>
    <t>PROPSTER / 103 114</t>
  </si>
  <si>
    <t>Zibens uztvērēja stiprinājuma komplekts 2.gab</t>
  </si>
  <si>
    <t>kompl.</t>
  </si>
  <si>
    <t>Tranšejas rakšana un aizbēršana</t>
  </si>
  <si>
    <t xml:space="preserve">Signallente </t>
  </si>
  <si>
    <t xml:space="preserve">Pacēlājs </t>
  </si>
  <si>
    <t>Mērijumi</t>
  </si>
  <si>
    <t xml:space="preserve">Dokumentācijas noformēšana </t>
  </si>
  <si>
    <t>st.</t>
  </si>
  <si>
    <t>Gāzes apgāde</t>
  </si>
  <si>
    <t>Gāzesvada pievads</t>
  </si>
  <si>
    <t>Dn32-50</t>
  </si>
  <si>
    <t>Finanšu rezerve</t>
  </si>
  <si>
    <t>hidroizolācija Sakret TCM vai ekvivalents</t>
  </si>
  <si>
    <t>Ēkas sienas un balkona plātnes pieslēguma vietā, grunts, putupolistirola plāksne (Estrudētais putu polistirols Tenapors extra EPS100 vai ekvivalents, λ=0,034W/m²K)  b=150mm, līmjava, vertikālā hidroizolācija, grunts. Vieglbetona panelis 250mm</t>
  </si>
  <si>
    <t>Pamatu sienas, grunts, putupolistirola plāksne (Estrudētais putu polistirols EPS100 vai ekvivalents, λ=0,037W/m²K)  b=100mm, līmjava, vertikālā hidroizolācija, grunts. Esošā   siena -ribotais panelis</t>
  </si>
  <si>
    <t>Enkura stienis iepildāmajai enkurmasai (A4 SS) M8 Hilti HIT-Z-R, l=80 vai ekvivalents statu enkurošanai</t>
  </si>
  <si>
    <t>Enkura stienis iepildāmajai enkurmasai (A4 SS) M10 Hilti HIT-Z-R, l=135 vai ekvivalents margu enkurošanai</t>
  </si>
  <si>
    <t>Injicējama java HIT-HY 200-A 330/2/EE vai ekvivalents</t>
  </si>
  <si>
    <t>Grunts Sakret UG (jāšķaida 1:3) vai ekvivalents</t>
  </si>
  <si>
    <t>Līmjava  Sakret BAK vai ekvivalents</t>
  </si>
  <si>
    <t>Zemapmetuma PVC  ārējā stūra profila montāža EC-100/150-25 vai ekvivalents</t>
  </si>
  <si>
    <t>Zemapmetuma PVC  loga pielaiduma profila montāža  EW-09-24 vai ekvivalents</t>
  </si>
  <si>
    <t>Zemapmetuma PVC logailas augšas profila montāža  ED-C(01)-25 vai ekvivalents</t>
  </si>
  <si>
    <t>Zemapmetuma palodzes PVC profila montāža EW-US(01)-20 vai ekvivalents</t>
  </si>
  <si>
    <t>Zemapmetuma cokola PVC profila montēšana  EB-PVC-20 + ED-B(PVC)-20 vai ekvivalents</t>
  </si>
  <si>
    <t>Stūra profils ar armējumu visā augstumā visos ēkas ārējos stūros / EC-100-150-25 vai ekvivalents</t>
  </si>
  <si>
    <t>stūra profils (Sakret ALB-EC-U-R250 vai ekvivalents).</t>
  </si>
  <si>
    <t>Knauf mitrumizturīgā ģipškartona plātne GKBI vai ekvivalents</t>
  </si>
  <si>
    <t>Līmjava Ceresit CT 190 vai ekvivalents</t>
  </si>
  <si>
    <t>špaktele Vetonit LR vai ekvivalents</t>
  </si>
  <si>
    <t>Krāsa Ceresit CT 48 vai ekvivalents</t>
  </si>
  <si>
    <t>Universāli pielietojama, koncentrēta (ap 60%) bituma hidroizolējoša emulsija ekvivalenta Weber 901 vai ekvivalents bez šķīdinātājiem</t>
  </si>
  <si>
    <t>Elastīgs, hidroizolējošs bituma maisījums bez šķīdinātājiem (4-5l/m²) Weber 915 vai ekvivalents</t>
  </si>
  <si>
    <t>Estrudētais putu polistirols Tenapors Neo EPS100 vai ekvivalents</t>
  </si>
  <si>
    <t>Grunts Sakret QG (patēriņš palielināts 0,6kg/m2) vai ekvivalents</t>
  </si>
  <si>
    <t>Apmetums Sakret GAP vai ekvivalents</t>
  </si>
  <si>
    <t>grunts Korrostop vai ekvivalents</t>
  </si>
  <si>
    <t>* stūra elementi 100x100, Paroc ROB 60 vai ekvivalents, gar parapetiem, izvadiem un lūkām</t>
  </si>
  <si>
    <t>Projektēta apakšējā  ruberoīda kārta, 10 EKP 3.0 vai ekvivalents</t>
  </si>
  <si>
    <t>Projektēta augšējā ruberoīda kārta, 15 EKP 4.5 vai ekvivalents</t>
  </si>
  <si>
    <t>Keramzīta bloki FIBO vai ekvivalents 250mm, 3MPa</t>
  </si>
  <si>
    <t>Lietus ūdens HL62 vai ekvivalents piltuve Ø160 ar aptveri no nerūs tērauda lapu režģi un pagarinošās caurules nomaiņa esošajās vietās</t>
  </si>
  <si>
    <t>Mūrjava weber M100/600 vai ekvivalents</t>
  </si>
  <si>
    <t>Piekarāķa parametri (paredzētas x vietas): Piekarāķis M20, L=310mm SOT101.2  vai ekvivalents cauri balstam - esošai bēniņu sienai 250mm Piekarāķi izmanto izolētiem gaisvadiem, servisa kabeļiem, kā arī XLP - izolētiem kabeļiem pagrieziena vai enkurbalstos. Piekarāķis ir aprīkots ar noslēgplāksni un izgatavots no karsti cinkota tērauda.Svars: 1.8 kg. Pārbaudes slodze: 30.6 Fx/kN, Pārbaudes slodze: 6.7 Fy/kN</t>
  </si>
  <si>
    <t>Līmjava Ceresit CT180 vai ekvivalents</t>
  </si>
  <si>
    <t>java M100 - Sakret ZM M10 (1m3=1700kg) vai ekvivalents</t>
  </si>
  <si>
    <t>Cementa javas m² grīdas ierīkošana ar slīpumu, pievienojot hidroizolējošu cementa piedevu Sika-1  vai ekvivalents  Sakret BAM vai ekvivalents</t>
  </si>
  <si>
    <t>cementa java Sakret BAM (1m3=1550kg) vai ekvivalents</t>
  </si>
  <si>
    <t>Stiegru apstrāde ar suspensiju SAKRET  Mineralischer Korrosionsschutz und Haftbrücke K&amp;H  (pretkorozijas un kontaktjava, atbilst standartam  EN 1504-7) vai ekvivalents</t>
  </si>
  <si>
    <t>SAKRET  Mineralischer Korrosionsschutz und Haftbrücke K&amp;H patēriņš aptuveni 1,7 kg/m² vai ekvivalents</t>
  </si>
  <si>
    <t>SAKRET Unireparatur Moertel  R3* (3-40mm) (remontjava, atbilst standartam EN 1504-3, spiedes stiprības klase R 3)patēriņš aptuveni 2,0 kg/m²/mm vai ekvivalents</t>
  </si>
  <si>
    <t>SAKRET  Feinspachtel PCC 05  (2-5mm)  patēriņš aptuveni 1,5 kg/m²/mm vai ekvivalents</t>
  </si>
  <si>
    <t>Balkona virsmas krāsošana ar vienkomponenta uretāna alkīdu emaļu Flurethane Floor Paint vai ekvivalentu</t>
  </si>
  <si>
    <t>FLUGGER Flurethane Floor Paint (3L) patēriņš aptuveni 0,3l/m² vai ekvivalents</t>
  </si>
  <si>
    <t>Automātiskais balansējošais vārsts ASV - I,  Dn25; t=110°C; P=8 bar firmas "Danfoss" vai ekvivalents, uzstādīšana, ieregulēšana</t>
  </si>
  <si>
    <t>Automātiskais balansējošais vārsts ASV - PV Dn25; t=110°C; P=8 bar firmas "Danfoss" vai ekvivalents, uzstādīšana, ieregulēšana</t>
  </si>
  <si>
    <t>Vēdināšanas komplekts Fresh 100 Thermo vai ekvivalents, Ø 102mm, montāža ārsienā</t>
  </si>
  <si>
    <t>Sildķermeņa pievienojuma krāns firmas Danfoss, RLV vai ekvivalents komplektā ar tukšošanas krānu  t=110°C; P=8bar; Dn15</t>
  </si>
  <si>
    <t>Vario vai ekvivalents atdalītājklemme lenta / lenta</t>
  </si>
  <si>
    <t>Vario vai ekvivalents atdalītājklemme stieple / lenta</t>
  </si>
  <si>
    <t>Pievienojuma klemme pie jumta Multi-Plus (DBP) vai ekvivalents</t>
  </si>
  <si>
    <t>Vario vai ekvivalents atdalītājkklemme stieple /stieple</t>
  </si>
  <si>
    <t>Tāme sastādīta _____. gada ____. ____________</t>
  </si>
  <si>
    <t>Par kopējo summu</t>
  </si>
  <si>
    <t>Tāme sastādīta</t>
  </si>
  <si>
    <t xml:space="preserve">Tāme sastādīta _____. gada tirgus cenās, pamatojoties uz </t>
  </si>
  <si>
    <r>
      <t>Darba samaksas likme,</t>
    </r>
    <r>
      <rPr>
        <sz val="8"/>
        <rFont val="Arial"/>
        <family val="2"/>
        <charset val="186"/>
      </rPr>
      <t>euro/h</t>
    </r>
  </si>
  <si>
    <t>Būvizstrādājumi, euro</t>
  </si>
  <si>
    <t>Kopā,euro</t>
  </si>
  <si>
    <t>Būvizstrādājumi,euro</t>
  </si>
  <si>
    <t>Plātnes apakšas aizsargkārtas atjaunošana ar remontjavu  SAKRET Unireparatur Moertel  R3* (3-40mm) (remontjava, atbilst standartam EN 1504-3, spiedes stiprības klase R 3)
 15mm biezumā vai ekvivalents</t>
  </si>
  <si>
    <t>Plātnes apakšējās virsmas špaktelēšana pirms krāsošanas SAKRET  Feinspachtel PCC 05  (2-5mm) ( plānkārtas špaktele betonam, atbilst standartam EN 1504-3) vai ekvivalents</t>
  </si>
  <si>
    <t xml:space="preserve">Balkona virsmas hidroizolācijas slāņa izveidošana izmantojot  kristalizējošu hidroizolāciju (slāņa biezums ne mazāks par 2,5mm) un hidroizolācijas lentu </t>
  </si>
  <si>
    <t>AVK</t>
  </si>
  <si>
    <r>
      <t>Pavisam 1</t>
    </r>
    <r>
      <rPr>
        <b/>
        <sz val="8"/>
        <color theme="1"/>
        <rFont val="Arial"/>
        <family val="2"/>
        <charset val="186"/>
      </rPr>
      <t xml:space="preserve"> </t>
    </r>
    <r>
      <rPr>
        <sz val="8"/>
        <color theme="1"/>
        <rFont val="Arial"/>
        <family val="2"/>
        <charset val="186"/>
      </rPr>
      <t>šāds dzīvoklis</t>
    </r>
  </si>
  <si>
    <r>
      <t>Pavisam 6</t>
    </r>
    <r>
      <rPr>
        <b/>
        <sz val="8"/>
        <color theme="1"/>
        <rFont val="Arial"/>
        <family val="2"/>
        <charset val="186"/>
      </rPr>
      <t xml:space="preserve"> </t>
    </r>
    <r>
      <rPr>
        <sz val="8"/>
        <color theme="1"/>
        <rFont val="Arial"/>
        <family val="2"/>
        <charset val="186"/>
      </rPr>
      <t>šādi dzīvokļi</t>
    </r>
  </si>
  <si>
    <r>
      <t>Pavisam 8</t>
    </r>
    <r>
      <rPr>
        <b/>
        <sz val="8"/>
        <color theme="1"/>
        <rFont val="Arial"/>
        <family val="2"/>
        <charset val="186"/>
      </rPr>
      <t xml:space="preserve"> </t>
    </r>
    <r>
      <rPr>
        <sz val="8"/>
        <color theme="1"/>
        <rFont val="Arial"/>
        <family val="2"/>
        <charset val="186"/>
      </rPr>
      <t>šādi dzīvokļi</t>
    </r>
  </si>
  <si>
    <r>
      <t>Pavisam 2</t>
    </r>
    <r>
      <rPr>
        <b/>
        <sz val="8"/>
        <color theme="1"/>
        <rFont val="Arial"/>
        <family val="2"/>
        <charset val="186"/>
      </rPr>
      <t xml:space="preserve"> </t>
    </r>
    <r>
      <rPr>
        <sz val="8"/>
        <color theme="1"/>
        <rFont val="Arial"/>
        <family val="2"/>
        <charset val="186"/>
      </rPr>
      <t>šādi dzīvokļi</t>
    </r>
  </si>
  <si>
    <r>
      <t>Pavisam 12</t>
    </r>
    <r>
      <rPr>
        <b/>
        <sz val="8"/>
        <color theme="1"/>
        <rFont val="Arial"/>
        <family val="2"/>
        <charset val="186"/>
      </rPr>
      <t xml:space="preserve"> </t>
    </r>
    <r>
      <rPr>
        <sz val="8"/>
        <color theme="1"/>
        <rFont val="Arial"/>
        <family val="2"/>
        <charset val="186"/>
      </rPr>
      <t>šādi dzīvokļi</t>
    </r>
  </si>
  <si>
    <t>____. gada __. ______________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</si>
  <si>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</si>
  <si>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Slēdzams metāla skapis (siltuma skaitītāja uzstādīšanai) komplektā ar 2 atslēgām</t>
  </si>
  <si>
    <t>Termoregulators (vārsts) firmas Danfoss AR 1/2" RA-N 15 vai ekvivalents ar termostatisko sensoru RAS-C 5023 vai ekvivalents, t-120°C, P-10 bar, DP- 0.6 bar</t>
  </si>
  <si>
    <r>
      <t xml:space="preserve">Līmjava </t>
    </r>
    <r>
      <rPr>
        <sz val="8"/>
        <color rgb="FFFF0000"/>
        <rFont val="Arial"/>
        <family val="2"/>
        <charset val="186"/>
      </rPr>
      <t>Sakret BK</t>
    </r>
    <r>
      <rPr>
        <sz val="8"/>
        <rFont val="Arial"/>
        <family val="2"/>
        <charset val="186"/>
      </rPr>
      <t xml:space="preserve"> vai ekvivalents</t>
    </r>
  </si>
  <si>
    <t>Silikona homogēnais apmetums Sakret SIP vai ekvivalents, 2mm graudu lielums</t>
  </si>
  <si>
    <t>Esošo pagaraba ailu aizmūrējumu vietu demontāža pagraba logu L3 un restu montāžai</t>
  </si>
  <si>
    <t>kmpl.</t>
  </si>
  <si>
    <t>Balkonu tēraudu margu demontāža</t>
  </si>
  <si>
    <t>Blīvējošās lentas montēšana starp logu-durvju aili un logu-durvju rāmi u.c. vietām.</t>
  </si>
  <si>
    <t xml:space="preserve">Aizmugurējās fasādes durvis ĀD-1. Cinkotas metāla durviss slēdzamas. Pārklājuma biezums min 80 mikroni. Uw=1.6 W/m2/K. </t>
  </si>
  <si>
    <t>Alumīnija ieejas rietumu fāsādes ārdurvis, ĀD-2
tērauda konstrukcijas, slēdzamas, ar koda atslēgu . 
Stikls rāmī virs durvīm un durvīs,  Uw=1.6 W/m2/K.
integrējot esošo koda atslēgu tajās</t>
  </si>
  <si>
    <t>Slēdzamas metāla konstrukcijas iekšdurvis uz pagraba telpām no kāpņu telpas.Uw=1.6 W/m2/K.</t>
  </si>
  <si>
    <t>D1</t>
  </si>
  <si>
    <t>Betona bruģis b=60mm</t>
  </si>
  <si>
    <r>
      <t xml:space="preserve">Grants izsiju ieklāšana </t>
    </r>
    <r>
      <rPr>
        <sz val="8"/>
        <color rgb="FFFF0000"/>
        <rFont val="Arial"/>
        <family val="2"/>
        <charset val="186"/>
      </rPr>
      <t>70mm</t>
    </r>
  </si>
  <si>
    <t>Betons b15</t>
  </si>
  <si>
    <t>Melnzeme 0,3m</t>
  </si>
  <si>
    <t>* dzelzsbetona plātnes 600x800 izzāģēsana ar b=30 mm, katrai vietai pa 0,5 m²</t>
  </si>
  <si>
    <r>
      <t>Esošo</t>
    </r>
    <r>
      <rPr>
        <sz val="8"/>
        <color rgb="FFFF0000"/>
        <rFont val="Arial"/>
        <family val="2"/>
        <charset val="186"/>
      </rPr>
      <t xml:space="preserve"> balkonu </t>
    </r>
    <r>
      <rPr>
        <sz val="8"/>
        <rFont val="Arial"/>
        <family val="2"/>
        <charset val="186"/>
      </rPr>
      <t xml:space="preserve">aizstiklojumu demontāža 3×1,8, </t>
    </r>
    <r>
      <rPr>
        <sz val="8"/>
        <color rgb="FFFF0000"/>
        <rFont val="Arial"/>
        <family val="2"/>
        <charset val="186"/>
      </rPr>
      <t>12.gb</t>
    </r>
  </si>
  <si>
    <t>kmpl</t>
  </si>
  <si>
    <t xml:space="preserve"> Ar speciālajiem stiprinājiem caur siltumizolācijas slāni stiprinot pamatsienas plaknē ķīļenkuri M10x200, 1 gb</t>
  </si>
  <si>
    <t>ķim masa</t>
  </si>
  <si>
    <t>vietas</t>
  </si>
  <si>
    <t xml:space="preserve">Jumta margas motāža </t>
  </si>
  <si>
    <t>Metāla plāksne: - 6x40; l=725, s=1,2m</t>
  </si>
  <si>
    <t>Metāla plāksne: - 6x60; l=70, s=1,2m</t>
  </si>
  <si>
    <t>Enkurstienis betonam Ø8, l=0,150m</t>
  </si>
  <si>
    <t xml:space="preserve">ķīm. Enkurmasu ekvivalents WIT-VM250 </t>
  </si>
  <si>
    <t>Jumtiņš, 3000×1000* alumīnija rāmī ar akrila necaurspīdīgu iesegumu.  Montējams atbilstoši ražotāja norādījumiem.</t>
  </si>
  <si>
    <t>šuvju vietas hermatizācija</t>
  </si>
  <si>
    <t>Stirpinājumu iestrāde Ø6-50mm</t>
  </si>
  <si>
    <t>Divkomponentu hidroizolācija Sakret TCM vai ekvivalents iestrāde 3.kārtas. Patēriņš (divās kārtās, ja vienas kārtas biezums 1mm), 2,8kg/m².</t>
  </si>
  <si>
    <t>Noseglāsenis cinkonts l=0,4m (garunā iekļauts 89° locījums un lietus ūdeņa aizloce), 0,6mm ar lietus novadīšana</t>
  </si>
  <si>
    <t>Balansējošais vārsts MSV-B; firmas Danfoss vai ekvivalents Dn15; uzstādīšana, ieregulēšana</t>
  </si>
  <si>
    <t>Esošā gāzes ievada mezgla demontāža ar esošā atzara, kas atrodas zemē, aizmetināšanu</t>
  </si>
  <si>
    <t>Pārsegumu siltumizolācijas ieklāšana (beramā akmensvate, Granrock vai ekvivalents λ=0,041W/mK b=300mm (ieskaitot sablīvēšanas koef.1.1))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</si>
</sst>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\-??_-;_-@_-"/>
    <numFmt numFmtId="165" formatCode="_-* #,##0.00\ _L_s_-;\-* #,##0.00\ _L_s_-;_-* \-??\ _L_s_-;_-@_-"/>
    <numFmt numFmtId="166" formatCode="0.0"/>
    <numFmt numFmtId="167" formatCode="_(* #,##0.00_);_(* \(#,##0.00\);_(* \-??_);_(@_)"/>
    <numFmt numFmtId="168" formatCode="0.000"/>
    <numFmt numFmtId="169" formatCode="0.0000"/>
    <numFmt numFmtId="170" formatCode="_-&quot;Ls &quot;* #,##0.00_-;&quot;-Ls &quot;* #,##0.00_-;_-&quot;Ls &quot;* \-??_-;_-@_-"/>
    <numFmt numFmtId="171" formatCode="_-* #,##0.00&quot;р.&quot;_-;\-* #,##0.00&quot;р.&quot;_-;_-* \-??&quot;р.&quot;_-;_-@_-"/>
  </numFmts>
  <fonts count="29" x14ac:knownFonts="1">
    <font>
      <sz val="11"/>
      <color rgb="FF000000"/>
      <name val="Calibri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i/>
      <sz val="8"/>
      <name val="Arial"/>
      <family val="2"/>
      <charset val="186"/>
    </font>
    <font>
      <sz val="8"/>
      <name val="Calibri"/>
      <family val="2"/>
      <charset val="186"/>
    </font>
    <font>
      <sz val="8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8"/>
      <color rgb="FFFF0000"/>
      <name val="Calibri"/>
      <family val="2"/>
      <charset val="186"/>
    </font>
    <font>
      <b/>
      <sz val="8"/>
      <name val="Calibri"/>
      <family val="2"/>
      <charset val="186"/>
    </font>
    <font>
      <u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rgb="FF414142"/>
      <name val="Arial"/>
      <family val="2"/>
      <charset val="186"/>
    </font>
    <font>
      <i/>
      <sz val="8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i/>
      <sz val="8"/>
      <color indexed="23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8"/>
      <color rgb="FF7F7F7F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42"/>
        <bgColor indexed="27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1414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164" fontId="15" fillId="0" borderId="0" applyBorder="0" applyProtection="0"/>
    <xf numFmtId="0" fontId="15" fillId="0" borderId="0"/>
    <xf numFmtId="0" fontId="21" fillId="0" borderId="0"/>
    <xf numFmtId="164" fontId="24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71" fontId="21" fillId="0" borderId="0" applyFill="0" applyBorder="0" applyAlignment="0" applyProtection="0"/>
    <xf numFmtId="0" fontId="23" fillId="0" borderId="0" applyNumberFormat="0" applyFill="0" applyBorder="0" applyAlignment="0" applyProtection="0"/>
    <xf numFmtId="0" fontId="22" fillId="3" borderId="0" applyBorder="0" applyProtection="0"/>
    <xf numFmtId="0" fontId="23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textRotation="90"/>
    </xf>
    <xf numFmtId="0" fontId="24" fillId="0" borderId="0"/>
    <xf numFmtId="0" fontId="21" fillId="0" borderId="0"/>
    <xf numFmtId="0" fontId="24" fillId="0" borderId="0">
      <alignment textRotation="90"/>
    </xf>
    <xf numFmtId="0" fontId="24" fillId="0" borderId="0"/>
    <xf numFmtId="0" fontId="24" fillId="0" borderId="0"/>
    <xf numFmtId="0" fontId="25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6" fillId="0" borderId="0"/>
    <xf numFmtId="9" fontId="2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 applyNumberFormat="0" applyFill="0" applyBorder="0" applyAlignment="0" applyProtection="0"/>
    <xf numFmtId="9" fontId="28" fillId="0" borderId="0" applyFill="0" applyBorder="0" applyAlignment="0" applyProtection="0"/>
  </cellStyleXfs>
  <cellXfs count="340">
    <xf numFmtId="0" fontId="0" fillId="0" borderId="0" xfId="0"/>
    <xf numFmtId="0" fontId="4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vertical="center" wrapText="1"/>
    </xf>
    <xf numFmtId="2" fontId="6" fillId="0" borderId="0" xfId="2" applyNumberFormat="1" applyFont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6" fillId="0" borderId="8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vertical="center"/>
    </xf>
    <xf numFmtId="2" fontId="6" fillId="0" borderId="8" xfId="2" applyNumberFormat="1" applyFont="1" applyBorder="1" applyAlignment="1" applyProtection="1">
      <alignment horizontal="center" vertical="center" wrapText="1"/>
    </xf>
    <xf numFmtId="2" fontId="6" fillId="0" borderId="0" xfId="2" applyNumberFormat="1" applyFont="1" applyBorder="1" applyAlignment="1" applyProtection="1">
      <alignment horizontal="center" vertical="center" wrapText="1"/>
    </xf>
    <xf numFmtId="2" fontId="5" fillId="0" borderId="0" xfId="2" applyNumberFormat="1" applyFont="1" applyBorder="1" applyAlignment="1" applyProtection="1">
      <alignment horizontal="center" vertical="center" wrapText="1"/>
    </xf>
    <xf numFmtId="9" fontId="6" fillId="0" borderId="0" xfId="2" applyNumberFormat="1" applyFont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 textRotation="90" wrapText="1"/>
    </xf>
    <xf numFmtId="0" fontId="4" fillId="0" borderId="8" xfId="2" applyFont="1" applyBorder="1" applyAlignment="1" applyProtection="1">
      <alignment horizontal="center" vertical="center"/>
    </xf>
    <xf numFmtId="167" fontId="6" fillId="0" borderId="8" xfId="2" applyNumberFormat="1" applyFont="1" applyBorder="1" applyAlignment="1" applyProtection="1">
      <alignment horizontal="center" vertical="center" wrapText="1"/>
    </xf>
    <xf numFmtId="164" fontId="6" fillId="0" borderId="8" xfId="1" applyFont="1" applyBorder="1" applyAlignment="1" applyProtection="1">
      <alignment horizontal="center" vertical="center"/>
    </xf>
    <xf numFmtId="164" fontId="6" fillId="0" borderId="8" xfId="1" applyFont="1" applyBorder="1" applyAlignment="1" applyProtection="1">
      <alignment horizontal="center" vertical="center" wrapText="1"/>
    </xf>
    <xf numFmtId="166" fontId="6" fillId="0" borderId="8" xfId="2" applyNumberFormat="1" applyFont="1" applyBorder="1" applyAlignment="1" applyProtection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 applyProtection="1">
      <alignment horizontal="center" vertical="center" wrapText="1"/>
    </xf>
    <xf numFmtId="167" fontId="6" fillId="2" borderId="8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8" xfId="2" applyNumberFormat="1" applyFont="1" applyBorder="1" applyAlignment="1" applyProtection="1">
      <alignment horizontal="center" vertical="center" wrapText="1"/>
    </xf>
    <xf numFmtId="2" fontId="9" fillId="0" borderId="8" xfId="2" applyNumberFormat="1" applyFont="1" applyBorder="1" applyAlignment="1" applyProtection="1">
      <alignment horizontal="center" vertical="center" wrapText="1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2" fontId="6" fillId="2" borderId="8" xfId="2" applyNumberFormat="1" applyFont="1" applyFill="1" applyBorder="1" applyAlignment="1" applyProtection="1">
      <alignment horizontal="center" vertical="center" wrapText="1"/>
    </xf>
    <xf numFmtId="1" fontId="6" fillId="0" borderId="8" xfId="2" applyNumberFormat="1" applyFont="1" applyBorder="1" applyAlignment="1" applyProtection="1">
      <alignment horizontal="center" vertical="center" wrapText="1"/>
    </xf>
    <xf numFmtId="164" fontId="6" fillId="0" borderId="8" xfId="2" applyNumberFormat="1" applyFont="1" applyBorder="1" applyAlignment="1" applyProtection="1">
      <alignment horizontal="center" vertical="center" wrapText="1"/>
    </xf>
    <xf numFmtId="49" fontId="6" fillId="0" borderId="0" xfId="2" applyNumberFormat="1" applyFont="1" applyBorder="1" applyAlignment="1" applyProtection="1">
      <alignment horizontal="center" vertical="center" wrapText="1"/>
    </xf>
    <xf numFmtId="166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  <protection locked="0"/>
    </xf>
    <xf numFmtId="2" fontId="6" fillId="0" borderId="0" xfId="2" applyNumberFormat="1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 textRotation="90" wrapText="1"/>
    </xf>
    <xf numFmtId="0" fontId="4" fillId="0" borderId="0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vertical="center" wrapText="1"/>
    </xf>
    <xf numFmtId="164" fontId="6" fillId="0" borderId="0" xfId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6" fillId="0" borderId="8" xfId="2" applyNumberFormat="1" applyFont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vertical="center" wrapText="1"/>
    </xf>
    <xf numFmtId="166" fontId="6" fillId="2" borderId="8" xfId="2" applyNumberFormat="1" applyFont="1" applyFill="1" applyBorder="1" applyAlignment="1" applyProtection="1">
      <alignment horizontal="center" vertical="center" wrapText="1"/>
    </xf>
    <xf numFmtId="2" fontId="5" fillId="2" borderId="8" xfId="2" applyNumberFormat="1" applyFont="1" applyFill="1" applyBorder="1" applyAlignment="1" applyProtection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8" fontId="6" fillId="0" borderId="8" xfId="2" applyNumberFormat="1" applyFont="1" applyBorder="1" applyAlignment="1" applyProtection="1">
      <alignment horizontal="center" vertical="center" wrapText="1"/>
    </xf>
    <xf numFmtId="166" fontId="5" fillId="0" borderId="8" xfId="2" applyNumberFormat="1" applyFont="1" applyBorder="1" applyAlignment="1" applyProtection="1">
      <alignment horizontal="center" vertical="center" wrapText="1"/>
    </xf>
    <xf numFmtId="2" fontId="5" fillId="0" borderId="8" xfId="2" applyNumberFormat="1" applyFont="1" applyBorder="1" applyAlignment="1" applyProtection="1">
      <alignment horizontal="center" vertical="center" wrapText="1"/>
    </xf>
    <xf numFmtId="2" fontId="12" fillId="0" borderId="0" xfId="0" applyNumberFormat="1" applyFont="1" applyAlignment="1">
      <alignment vertical="center"/>
    </xf>
    <xf numFmtId="0" fontId="6" fillId="0" borderId="13" xfId="0" applyFont="1" applyBorder="1" applyAlignment="1">
      <alignment vertical="center"/>
    </xf>
    <xf numFmtId="164" fontId="6" fillId="0" borderId="14" xfId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13" fillId="0" borderId="8" xfId="2" applyNumberFormat="1" applyFont="1" applyBorder="1" applyAlignment="1" applyProtection="1">
      <alignment horizontal="center" vertical="center" wrapText="1"/>
    </xf>
    <xf numFmtId="2" fontId="6" fillId="0" borderId="13" xfId="2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2" fontId="6" fillId="0" borderId="10" xfId="2" applyNumberFormat="1" applyFont="1" applyBorder="1" applyAlignment="1" applyProtection="1">
      <alignment horizontal="center" vertical="center"/>
    </xf>
    <xf numFmtId="0" fontId="5" fillId="0" borderId="8" xfId="0" applyFont="1" applyBorder="1" applyAlignment="1">
      <alignment vertical="center" wrapText="1"/>
    </xf>
    <xf numFmtId="2" fontId="6" fillId="0" borderId="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2" fontId="6" fillId="0" borderId="8" xfId="1" applyNumberFormat="1" applyFont="1" applyBorder="1" applyAlignment="1" applyProtection="1">
      <alignment horizontal="center" vertical="center" wrapText="1"/>
    </xf>
    <xf numFmtId="49" fontId="6" fillId="0" borderId="7" xfId="2" applyNumberFormat="1" applyFont="1" applyBorder="1" applyAlignment="1" applyProtection="1">
      <alignment horizontal="center" vertical="center" wrapText="1"/>
    </xf>
    <xf numFmtId="0" fontId="6" fillId="0" borderId="7" xfId="2" applyFont="1" applyBorder="1" applyAlignment="1" applyProtection="1">
      <alignment horizontal="center" vertical="center" wrapText="1"/>
    </xf>
    <xf numFmtId="0" fontId="6" fillId="0" borderId="18" xfId="2" applyFont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4" xfId="1" applyNumberFormat="1" applyFont="1" applyBorder="1" applyAlignment="1" applyProtection="1">
      <alignment horizontal="center" vertical="center" wrapText="1"/>
    </xf>
    <xf numFmtId="2" fontId="6" fillId="0" borderId="8" xfId="2" applyNumberFormat="1" applyFont="1" applyBorder="1" applyAlignment="1" applyProtection="1">
      <alignment vertical="center" wrapText="1"/>
    </xf>
    <xf numFmtId="166" fontId="6" fillId="0" borderId="8" xfId="2" applyNumberFormat="1" applyFont="1" applyBorder="1" applyAlignment="1" applyProtection="1">
      <alignment horizontal="center" vertical="center"/>
    </xf>
    <xf numFmtId="166" fontId="6" fillId="0" borderId="0" xfId="2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49" fontId="6" fillId="0" borderId="18" xfId="2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2" fontId="6" fillId="0" borderId="18" xfId="2" applyNumberFormat="1" applyFont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vertical="center"/>
    </xf>
    <xf numFmtId="168" fontId="6" fillId="0" borderId="8" xfId="2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0" xfId="1" applyFont="1" applyBorder="1" applyAlignment="1" applyProtection="1">
      <alignment horizontal="center" vertical="center"/>
    </xf>
    <xf numFmtId="49" fontId="6" fillId="0" borderId="8" xfId="2" applyNumberFormat="1" applyFont="1" applyBorder="1" applyAlignment="1" applyProtection="1">
      <alignment horizontal="center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164" fontId="6" fillId="0" borderId="14" xfId="1" applyFont="1" applyBorder="1" applyAlignment="1" applyProtection="1">
      <alignment horizontal="center" vertical="center"/>
    </xf>
    <xf numFmtId="2" fontId="6" fillId="0" borderId="8" xfId="0" applyNumberFormat="1" applyFont="1" applyBorder="1" applyAlignment="1" applyProtection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8" fontId="6" fillId="0" borderId="8" xfId="2" applyNumberFormat="1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vertical="center"/>
    </xf>
    <xf numFmtId="169" fontId="6" fillId="0" borderId="8" xfId="2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8" xfId="2" applyNumberFormat="1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vertical="center" wrapTex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6" fillId="0" borderId="8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 wrapText="1"/>
    </xf>
    <xf numFmtId="0" fontId="16" fillId="0" borderId="8" xfId="2" applyFont="1" applyBorder="1" applyAlignment="1" applyProtection="1">
      <alignment vertical="center"/>
    </xf>
    <xf numFmtId="2" fontId="16" fillId="0" borderId="8" xfId="2" applyNumberFormat="1" applyFont="1" applyBorder="1" applyAlignment="1" applyProtection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166" fontId="16" fillId="0" borderId="8" xfId="0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8" xfId="2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6" fillId="0" borderId="8" xfId="2" applyNumberFormat="1" applyFont="1" applyBorder="1" applyAlignment="1" applyProtection="1">
      <alignment horizontal="center" vertical="center" wrapText="1"/>
    </xf>
    <xf numFmtId="0" fontId="16" fillId="0" borderId="8" xfId="2" applyFont="1" applyBorder="1" applyAlignment="1" applyProtection="1">
      <alignment vertical="center" wrapText="1"/>
    </xf>
    <xf numFmtId="1" fontId="16" fillId="0" borderId="8" xfId="2" applyNumberFormat="1" applyFont="1" applyBorder="1" applyAlignment="1" applyProtection="1">
      <alignment horizontal="center" vertical="center" wrapText="1"/>
    </xf>
    <xf numFmtId="0" fontId="16" fillId="0" borderId="8" xfId="0" applyFont="1" applyBorder="1" applyAlignment="1">
      <alignment horizontal="center" vertical="center" textRotation="90" wrapText="1"/>
    </xf>
    <xf numFmtId="2" fontId="16" fillId="0" borderId="8" xfId="2" applyNumberFormat="1" applyFont="1" applyBorder="1" applyAlignment="1" applyProtection="1">
      <alignment horizontal="center" vertical="center"/>
    </xf>
    <xf numFmtId="166" fontId="16" fillId="0" borderId="8" xfId="2" applyNumberFormat="1" applyFont="1" applyBorder="1" applyAlignment="1" applyProtection="1">
      <alignment horizontal="center" vertical="center" wrapText="1"/>
    </xf>
    <xf numFmtId="166" fontId="16" fillId="0" borderId="8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5" xfId="2" applyFont="1" applyBorder="1" applyAlignment="1">
      <alignment vertical="center" wrapText="1"/>
    </xf>
    <xf numFmtId="2" fontId="16" fillId="0" borderId="8" xfId="0" applyNumberFormat="1" applyFont="1" applyBorder="1" applyAlignment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0" fontId="16" fillId="0" borderId="8" xfId="2" applyFont="1" applyFill="1" applyBorder="1" applyAlignment="1" applyProtection="1">
      <alignment horizontal="center" vertical="center"/>
    </xf>
    <xf numFmtId="0" fontId="16" fillId="0" borderId="8" xfId="2" applyFont="1" applyFill="1" applyBorder="1" applyAlignment="1" applyProtection="1">
      <alignment vertical="center" wrapText="1"/>
    </xf>
    <xf numFmtId="0" fontId="16" fillId="0" borderId="8" xfId="2" applyFont="1" applyFill="1" applyBorder="1" applyAlignment="1" applyProtection="1">
      <alignment horizontal="center" vertical="center" wrapText="1"/>
    </xf>
    <xf numFmtId="2" fontId="16" fillId="0" borderId="8" xfId="2" applyNumberFormat="1" applyFont="1" applyFill="1" applyBorder="1" applyAlignment="1" applyProtection="1">
      <alignment horizontal="center" vertical="center" wrapText="1"/>
    </xf>
    <xf numFmtId="166" fontId="16" fillId="0" borderId="8" xfId="2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20" fillId="0" borderId="8" xfId="2" applyFont="1" applyBorder="1" applyAlignment="1" applyProtection="1">
      <alignment horizontal="center" vertical="center"/>
    </xf>
    <xf numFmtId="0" fontId="20" fillId="0" borderId="8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horizontal="center" vertical="center" textRotation="90" wrapText="1"/>
    </xf>
    <xf numFmtId="0" fontId="6" fillId="0" borderId="8" xfId="2" applyFont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2" fontId="5" fillId="0" borderId="10" xfId="2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2" fontId="6" fillId="0" borderId="0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0" xfId="2" applyFont="1" applyBorder="1" applyAlignment="1" applyProtection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5" fillId="0" borderId="0" xfId="2" applyNumberFormat="1" applyFont="1" applyBorder="1" applyAlignment="1" applyProtection="1">
      <alignment horizontal="center" vertical="center"/>
    </xf>
    <xf numFmtId="165" fontId="6" fillId="0" borderId="0" xfId="2" applyNumberFormat="1" applyFont="1" applyBorder="1" applyAlignment="1" applyProtection="1">
      <alignment horizontal="center" vertical="center"/>
    </xf>
    <xf numFmtId="164" fontId="6" fillId="0" borderId="0" xfId="2" applyNumberFormat="1" applyFont="1" applyBorder="1" applyAlignment="1" applyProtection="1">
      <alignment horizontal="center" vertical="center"/>
    </xf>
    <xf numFmtId="164" fontId="6" fillId="0" borderId="0" xfId="2" applyNumberFormat="1" applyFont="1" applyBorder="1" applyAlignment="1" applyProtection="1">
      <alignment horizontal="center" vertical="center" wrapText="1"/>
    </xf>
    <xf numFmtId="165" fontId="5" fillId="0" borderId="0" xfId="2" applyNumberFormat="1" applyFont="1" applyBorder="1" applyAlignment="1" applyProtection="1">
      <alignment horizontal="center" vertical="center" wrapText="1"/>
    </xf>
    <xf numFmtId="0" fontId="18" fillId="0" borderId="0" xfId="2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5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/>
    </xf>
    <xf numFmtId="0" fontId="4" fillId="0" borderId="8" xfId="2" applyFont="1" applyBorder="1" applyAlignment="1" applyProtection="1">
      <alignment vertical="center" wrapText="1"/>
    </xf>
    <xf numFmtId="0" fontId="7" fillId="0" borderId="8" xfId="2" applyFont="1" applyBorder="1" applyAlignment="1" applyProtection="1">
      <alignment vertical="center" wrapText="1"/>
    </xf>
    <xf numFmtId="0" fontId="9" fillId="0" borderId="19" xfId="3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 applyProtection="1">
      <alignment vertical="center" wrapText="1"/>
    </xf>
    <xf numFmtId="0" fontId="17" fillId="0" borderId="8" xfId="2" applyFont="1" applyFill="1" applyBorder="1" applyAlignment="1" applyProtection="1">
      <alignment vertical="center" wrapText="1"/>
    </xf>
    <xf numFmtId="0" fontId="20" fillId="0" borderId="8" xfId="2" applyFont="1" applyBorder="1" applyAlignment="1" applyProtection="1">
      <alignment vertical="center" wrapText="1"/>
    </xf>
    <xf numFmtId="170" fontId="6" fillId="0" borderId="8" xfId="2" applyNumberFormat="1" applyFont="1" applyBorder="1" applyAlignment="1" applyProtection="1">
      <alignment vertical="center"/>
    </xf>
    <xf numFmtId="170" fontId="6" fillId="0" borderId="8" xfId="2" applyNumberFormat="1" applyFont="1" applyBorder="1" applyAlignment="1" applyProtection="1">
      <alignment vertical="center" wrapText="1"/>
    </xf>
    <xf numFmtId="2" fontId="6" fillId="0" borderId="8" xfId="0" applyNumberFormat="1" applyFont="1" applyBorder="1" applyAlignment="1">
      <alignment vertical="center" wrapText="1"/>
    </xf>
    <xf numFmtId="2" fontId="16" fillId="0" borderId="8" xfId="2" applyNumberFormat="1" applyFont="1" applyBorder="1" applyAlignment="1" applyProtection="1">
      <alignment vertical="center" wrapText="1"/>
    </xf>
    <xf numFmtId="0" fontId="6" fillId="2" borderId="8" xfId="2" applyFont="1" applyFill="1" applyBorder="1" applyAlignment="1" applyProtection="1">
      <alignment vertical="center"/>
    </xf>
    <xf numFmtId="0" fontId="6" fillId="2" borderId="8" xfId="0" applyFont="1" applyFill="1" applyBorder="1" applyAlignment="1">
      <alignment vertical="center" wrapText="1"/>
    </xf>
    <xf numFmtId="2" fontId="6" fillId="2" borderId="8" xfId="0" applyNumberFormat="1" applyFont="1" applyFill="1" applyBorder="1" applyAlignment="1">
      <alignment vertical="center" wrapText="1"/>
    </xf>
    <xf numFmtId="164" fontId="5" fillId="0" borderId="0" xfId="2" applyNumberFormat="1" applyFont="1" applyBorder="1" applyAlignment="1" applyProtection="1">
      <alignment vertical="center" wrapText="1"/>
    </xf>
    <xf numFmtId="0" fontId="7" fillId="0" borderId="3" xfId="2" applyFont="1" applyBorder="1" applyAlignment="1" applyProtection="1">
      <alignment vertical="center" wrapText="1"/>
    </xf>
    <xf numFmtId="164" fontId="6" fillId="0" borderId="6" xfId="2" applyNumberFormat="1" applyFont="1" applyBorder="1" applyAlignment="1" applyProtection="1">
      <alignment vertical="center"/>
    </xf>
    <xf numFmtId="164" fontId="5" fillId="0" borderId="7" xfId="2" applyNumberFormat="1" applyFont="1" applyBorder="1" applyAlignment="1" applyProtection="1">
      <alignment vertical="center"/>
    </xf>
    <xf numFmtId="165" fontId="6" fillId="0" borderId="8" xfId="2" applyNumberFormat="1" applyFont="1" applyBorder="1" applyAlignment="1" applyProtection="1">
      <alignment vertical="center"/>
    </xf>
    <xf numFmtId="165" fontId="5" fillId="0" borderId="7" xfId="2" applyNumberFormat="1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Border="1" applyAlignment="1" applyProtection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15" xfId="2" applyNumberFormat="1" applyFont="1" applyBorder="1" applyAlignment="1" applyProtection="1">
      <alignment horizontal="center" vertical="center" wrapText="1"/>
    </xf>
    <xf numFmtId="167" fontId="6" fillId="0" borderId="15" xfId="2" applyNumberFormat="1" applyFont="1" applyBorder="1" applyAlignment="1" applyProtection="1">
      <alignment horizontal="center" vertical="center" wrapText="1"/>
    </xf>
    <xf numFmtId="164" fontId="6" fillId="0" borderId="15" xfId="1" applyFont="1" applyBorder="1" applyAlignment="1" applyProtection="1">
      <alignment horizontal="center" vertical="center"/>
    </xf>
    <xf numFmtId="164" fontId="6" fillId="0" borderId="15" xfId="1" applyFont="1" applyBorder="1" applyAlignment="1" applyProtection="1">
      <alignment horizontal="center" vertical="center" wrapText="1"/>
    </xf>
    <xf numFmtId="0" fontId="9" fillId="0" borderId="8" xfId="2" applyFont="1" applyBorder="1" applyAlignment="1" applyProtection="1">
      <alignment vertical="center" wrapText="1"/>
    </xf>
    <xf numFmtId="2" fontId="9" fillId="0" borderId="8" xfId="2" applyNumberFormat="1" applyFont="1" applyFill="1" applyBorder="1" applyAlignment="1" applyProtection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8" xfId="2" applyNumberFormat="1" applyFont="1" applyBorder="1" applyAlignment="1" applyProtection="1">
      <alignment horizontal="center" vertical="center" wrapText="1"/>
    </xf>
    <xf numFmtId="0" fontId="3" fillId="0" borderId="8" xfId="2" applyFont="1" applyBorder="1" applyAlignment="1" applyProtection="1">
      <alignment vertical="center" wrapText="1"/>
    </xf>
    <xf numFmtId="0" fontId="9" fillId="0" borderId="8" xfId="2" applyFont="1" applyBorder="1" applyAlignment="1" applyProtection="1">
      <alignment horizontal="center" vertical="center" wrapText="1"/>
    </xf>
    <xf numFmtId="49" fontId="9" fillId="0" borderId="8" xfId="2" applyNumberFormat="1" applyFont="1" applyBorder="1" applyAlignment="1" applyProtection="1">
      <alignment horizontal="center" vertical="center" wrapText="1"/>
    </xf>
    <xf numFmtId="2" fontId="9" fillId="0" borderId="8" xfId="2" applyNumberFormat="1" applyFont="1" applyBorder="1" applyAlignment="1" applyProtection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 wrapText="1"/>
    </xf>
    <xf numFmtId="167" fontId="6" fillId="2" borderId="15" xfId="2" applyNumberFormat="1" applyFont="1" applyFill="1" applyBorder="1" applyAlignment="1" applyProtection="1">
      <alignment horizontal="center" vertical="center" wrapText="1"/>
    </xf>
    <xf numFmtId="2" fontId="6" fillId="2" borderId="15" xfId="0" applyNumberFormat="1" applyFont="1" applyFill="1" applyBorder="1" applyAlignment="1" applyProtection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0" fontId="9" fillId="0" borderId="8" xfId="2" applyFont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>
      <alignment horizontal="center" vertical="center"/>
    </xf>
    <xf numFmtId="2" fontId="6" fillId="0" borderId="15" xfId="2" applyNumberFormat="1" applyFont="1" applyFill="1" applyBorder="1" applyAlignment="1" applyProtection="1">
      <alignment horizontal="center" vertical="center" wrapText="1"/>
    </xf>
    <xf numFmtId="167" fontId="6" fillId="0" borderId="15" xfId="2" applyNumberFormat="1" applyFont="1" applyFill="1" applyBorder="1" applyAlignment="1" applyProtection="1">
      <alignment horizontal="center" vertical="center" wrapText="1"/>
    </xf>
    <xf numFmtId="164" fontId="6" fillId="0" borderId="15" xfId="1" applyFont="1" applyFill="1" applyBorder="1" applyAlignment="1" applyProtection="1">
      <alignment horizontal="center" vertical="center"/>
    </xf>
    <xf numFmtId="164" fontId="6" fillId="0" borderId="15" xfId="1" applyFont="1" applyFill="1" applyBorder="1" applyAlignment="1" applyProtection="1">
      <alignment horizontal="center" vertical="center" wrapText="1"/>
    </xf>
    <xf numFmtId="164" fontId="6" fillId="0" borderId="7" xfId="1" applyFont="1" applyFill="1" applyBorder="1" applyAlignment="1" applyProtection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49" fontId="9" fillId="0" borderId="15" xfId="2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0" fontId="6" fillId="0" borderId="8" xfId="2" applyFont="1" applyBorder="1" applyAlignment="1" applyProtection="1">
      <alignment horizontal="center" vertical="center" wrapText="1"/>
    </xf>
    <xf numFmtId="1" fontId="9" fillId="0" borderId="8" xfId="2" applyNumberFormat="1" applyFont="1" applyBorder="1" applyAlignment="1" applyProtection="1">
      <alignment horizontal="center" vertical="center" wrapText="1"/>
    </xf>
    <xf numFmtId="2" fontId="9" fillId="0" borderId="8" xfId="2" applyNumberFormat="1" applyFont="1" applyBorder="1" applyAlignment="1" applyProtection="1">
      <alignment vertical="center" wrapText="1"/>
    </xf>
    <xf numFmtId="0" fontId="6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2" applyFont="1" applyBorder="1" applyAlignment="1" applyProtection="1">
      <alignment horizontal="center" vertical="center"/>
    </xf>
    <xf numFmtId="2" fontId="6" fillId="0" borderId="15" xfId="2" applyNumberFormat="1" applyFont="1" applyBorder="1" applyAlignment="1" applyProtection="1">
      <alignment horizontal="center" vertical="center"/>
    </xf>
    <xf numFmtId="2" fontId="6" fillId="0" borderId="15" xfId="0" applyNumberFormat="1" applyFont="1" applyBorder="1" applyAlignment="1" applyProtection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6" fillId="0" borderId="15" xfId="2" applyFont="1" applyBorder="1" applyAlignment="1" applyProtection="1">
      <alignment vertical="center" wrapText="1"/>
    </xf>
    <xf numFmtId="169" fontId="6" fillId="0" borderId="15" xfId="2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6" fillId="0" borderId="15" xfId="2" applyFont="1" applyBorder="1" applyAlignment="1" applyProtection="1">
      <alignment vertical="center"/>
    </xf>
    <xf numFmtId="0" fontId="2" fillId="0" borderId="8" xfId="2" applyFont="1" applyBorder="1" applyAlignment="1" applyProtection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15" xfId="2" applyNumberFormat="1" applyFont="1" applyBorder="1" applyAlignment="1" applyProtection="1">
      <alignment horizontal="center" vertical="center" wrapText="1"/>
    </xf>
    <xf numFmtId="164" fontId="9" fillId="0" borderId="14" xfId="1" applyFont="1" applyBorder="1" applyAlignment="1" applyProtection="1">
      <alignment horizontal="center" vertical="center"/>
    </xf>
    <xf numFmtId="164" fontId="9" fillId="0" borderId="14" xfId="1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left" vertical="center"/>
    </xf>
    <xf numFmtId="0" fontId="6" fillId="0" borderId="0" xfId="2" applyFont="1" applyBorder="1" applyAlignment="1" applyProtection="1">
      <alignment horizontal="right" vertical="center"/>
    </xf>
    <xf numFmtId="0" fontId="6" fillId="0" borderId="0" xfId="2" applyFont="1" applyBorder="1" applyAlignment="1" applyProtection="1">
      <alignment horizontal="left" vertical="center"/>
    </xf>
    <xf numFmtId="2" fontId="6" fillId="0" borderId="0" xfId="2" applyNumberFormat="1" applyFont="1" applyBorder="1" applyAlignment="1" applyProtection="1">
      <alignment horizontal="right" vertical="center"/>
    </xf>
    <xf numFmtId="0" fontId="5" fillId="0" borderId="0" xfId="2" applyFont="1" applyBorder="1" applyAlignment="1" applyProtection="1">
      <alignment horizontal="right" vertical="center"/>
    </xf>
    <xf numFmtId="0" fontId="6" fillId="0" borderId="0" xfId="2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/>
    </xf>
    <xf numFmtId="0" fontId="5" fillId="0" borderId="0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8" xfId="2" applyFont="1" applyBorder="1" applyAlignment="1" applyProtection="1">
      <alignment horizontal="center" vertical="center" textRotation="90" wrapText="1"/>
    </xf>
    <xf numFmtId="0" fontId="6" fillId="0" borderId="8" xfId="2" applyFont="1" applyBorder="1" applyAlignment="1" applyProtection="1">
      <alignment vertical="center" wrapText="1"/>
    </xf>
    <xf numFmtId="0" fontId="6" fillId="0" borderId="18" xfId="2" applyFont="1" applyBorder="1" applyAlignment="1" applyProtection="1">
      <alignment horizontal="center" vertical="center" textRotation="90"/>
    </xf>
    <xf numFmtId="0" fontId="6" fillId="0" borderId="14" xfId="2" applyFont="1" applyBorder="1" applyAlignment="1" applyProtection="1">
      <alignment horizontal="center" vertical="center" textRotation="90"/>
    </xf>
    <xf numFmtId="0" fontId="6" fillId="0" borderId="18" xfId="2" applyFont="1" applyBorder="1" applyAlignment="1" applyProtection="1">
      <alignment horizontal="center" vertical="center" textRotation="90" wrapText="1"/>
    </xf>
    <xf numFmtId="0" fontId="6" fillId="0" borderId="14" xfId="2" applyFont="1" applyBorder="1" applyAlignment="1" applyProtection="1">
      <alignment horizontal="center" vertical="center" textRotation="90" wrapText="1"/>
    </xf>
    <xf numFmtId="0" fontId="6" fillId="0" borderId="7" xfId="2" applyFont="1" applyBorder="1" applyAlignment="1" applyProtection="1">
      <alignment horizontal="center" vertical="center"/>
    </xf>
    <xf numFmtId="0" fontId="6" fillId="0" borderId="16" xfId="2" applyFont="1" applyBorder="1" applyAlignment="1" applyProtection="1">
      <alignment horizontal="center" vertical="center"/>
    </xf>
    <xf numFmtId="0" fontId="6" fillId="0" borderId="13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horizontal="center" vertical="center" textRotation="90"/>
    </xf>
    <xf numFmtId="0" fontId="6" fillId="0" borderId="8" xfId="2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2" applyFont="1" applyBorder="1" applyAlignment="1" applyProtection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46">
    <cellStyle name="Comma 2" xfId="5" xr:uid="{56C9E166-52E4-4E49-AFD1-295191AF734E}"/>
    <cellStyle name="Comma 3" xfId="6" xr:uid="{09D24106-08E4-40C2-9DFE-F58C572E7D5B}"/>
    <cellStyle name="Currency 2" xfId="7" xr:uid="{E7AC1862-8125-4033-AA95-F6E13AD21365}"/>
    <cellStyle name="Excel_BuiltIn_Explanatory Text" xfId="8" xr:uid="{9F26ABA9-0CE3-4A71-A793-6D8246EE4ED2}"/>
    <cellStyle name="Explanatory Text 2" xfId="9" xr:uid="{4E2F2B71-A6EC-4142-9B93-FC6B84E76005}"/>
    <cellStyle name="Explanatory Text 3" xfId="10" xr:uid="{3EBA297F-93D8-4AB5-B506-2C89FA439BDB}"/>
    <cellStyle name="Good 2" xfId="11" xr:uid="{80BDB5E3-BBCA-43E2-BD03-DB86C3B3CC34}"/>
    <cellStyle name="Good 2 2" xfId="12" xr:uid="{ADA73274-086C-4AD5-AE45-A8AE2E09DFFF}"/>
    <cellStyle name="Good 3" xfId="13" xr:uid="{54CD559C-71AC-4FF3-BA5A-8BD6C85DDD37}"/>
    <cellStyle name="Komats" xfId="1" builtinId="3"/>
    <cellStyle name="Komats 2" xfId="4" xr:uid="{42F6A42C-A29C-4E33-8EDD-011CCEC21A3B}"/>
    <cellStyle name="Normal 10" xfId="14" xr:uid="{CD04CAD9-8A66-408E-90D4-F2A97152E75B}"/>
    <cellStyle name="Normal 11" xfId="15" xr:uid="{14DC5A26-5941-4513-9D22-C49B8740A601}"/>
    <cellStyle name="Normal 12" xfId="16" xr:uid="{87D85021-B765-4385-AE7A-18D4C29CE6DE}"/>
    <cellStyle name="Normal 13" xfId="17" xr:uid="{A2DD555E-5725-4635-9F47-EE04EEF66656}"/>
    <cellStyle name="Normal 2" xfId="18" xr:uid="{440C9542-D7AD-45E3-A5C4-8939AE1C2079}"/>
    <cellStyle name="Normal 2 2" xfId="19" xr:uid="{C3ED5EA7-D9ED-4983-8983-8CA59BC77E50}"/>
    <cellStyle name="Normal 2 3" xfId="20" xr:uid="{7A3BED11-5739-4F90-B10E-4F6EED28EBE1}"/>
    <cellStyle name="Normal 2 3 2" xfId="21" xr:uid="{423378BC-3A70-4C9B-AC38-BD19762EC597}"/>
    <cellStyle name="Normal 2 4" xfId="22" xr:uid="{2B352F25-A5FA-4FCC-9602-4704BD316106}"/>
    <cellStyle name="Normal 2_Tame AVK Uliha 56 07.05.2010." xfId="23" xr:uid="{43AFF445-8EB9-468C-9BED-61DF3560CE35}"/>
    <cellStyle name="Normal 3" xfId="24" xr:uid="{B605C862-49A3-47AE-A2DC-E84BDA04578D}"/>
    <cellStyle name="Normal 3 2" xfId="25" xr:uid="{2EFD45ED-A62D-4414-BD98-D14570E38DE1}"/>
    <cellStyle name="Normal 4" xfId="26" xr:uid="{939DDC64-011B-41C3-8BD3-D28581B52E79}"/>
    <cellStyle name="Normal 4 2" xfId="27" xr:uid="{125D3E38-DF7B-4881-92E5-53AF0AD48E95}"/>
    <cellStyle name="Normal 4 2 2" xfId="28" xr:uid="{0F5D1CF9-A2D7-4D61-9EF4-F51D1D82FFA4}"/>
    <cellStyle name="Normal 5" xfId="29" xr:uid="{12036B40-DA64-4817-86D7-D07CDE1F77D9}"/>
    <cellStyle name="Normal 6" xfId="30" xr:uid="{9BF2F705-0C79-4CD8-BCFB-C00A9D1C4D42}"/>
    <cellStyle name="Normal 7" xfId="31" xr:uid="{B699F10A-2C15-4B94-B6AB-83CA9735AE8E}"/>
    <cellStyle name="Normal 8" xfId="32" xr:uid="{F02BBC8A-0C40-4991-BDE8-63B942090D63}"/>
    <cellStyle name="Normal 9" xfId="33" xr:uid="{BFA599ED-D520-42F0-9C6E-B238E4332CD5}"/>
    <cellStyle name="Parasts" xfId="0" builtinId="0"/>
    <cellStyle name="Parasts 2" xfId="34" xr:uid="{B7CB7378-E9DB-4B34-A01F-63F78AE9BDA9}"/>
    <cellStyle name="Parasts 3" xfId="35" xr:uid="{4A156E81-C957-446B-97F4-DF09DB60C9B0}"/>
    <cellStyle name="Parasts 3 2" xfId="36" xr:uid="{97300DA0-A629-4D70-ABF5-F9343DEC2E00}"/>
    <cellStyle name="Parasts 4" xfId="3" xr:uid="{D2AD2336-C997-428D-8F11-E045441E34CF}"/>
    <cellStyle name="Paskaidrojošs teksts" xfId="2" builtinId="53" customBuiltin="1"/>
    <cellStyle name="Paskaidrojošs teksts 2" xfId="44" xr:uid="{1F9DD6D8-4A4A-4A6C-9D47-CCFCDB08BB46}"/>
    <cellStyle name="Procenti 2" xfId="37" xr:uid="{4D9AED6B-3B38-47E9-B84A-8A7E44D42FB4}"/>
    <cellStyle name="Procenti 3" xfId="45" xr:uid="{27E03B88-4B05-46EE-89AA-F274CE655F43}"/>
    <cellStyle name="Style 1" xfId="38" xr:uid="{987228E9-35BD-49AA-A554-D3FBF464A701}"/>
    <cellStyle name="Style 1 2" xfId="39" xr:uid="{B92CD5B7-2EB6-4E39-B792-0188F54AA815}"/>
    <cellStyle name="Style 1 3" xfId="40" xr:uid="{B5267DC6-B809-4F80-8AEC-B5A69E7ECF71}"/>
    <cellStyle name="Стиль 1" xfId="41" xr:uid="{D22F28FB-F4C7-4A3C-A87F-C72C5EDA8E10}"/>
    <cellStyle name="Стиль 1 2" xfId="42" xr:uid="{0E5F8DA4-A144-422A-BCAF-85369D8C32A6}"/>
    <cellStyle name="Стиль 1 3" xfId="43" xr:uid="{BE2E9F66-60AC-4CAA-A9BF-6D660B9A2E0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141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38</xdr:col>
      <xdr:colOff>2308927</xdr:colOff>
      <xdr:row>55</xdr:row>
      <xdr:rowOff>110152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000" y="0"/>
          <a:ext cx="65475360" cy="11037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38</xdr:col>
      <xdr:colOff>2308927</xdr:colOff>
      <xdr:row>55</xdr:row>
      <xdr:rowOff>110152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000" y="0"/>
          <a:ext cx="65475360" cy="11037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38</xdr:col>
      <xdr:colOff>2308927</xdr:colOff>
      <xdr:row>55</xdr:row>
      <xdr:rowOff>110152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000" y="0"/>
          <a:ext cx="65475360" cy="11037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28</xdr:col>
      <xdr:colOff>2300287</xdr:colOff>
      <xdr:row>43</xdr:row>
      <xdr:rowOff>68033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7000" y="0"/>
          <a:ext cx="39293640" cy="883044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1847850</xdr:colOff>
      <xdr:row>39</xdr:row>
      <xdr:rowOff>342900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25</xdr:col>
      <xdr:colOff>261840</xdr:colOff>
      <xdr:row>50</xdr:row>
      <xdr:rowOff>94583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4000" y="0"/>
          <a:ext cx="14011560" cy="97333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44</xdr:col>
      <xdr:colOff>555274</xdr:colOff>
      <xdr:row>60</xdr:row>
      <xdr:rowOff>16710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4000" y="0"/>
          <a:ext cx="51708600" cy="106236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29</xdr:col>
      <xdr:colOff>130651</xdr:colOff>
      <xdr:row>51</xdr:row>
      <xdr:rowOff>29265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4000" y="0"/>
          <a:ext cx="16755840" cy="98420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29</xdr:col>
      <xdr:colOff>130651</xdr:colOff>
      <xdr:row>51</xdr:row>
      <xdr:rowOff>29265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54000" y="0"/>
          <a:ext cx="16755840" cy="98420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59</xdr:col>
      <xdr:colOff>419723</xdr:colOff>
      <xdr:row>41</xdr:row>
      <xdr:rowOff>176499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27000" y="0"/>
          <a:ext cx="34317720" cy="83199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49</xdr:col>
      <xdr:colOff>331361</xdr:colOff>
      <xdr:row>68</xdr:row>
      <xdr:rowOff>436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4000" y="0"/>
          <a:ext cx="51480000" cy="108979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49</xdr:col>
      <xdr:colOff>331361</xdr:colOff>
      <xdr:row>68</xdr:row>
      <xdr:rowOff>436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54000" y="0"/>
          <a:ext cx="51480000" cy="108979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K19"/>
  <sheetViews>
    <sheetView view="pageBreakPreview" zoomScale="115" zoomScaleNormal="130" zoomScalePageLayoutView="115" workbookViewId="0">
      <selection activeCell="A7" sqref="A7"/>
    </sheetView>
  </sheetViews>
  <sheetFormatPr defaultColWidth="9" defaultRowHeight="15" x14ac:dyDescent="0.25"/>
  <cols>
    <col min="1" max="1" width="6" style="56" customWidth="1"/>
    <col min="2" max="2" width="41.85546875" style="56" customWidth="1"/>
    <col min="3" max="3" width="17.140625" style="1" customWidth="1"/>
    <col min="4" max="4" width="16.28515625" style="56" customWidth="1"/>
    <col min="5" max="5" width="9.85546875" style="56" customWidth="1"/>
    <col min="6" max="17" width="5" style="56" customWidth="1"/>
    <col min="18" max="18" width="7.5703125" style="56" customWidth="1"/>
    <col min="19" max="19" width="6.7109375" style="56" customWidth="1"/>
    <col min="20" max="20" width="8.28515625" style="56" customWidth="1"/>
    <col min="21" max="1025" width="16.28515625" style="56" customWidth="1"/>
    <col min="1026" max="16384" width="9" style="198"/>
  </cols>
  <sheetData>
    <row r="1" spans="1:16" s="5" customFormat="1" ht="11.25" x14ac:dyDescent="0.25">
      <c r="A1" s="315" t="s">
        <v>0</v>
      </c>
      <c r="B1" s="315"/>
      <c r="C1" s="2"/>
    </row>
    <row r="2" spans="1:16" s="21" customFormat="1" ht="11.25" x14ac:dyDescent="0.25">
      <c r="A2" s="177"/>
      <c r="B2" s="177"/>
      <c r="C2" s="130"/>
    </row>
    <row r="3" spans="1:16" s="5" customFormat="1" ht="11.25" x14ac:dyDescent="0.25">
      <c r="A3" s="310" t="str">
        <f>kpdv!B3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6" s="21" customFormat="1" ht="11.25" x14ac:dyDescent="0.25">
      <c r="A4" s="310" t="str">
        <f>kpdv!B4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6" s="21" customFormat="1" ht="11.25" x14ac:dyDescent="0.25">
      <c r="A5" s="310" t="str">
        <f>kpdv!B5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</row>
    <row r="6" spans="1:16" s="5" customFormat="1" ht="11.25" x14ac:dyDescent="0.25">
      <c r="A6" s="310" t="str">
        <f>kpdv!B6</f>
        <v>Pasūtījuma Nr.EA-79-16</v>
      </c>
      <c r="B6" s="177"/>
      <c r="C6" s="2"/>
    </row>
    <row r="7" spans="1:16" s="21" customFormat="1" ht="12.75" x14ac:dyDescent="0.25">
      <c r="A7" s="177"/>
      <c r="B7" s="220" t="s">
        <v>493</v>
      </c>
      <c r="C7" s="3"/>
    </row>
    <row r="8" spans="1:16" s="21" customFormat="1" ht="12" thickBot="1" x14ac:dyDescent="0.3">
      <c r="A8" s="5"/>
      <c r="B8" s="5"/>
      <c r="C8" s="3"/>
    </row>
    <row r="9" spans="1:16" s="5" customFormat="1" ht="27" customHeight="1" x14ac:dyDescent="0.25">
      <c r="A9" s="6" t="s">
        <v>1</v>
      </c>
      <c r="B9" s="7" t="s">
        <v>2</v>
      </c>
      <c r="C9" s="241" t="s">
        <v>3</v>
      </c>
    </row>
    <row r="10" spans="1:16" s="5" customFormat="1" ht="11.25" x14ac:dyDescent="0.25">
      <c r="A10" s="8">
        <v>1</v>
      </c>
      <c r="B10" s="221" t="s">
        <v>4</v>
      </c>
      <c r="C10" s="242"/>
    </row>
    <row r="11" spans="1:16" s="21" customFormat="1" ht="11.25" x14ac:dyDescent="0.25">
      <c r="A11" s="9"/>
      <c r="B11" s="207" t="s">
        <v>5</v>
      </c>
      <c r="C11" s="243"/>
      <c r="E11" s="216"/>
    </row>
    <row r="12" spans="1:16" s="21" customFormat="1" ht="11.25" x14ac:dyDescent="0.25">
      <c r="A12" s="9"/>
      <c r="B12" s="207" t="s">
        <v>6</v>
      </c>
      <c r="C12" s="244"/>
    </row>
    <row r="13" spans="1:16" s="5" customFormat="1" ht="11.25" x14ac:dyDescent="0.25">
      <c r="A13" s="9"/>
      <c r="B13" s="207" t="s">
        <v>7</v>
      </c>
      <c r="C13" s="245"/>
    </row>
    <row r="14" spans="1:16" x14ac:dyDescent="0.25">
      <c r="A14" s="9"/>
      <c r="B14" s="207"/>
      <c r="C14" s="11"/>
    </row>
    <row r="15" spans="1:16" x14ac:dyDescent="0.25">
      <c r="A15" s="5"/>
      <c r="B15" s="5" t="s">
        <v>8</v>
      </c>
      <c r="C15" s="10"/>
    </row>
    <row r="16" spans="1:16" x14ac:dyDescent="0.25">
      <c r="B16" s="5" t="s">
        <v>9</v>
      </c>
      <c r="C16" s="10"/>
    </row>
    <row r="17" spans="2:3" x14ac:dyDescent="0.25">
      <c r="B17" s="5"/>
      <c r="C17" s="10"/>
    </row>
    <row r="18" spans="2:3" x14ac:dyDescent="0.25">
      <c r="B18" s="5"/>
      <c r="C18" s="10"/>
    </row>
    <row r="19" spans="2:3" x14ac:dyDescent="0.25">
      <c r="B19" s="5"/>
      <c r="C19" s="10"/>
    </row>
  </sheetData>
  <mergeCells count="1">
    <mergeCell ref="A1:B1"/>
  </mergeCells>
  <pageMargins left="0" right="0" top="0.39374999999999999" bottom="0.39374999999999999" header="0.51180555555555496" footer="0.51180555555555496"/>
  <pageSetup paperSize="9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MK55"/>
  <sheetViews>
    <sheetView view="pageBreakPreview" zoomScaleNormal="100" zoomScaleSheetLayoutView="100" zoomScalePageLayoutView="115" workbookViewId="0">
      <selection activeCell="F1" sqref="F1:F1048576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8.28515625" style="20" customWidth="1"/>
    <col min="5" max="5" width="7.140625" style="20" customWidth="1"/>
    <col min="6" max="6" width="5" style="20" hidden="1" customWidth="1"/>
    <col min="7" max="17" width="5" style="20" customWidth="1"/>
    <col min="18" max="18" width="7.5703125" style="20" customWidth="1"/>
    <col min="19" max="19" width="12.5703125" style="20" customWidth="1"/>
    <col min="20" max="36" width="9.140625" style="20" customWidth="1"/>
    <col min="37" max="1025" width="33.140625" style="20" customWidth="1"/>
    <col min="1026" max="16384" width="9" style="198"/>
  </cols>
  <sheetData>
    <row r="1" spans="1:17" s="21" customFormat="1" ht="11.25" x14ac:dyDescent="0.25">
      <c r="B1" s="5"/>
      <c r="C1" s="3"/>
      <c r="D1" s="309" t="s">
        <v>35</v>
      </c>
      <c r="E1" s="201">
        <f>kpdv!B17</f>
        <v>6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5"/>
      <c r="B2" s="5"/>
      <c r="C2" s="3"/>
      <c r="D2" s="177" t="s">
        <v>291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7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7" x14ac:dyDescent="0.25">
      <c r="A6" s="308" t="str">
        <f>KOP!A6</f>
        <v>Pasūtījuma Nr.EA-79-16</v>
      </c>
      <c r="B6" s="177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B7" s="5"/>
      <c r="C7" s="222" t="s">
        <v>479</v>
      </c>
      <c r="D7" s="5" t="s">
        <v>37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338" t="s">
        <v>39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92">
        <f>Q45</f>
        <v>0</v>
      </c>
    </row>
    <row r="9" spans="1:17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09" t="s">
        <v>476</v>
      </c>
      <c r="Q9" s="311"/>
    </row>
    <row r="10" spans="1:17" ht="10.5" customHeight="1" x14ac:dyDescent="0.25">
      <c r="A10" s="320" t="s">
        <v>1</v>
      </c>
      <c r="B10" s="320" t="s">
        <v>40</v>
      </c>
      <c r="C10" s="321" t="s">
        <v>41</v>
      </c>
      <c r="D10" s="331" t="s">
        <v>42</v>
      </c>
      <c r="E10" s="320" t="s">
        <v>43</v>
      </c>
      <c r="F10" s="179"/>
      <c r="G10" s="332" t="s">
        <v>44</v>
      </c>
      <c r="H10" s="332"/>
      <c r="I10" s="332"/>
      <c r="J10" s="332"/>
      <c r="K10" s="332"/>
      <c r="L10" s="332"/>
      <c r="M10" s="332" t="s">
        <v>45</v>
      </c>
      <c r="N10" s="332"/>
      <c r="O10" s="332"/>
      <c r="P10" s="332"/>
      <c r="Q10" s="332"/>
    </row>
    <row r="11" spans="1:17" ht="72.75" x14ac:dyDescent="0.25">
      <c r="A11" s="320"/>
      <c r="B11" s="320"/>
      <c r="C11" s="321"/>
      <c r="D11" s="331"/>
      <c r="E11" s="320"/>
      <c r="F11" s="179"/>
      <c r="G11" s="179" t="s">
        <v>46</v>
      </c>
      <c r="H11" s="22" t="s">
        <v>480</v>
      </c>
      <c r="I11" s="22" t="s">
        <v>47</v>
      </c>
      <c r="J11" s="22" t="s">
        <v>481</v>
      </c>
      <c r="K11" s="22" t="s">
        <v>48</v>
      </c>
      <c r="L11" s="22" t="s">
        <v>482</v>
      </c>
      <c r="M11" s="179" t="s">
        <v>50</v>
      </c>
      <c r="N11" s="22" t="s">
        <v>47</v>
      </c>
      <c r="O11" s="22" t="s">
        <v>483</v>
      </c>
      <c r="P11" s="22" t="s">
        <v>48</v>
      </c>
      <c r="Q11" s="22" t="s">
        <v>49</v>
      </c>
    </row>
    <row r="12" spans="1:17" x14ac:dyDescent="0.25">
      <c r="A12" s="23">
        <v>1</v>
      </c>
      <c r="B12" s="23">
        <f>A12+1</f>
        <v>2</v>
      </c>
      <c r="C12" s="224">
        <v>3</v>
      </c>
      <c r="D12" s="23">
        <f>C12+1</f>
        <v>4</v>
      </c>
      <c r="E12" s="23">
        <f>D12+1</f>
        <v>5</v>
      </c>
      <c r="F12" s="131"/>
      <c r="G12" s="23">
        <f>E12+1</f>
        <v>6</v>
      </c>
      <c r="H12" s="23">
        <f t="shared" ref="H12:Q12" si="0">G12+1</f>
        <v>7</v>
      </c>
      <c r="I12" s="23">
        <f t="shared" si="0"/>
        <v>8</v>
      </c>
      <c r="J12" s="23">
        <f t="shared" si="0"/>
        <v>9</v>
      </c>
      <c r="K12" s="23">
        <f t="shared" si="0"/>
        <v>10</v>
      </c>
      <c r="L12" s="23">
        <f t="shared" si="0"/>
        <v>11</v>
      </c>
      <c r="M12" s="23">
        <f t="shared" si="0"/>
        <v>12</v>
      </c>
      <c r="N12" s="23">
        <f t="shared" si="0"/>
        <v>13</v>
      </c>
      <c r="O12" s="23">
        <f t="shared" si="0"/>
        <v>14</v>
      </c>
      <c r="P12" s="23">
        <f t="shared" si="0"/>
        <v>15</v>
      </c>
      <c r="Q12" s="23">
        <f t="shared" si="0"/>
        <v>16</v>
      </c>
    </row>
    <row r="13" spans="1:17" s="9" customFormat="1" ht="11.25" x14ac:dyDescent="0.25">
      <c r="A13" s="185" t="str">
        <f>IF(COUNTBLANK(B13)=1," ",COUNTA($B13:B$14))</f>
        <v xml:space="preserve"> </v>
      </c>
      <c r="B13" s="129"/>
      <c r="C13" s="132" t="s">
        <v>292</v>
      </c>
      <c r="D13" s="182"/>
      <c r="E13" s="182"/>
      <c r="F13" s="129"/>
      <c r="G13" s="129"/>
      <c r="H13" s="129"/>
      <c r="I13" s="129"/>
      <c r="J13" s="129"/>
      <c r="K13" s="42"/>
      <c r="L13" s="25"/>
      <c r="M13" s="26"/>
      <c r="N13" s="26"/>
      <c r="O13" s="26"/>
      <c r="P13" s="26"/>
      <c r="Q13" s="42"/>
    </row>
    <row r="14" spans="1:17" x14ac:dyDescent="0.25">
      <c r="A14" s="185">
        <f>IF(COUNTBLANK(B14)=1," ",COUNTA($B$14:B14))</f>
        <v>1</v>
      </c>
      <c r="B14" s="121" t="s">
        <v>51</v>
      </c>
      <c r="C14" s="87" t="s">
        <v>293</v>
      </c>
      <c r="D14" s="129" t="s">
        <v>89</v>
      </c>
      <c r="E14" s="34">
        <f>5*1.5*0.5*3</f>
        <v>11.25</v>
      </c>
      <c r="F14" s="129"/>
      <c r="G14" s="42"/>
      <c r="H14" s="24"/>
      <c r="I14" s="42"/>
      <c r="J14" s="42"/>
      <c r="K14" s="42"/>
      <c r="L14" s="25"/>
      <c r="M14" s="26"/>
      <c r="N14" s="26"/>
      <c r="O14" s="26"/>
      <c r="P14" s="26"/>
      <c r="Q14" s="42"/>
    </row>
    <row r="15" spans="1:17" s="5" customFormat="1" ht="11.25" x14ac:dyDescent="0.25">
      <c r="A15" s="185">
        <f>IF(COUNTBLANK(B15)=1," ",COUNTA($B$14:B15))</f>
        <v>2</v>
      </c>
      <c r="B15" s="121" t="s">
        <v>51</v>
      </c>
      <c r="C15" s="87" t="s">
        <v>294</v>
      </c>
      <c r="D15" s="129" t="s">
        <v>60</v>
      </c>
      <c r="E15" s="34">
        <f>5*1.5*3</f>
        <v>22.5</v>
      </c>
      <c r="F15" s="129"/>
      <c r="G15" s="43"/>
      <c r="H15" s="42"/>
      <c r="I15" s="42"/>
      <c r="J15" s="43"/>
      <c r="K15" s="42"/>
      <c r="L15" s="25"/>
      <c r="M15" s="26"/>
      <c r="N15" s="26"/>
      <c r="O15" s="26"/>
      <c r="P15" s="26"/>
      <c r="Q15" s="42"/>
    </row>
    <row r="16" spans="1:17" ht="22.5" x14ac:dyDescent="0.25">
      <c r="A16" s="185">
        <f>IF(COUNTBLANK(B16)=1," ",COUNTA($B$14:B16))</f>
        <v>3</v>
      </c>
      <c r="B16" s="121" t="s">
        <v>51</v>
      </c>
      <c r="C16" s="87" t="s">
        <v>295</v>
      </c>
      <c r="D16" s="129" t="s">
        <v>89</v>
      </c>
      <c r="E16" s="34">
        <f>E15*0.1</f>
        <v>2.25</v>
      </c>
      <c r="F16" s="89"/>
      <c r="G16" s="43"/>
      <c r="H16" s="42"/>
      <c r="I16" s="43"/>
      <c r="J16" s="43"/>
      <c r="K16" s="42"/>
      <c r="L16" s="25"/>
      <c r="M16" s="26"/>
      <c r="N16" s="26"/>
      <c r="O16" s="26"/>
      <c r="P16" s="26"/>
      <c r="Q16" s="42"/>
    </row>
    <row r="17" spans="1:17" s="5" customFormat="1" ht="11.25" x14ac:dyDescent="0.25">
      <c r="A17" s="185" t="str">
        <f>IF(COUNTBLANK(B17)=1," ",COUNTA($B$14:B17))</f>
        <v xml:space="preserve"> </v>
      </c>
      <c r="B17" s="180"/>
      <c r="C17" s="57" t="s">
        <v>296</v>
      </c>
      <c r="D17" s="133" t="s">
        <v>89</v>
      </c>
      <c r="E17" s="42">
        <f>ROUNDUP(E16*F17,2)</f>
        <v>2.48</v>
      </c>
      <c r="F17" s="43">
        <v>1.1000000000000001</v>
      </c>
      <c r="G17" s="43"/>
      <c r="H17" s="43"/>
      <c r="I17" s="43"/>
      <c r="J17" s="43"/>
      <c r="K17" s="42"/>
      <c r="L17" s="25"/>
      <c r="M17" s="26"/>
      <c r="N17" s="26"/>
      <c r="O17" s="26"/>
      <c r="P17" s="26"/>
      <c r="Q17" s="42"/>
    </row>
    <row r="18" spans="1:17" x14ac:dyDescent="0.25">
      <c r="A18" s="185">
        <f>IF(COUNTBLANK(B18)=1," ",COUNTA($B$14:B18))</f>
        <v>4</v>
      </c>
      <c r="B18" s="121" t="s">
        <v>51</v>
      </c>
      <c r="C18" s="87" t="s">
        <v>297</v>
      </c>
      <c r="D18" s="98" t="s">
        <v>60</v>
      </c>
      <c r="E18" s="34">
        <f>E15</f>
        <v>22.5</v>
      </c>
      <c r="F18" s="42"/>
      <c r="G18" s="42"/>
      <c r="H18" s="42"/>
      <c r="I18" s="42"/>
      <c r="J18" s="42"/>
      <c r="K18" s="42"/>
      <c r="L18" s="25"/>
      <c r="M18" s="26"/>
      <c r="N18" s="26"/>
      <c r="O18" s="26"/>
      <c r="P18" s="26"/>
      <c r="Q18" s="42"/>
    </row>
    <row r="19" spans="1:17" s="5" customFormat="1" ht="11.25" x14ac:dyDescent="0.25">
      <c r="A19" s="185" t="str">
        <f>IF(COUNTBLANK(B19)=1," ",COUNTA($B$14:B19))</f>
        <v xml:space="preserve"> </v>
      </c>
      <c r="B19" s="185"/>
      <c r="C19" s="230" t="s">
        <v>298</v>
      </c>
      <c r="D19" s="98" t="s">
        <v>60</v>
      </c>
      <c r="E19" s="42">
        <f>ROUNDUP(E18*F19,2)</f>
        <v>23.630000000000003</v>
      </c>
      <c r="F19" s="42">
        <v>1.05</v>
      </c>
      <c r="G19" s="42"/>
      <c r="H19" s="42"/>
      <c r="I19" s="42"/>
      <c r="J19" s="42"/>
      <c r="K19" s="42"/>
      <c r="L19" s="25"/>
      <c r="M19" s="26"/>
      <c r="N19" s="26"/>
      <c r="O19" s="26"/>
      <c r="P19" s="26"/>
      <c r="Q19" s="42"/>
    </row>
    <row r="20" spans="1:17" ht="22.5" x14ac:dyDescent="0.25">
      <c r="A20" s="185">
        <f>IF(COUNTBLANK(B20)=1," ",COUNTA($B$14:B20))</f>
        <v>5</v>
      </c>
      <c r="B20" s="121" t="s">
        <v>51</v>
      </c>
      <c r="C20" s="57" t="s">
        <v>299</v>
      </c>
      <c r="D20" s="98" t="s">
        <v>60</v>
      </c>
      <c r="E20" s="43">
        <f>E15</f>
        <v>22.5</v>
      </c>
      <c r="F20" s="94"/>
      <c r="G20" s="42"/>
      <c r="H20" s="42"/>
      <c r="I20" s="42"/>
      <c r="J20" s="42"/>
      <c r="K20" s="42"/>
      <c r="L20" s="25"/>
      <c r="M20" s="26"/>
      <c r="N20" s="26"/>
      <c r="O20" s="26"/>
      <c r="P20" s="26"/>
      <c r="Q20" s="42"/>
    </row>
    <row r="21" spans="1:17" x14ac:dyDescent="0.25">
      <c r="A21" s="185" t="str">
        <f>IF(COUNTBLANK(B21)=1," ",COUNTA($B$14:B21))</f>
        <v xml:space="preserve"> </v>
      </c>
      <c r="B21" s="185"/>
      <c r="C21" s="230" t="s">
        <v>300</v>
      </c>
      <c r="D21" s="180" t="s">
        <v>89</v>
      </c>
      <c r="E21" s="261">
        <f>ROUNDUP(E20*F21,2)</f>
        <v>3.96</v>
      </c>
      <c r="F21" s="42">
        <f>0.16*1.1</f>
        <v>0.17600000000000002</v>
      </c>
      <c r="G21" s="42"/>
      <c r="H21" s="42"/>
      <c r="I21" s="42"/>
      <c r="J21" s="42"/>
      <c r="K21" s="42"/>
      <c r="L21" s="25"/>
      <c r="M21" s="26"/>
      <c r="N21" s="26"/>
      <c r="O21" s="26"/>
      <c r="P21" s="26"/>
      <c r="Q21" s="42"/>
    </row>
    <row r="22" spans="1:17" s="21" customFormat="1" ht="11.25" x14ac:dyDescent="0.25">
      <c r="A22" s="185" t="str">
        <f>IF(COUNTBLANK(B22)=1," ",COUNTA($B$14:B22))</f>
        <v xml:space="preserve"> </v>
      </c>
      <c r="B22" s="121"/>
      <c r="C22" s="57" t="s">
        <v>301</v>
      </c>
      <c r="D22" s="98" t="s">
        <v>60</v>
      </c>
      <c r="E22" s="42">
        <f>ROUNDUP(E20*F22,2)</f>
        <v>23.630000000000003</v>
      </c>
      <c r="F22" s="94">
        <v>1.05</v>
      </c>
      <c r="G22" s="42"/>
      <c r="H22" s="42"/>
      <c r="I22" s="42"/>
      <c r="J22" s="42"/>
      <c r="K22" s="42"/>
      <c r="L22" s="25"/>
      <c r="M22" s="26"/>
      <c r="N22" s="26"/>
      <c r="O22" s="26"/>
      <c r="P22" s="26"/>
      <c r="Q22" s="42"/>
    </row>
    <row r="23" spans="1:17" ht="22.5" x14ac:dyDescent="0.25">
      <c r="A23" s="185">
        <f>IF(COUNTBLANK(B23)=1," ",COUNTA($B$14:B23))</f>
        <v>6</v>
      </c>
      <c r="B23" s="121" t="s">
        <v>51</v>
      </c>
      <c r="C23" s="57" t="s">
        <v>302</v>
      </c>
      <c r="D23" s="180" t="s">
        <v>89</v>
      </c>
      <c r="E23" s="43">
        <f>3*2*1.5*0.5*0.2</f>
        <v>0.9</v>
      </c>
      <c r="F23" s="94"/>
      <c r="G23" s="42"/>
      <c r="H23" s="42"/>
      <c r="I23" s="42"/>
      <c r="J23" s="42"/>
      <c r="K23" s="42"/>
      <c r="L23" s="25"/>
      <c r="M23" s="26"/>
      <c r="N23" s="26"/>
      <c r="O23" s="26"/>
      <c r="P23" s="26"/>
      <c r="Q23" s="42"/>
    </row>
    <row r="24" spans="1:17" x14ac:dyDescent="0.25">
      <c r="A24" s="185" t="str">
        <f>IF(COUNTBLANK(B24)=1," ",COUNTA($B$14:B24))</f>
        <v xml:space="preserve"> </v>
      </c>
      <c r="B24" s="185"/>
      <c r="C24" s="230" t="s">
        <v>300</v>
      </c>
      <c r="D24" s="180" t="s">
        <v>89</v>
      </c>
      <c r="E24" s="42">
        <f>ROUNDUP(E23*F24,2)</f>
        <v>0.99</v>
      </c>
      <c r="F24" s="42">
        <v>1.1000000000000001</v>
      </c>
      <c r="G24" s="42"/>
      <c r="H24" s="42"/>
      <c r="I24" s="42"/>
      <c r="J24" s="42"/>
      <c r="K24" s="42"/>
      <c r="L24" s="25"/>
      <c r="M24" s="26"/>
      <c r="N24" s="26"/>
      <c r="O24" s="26"/>
      <c r="P24" s="26"/>
      <c r="Q24" s="42"/>
    </row>
    <row r="25" spans="1:17" x14ac:dyDescent="0.25">
      <c r="A25" s="185" t="str">
        <f>IF(COUNTBLANK(B25)=1," ",COUNTA($B$14:B25))</f>
        <v xml:space="preserve"> </v>
      </c>
      <c r="B25" s="121"/>
      <c r="C25" s="57" t="s">
        <v>301</v>
      </c>
      <c r="D25" s="98" t="s">
        <v>60</v>
      </c>
      <c r="E25" s="43">
        <f>3*2*4.5*0.5*1.1</f>
        <v>14.850000000000001</v>
      </c>
      <c r="F25" s="94"/>
      <c r="G25" s="42"/>
      <c r="H25" s="42"/>
      <c r="I25" s="42"/>
      <c r="J25" s="42"/>
      <c r="K25" s="42"/>
      <c r="L25" s="25"/>
      <c r="M25" s="26"/>
      <c r="N25" s="26"/>
      <c r="O25" s="26"/>
      <c r="P25" s="26"/>
      <c r="Q25" s="42"/>
    </row>
    <row r="26" spans="1:17" x14ac:dyDescent="0.25">
      <c r="A26" s="185" t="str">
        <f>IF(COUNTBLANK(B26)=1," ",COUNTA($B$14:B26))</f>
        <v xml:space="preserve"> </v>
      </c>
      <c r="B26" s="129"/>
      <c r="C26" s="231" t="s">
        <v>303</v>
      </c>
      <c r="D26" s="166"/>
      <c r="E26" s="166"/>
      <c r="F26" s="129"/>
      <c r="G26" s="129"/>
      <c r="H26" s="129"/>
      <c r="I26" s="129"/>
      <c r="J26" s="129"/>
      <c r="K26" s="42"/>
      <c r="L26" s="25"/>
      <c r="M26" s="26"/>
      <c r="N26" s="26"/>
      <c r="O26" s="26"/>
      <c r="P26" s="26"/>
      <c r="Q26" s="42"/>
    </row>
    <row r="27" spans="1:17" x14ac:dyDescent="0.25">
      <c r="A27" s="185">
        <f>IF(COUNTBLANK(B27)=1," ",COUNTA($B$14:B27))</f>
        <v>7</v>
      </c>
      <c r="B27" s="121" t="s">
        <v>51</v>
      </c>
      <c r="C27" s="165" t="s">
        <v>304</v>
      </c>
      <c r="D27" s="171" t="s">
        <v>89</v>
      </c>
      <c r="E27" s="144">
        <f>(3.21*2.25+1.36*1.05)*0.45*3</f>
        <v>11.678175000000001</v>
      </c>
      <c r="F27" s="129"/>
      <c r="G27" s="129"/>
      <c r="H27" s="129"/>
      <c r="I27" s="129"/>
      <c r="J27" s="129"/>
      <c r="K27" s="42"/>
      <c r="L27" s="25"/>
      <c r="M27" s="26"/>
      <c r="N27" s="26"/>
      <c r="O27" s="26"/>
      <c r="P27" s="26"/>
      <c r="Q27" s="42"/>
    </row>
    <row r="28" spans="1:17" x14ac:dyDescent="0.25">
      <c r="A28" s="185">
        <f>IF(COUNTBLANK(B28)=1," ",COUNTA($B$14:B28))</f>
        <v>8</v>
      </c>
      <c r="B28" s="121" t="s">
        <v>51</v>
      </c>
      <c r="C28" s="165" t="s">
        <v>293</v>
      </c>
      <c r="D28" s="171" t="s">
        <v>89</v>
      </c>
      <c r="E28" s="144">
        <f>(3.21*2.25+1.36*1.05)*0.1*3</f>
        <v>2.5951500000000003</v>
      </c>
      <c r="F28" s="129"/>
      <c r="G28" s="42"/>
      <c r="H28" s="24"/>
      <c r="I28" s="42"/>
      <c r="J28" s="42"/>
      <c r="K28" s="42"/>
      <c r="L28" s="25"/>
      <c r="M28" s="26"/>
      <c r="N28" s="26"/>
      <c r="O28" s="26"/>
      <c r="P28" s="26"/>
      <c r="Q28" s="42"/>
    </row>
    <row r="29" spans="1:17" x14ac:dyDescent="0.25">
      <c r="A29" s="185">
        <f>IF(COUNTBLANK(B29)=1," ",COUNTA($B$14:B29))</f>
        <v>9</v>
      </c>
      <c r="B29" s="121" t="s">
        <v>51</v>
      </c>
      <c r="C29" s="87" t="s">
        <v>294</v>
      </c>
      <c r="D29" s="129" t="s">
        <v>60</v>
      </c>
      <c r="E29" s="34">
        <f>(3.21*2.25+1.36*1.05)*3</f>
        <v>25.951500000000003</v>
      </c>
      <c r="F29" s="129"/>
      <c r="G29" s="43"/>
      <c r="H29" s="42"/>
      <c r="I29" s="42"/>
      <c r="J29" s="43"/>
      <c r="K29" s="42"/>
      <c r="L29" s="25"/>
      <c r="M29" s="26"/>
      <c r="N29" s="26"/>
      <c r="O29" s="26"/>
      <c r="P29" s="26"/>
      <c r="Q29" s="42"/>
    </row>
    <row r="30" spans="1:17" ht="22.5" x14ac:dyDescent="0.25">
      <c r="A30" s="185">
        <f>IF(COUNTBLANK(B30)=1," ",COUNTA($B$14:B30))</f>
        <v>10</v>
      </c>
      <c r="B30" s="121" t="s">
        <v>51</v>
      </c>
      <c r="C30" s="87" t="s">
        <v>295</v>
      </c>
      <c r="D30" s="129" t="s">
        <v>89</v>
      </c>
      <c r="E30" s="34">
        <f>E29*0.1</f>
        <v>2.5951500000000003</v>
      </c>
      <c r="F30" s="89"/>
      <c r="G30" s="43"/>
      <c r="H30" s="42"/>
      <c r="I30" s="43"/>
      <c r="J30" s="43"/>
      <c r="K30" s="42"/>
      <c r="L30" s="25"/>
      <c r="M30" s="26"/>
      <c r="N30" s="26"/>
      <c r="O30" s="26"/>
      <c r="P30" s="26"/>
      <c r="Q30" s="42"/>
    </row>
    <row r="31" spans="1:17" x14ac:dyDescent="0.25">
      <c r="A31" s="185" t="str">
        <f>IF(COUNTBLANK(B31)=1," ",COUNTA($B$14:B31))</f>
        <v xml:space="preserve"> </v>
      </c>
      <c r="B31" s="180"/>
      <c r="C31" s="57" t="s">
        <v>296</v>
      </c>
      <c r="D31" s="133" t="s">
        <v>305</v>
      </c>
      <c r="E31" s="42">
        <f>ROUNDUP(E30*F31,2)</f>
        <v>2.86</v>
      </c>
      <c r="F31" s="43">
        <v>1.1000000000000001</v>
      </c>
      <c r="G31" s="43"/>
      <c r="H31" s="43"/>
      <c r="I31" s="43"/>
      <c r="J31" s="43"/>
      <c r="K31" s="42"/>
      <c r="L31" s="25"/>
      <c r="M31" s="26"/>
      <c r="N31" s="26"/>
      <c r="O31" s="26"/>
      <c r="P31" s="26"/>
      <c r="Q31" s="42"/>
    </row>
    <row r="32" spans="1:17" x14ac:dyDescent="0.25">
      <c r="A32" s="185">
        <f>IF(COUNTBLANK(B32)=1," ",COUNTA($B$14:B32))</f>
        <v>11</v>
      </c>
      <c r="B32" s="121" t="s">
        <v>51</v>
      </c>
      <c r="C32" s="87" t="s">
        <v>297</v>
      </c>
      <c r="D32" s="98" t="s">
        <v>60</v>
      </c>
      <c r="E32" s="34">
        <f>E29-1.85*0.6*3</f>
        <v>22.621500000000005</v>
      </c>
      <c r="F32" s="42"/>
      <c r="G32" s="42"/>
      <c r="H32" s="42"/>
      <c r="I32" s="42"/>
      <c r="J32" s="42"/>
      <c r="K32" s="42"/>
      <c r="L32" s="25"/>
      <c r="M32" s="26"/>
      <c r="N32" s="26"/>
      <c r="O32" s="26"/>
      <c r="P32" s="26"/>
      <c r="Q32" s="42"/>
    </row>
    <row r="33" spans="1:19" x14ac:dyDescent="0.25">
      <c r="A33" s="185" t="str">
        <f>IF(COUNTBLANK(B33)=1," ",COUNTA($B$14:B33))</f>
        <v xml:space="preserve"> </v>
      </c>
      <c r="B33" s="185"/>
      <c r="C33" s="230" t="s">
        <v>298</v>
      </c>
      <c r="D33" s="98" t="s">
        <v>60</v>
      </c>
      <c r="E33" s="42">
        <f>ROUNDUP(E32*F33,2)</f>
        <v>23.76</v>
      </c>
      <c r="F33" s="42">
        <v>1.05</v>
      </c>
      <c r="G33" s="42"/>
      <c r="H33" s="42"/>
      <c r="I33" s="42"/>
      <c r="J33" s="42"/>
      <c r="K33" s="42"/>
      <c r="L33" s="25"/>
      <c r="M33" s="26"/>
      <c r="N33" s="26"/>
      <c r="O33" s="26"/>
      <c r="P33" s="26"/>
      <c r="Q33" s="42"/>
    </row>
    <row r="34" spans="1:19" s="202" customFormat="1" ht="22.5" x14ac:dyDescent="0.25">
      <c r="A34" s="185">
        <f>IF(COUNTBLANK(B34)=1," ",COUNTA($B$14:B34))</f>
        <v>12</v>
      </c>
      <c r="B34" s="121" t="s">
        <v>51</v>
      </c>
      <c r="C34" s="57" t="s">
        <v>299</v>
      </c>
      <c r="D34" s="98" t="s">
        <v>60</v>
      </c>
      <c r="E34" s="43">
        <f>E32</f>
        <v>22.621500000000005</v>
      </c>
      <c r="F34" s="94"/>
      <c r="G34" s="42"/>
      <c r="H34" s="42"/>
      <c r="I34" s="42"/>
      <c r="J34" s="42"/>
      <c r="K34" s="42"/>
      <c r="L34" s="25"/>
      <c r="M34" s="26"/>
      <c r="N34" s="26"/>
      <c r="O34" s="26"/>
      <c r="P34" s="26"/>
      <c r="Q34" s="42"/>
      <c r="R34" s="20"/>
      <c r="S34" s="20"/>
    </row>
    <row r="35" spans="1:19" s="21" customFormat="1" ht="11.25" x14ac:dyDescent="0.25">
      <c r="A35" s="185" t="str">
        <f>IF(COUNTBLANK(B35)=1," ",COUNTA($B$14:B35))</f>
        <v xml:space="preserve"> </v>
      </c>
      <c r="B35" s="185"/>
      <c r="C35" s="230" t="s">
        <v>300</v>
      </c>
      <c r="D35" s="180" t="s">
        <v>89</v>
      </c>
      <c r="E35" s="261">
        <f>ROUNDUP(E34*F35,2)</f>
        <v>3.9899999999999998</v>
      </c>
      <c r="F35" s="42">
        <f>0.16*1.1</f>
        <v>0.17600000000000002</v>
      </c>
      <c r="G35" s="42"/>
      <c r="H35" s="42"/>
      <c r="I35" s="42"/>
      <c r="J35" s="42"/>
      <c r="K35" s="42"/>
      <c r="L35" s="25"/>
      <c r="M35" s="26"/>
      <c r="N35" s="26"/>
      <c r="O35" s="26"/>
      <c r="P35" s="26"/>
      <c r="Q35" s="42"/>
    </row>
    <row r="36" spans="1:19" s="9" customFormat="1" ht="11.25" x14ac:dyDescent="0.25">
      <c r="A36" s="185" t="str">
        <f>IF(COUNTBLANK(B36)=1," ",COUNTA($B$14:B36))</f>
        <v xml:space="preserve"> </v>
      </c>
      <c r="B36" s="121"/>
      <c r="C36" s="57" t="s">
        <v>301</v>
      </c>
      <c r="D36" s="98" t="s">
        <v>60</v>
      </c>
      <c r="E36" s="42">
        <f>ROUNDUP(E34*F36,2)</f>
        <v>23.76</v>
      </c>
      <c r="F36" s="94">
        <v>1.05</v>
      </c>
      <c r="G36" s="42"/>
      <c r="H36" s="42"/>
      <c r="I36" s="42"/>
      <c r="J36" s="42"/>
      <c r="K36" s="42"/>
      <c r="L36" s="25"/>
      <c r="M36" s="26"/>
      <c r="N36" s="26"/>
      <c r="O36" s="26"/>
      <c r="P36" s="26"/>
      <c r="Q36" s="42"/>
      <c r="R36" s="20"/>
      <c r="S36" s="20"/>
    </row>
    <row r="37" spans="1:19" ht="22.5" x14ac:dyDescent="0.25">
      <c r="A37" s="185">
        <f>IF(COUNTBLANK(B37)=1," ",COUNTA($B$14:B37))</f>
        <v>13</v>
      </c>
      <c r="B37" s="121" t="s">
        <v>51</v>
      </c>
      <c r="C37" s="87" t="s">
        <v>306</v>
      </c>
      <c r="D37" s="129" t="s">
        <v>89</v>
      </c>
      <c r="E37" s="34">
        <f>1.85*0.6*3</f>
        <v>3.33</v>
      </c>
      <c r="F37" s="42"/>
      <c r="G37" s="42"/>
      <c r="H37" s="42"/>
      <c r="I37" s="42"/>
      <c r="J37" s="42"/>
      <c r="K37" s="42"/>
      <c r="L37" s="25"/>
      <c r="M37" s="26"/>
      <c r="N37" s="26"/>
      <c r="O37" s="26"/>
      <c r="P37" s="26"/>
      <c r="Q37" s="42"/>
    </row>
    <row r="38" spans="1:19" s="21" customFormat="1" ht="11.25" x14ac:dyDescent="0.25">
      <c r="A38" s="185" t="str">
        <f>IF(COUNTBLANK(B38)=1," ",COUNTA($B$14:B38))</f>
        <v xml:space="preserve"> </v>
      </c>
      <c r="B38" s="185"/>
      <c r="C38" s="230" t="s">
        <v>300</v>
      </c>
      <c r="D38" s="180" t="s">
        <v>89</v>
      </c>
      <c r="E38" s="42">
        <f>ROUNDUP(E37*F38,2)</f>
        <v>3.67</v>
      </c>
      <c r="F38" s="42">
        <v>1.1000000000000001</v>
      </c>
      <c r="G38" s="42"/>
      <c r="H38" s="42"/>
      <c r="I38" s="42"/>
      <c r="J38" s="42"/>
      <c r="K38" s="42"/>
      <c r="L38" s="25"/>
      <c r="M38" s="26"/>
      <c r="N38" s="26"/>
      <c r="O38" s="26"/>
      <c r="P38" s="26"/>
      <c r="Q38" s="42"/>
    </row>
    <row r="39" spans="1:19" x14ac:dyDescent="0.25">
      <c r="A39" s="185" t="str">
        <f>IF(COUNTBLANK(B39)=1," ",COUNTA($B$14:B39))</f>
        <v xml:space="preserve"> </v>
      </c>
      <c r="B39" s="121"/>
      <c r="C39" s="57" t="s">
        <v>301</v>
      </c>
      <c r="D39" s="98" t="s">
        <v>60</v>
      </c>
      <c r="E39" s="43">
        <f>1.9*1.4</f>
        <v>2.6599999999999997</v>
      </c>
      <c r="F39" s="94"/>
      <c r="G39" s="42"/>
      <c r="H39" s="42"/>
      <c r="I39" s="42"/>
      <c r="J39" s="42"/>
      <c r="K39" s="42"/>
      <c r="L39" s="25"/>
      <c r="M39" s="26"/>
      <c r="N39" s="26"/>
      <c r="O39" s="26"/>
      <c r="P39" s="26"/>
      <c r="Q39" s="42"/>
    </row>
    <row r="40" spans="1:19" ht="22.5" x14ac:dyDescent="0.25">
      <c r="A40" s="185">
        <f>IF(COUNTBLANK(B40)=1," ",COUNTA($B$14:B40))</f>
        <v>14</v>
      </c>
      <c r="B40" s="121" t="s">
        <v>51</v>
      </c>
      <c r="C40" s="57" t="s">
        <v>302</v>
      </c>
      <c r="D40" s="180" t="s">
        <v>89</v>
      </c>
      <c r="E40" s="43">
        <f>3*2*1.65*0.5*0.2</f>
        <v>0.98999999999999988</v>
      </c>
      <c r="F40" s="94"/>
      <c r="G40" s="42"/>
      <c r="H40" s="42"/>
      <c r="I40" s="42"/>
      <c r="J40" s="42"/>
      <c r="K40" s="42"/>
      <c r="L40" s="25"/>
      <c r="M40" s="26"/>
      <c r="N40" s="26"/>
      <c r="O40" s="26"/>
      <c r="P40" s="26"/>
      <c r="Q40" s="42"/>
    </row>
    <row r="41" spans="1:19" x14ac:dyDescent="0.25">
      <c r="A41" s="185" t="str">
        <f>IF(COUNTBLANK(B41)=1," ",COUNTA($B$14:B41))</f>
        <v xml:space="preserve"> </v>
      </c>
      <c r="B41" s="185"/>
      <c r="C41" s="230" t="s">
        <v>300</v>
      </c>
      <c r="D41" s="180" t="s">
        <v>89</v>
      </c>
      <c r="E41" s="42">
        <f>ROUNDUP(E40*F41,2)</f>
        <v>1.0900000000000001</v>
      </c>
      <c r="F41" s="42">
        <v>1.1000000000000001</v>
      </c>
      <c r="G41" s="42"/>
      <c r="H41" s="42"/>
      <c r="I41" s="42"/>
      <c r="J41" s="42"/>
      <c r="K41" s="42"/>
      <c r="L41" s="25"/>
      <c r="M41" s="26"/>
      <c r="N41" s="26"/>
      <c r="O41" s="26"/>
      <c r="P41" s="26"/>
      <c r="Q41" s="42"/>
    </row>
    <row r="42" spans="1:19" x14ac:dyDescent="0.25">
      <c r="A42" s="185" t="str">
        <f>IF(COUNTBLANK(B42)=1," ",COUNTA($B$14:B42))</f>
        <v xml:space="preserve"> </v>
      </c>
      <c r="B42" s="121"/>
      <c r="C42" s="57" t="s">
        <v>301</v>
      </c>
      <c r="D42" s="98" t="s">
        <v>60</v>
      </c>
      <c r="E42" s="43">
        <f>3*2*4.5*0.5*1.1</f>
        <v>14.850000000000001</v>
      </c>
      <c r="F42" s="94"/>
      <c r="G42" s="42"/>
      <c r="H42" s="42"/>
      <c r="I42" s="42"/>
      <c r="J42" s="42"/>
      <c r="K42" s="42"/>
      <c r="L42" s="25"/>
      <c r="M42" s="26"/>
      <c r="N42" s="26"/>
      <c r="O42" s="26"/>
      <c r="P42" s="26"/>
      <c r="Q42" s="42"/>
    </row>
    <row r="43" spans="1:19" ht="24.4" customHeight="1" x14ac:dyDescent="0.25">
      <c r="A43" s="185">
        <f>IF(COUNTBLANK(B43)=1," ",COUNTA($B$14:B43))</f>
        <v>15</v>
      </c>
      <c r="B43" s="121" t="s">
        <v>51</v>
      </c>
      <c r="C43" s="57" t="s">
        <v>307</v>
      </c>
      <c r="D43" s="180" t="s">
        <v>308</v>
      </c>
      <c r="E43" s="43">
        <f>3*2</f>
        <v>6</v>
      </c>
      <c r="F43" s="94"/>
      <c r="G43" s="42"/>
      <c r="H43" s="42"/>
      <c r="I43" s="42"/>
      <c r="J43" s="42"/>
      <c r="K43" s="42"/>
      <c r="L43" s="25"/>
      <c r="M43" s="26"/>
      <c r="N43" s="26"/>
      <c r="O43" s="26"/>
      <c r="P43" s="26"/>
      <c r="Q43" s="42"/>
    </row>
    <row r="44" spans="1:19" s="9" customFormat="1" ht="11.25" x14ac:dyDescent="0.25">
      <c r="A44" s="39"/>
      <c r="B44" s="50"/>
      <c r="C44" s="46"/>
      <c r="D44" s="39"/>
      <c r="E44" s="39"/>
      <c r="F44" s="39"/>
      <c r="G44" s="39"/>
      <c r="H44" s="51"/>
      <c r="I44" s="39"/>
      <c r="J44" s="52"/>
      <c r="K44" s="16"/>
      <c r="L44" s="52"/>
      <c r="M44" s="52"/>
      <c r="N44" s="52"/>
      <c r="O44" s="16"/>
      <c r="P44" s="16"/>
      <c r="Q44" s="16"/>
      <c r="R44" s="16"/>
      <c r="S44" s="21"/>
    </row>
    <row r="45" spans="1:19" ht="22.5" x14ac:dyDescent="0.25">
      <c r="A45" s="39"/>
      <c r="B45" s="39"/>
      <c r="C45" s="10" t="s">
        <v>91</v>
      </c>
      <c r="D45" s="9"/>
      <c r="E45" s="9"/>
      <c r="F45" s="9"/>
      <c r="G45" s="9"/>
      <c r="H45" s="5"/>
      <c r="I45" s="5"/>
      <c r="J45" s="9"/>
      <c r="K45" s="9"/>
      <c r="L45" s="9"/>
      <c r="M45" s="52">
        <f>SUM(M13:M43)</f>
        <v>0</v>
      </c>
      <c r="N45" s="52">
        <f>SUM(N13:N43)</f>
        <v>0</v>
      </c>
      <c r="O45" s="52">
        <f>SUM(O13:O43)</f>
        <v>0</v>
      </c>
      <c r="P45" s="52">
        <f>SUM(P13:P43)</f>
        <v>0</v>
      </c>
      <c r="Q45" s="52">
        <f>SUM(Q13:Q43)</f>
        <v>0</v>
      </c>
      <c r="R45" s="16"/>
      <c r="S45" s="16"/>
    </row>
    <row r="46" spans="1:19" x14ac:dyDescent="0.25">
      <c r="A46" s="9" t="str">
        <f>IF(COUNTBLANK(L46)=1," ",COUNTA($L$15:L46))</f>
        <v xml:space="preserve"> </v>
      </c>
      <c r="B46" s="39"/>
      <c r="C46" s="10"/>
      <c r="D46" s="9"/>
      <c r="E46" s="9"/>
      <c r="F46" s="9"/>
      <c r="G46" s="9"/>
      <c r="H46" s="5"/>
      <c r="I46" s="5"/>
      <c r="J46" s="9"/>
      <c r="K46" s="5"/>
      <c r="L46" s="9"/>
      <c r="M46" s="16"/>
      <c r="N46" s="9"/>
      <c r="O46" s="16"/>
      <c r="P46" s="16"/>
      <c r="Q46" s="16"/>
      <c r="R46" s="16"/>
      <c r="S46" s="5"/>
    </row>
    <row r="47" spans="1:19" s="5" customFormat="1" ht="11.25" x14ac:dyDescent="0.25">
      <c r="A47" s="183"/>
      <c r="B47" s="183"/>
      <c r="C47" s="46"/>
      <c r="D47" s="39"/>
      <c r="E47" s="39"/>
      <c r="F47" s="39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54"/>
    </row>
    <row r="48" spans="1:19" x14ac:dyDescent="0.25">
      <c r="A48" s="183"/>
      <c r="B48" s="21" t="s">
        <v>31</v>
      </c>
      <c r="C48" s="130"/>
      <c r="D48" s="21"/>
      <c r="E48" s="21"/>
      <c r="F48" s="21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5"/>
    </row>
    <row r="49" spans="1:19" x14ac:dyDescent="0.25">
      <c r="A49" s="183"/>
      <c r="B49" s="21"/>
      <c r="C49" s="229" t="s">
        <v>32</v>
      </c>
      <c r="D49" s="183"/>
      <c r="E49" s="183"/>
      <c r="F49" s="183"/>
      <c r="G49" s="21"/>
      <c r="H49" s="21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5"/>
    </row>
    <row r="50" spans="1:19" x14ac:dyDescent="0.25">
      <c r="A50" s="21"/>
      <c r="B50" s="5"/>
      <c r="C50" s="3"/>
      <c r="D50" s="5"/>
      <c r="E50" s="5"/>
      <c r="F50" s="5"/>
      <c r="G50" s="21"/>
      <c r="H50" s="21"/>
      <c r="I50" s="183"/>
      <c r="J50" s="183"/>
      <c r="K50" s="21"/>
      <c r="L50" s="21"/>
      <c r="M50" s="21"/>
      <c r="N50" s="21"/>
      <c r="O50" s="21"/>
      <c r="P50" s="21"/>
      <c r="Q50" s="21"/>
      <c r="R50" s="21"/>
      <c r="S50" s="5"/>
    </row>
    <row r="51" spans="1:19" x14ac:dyDescent="0.25">
      <c r="A51" s="21"/>
      <c r="B51" s="310" t="s">
        <v>476</v>
      </c>
      <c r="C51" s="130"/>
      <c r="D51" s="21"/>
      <c r="E51" s="21"/>
      <c r="F51" s="21"/>
      <c r="G51" s="21"/>
      <c r="H51" s="21"/>
      <c r="I51" s="183"/>
      <c r="J51" s="183"/>
      <c r="K51" s="21"/>
      <c r="L51" s="21"/>
      <c r="M51" s="21"/>
      <c r="N51" s="21"/>
      <c r="O51" s="21"/>
      <c r="P51" s="21"/>
      <c r="Q51" s="21"/>
      <c r="R51" s="21"/>
      <c r="S51" s="5"/>
    </row>
    <row r="52" spans="1:19" x14ac:dyDescent="0.25">
      <c r="A52" s="21"/>
      <c r="B52" s="5"/>
      <c r="C52" s="3"/>
      <c r="D52" s="5"/>
      <c r="E52" s="5"/>
      <c r="F52" s="5"/>
      <c r="G52" s="21"/>
      <c r="H52" s="21"/>
      <c r="I52" s="183"/>
      <c r="J52" s="183"/>
      <c r="K52" s="21"/>
      <c r="L52" s="21"/>
      <c r="M52" s="21"/>
      <c r="N52" s="21"/>
      <c r="O52" s="21"/>
      <c r="P52" s="21"/>
      <c r="Q52" s="21"/>
      <c r="R52" s="21"/>
      <c r="S52" s="5"/>
    </row>
    <row r="53" spans="1:19" x14ac:dyDescent="0.25">
      <c r="A53" s="21"/>
      <c r="B53" s="21" t="s">
        <v>33</v>
      </c>
      <c r="C53" s="130"/>
      <c r="D53" s="21"/>
      <c r="E53" s="21"/>
      <c r="F53" s="21"/>
      <c r="G53" s="21"/>
      <c r="H53" s="21"/>
      <c r="I53" s="183"/>
      <c r="J53" s="183"/>
      <c r="K53" s="21"/>
      <c r="L53" s="21"/>
      <c r="M53" s="21"/>
      <c r="N53" s="21"/>
      <c r="O53" s="21"/>
      <c r="P53" s="21"/>
      <c r="Q53" s="21"/>
      <c r="R53" s="21"/>
      <c r="S53" s="5"/>
    </row>
    <row r="54" spans="1:19" x14ac:dyDescent="0.25">
      <c r="A54" s="21"/>
      <c r="B54" s="21"/>
      <c r="C54" s="229" t="s">
        <v>32</v>
      </c>
      <c r="D54" s="183"/>
      <c r="E54" s="183"/>
      <c r="F54" s="183"/>
      <c r="G54" s="21"/>
      <c r="H54" s="21"/>
      <c r="I54" s="183"/>
      <c r="J54" s="183"/>
      <c r="K54" s="21"/>
      <c r="L54" s="21"/>
      <c r="M54" s="21"/>
      <c r="N54" s="21"/>
      <c r="O54" s="21"/>
      <c r="P54" s="21"/>
      <c r="Q54" s="21"/>
      <c r="R54" s="21"/>
    </row>
    <row r="55" spans="1:19" x14ac:dyDescent="0.25">
      <c r="A55" s="21"/>
      <c r="B55" s="5"/>
      <c r="C55" s="130" t="s">
        <v>34</v>
      </c>
      <c r="D55" s="21"/>
      <c r="E55" s="21"/>
      <c r="F55" s="21"/>
      <c r="G55" s="21"/>
      <c r="H55" s="21"/>
      <c r="I55" s="183"/>
      <c r="J55" s="183"/>
      <c r="K55" s="21"/>
      <c r="L55" s="21"/>
      <c r="M55" s="21"/>
      <c r="N55" s="21"/>
      <c r="O55" s="21"/>
      <c r="P55" s="21"/>
      <c r="Q55" s="21"/>
      <c r="R55" s="21"/>
    </row>
  </sheetData>
  <autoFilter ref="A12:Q49" xr:uid="{00000000-0009-0000-0000-000009000000}"/>
  <mergeCells count="8">
    <mergeCell ref="A8:P8"/>
    <mergeCell ref="A10:A11"/>
    <mergeCell ref="B10:B11"/>
    <mergeCell ref="C10:C11"/>
    <mergeCell ref="D10:D11"/>
    <mergeCell ref="E10:E11"/>
    <mergeCell ref="G10:L10"/>
    <mergeCell ref="M10:Q10"/>
  </mergeCells>
  <pageMargins left="0" right="0" top="0.39374999999999999" bottom="0.39374999999999999" header="0.51180555555555496" footer="0.51180555555555496"/>
  <pageSetup paperSize="9" firstPageNumber="0" orientation="landscape" horizontalDpi="300" verticalDpi="300" r:id="rId1"/>
  <rowBreaks count="1" manualBreakCount="1">
    <brk id="2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MK215"/>
  <sheetViews>
    <sheetView view="pageBreakPreview" zoomScaleNormal="100" zoomScaleSheetLayoutView="100" zoomScalePageLayoutView="85" workbookViewId="0">
      <selection activeCell="C2" sqref="C2"/>
    </sheetView>
  </sheetViews>
  <sheetFormatPr defaultColWidth="9" defaultRowHeight="15" x14ac:dyDescent="0.25"/>
  <cols>
    <col min="1" max="2" width="6" style="20" customWidth="1"/>
    <col min="3" max="3" width="68.7109375" style="12" customWidth="1"/>
    <col min="4" max="4" width="7.28515625" style="20" customWidth="1"/>
    <col min="5" max="5" width="10.5703125" style="20" hidden="1" customWidth="1"/>
    <col min="6" max="17" width="5" style="20" customWidth="1"/>
    <col min="18" max="18" width="12.85546875" style="20" customWidth="1"/>
    <col min="19" max="19" width="10.5703125" style="20" customWidth="1"/>
    <col min="20" max="36" width="9.140625" style="20" customWidth="1"/>
    <col min="37" max="1025" width="44.42578125" style="20" customWidth="1"/>
    <col min="1026" max="16384" width="9" style="198"/>
  </cols>
  <sheetData>
    <row r="1" spans="1:1020" s="21" customFormat="1" ht="11.25" x14ac:dyDescent="0.25">
      <c r="A1" s="5"/>
      <c r="B1" s="177"/>
      <c r="C1" s="2"/>
      <c r="D1" s="177"/>
      <c r="E1" s="177"/>
      <c r="F1" s="177"/>
      <c r="G1" s="177"/>
      <c r="H1" s="312" t="s">
        <v>35</v>
      </c>
      <c r="I1" s="194">
        <f>kpdv!B19</f>
        <v>8</v>
      </c>
      <c r="J1" s="177"/>
      <c r="K1" s="177"/>
      <c r="L1" s="177"/>
      <c r="M1" s="177"/>
      <c r="N1" s="177"/>
      <c r="O1" s="5"/>
      <c r="P1" s="5"/>
      <c r="Q1" s="5"/>
      <c r="AMF1" s="20"/>
    </row>
    <row r="2" spans="1:1020" s="21" customFormat="1" ht="11.25" x14ac:dyDescent="0.25">
      <c r="A2" s="177"/>
      <c r="B2" s="177"/>
      <c r="C2" s="2"/>
      <c r="D2" s="177"/>
      <c r="E2" s="177"/>
      <c r="F2" s="177"/>
      <c r="G2" s="177" t="s">
        <v>309</v>
      </c>
      <c r="H2" s="177"/>
      <c r="I2" s="177"/>
      <c r="J2" s="177"/>
      <c r="K2" s="177"/>
      <c r="L2" s="177"/>
      <c r="M2" s="177"/>
      <c r="N2" s="177"/>
      <c r="O2" s="5"/>
      <c r="P2" s="5"/>
      <c r="Q2" s="5"/>
      <c r="AMF2" s="20"/>
    </row>
    <row r="3" spans="1:1020" s="21" customFormat="1" ht="11.25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AMF3" s="20"/>
    </row>
    <row r="4" spans="1:1020" s="21" customFormat="1" ht="11.25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AMF4" s="20"/>
    </row>
    <row r="5" spans="1:1020" s="21" customFormat="1" ht="11.25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AMF5" s="20"/>
    </row>
    <row r="6" spans="1:1020" s="21" customFormat="1" ht="11.25" x14ac:dyDescent="0.25">
      <c r="A6" s="308" t="str">
        <f>KOP!A6</f>
        <v>Pasūtījuma Nr.EA-79-16</v>
      </c>
      <c r="B6" s="177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AMF6" s="20"/>
    </row>
    <row r="7" spans="1:1020" s="21" customFormat="1" ht="11.25" x14ac:dyDescent="0.25">
      <c r="A7" s="183"/>
      <c r="B7" s="5"/>
      <c r="C7" s="313" t="s">
        <v>479</v>
      </c>
      <c r="D7" s="5" t="s">
        <v>487</v>
      </c>
      <c r="E7" s="5"/>
      <c r="F7" s="310" t="s">
        <v>38</v>
      </c>
      <c r="G7" s="5"/>
      <c r="H7" s="5"/>
      <c r="I7" s="5"/>
      <c r="J7" s="5"/>
      <c r="K7" s="5"/>
      <c r="L7" s="5"/>
      <c r="M7" s="5"/>
      <c r="N7" s="5"/>
      <c r="O7" s="5"/>
      <c r="P7" s="5" t="s">
        <v>39</v>
      </c>
      <c r="Q7" s="195">
        <f>Q205</f>
        <v>0</v>
      </c>
      <c r="AMF7" s="20"/>
    </row>
    <row r="8" spans="1:1020" s="21" customFormat="1" ht="11.25" x14ac:dyDescent="0.25">
      <c r="A8" s="196"/>
      <c r="B8" s="196"/>
      <c r="C8" s="223"/>
      <c r="D8" s="183"/>
      <c r="E8" s="183"/>
      <c r="F8" s="183"/>
      <c r="G8" s="5"/>
      <c r="H8" s="5"/>
      <c r="I8" s="5"/>
      <c r="J8" s="5"/>
      <c r="K8" s="5"/>
      <c r="L8" s="5"/>
      <c r="M8" s="5"/>
      <c r="N8" s="5"/>
      <c r="O8" s="5"/>
      <c r="P8" s="197"/>
      <c r="Q8" s="309" t="s">
        <v>476</v>
      </c>
      <c r="AMF8" s="20"/>
    </row>
    <row r="9" spans="1:1020" s="21" customFormat="1" ht="10.5" customHeight="1" x14ac:dyDescent="0.25">
      <c r="A9" s="320" t="s">
        <v>1</v>
      </c>
      <c r="B9" s="320" t="s">
        <v>40</v>
      </c>
      <c r="C9" s="321" t="s">
        <v>41</v>
      </c>
      <c r="D9" s="331" t="s">
        <v>42</v>
      </c>
      <c r="E9" s="331"/>
      <c r="F9" s="320" t="s">
        <v>43</v>
      </c>
      <c r="G9" s="332" t="s">
        <v>44</v>
      </c>
      <c r="H9" s="332"/>
      <c r="I9" s="332"/>
      <c r="J9" s="332"/>
      <c r="K9" s="332"/>
      <c r="L9" s="332"/>
      <c r="M9" s="332" t="s">
        <v>45</v>
      </c>
      <c r="N9" s="332"/>
      <c r="O9" s="332"/>
      <c r="P9" s="332"/>
      <c r="Q9" s="332"/>
      <c r="AMF9" s="20"/>
    </row>
    <row r="10" spans="1:1020" s="21" customFormat="1" ht="72.75" x14ac:dyDescent="0.25">
      <c r="A10" s="320"/>
      <c r="B10" s="320"/>
      <c r="C10" s="321"/>
      <c r="D10" s="331"/>
      <c r="E10" s="331"/>
      <c r="F10" s="320"/>
      <c r="G10" s="179" t="s">
        <v>46</v>
      </c>
      <c r="H10" s="22" t="s">
        <v>480</v>
      </c>
      <c r="I10" s="22" t="s">
        <v>47</v>
      </c>
      <c r="J10" s="22" t="s">
        <v>481</v>
      </c>
      <c r="K10" s="22" t="s">
        <v>48</v>
      </c>
      <c r="L10" s="22" t="s">
        <v>482</v>
      </c>
      <c r="M10" s="179" t="s">
        <v>50</v>
      </c>
      <c r="N10" s="22" t="s">
        <v>47</v>
      </c>
      <c r="O10" s="22" t="s">
        <v>483</v>
      </c>
      <c r="P10" s="22" t="s">
        <v>48</v>
      </c>
      <c r="Q10" s="22" t="s">
        <v>49</v>
      </c>
      <c r="AMF10" s="20"/>
    </row>
    <row r="11" spans="1:1020" s="21" customFormat="1" ht="11.25" x14ac:dyDescent="0.25">
      <c r="A11" s="175">
        <v>1</v>
      </c>
      <c r="B11" s="23">
        <f>A11+1</f>
        <v>2</v>
      </c>
      <c r="C11" s="224">
        <v>3</v>
      </c>
      <c r="D11" s="23">
        <f>C11+1</f>
        <v>4</v>
      </c>
      <c r="E11" s="23"/>
      <c r="F11" s="23">
        <f>D11+1</f>
        <v>5</v>
      </c>
      <c r="G11" s="23">
        <f t="shared" ref="G11:Q11" si="0">F11+1</f>
        <v>6</v>
      </c>
      <c r="H11" s="23">
        <f t="shared" si="0"/>
        <v>7</v>
      </c>
      <c r="I11" s="23">
        <f t="shared" si="0"/>
        <v>8</v>
      </c>
      <c r="J11" s="23">
        <f t="shared" si="0"/>
        <v>9</v>
      </c>
      <c r="K11" s="23">
        <f t="shared" si="0"/>
        <v>10</v>
      </c>
      <c r="L11" s="23">
        <f t="shared" si="0"/>
        <v>11</v>
      </c>
      <c r="M11" s="23">
        <f t="shared" si="0"/>
        <v>12</v>
      </c>
      <c r="N11" s="23">
        <f t="shared" si="0"/>
        <v>13</v>
      </c>
      <c r="O11" s="23">
        <f t="shared" si="0"/>
        <v>14</v>
      </c>
      <c r="P11" s="23">
        <f t="shared" si="0"/>
        <v>15</v>
      </c>
      <c r="Q11" s="23">
        <f t="shared" si="0"/>
        <v>16</v>
      </c>
    </row>
    <row r="12" spans="1:1020" x14ac:dyDescent="0.25">
      <c r="A12" s="176"/>
      <c r="B12" s="23"/>
      <c r="C12" s="225" t="s">
        <v>310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020" x14ac:dyDescent="0.25">
      <c r="A13" s="139">
        <v>1</v>
      </c>
      <c r="B13" s="182"/>
      <c r="C13" s="87" t="s">
        <v>311</v>
      </c>
      <c r="D13" s="129" t="s">
        <v>312</v>
      </c>
      <c r="E13" s="129">
        <v>1</v>
      </c>
      <c r="F13" s="129">
        <f>E13</f>
        <v>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1020" x14ac:dyDescent="0.25">
      <c r="A14" s="139">
        <f>A13+1</f>
        <v>2</v>
      </c>
      <c r="B14" s="182"/>
      <c r="C14" s="87" t="s">
        <v>313</v>
      </c>
      <c r="D14" s="129" t="s">
        <v>53</v>
      </c>
      <c r="E14" s="129">
        <v>12</v>
      </c>
      <c r="F14" s="129">
        <v>12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020" x14ac:dyDescent="0.25">
      <c r="A15" s="139">
        <f t="shared" ref="A15:A54" si="1">A14+1</f>
        <v>3</v>
      </c>
      <c r="B15" s="182"/>
      <c r="C15" s="87" t="s">
        <v>314</v>
      </c>
      <c r="D15" s="129" t="s">
        <v>53</v>
      </c>
      <c r="E15" s="129">
        <v>10</v>
      </c>
      <c r="F15" s="129">
        <v>10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020" x14ac:dyDescent="0.25">
      <c r="A16" s="139">
        <f t="shared" si="1"/>
        <v>4</v>
      </c>
      <c r="B16" s="182"/>
      <c r="C16" s="87" t="s">
        <v>315</v>
      </c>
      <c r="D16" s="129" t="s">
        <v>53</v>
      </c>
      <c r="E16" s="129">
        <v>120</v>
      </c>
      <c r="F16" s="129">
        <v>120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7" x14ac:dyDescent="0.25">
      <c r="A17" s="139">
        <f t="shared" si="1"/>
        <v>5</v>
      </c>
      <c r="B17" s="182"/>
      <c r="C17" s="87" t="s">
        <v>316</v>
      </c>
      <c r="D17" s="129" t="s">
        <v>53</v>
      </c>
      <c r="E17" s="129">
        <v>48</v>
      </c>
      <c r="F17" s="129">
        <v>48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x14ac:dyDescent="0.25">
      <c r="A18" s="139">
        <f t="shared" si="1"/>
        <v>6</v>
      </c>
      <c r="B18" s="182"/>
      <c r="C18" s="87" t="s">
        <v>317</v>
      </c>
      <c r="D18" s="129" t="s">
        <v>53</v>
      </c>
      <c r="E18" s="129">
        <v>30</v>
      </c>
      <c r="F18" s="129">
        <v>30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17" x14ac:dyDescent="0.25">
      <c r="A19" s="139">
        <f t="shared" si="1"/>
        <v>7</v>
      </c>
      <c r="B19" s="182"/>
      <c r="C19" s="30" t="s">
        <v>318</v>
      </c>
      <c r="D19" s="129" t="s">
        <v>319</v>
      </c>
      <c r="E19" s="129">
        <v>2</v>
      </c>
      <c r="F19" s="129">
        <v>2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x14ac:dyDescent="0.25">
      <c r="A20" s="139">
        <f t="shared" si="1"/>
        <v>8</v>
      </c>
      <c r="B20" s="182"/>
      <c r="C20" s="30" t="s">
        <v>320</v>
      </c>
      <c r="D20" s="129" t="s">
        <v>110</v>
      </c>
      <c r="E20" s="129">
        <v>6</v>
      </c>
      <c r="F20" s="129">
        <v>6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 ht="22.5" x14ac:dyDescent="0.25">
      <c r="A21" s="139">
        <f t="shared" si="1"/>
        <v>9</v>
      </c>
      <c r="B21" s="182"/>
      <c r="C21" s="87" t="s">
        <v>468</v>
      </c>
      <c r="D21" s="129" t="s">
        <v>110</v>
      </c>
      <c r="E21" s="129">
        <v>3</v>
      </c>
      <c r="F21" s="129">
        <v>3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7" ht="22.5" x14ac:dyDescent="0.25">
      <c r="A22" s="139">
        <f t="shared" si="1"/>
        <v>10</v>
      </c>
      <c r="B22" s="182"/>
      <c r="C22" s="87" t="s">
        <v>469</v>
      </c>
      <c r="D22" s="129" t="s">
        <v>110</v>
      </c>
      <c r="E22" s="129">
        <v>3</v>
      </c>
      <c r="F22" s="129">
        <v>3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25">
      <c r="A23" s="139">
        <f t="shared" si="1"/>
        <v>11</v>
      </c>
      <c r="B23" s="182"/>
      <c r="C23" s="87" t="s">
        <v>321</v>
      </c>
      <c r="D23" s="129" t="s">
        <v>110</v>
      </c>
      <c r="E23" s="129">
        <v>4</v>
      </c>
      <c r="F23" s="129">
        <v>4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17" x14ac:dyDescent="0.25">
      <c r="A24" s="139">
        <f t="shared" si="1"/>
        <v>12</v>
      </c>
      <c r="B24" s="182"/>
      <c r="C24" s="87" t="s">
        <v>322</v>
      </c>
      <c r="D24" s="129" t="s">
        <v>110</v>
      </c>
      <c r="E24" s="129">
        <v>6</v>
      </c>
      <c r="F24" s="129">
        <v>6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x14ac:dyDescent="0.25">
      <c r="A25" s="139">
        <f t="shared" si="1"/>
        <v>13</v>
      </c>
      <c r="B25" s="182"/>
      <c r="C25" s="87" t="s">
        <v>323</v>
      </c>
      <c r="D25" s="129" t="s">
        <v>110</v>
      </c>
      <c r="E25" s="129">
        <v>6</v>
      </c>
      <c r="F25" s="129">
        <v>6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x14ac:dyDescent="0.25">
      <c r="A26" s="139">
        <f t="shared" si="1"/>
        <v>14</v>
      </c>
      <c r="B26" s="182"/>
      <c r="C26" s="87" t="s">
        <v>324</v>
      </c>
      <c r="D26" s="129" t="s">
        <v>110</v>
      </c>
      <c r="E26" s="129">
        <v>6</v>
      </c>
      <c r="F26" s="129">
        <v>6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x14ac:dyDescent="0.25">
      <c r="A27" s="139">
        <f t="shared" si="1"/>
        <v>15</v>
      </c>
      <c r="B27" s="182"/>
      <c r="C27" s="87" t="s">
        <v>325</v>
      </c>
      <c r="D27" s="129" t="s">
        <v>110</v>
      </c>
      <c r="E27" s="129">
        <v>18</v>
      </c>
      <c r="F27" s="129">
        <v>18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x14ac:dyDescent="0.25">
      <c r="A28" s="139">
        <f t="shared" si="1"/>
        <v>16</v>
      </c>
      <c r="B28" s="182"/>
      <c r="C28" s="87" t="s">
        <v>326</v>
      </c>
      <c r="D28" s="129" t="s">
        <v>110</v>
      </c>
      <c r="E28" s="129">
        <v>2</v>
      </c>
      <c r="F28" s="129">
        <v>2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17" x14ac:dyDescent="0.25">
      <c r="A29" s="139">
        <f t="shared" si="1"/>
        <v>17</v>
      </c>
      <c r="B29" s="182"/>
      <c r="C29" s="87" t="s">
        <v>327</v>
      </c>
      <c r="D29" s="129" t="s">
        <v>110</v>
      </c>
      <c r="E29" s="129">
        <v>2</v>
      </c>
      <c r="F29" s="129">
        <v>2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17" x14ac:dyDescent="0.25">
      <c r="A30" s="139">
        <f t="shared" si="1"/>
        <v>18</v>
      </c>
      <c r="B30" s="182"/>
      <c r="C30" s="87" t="s">
        <v>328</v>
      </c>
      <c r="D30" s="129" t="s">
        <v>110</v>
      </c>
      <c r="E30" s="129">
        <v>12</v>
      </c>
      <c r="F30" s="129">
        <v>12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17" x14ac:dyDescent="0.25">
      <c r="A31" s="139">
        <f t="shared" si="1"/>
        <v>19</v>
      </c>
      <c r="B31" s="182"/>
      <c r="C31" s="87" t="s">
        <v>329</v>
      </c>
      <c r="D31" s="129" t="s">
        <v>110</v>
      </c>
      <c r="E31" s="129">
        <v>6</v>
      </c>
      <c r="F31" s="129">
        <v>6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17" x14ac:dyDescent="0.25">
      <c r="A32" s="139">
        <f t="shared" si="1"/>
        <v>20</v>
      </c>
      <c r="B32" s="182"/>
      <c r="C32" s="87" t="s">
        <v>330</v>
      </c>
      <c r="D32" s="129" t="s">
        <v>110</v>
      </c>
      <c r="E32" s="129">
        <v>6</v>
      </c>
      <c r="F32" s="129">
        <v>6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1:17" x14ac:dyDescent="0.25">
      <c r="A33" s="139">
        <f t="shared" si="1"/>
        <v>21</v>
      </c>
      <c r="B33" s="182"/>
      <c r="C33" s="87" t="s">
        <v>331</v>
      </c>
      <c r="D33" s="129" t="s">
        <v>110</v>
      </c>
      <c r="E33" s="129">
        <v>12</v>
      </c>
      <c r="F33" s="129">
        <v>12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x14ac:dyDescent="0.25">
      <c r="A34" s="139">
        <f t="shared" si="1"/>
        <v>22</v>
      </c>
      <c r="B34" s="182"/>
      <c r="C34" s="87" t="s">
        <v>332</v>
      </c>
      <c r="D34" s="129" t="s">
        <v>110</v>
      </c>
      <c r="E34" s="129">
        <v>12</v>
      </c>
      <c r="F34" s="129">
        <v>12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x14ac:dyDescent="0.25">
      <c r="A35" s="139">
        <f t="shared" si="1"/>
        <v>23</v>
      </c>
      <c r="B35" s="182"/>
      <c r="C35" s="87" t="s">
        <v>333</v>
      </c>
      <c r="D35" s="129" t="s">
        <v>110</v>
      </c>
      <c r="E35" s="129">
        <v>6</v>
      </c>
      <c r="F35" s="129">
        <v>6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5">
      <c r="A36" s="139">
        <f t="shared" si="1"/>
        <v>24</v>
      </c>
      <c r="B36" s="182"/>
      <c r="C36" s="87" t="s">
        <v>334</v>
      </c>
      <c r="D36" s="129" t="s">
        <v>110</v>
      </c>
      <c r="E36" s="129">
        <v>4</v>
      </c>
      <c r="F36" s="129">
        <v>4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5">
      <c r="A37" s="139">
        <f t="shared" si="1"/>
        <v>25</v>
      </c>
      <c r="B37" s="182"/>
      <c r="C37" s="87" t="s">
        <v>335</v>
      </c>
      <c r="D37" s="129" t="s">
        <v>110</v>
      </c>
      <c r="E37" s="129">
        <v>16</v>
      </c>
      <c r="F37" s="129">
        <v>16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5">
      <c r="A38" s="139">
        <f t="shared" si="1"/>
        <v>26</v>
      </c>
      <c r="B38" s="182"/>
      <c r="C38" s="87" t="s">
        <v>336</v>
      </c>
      <c r="D38" s="129" t="s">
        <v>110</v>
      </c>
      <c r="E38" s="129">
        <v>30</v>
      </c>
      <c r="F38" s="129">
        <v>30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5">
      <c r="A39" s="139">
        <f t="shared" si="1"/>
        <v>27</v>
      </c>
      <c r="B39" s="182"/>
      <c r="C39" s="87" t="s">
        <v>337</v>
      </c>
      <c r="D39" s="129" t="s">
        <v>110</v>
      </c>
      <c r="E39" s="129">
        <v>6</v>
      </c>
      <c r="F39" s="129">
        <v>6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ht="22.5" x14ac:dyDescent="0.25">
      <c r="A40" s="139">
        <f t="shared" si="1"/>
        <v>28</v>
      </c>
      <c r="B40" s="182"/>
      <c r="C40" s="87" t="s">
        <v>338</v>
      </c>
      <c r="D40" s="129" t="s">
        <v>110</v>
      </c>
      <c r="E40" s="129">
        <v>4</v>
      </c>
      <c r="F40" s="129">
        <v>4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ht="22.5" x14ac:dyDescent="0.25">
      <c r="A41" s="139">
        <f t="shared" si="1"/>
        <v>29</v>
      </c>
      <c r="B41" s="182"/>
      <c r="C41" s="87" t="s">
        <v>339</v>
      </c>
      <c r="D41" s="129" t="s">
        <v>110</v>
      </c>
      <c r="E41" s="129">
        <v>2</v>
      </c>
      <c r="F41" s="129">
        <v>2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ht="22.5" x14ac:dyDescent="0.25">
      <c r="A42" s="139">
        <f t="shared" si="1"/>
        <v>30</v>
      </c>
      <c r="B42" s="182"/>
      <c r="C42" s="87" t="s">
        <v>340</v>
      </c>
      <c r="D42" s="129" t="s">
        <v>110</v>
      </c>
      <c r="E42" s="129">
        <v>42</v>
      </c>
      <c r="F42" s="129">
        <v>42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ht="22.5" x14ac:dyDescent="0.25">
      <c r="A43" s="139">
        <f t="shared" si="1"/>
        <v>31</v>
      </c>
      <c r="B43" s="182"/>
      <c r="C43" s="87" t="s">
        <v>341</v>
      </c>
      <c r="D43" s="129" t="s">
        <v>110</v>
      </c>
      <c r="E43" s="129">
        <v>12</v>
      </c>
      <c r="F43" s="129">
        <v>12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ht="22.5" x14ac:dyDescent="0.25">
      <c r="A44" s="139">
        <f t="shared" si="1"/>
        <v>32</v>
      </c>
      <c r="B44" s="182"/>
      <c r="C44" s="87" t="s">
        <v>342</v>
      </c>
      <c r="D44" s="129" t="s">
        <v>110</v>
      </c>
      <c r="E44" s="129">
        <v>6</v>
      </c>
      <c r="F44" s="129">
        <v>6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5">
      <c r="A45" s="139">
        <f t="shared" si="1"/>
        <v>33</v>
      </c>
      <c r="B45" s="182"/>
      <c r="C45" s="87" t="s">
        <v>343</v>
      </c>
      <c r="D45" s="129" t="s">
        <v>110</v>
      </c>
      <c r="E45" s="129">
        <v>4</v>
      </c>
      <c r="F45" s="129">
        <v>4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ht="22.5" x14ac:dyDescent="0.25">
      <c r="A46" s="139">
        <f t="shared" si="1"/>
        <v>34</v>
      </c>
      <c r="B46" s="182"/>
      <c r="C46" s="87" t="s">
        <v>344</v>
      </c>
      <c r="D46" s="129" t="s">
        <v>53</v>
      </c>
      <c r="E46" s="129">
        <v>12</v>
      </c>
      <c r="F46" s="129">
        <v>12</v>
      </c>
      <c r="G46" s="43"/>
      <c r="H46" s="43"/>
      <c r="I46" s="43"/>
      <c r="J46" s="129"/>
      <c r="K46" s="43"/>
      <c r="L46" s="43"/>
      <c r="M46" s="43"/>
      <c r="N46" s="43"/>
      <c r="O46" s="43"/>
      <c r="P46" s="43"/>
      <c r="Q46" s="43"/>
    </row>
    <row r="47" spans="1:17" ht="22.5" x14ac:dyDescent="0.25">
      <c r="A47" s="139">
        <f t="shared" si="1"/>
        <v>35</v>
      </c>
      <c r="B47" s="182"/>
      <c r="C47" s="87" t="s">
        <v>345</v>
      </c>
      <c r="D47" s="129" t="s">
        <v>53</v>
      </c>
      <c r="E47" s="129">
        <v>10</v>
      </c>
      <c r="F47" s="129">
        <v>10</v>
      </c>
      <c r="G47" s="43"/>
      <c r="H47" s="43"/>
      <c r="I47" s="43"/>
      <c r="J47" s="129"/>
      <c r="K47" s="43"/>
      <c r="L47" s="43"/>
      <c r="M47" s="43"/>
      <c r="N47" s="43"/>
      <c r="O47" s="43"/>
      <c r="P47" s="43"/>
      <c r="Q47" s="43"/>
    </row>
    <row r="48" spans="1:17" ht="22.5" x14ac:dyDescent="0.25">
      <c r="A48" s="139">
        <f t="shared" si="1"/>
        <v>36</v>
      </c>
      <c r="B48" s="182"/>
      <c r="C48" s="87" t="s">
        <v>346</v>
      </c>
      <c r="D48" s="129" t="s">
        <v>53</v>
      </c>
      <c r="E48" s="129">
        <v>120</v>
      </c>
      <c r="F48" s="129">
        <v>120</v>
      </c>
      <c r="G48" s="43"/>
      <c r="H48" s="43"/>
      <c r="I48" s="43"/>
      <c r="J48" s="129"/>
      <c r="K48" s="43"/>
      <c r="L48" s="43"/>
      <c r="M48" s="43"/>
      <c r="N48" s="43"/>
      <c r="O48" s="43"/>
      <c r="P48" s="43"/>
      <c r="Q48" s="43"/>
    </row>
    <row r="49" spans="1:19" ht="22.5" x14ac:dyDescent="0.25">
      <c r="A49" s="139">
        <f t="shared" si="1"/>
        <v>37</v>
      </c>
      <c r="B49" s="182"/>
      <c r="C49" s="87" t="s">
        <v>347</v>
      </c>
      <c r="D49" s="129" t="s">
        <v>53</v>
      </c>
      <c r="E49" s="129">
        <v>48</v>
      </c>
      <c r="F49" s="129">
        <v>48</v>
      </c>
      <c r="G49" s="43"/>
      <c r="H49" s="43"/>
      <c r="I49" s="43"/>
      <c r="J49" s="21"/>
      <c r="K49" s="43"/>
      <c r="L49" s="43"/>
      <c r="M49" s="43"/>
      <c r="N49" s="43"/>
      <c r="O49" s="43"/>
      <c r="P49" s="43"/>
      <c r="Q49" s="43"/>
    </row>
    <row r="50" spans="1:19" ht="22.5" x14ac:dyDescent="0.25">
      <c r="A50" s="139">
        <f t="shared" si="1"/>
        <v>38</v>
      </c>
      <c r="B50" s="182"/>
      <c r="C50" s="87" t="s">
        <v>348</v>
      </c>
      <c r="D50" s="129" t="s">
        <v>53</v>
      </c>
      <c r="E50" s="129">
        <v>30</v>
      </c>
      <c r="F50" s="129">
        <v>30</v>
      </c>
      <c r="G50" s="43"/>
      <c r="H50" s="43"/>
      <c r="I50" s="43"/>
      <c r="J50" s="129"/>
      <c r="K50" s="43"/>
      <c r="L50" s="43"/>
      <c r="M50" s="43"/>
      <c r="N50" s="43"/>
      <c r="O50" s="43"/>
      <c r="P50" s="43"/>
      <c r="Q50" s="43"/>
    </row>
    <row r="51" spans="1:19" x14ac:dyDescent="0.25">
      <c r="A51" s="139">
        <f t="shared" si="1"/>
        <v>39</v>
      </c>
      <c r="B51" s="182"/>
      <c r="C51" s="87" t="s">
        <v>349</v>
      </c>
      <c r="D51" s="129" t="s">
        <v>72</v>
      </c>
      <c r="E51" s="129">
        <v>25</v>
      </c>
      <c r="F51" s="129">
        <v>25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9" x14ac:dyDescent="0.25">
      <c r="A52" s="139">
        <f t="shared" si="1"/>
        <v>40</v>
      </c>
      <c r="B52" s="182"/>
      <c r="C52" s="87" t="s">
        <v>350</v>
      </c>
      <c r="D52" s="129" t="s">
        <v>312</v>
      </c>
      <c r="E52" s="129">
        <v>1</v>
      </c>
      <c r="F52" s="129">
        <v>1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9" x14ac:dyDescent="0.25">
      <c r="A53" s="139">
        <f t="shared" si="1"/>
        <v>41</v>
      </c>
      <c r="B53" s="182"/>
      <c r="C53" s="87" t="s">
        <v>351</v>
      </c>
      <c r="D53" s="129" t="s">
        <v>312</v>
      </c>
      <c r="E53" s="129">
        <v>1</v>
      </c>
      <c r="F53" s="129">
        <v>1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9" ht="22.5" x14ac:dyDescent="0.25">
      <c r="A54" s="139">
        <f t="shared" si="1"/>
        <v>42</v>
      </c>
      <c r="B54" s="182"/>
      <c r="C54" s="87" t="s">
        <v>353</v>
      </c>
      <c r="D54" s="129" t="s">
        <v>312</v>
      </c>
      <c r="E54" s="129">
        <v>1</v>
      </c>
      <c r="F54" s="129">
        <v>1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9" x14ac:dyDescent="0.25">
      <c r="A55" s="176"/>
      <c r="B55" s="23"/>
      <c r="C55" s="134" t="s">
        <v>354</v>
      </c>
      <c r="D55" s="185"/>
      <c r="E55" s="185"/>
      <c r="F55" s="185"/>
      <c r="G55" s="181"/>
      <c r="H55" s="43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9" ht="67.5" x14ac:dyDescent="0.25">
      <c r="A56" s="139">
        <v>1</v>
      </c>
      <c r="B56" s="182"/>
      <c r="C56" s="226" t="s">
        <v>494</v>
      </c>
      <c r="D56" s="185" t="s">
        <v>312</v>
      </c>
      <c r="E56" s="185">
        <v>1</v>
      </c>
      <c r="F56" s="185">
        <f t="shared" ref="F56:F65" si="2">E56*45</f>
        <v>45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S56" s="199"/>
    </row>
    <row r="57" spans="1:19" x14ac:dyDescent="0.25">
      <c r="A57" s="139">
        <v>2</v>
      </c>
      <c r="B57" s="182"/>
      <c r="C57" s="227" t="s">
        <v>495</v>
      </c>
      <c r="D57" s="185" t="s">
        <v>110</v>
      </c>
      <c r="E57" s="185">
        <v>1</v>
      </c>
      <c r="F57" s="185">
        <f t="shared" si="2"/>
        <v>45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9" x14ac:dyDescent="0.25">
      <c r="A58" s="139">
        <v>3</v>
      </c>
      <c r="B58" s="182"/>
      <c r="C58" s="227" t="s">
        <v>527</v>
      </c>
      <c r="D58" s="185" t="s">
        <v>110</v>
      </c>
      <c r="E58" s="185">
        <v>1</v>
      </c>
      <c r="F58" s="185">
        <f t="shared" si="2"/>
        <v>45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9" x14ac:dyDescent="0.25">
      <c r="A59" s="139">
        <v>4</v>
      </c>
      <c r="B59" s="182"/>
      <c r="C59" s="87" t="s">
        <v>355</v>
      </c>
      <c r="D59" s="185" t="s">
        <v>110</v>
      </c>
      <c r="E59" s="185">
        <v>2</v>
      </c>
      <c r="F59" s="185">
        <f t="shared" si="2"/>
        <v>90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9" x14ac:dyDescent="0.25">
      <c r="A60" s="139">
        <v>5</v>
      </c>
      <c r="B60" s="182"/>
      <c r="C60" s="87" t="s">
        <v>356</v>
      </c>
      <c r="D60" s="185" t="s">
        <v>110</v>
      </c>
      <c r="E60" s="185">
        <v>1</v>
      </c>
      <c r="F60" s="185">
        <f t="shared" si="2"/>
        <v>45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9" x14ac:dyDescent="0.25">
      <c r="A61" s="139">
        <v>6</v>
      </c>
      <c r="B61" s="182"/>
      <c r="C61" s="87" t="s">
        <v>349</v>
      </c>
      <c r="D61" s="185" t="s">
        <v>72</v>
      </c>
      <c r="E61" s="185">
        <v>0.1</v>
      </c>
      <c r="F61" s="185">
        <f t="shared" si="2"/>
        <v>4.5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9" x14ac:dyDescent="0.25">
      <c r="A62" s="139">
        <v>7</v>
      </c>
      <c r="B62" s="182"/>
      <c r="C62" s="87" t="s">
        <v>350</v>
      </c>
      <c r="D62" s="185" t="s">
        <v>312</v>
      </c>
      <c r="E62" s="185">
        <v>1</v>
      </c>
      <c r="F62" s="185">
        <f t="shared" si="2"/>
        <v>45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9" x14ac:dyDescent="0.25">
      <c r="A63" s="139">
        <v>8</v>
      </c>
      <c r="B63" s="182"/>
      <c r="C63" s="87" t="s">
        <v>351</v>
      </c>
      <c r="D63" s="185" t="s">
        <v>312</v>
      </c>
      <c r="E63" s="185">
        <v>1</v>
      </c>
      <c r="F63" s="185">
        <f t="shared" si="2"/>
        <v>45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9" ht="22.5" x14ac:dyDescent="0.25">
      <c r="A64" s="139">
        <v>9</v>
      </c>
      <c r="B64" s="182"/>
      <c r="C64" s="87" t="s">
        <v>352</v>
      </c>
      <c r="D64" s="185" t="s">
        <v>60</v>
      </c>
      <c r="E64" s="185">
        <v>0.1</v>
      </c>
      <c r="F64" s="185">
        <f t="shared" si="2"/>
        <v>4.5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9" x14ac:dyDescent="0.25">
      <c r="A65" s="139">
        <v>10</v>
      </c>
      <c r="B65" s="182"/>
      <c r="C65" s="87" t="s">
        <v>357</v>
      </c>
      <c r="D65" s="185" t="s">
        <v>312</v>
      </c>
      <c r="E65" s="185">
        <v>1</v>
      </c>
      <c r="F65" s="185">
        <f t="shared" si="2"/>
        <v>45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9" x14ac:dyDescent="0.25">
      <c r="A66" s="142"/>
      <c r="B66" s="129"/>
      <c r="C66" s="134" t="s">
        <v>358</v>
      </c>
      <c r="D66" s="129"/>
      <c r="E66" s="129"/>
      <c r="F66" s="185"/>
      <c r="G66" s="129"/>
      <c r="H66" s="43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9" x14ac:dyDescent="0.25">
      <c r="A67" s="142">
        <v>1</v>
      </c>
      <c r="B67" s="129"/>
      <c r="C67" s="87" t="s">
        <v>359</v>
      </c>
      <c r="D67" s="129" t="s">
        <v>312</v>
      </c>
      <c r="E67" s="129">
        <v>45</v>
      </c>
      <c r="F67" s="185">
        <f>E67</f>
        <v>45</v>
      </c>
      <c r="G67" s="131"/>
      <c r="H67" s="43"/>
      <c r="I67" s="131"/>
      <c r="J67" s="131"/>
      <c r="K67" s="43"/>
      <c r="L67" s="131"/>
      <c r="M67" s="131"/>
      <c r="N67" s="131"/>
      <c r="O67" s="131"/>
      <c r="P67" s="131"/>
      <c r="Q67" s="131"/>
    </row>
    <row r="68" spans="1:19" x14ac:dyDescent="0.25">
      <c r="A68" s="142">
        <v>2</v>
      </c>
      <c r="B68" s="129"/>
      <c r="C68" s="87" t="s">
        <v>360</v>
      </c>
      <c r="D68" s="129" t="s">
        <v>312</v>
      </c>
      <c r="E68" s="129">
        <v>90</v>
      </c>
      <c r="F68" s="185">
        <f>E68</f>
        <v>90</v>
      </c>
      <c r="G68" s="131"/>
      <c r="H68" s="43"/>
      <c r="I68" s="131"/>
      <c r="J68" s="131"/>
      <c r="K68" s="43"/>
      <c r="L68" s="131"/>
      <c r="M68" s="131"/>
      <c r="N68" s="131"/>
      <c r="O68" s="131"/>
      <c r="P68" s="131"/>
      <c r="Q68" s="131"/>
    </row>
    <row r="69" spans="1:19" x14ac:dyDescent="0.25">
      <c r="A69" s="139">
        <v>3</v>
      </c>
      <c r="B69" s="182"/>
      <c r="C69" s="30" t="s">
        <v>361</v>
      </c>
      <c r="D69" s="129" t="s">
        <v>110</v>
      </c>
      <c r="E69" s="129">
        <v>90</v>
      </c>
      <c r="F69" s="185">
        <f>E69</f>
        <v>90</v>
      </c>
      <c r="G69" s="43"/>
      <c r="H69" s="43"/>
      <c r="I69" s="43"/>
      <c r="J69" s="43"/>
      <c r="K69" s="43"/>
      <c r="L69" s="43"/>
      <c r="M69" s="131"/>
      <c r="N69" s="131"/>
      <c r="O69" s="131"/>
      <c r="P69" s="131"/>
      <c r="Q69" s="131"/>
    </row>
    <row r="70" spans="1:19" x14ac:dyDescent="0.25">
      <c r="A70" s="139">
        <v>4</v>
      </c>
      <c r="B70" s="182"/>
      <c r="C70" s="228" t="s">
        <v>470</v>
      </c>
      <c r="D70" s="129" t="s">
        <v>110</v>
      </c>
      <c r="E70" s="129">
        <v>45</v>
      </c>
      <c r="F70" s="185">
        <f>E70</f>
        <v>45</v>
      </c>
      <c r="G70" s="43"/>
      <c r="H70" s="43"/>
      <c r="I70" s="43"/>
      <c r="J70" s="43"/>
      <c r="K70" s="43"/>
      <c r="L70" s="43"/>
      <c r="M70" s="131"/>
      <c r="N70" s="131"/>
      <c r="O70" s="131"/>
      <c r="P70" s="131"/>
      <c r="Q70" s="131"/>
      <c r="S70" s="199"/>
    </row>
    <row r="71" spans="1:19" x14ac:dyDescent="0.25">
      <c r="A71" s="142"/>
      <c r="B71" s="135"/>
      <c r="C71" s="173" t="s">
        <v>363</v>
      </c>
      <c r="D71" s="186"/>
      <c r="E71" s="186"/>
      <c r="F71" s="142"/>
      <c r="G71" s="131"/>
      <c r="H71" s="43"/>
      <c r="I71" s="131"/>
      <c r="J71" s="131"/>
      <c r="K71" s="43"/>
      <c r="L71" s="131"/>
      <c r="M71" s="131"/>
      <c r="N71" s="131"/>
      <c r="O71" s="131"/>
      <c r="P71" s="131"/>
      <c r="Q71" s="131"/>
    </row>
    <row r="72" spans="1:19" x14ac:dyDescent="0.25">
      <c r="A72" s="142"/>
      <c r="B72" s="135"/>
      <c r="C72" s="161" t="s">
        <v>488</v>
      </c>
      <c r="D72" s="142"/>
      <c r="E72" s="142"/>
      <c r="F72" s="142"/>
      <c r="G72" s="131"/>
      <c r="H72" s="43"/>
      <c r="I72" s="131"/>
      <c r="J72" s="131"/>
      <c r="K72" s="43"/>
      <c r="L72" s="131"/>
      <c r="M72" s="131"/>
      <c r="N72" s="131"/>
      <c r="O72" s="131"/>
      <c r="P72" s="131"/>
      <c r="Q72" s="131"/>
    </row>
    <row r="73" spans="1:19" x14ac:dyDescent="0.25">
      <c r="A73" s="151">
        <v>1</v>
      </c>
      <c r="B73" s="41"/>
      <c r="C73" s="161" t="s">
        <v>311</v>
      </c>
      <c r="D73" s="142" t="s">
        <v>312</v>
      </c>
      <c r="E73" s="142">
        <v>1</v>
      </c>
      <c r="F73" s="142">
        <v>1</v>
      </c>
      <c r="G73" s="131"/>
      <c r="H73" s="43"/>
      <c r="I73" s="131"/>
      <c r="J73" s="131"/>
      <c r="K73" s="43"/>
      <c r="L73" s="131"/>
      <c r="M73" s="131"/>
      <c r="N73" s="131"/>
      <c r="O73" s="131"/>
      <c r="P73" s="131"/>
      <c r="Q73" s="131"/>
    </row>
    <row r="74" spans="1:19" ht="22.5" x14ac:dyDescent="0.25">
      <c r="A74" s="142">
        <v>5</v>
      </c>
      <c r="B74" s="135"/>
      <c r="C74" s="227" t="s">
        <v>496</v>
      </c>
      <c r="D74" s="142" t="s">
        <v>312</v>
      </c>
      <c r="E74" s="142">
        <v>5</v>
      </c>
      <c r="F74" s="142">
        <v>5</v>
      </c>
      <c r="G74" s="131"/>
      <c r="H74" s="43"/>
      <c r="I74" s="131"/>
      <c r="J74" s="131"/>
      <c r="K74" s="43"/>
      <c r="L74" s="131"/>
      <c r="M74" s="131"/>
      <c r="N74" s="131"/>
      <c r="O74" s="131"/>
      <c r="P74" s="131"/>
      <c r="Q74" s="131"/>
    </row>
    <row r="75" spans="1:19" ht="22.5" x14ac:dyDescent="0.25">
      <c r="A75" s="142">
        <v>6</v>
      </c>
      <c r="B75" s="135"/>
      <c r="C75" s="161" t="s">
        <v>471</v>
      </c>
      <c r="D75" s="142" t="s">
        <v>110</v>
      </c>
      <c r="E75" s="142">
        <v>5</v>
      </c>
      <c r="F75" s="142">
        <v>5</v>
      </c>
      <c r="G75" s="131"/>
      <c r="H75" s="43"/>
      <c r="I75" s="131"/>
      <c r="J75" s="131"/>
      <c r="K75" s="43"/>
      <c r="L75" s="131"/>
      <c r="M75" s="131"/>
      <c r="N75" s="131"/>
      <c r="O75" s="131"/>
      <c r="P75" s="131"/>
      <c r="Q75" s="131"/>
    </row>
    <row r="76" spans="1:19" x14ac:dyDescent="0.25">
      <c r="A76" s="151">
        <v>7</v>
      </c>
      <c r="B76" s="41"/>
      <c r="C76" s="161" t="s">
        <v>364</v>
      </c>
      <c r="D76" s="142" t="s">
        <v>53</v>
      </c>
      <c r="E76" s="142">
        <v>68</v>
      </c>
      <c r="F76" s="142">
        <v>68</v>
      </c>
      <c r="G76" s="131"/>
      <c r="H76" s="43"/>
      <c r="I76" s="131"/>
      <c r="J76" s="131"/>
      <c r="K76" s="43"/>
      <c r="L76" s="131"/>
      <c r="M76" s="131"/>
      <c r="N76" s="131"/>
      <c r="O76" s="131"/>
      <c r="P76" s="131"/>
      <c r="Q76" s="131"/>
    </row>
    <row r="77" spans="1:19" x14ac:dyDescent="0.25">
      <c r="A77" s="142">
        <v>8</v>
      </c>
      <c r="B77" s="135"/>
      <c r="C77" s="161" t="s">
        <v>365</v>
      </c>
      <c r="D77" s="142" t="s">
        <v>110</v>
      </c>
      <c r="E77" s="142">
        <v>24</v>
      </c>
      <c r="F77" s="142">
        <v>24</v>
      </c>
      <c r="G77" s="131"/>
      <c r="H77" s="43"/>
      <c r="I77" s="131"/>
      <c r="J77" s="131"/>
      <c r="K77" s="43"/>
      <c r="L77" s="131"/>
      <c r="M77" s="131"/>
      <c r="N77" s="131"/>
      <c r="O77" s="131"/>
      <c r="P77" s="131"/>
      <c r="Q77" s="131"/>
    </row>
    <row r="78" spans="1:19" x14ac:dyDescent="0.25">
      <c r="A78" s="142">
        <v>9</v>
      </c>
      <c r="B78" s="135"/>
      <c r="C78" s="161" t="s">
        <v>366</v>
      </c>
      <c r="D78" s="142" t="s">
        <v>110</v>
      </c>
      <c r="E78" s="142">
        <v>8</v>
      </c>
      <c r="F78" s="142">
        <v>8</v>
      </c>
      <c r="G78" s="129"/>
      <c r="H78" s="43"/>
      <c r="I78" s="129"/>
      <c r="J78" s="129"/>
      <c r="K78" s="129"/>
      <c r="L78" s="129"/>
      <c r="M78" s="129"/>
      <c r="N78" s="129"/>
      <c r="O78" s="129"/>
      <c r="P78" s="129"/>
      <c r="Q78" s="129"/>
    </row>
    <row r="79" spans="1:19" x14ac:dyDescent="0.25">
      <c r="A79" s="151">
        <v>10</v>
      </c>
      <c r="B79" s="41"/>
      <c r="C79" s="172" t="s">
        <v>367</v>
      </c>
      <c r="D79" s="142" t="s">
        <v>110</v>
      </c>
      <c r="E79" s="142">
        <v>2</v>
      </c>
      <c r="F79" s="142">
        <v>2</v>
      </c>
      <c r="G79" s="129"/>
      <c r="H79" s="43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1:19" ht="22.5" x14ac:dyDescent="0.25">
      <c r="A80" s="142">
        <v>11</v>
      </c>
      <c r="B80" s="135"/>
      <c r="C80" s="161" t="s">
        <v>368</v>
      </c>
      <c r="D80" s="142" t="s">
        <v>110</v>
      </c>
      <c r="E80" s="142">
        <v>12</v>
      </c>
      <c r="F80" s="142">
        <v>12</v>
      </c>
      <c r="G80" s="131"/>
      <c r="H80" s="43"/>
      <c r="I80" s="131"/>
      <c r="J80" s="131"/>
      <c r="K80" s="43"/>
      <c r="L80" s="131"/>
      <c r="M80" s="131"/>
      <c r="N80" s="131"/>
      <c r="O80" s="131"/>
      <c r="P80" s="131"/>
      <c r="Q80" s="131"/>
    </row>
    <row r="81" spans="1:17" x14ac:dyDescent="0.25">
      <c r="A81" s="142">
        <v>12</v>
      </c>
      <c r="B81" s="135"/>
      <c r="C81" s="161" t="s">
        <v>349</v>
      </c>
      <c r="D81" s="142" t="s">
        <v>72</v>
      </c>
      <c r="E81" s="142">
        <v>0.5</v>
      </c>
      <c r="F81" s="142">
        <v>0.5</v>
      </c>
      <c r="G81" s="131"/>
      <c r="H81" s="43"/>
      <c r="I81" s="131"/>
      <c r="J81" s="131"/>
      <c r="K81" s="43"/>
      <c r="L81" s="131"/>
      <c r="M81" s="131"/>
      <c r="N81" s="131"/>
      <c r="O81" s="131"/>
      <c r="P81" s="131"/>
      <c r="Q81" s="131"/>
    </row>
    <row r="82" spans="1:17" x14ac:dyDescent="0.25">
      <c r="A82" s="151">
        <v>13</v>
      </c>
      <c r="B82" s="41"/>
      <c r="C82" s="161" t="s">
        <v>350</v>
      </c>
      <c r="D82" s="142" t="s">
        <v>312</v>
      </c>
      <c r="E82" s="142">
        <v>1</v>
      </c>
      <c r="F82" s="142">
        <v>1</v>
      </c>
      <c r="G82" s="131"/>
      <c r="H82" s="43"/>
      <c r="I82" s="131"/>
      <c r="J82" s="131"/>
      <c r="K82" s="43"/>
      <c r="L82" s="131"/>
      <c r="M82" s="131"/>
      <c r="N82" s="131"/>
      <c r="O82" s="131"/>
      <c r="P82" s="131"/>
      <c r="Q82" s="131"/>
    </row>
    <row r="83" spans="1:17" x14ac:dyDescent="0.25">
      <c r="A83" s="142">
        <v>14</v>
      </c>
      <c r="B83" s="135"/>
      <c r="C83" s="161" t="s">
        <v>362</v>
      </c>
      <c r="D83" s="142" t="s">
        <v>53</v>
      </c>
      <c r="E83" s="142">
        <v>4</v>
      </c>
      <c r="F83" s="142">
        <v>4</v>
      </c>
      <c r="G83" s="131"/>
      <c r="H83" s="43"/>
      <c r="I83" s="131"/>
      <c r="J83" s="131"/>
      <c r="K83" s="43"/>
      <c r="L83" s="131"/>
      <c r="M83" s="131"/>
      <c r="N83" s="131"/>
      <c r="O83" s="131"/>
      <c r="P83" s="131"/>
      <c r="Q83" s="131"/>
    </row>
    <row r="84" spans="1:17" x14ac:dyDescent="0.25">
      <c r="A84" s="142">
        <v>15</v>
      </c>
      <c r="B84" s="135"/>
      <c r="C84" s="161" t="s">
        <v>351</v>
      </c>
      <c r="D84" s="142" t="s">
        <v>312</v>
      </c>
      <c r="E84" s="142">
        <v>1</v>
      </c>
      <c r="F84" s="142">
        <v>1</v>
      </c>
      <c r="G84" s="131"/>
      <c r="H84" s="43"/>
      <c r="I84" s="131"/>
      <c r="J84" s="131"/>
      <c r="K84" s="43"/>
      <c r="L84" s="131"/>
      <c r="M84" s="131"/>
      <c r="N84" s="131"/>
      <c r="O84" s="131"/>
      <c r="P84" s="131"/>
      <c r="Q84" s="131"/>
    </row>
    <row r="85" spans="1:17" x14ac:dyDescent="0.25">
      <c r="A85" s="151">
        <v>16</v>
      </c>
      <c r="B85" s="41"/>
      <c r="C85" s="161" t="s">
        <v>357</v>
      </c>
      <c r="D85" s="142" t="s">
        <v>312</v>
      </c>
      <c r="E85" s="142">
        <v>1</v>
      </c>
      <c r="F85" s="142">
        <v>1</v>
      </c>
      <c r="G85" s="131"/>
      <c r="H85" s="43"/>
      <c r="I85" s="131"/>
      <c r="J85" s="131"/>
      <c r="K85" s="43"/>
      <c r="L85" s="131"/>
      <c r="M85" s="131"/>
      <c r="N85" s="131"/>
      <c r="O85" s="131"/>
      <c r="P85" s="131"/>
      <c r="Q85" s="131"/>
    </row>
    <row r="86" spans="1:17" x14ac:dyDescent="0.25">
      <c r="A86" s="142"/>
      <c r="B86" s="135"/>
      <c r="C86" s="173" t="s">
        <v>369</v>
      </c>
      <c r="D86" s="186"/>
      <c r="E86" s="186"/>
      <c r="F86" s="142"/>
      <c r="G86" s="131"/>
      <c r="H86" s="43"/>
      <c r="I86" s="131"/>
      <c r="J86" s="131"/>
      <c r="K86" s="43"/>
      <c r="L86" s="131"/>
      <c r="M86" s="131"/>
      <c r="N86" s="131"/>
      <c r="O86" s="131"/>
      <c r="P86" s="131"/>
      <c r="Q86" s="131"/>
    </row>
    <row r="87" spans="1:17" x14ac:dyDescent="0.25">
      <c r="A87" s="142"/>
      <c r="B87" s="135"/>
      <c r="C87" s="161" t="s">
        <v>489</v>
      </c>
      <c r="D87" s="142"/>
      <c r="E87" s="142"/>
      <c r="F87" s="142"/>
      <c r="G87" s="131"/>
      <c r="H87" s="43"/>
      <c r="I87" s="131"/>
      <c r="J87" s="131"/>
      <c r="K87" s="43"/>
      <c r="L87" s="131"/>
      <c r="M87" s="131"/>
      <c r="N87" s="131"/>
      <c r="O87" s="131"/>
      <c r="P87" s="131"/>
      <c r="Q87" s="131"/>
    </row>
    <row r="88" spans="1:17" x14ac:dyDescent="0.25">
      <c r="A88" s="151">
        <v>1</v>
      </c>
      <c r="B88" s="41"/>
      <c r="C88" s="161" t="s">
        <v>311</v>
      </c>
      <c r="D88" s="142" t="s">
        <v>312</v>
      </c>
      <c r="E88" s="142">
        <v>1</v>
      </c>
      <c r="F88" s="142">
        <v>6</v>
      </c>
      <c r="G88" s="131"/>
      <c r="H88" s="43"/>
      <c r="I88" s="131"/>
      <c r="J88" s="131"/>
      <c r="K88" s="43"/>
      <c r="L88" s="131"/>
      <c r="M88" s="131"/>
      <c r="N88" s="131"/>
      <c r="O88" s="131"/>
      <c r="P88" s="131"/>
      <c r="Q88" s="131"/>
    </row>
    <row r="89" spans="1:17" ht="22.5" x14ac:dyDescent="0.25">
      <c r="A89" s="151">
        <v>4</v>
      </c>
      <c r="B89" s="41"/>
      <c r="C89" s="227" t="s">
        <v>496</v>
      </c>
      <c r="D89" s="142" t="s">
        <v>312</v>
      </c>
      <c r="E89" s="142">
        <v>4</v>
      </c>
      <c r="F89" s="142">
        <v>24</v>
      </c>
      <c r="G89" s="131"/>
      <c r="H89" s="43"/>
      <c r="I89" s="131"/>
      <c r="J89" s="131"/>
      <c r="K89" s="43"/>
      <c r="L89" s="131"/>
      <c r="M89" s="131"/>
      <c r="N89" s="131"/>
      <c r="O89" s="131"/>
      <c r="P89" s="131"/>
      <c r="Q89" s="131"/>
    </row>
    <row r="90" spans="1:17" ht="22.5" x14ac:dyDescent="0.25">
      <c r="A90" s="151">
        <v>5</v>
      </c>
      <c r="B90" s="41"/>
      <c r="C90" s="161" t="s">
        <v>471</v>
      </c>
      <c r="D90" s="142" t="s">
        <v>110</v>
      </c>
      <c r="E90" s="142">
        <v>4</v>
      </c>
      <c r="F90" s="142">
        <v>24</v>
      </c>
      <c r="G90" s="129"/>
      <c r="H90" s="43"/>
      <c r="I90" s="129"/>
      <c r="J90" s="129"/>
      <c r="K90" s="129"/>
      <c r="L90" s="129"/>
      <c r="M90" s="129"/>
      <c r="N90" s="129"/>
      <c r="O90" s="129"/>
      <c r="P90" s="129"/>
      <c r="Q90" s="129"/>
    </row>
    <row r="91" spans="1:17" x14ac:dyDescent="0.25">
      <c r="A91" s="142">
        <v>6</v>
      </c>
      <c r="B91" s="135"/>
      <c r="C91" s="161" t="s">
        <v>364</v>
      </c>
      <c r="D91" s="142" t="s">
        <v>53</v>
      </c>
      <c r="E91" s="142">
        <v>76</v>
      </c>
      <c r="F91" s="142">
        <v>456</v>
      </c>
      <c r="G91" s="129"/>
      <c r="H91" s="43"/>
      <c r="I91" s="129"/>
      <c r="J91" s="129"/>
      <c r="K91" s="129"/>
      <c r="L91" s="129"/>
      <c r="M91" s="129"/>
      <c r="N91" s="129"/>
      <c r="O91" s="129"/>
      <c r="P91" s="129"/>
      <c r="Q91" s="129"/>
    </row>
    <row r="92" spans="1:17" x14ac:dyDescent="0.25">
      <c r="A92" s="142">
        <v>7</v>
      </c>
      <c r="B92" s="135"/>
      <c r="C92" s="161" t="s">
        <v>365</v>
      </c>
      <c r="D92" s="142" t="s">
        <v>110</v>
      </c>
      <c r="E92" s="142">
        <v>24</v>
      </c>
      <c r="F92" s="142">
        <v>144</v>
      </c>
      <c r="G92" s="131"/>
      <c r="H92" s="43"/>
      <c r="I92" s="131"/>
      <c r="J92" s="131"/>
      <c r="K92" s="43"/>
      <c r="L92" s="131"/>
      <c r="M92" s="131"/>
      <c r="N92" s="131"/>
      <c r="O92" s="131"/>
      <c r="P92" s="131"/>
      <c r="Q92" s="131"/>
    </row>
    <row r="93" spans="1:17" x14ac:dyDescent="0.25">
      <c r="A93" s="151">
        <v>8</v>
      </c>
      <c r="B93" s="41"/>
      <c r="C93" s="161" t="s">
        <v>366</v>
      </c>
      <c r="D93" s="142" t="s">
        <v>110</v>
      </c>
      <c r="E93" s="142">
        <v>6</v>
      </c>
      <c r="F93" s="142">
        <v>36</v>
      </c>
      <c r="G93" s="131"/>
      <c r="H93" s="43"/>
      <c r="I93" s="131"/>
      <c r="J93" s="131"/>
      <c r="K93" s="43"/>
      <c r="L93" s="131"/>
      <c r="M93" s="131"/>
      <c r="N93" s="131"/>
      <c r="O93" s="131"/>
      <c r="P93" s="131"/>
      <c r="Q93" s="131"/>
    </row>
    <row r="94" spans="1:17" x14ac:dyDescent="0.25">
      <c r="A94" s="151">
        <v>9</v>
      </c>
      <c r="B94" s="41"/>
      <c r="C94" s="172" t="s">
        <v>367</v>
      </c>
      <c r="D94" s="142" t="s">
        <v>110</v>
      </c>
      <c r="E94" s="142">
        <v>2</v>
      </c>
      <c r="F94" s="142">
        <v>12</v>
      </c>
      <c r="G94" s="131"/>
      <c r="H94" s="43"/>
      <c r="I94" s="131"/>
      <c r="J94" s="131"/>
      <c r="K94" s="43"/>
      <c r="L94" s="131"/>
      <c r="M94" s="131"/>
      <c r="N94" s="131"/>
      <c r="O94" s="131"/>
      <c r="P94" s="131"/>
      <c r="Q94" s="131"/>
    </row>
    <row r="95" spans="1:17" ht="22.5" x14ac:dyDescent="0.25">
      <c r="A95" s="142">
        <v>10</v>
      </c>
      <c r="B95" s="135"/>
      <c r="C95" s="161" t="s">
        <v>368</v>
      </c>
      <c r="D95" s="142" t="s">
        <v>110</v>
      </c>
      <c r="E95" s="142">
        <v>10</v>
      </c>
      <c r="F95" s="142">
        <v>60</v>
      </c>
      <c r="G95" s="131"/>
      <c r="H95" s="43"/>
      <c r="I95" s="131"/>
      <c r="J95" s="131"/>
      <c r="K95" s="43"/>
      <c r="L95" s="131"/>
      <c r="M95" s="131"/>
      <c r="N95" s="131"/>
      <c r="O95" s="131"/>
      <c r="P95" s="131"/>
      <c r="Q95" s="131"/>
    </row>
    <row r="96" spans="1:17" x14ac:dyDescent="0.25">
      <c r="A96" s="142">
        <v>11</v>
      </c>
      <c r="B96" s="135"/>
      <c r="C96" s="161" t="s">
        <v>349</v>
      </c>
      <c r="D96" s="142" t="s">
        <v>72</v>
      </c>
      <c r="E96" s="142">
        <v>0.6</v>
      </c>
      <c r="F96" s="142">
        <v>3.6</v>
      </c>
      <c r="G96" s="131"/>
      <c r="H96" s="43"/>
      <c r="I96" s="131"/>
      <c r="J96" s="131"/>
      <c r="K96" s="43"/>
      <c r="L96" s="131"/>
      <c r="M96" s="131"/>
      <c r="N96" s="131"/>
      <c r="O96" s="131"/>
      <c r="P96" s="131"/>
      <c r="Q96" s="131"/>
    </row>
    <row r="97" spans="1:17" x14ac:dyDescent="0.25">
      <c r="A97" s="151">
        <v>12</v>
      </c>
      <c r="B97" s="41"/>
      <c r="C97" s="161" t="s">
        <v>350</v>
      </c>
      <c r="D97" s="142" t="s">
        <v>312</v>
      </c>
      <c r="E97" s="142">
        <v>1</v>
      </c>
      <c r="F97" s="142">
        <v>6</v>
      </c>
      <c r="G97" s="131"/>
      <c r="H97" s="43"/>
      <c r="I97" s="131"/>
      <c r="J97" s="131"/>
      <c r="K97" s="43"/>
      <c r="L97" s="131"/>
      <c r="M97" s="131"/>
      <c r="N97" s="131"/>
      <c r="O97" s="131"/>
      <c r="P97" s="131"/>
      <c r="Q97" s="131"/>
    </row>
    <row r="98" spans="1:17" x14ac:dyDescent="0.25">
      <c r="A98" s="151">
        <v>13</v>
      </c>
      <c r="B98" s="41"/>
      <c r="C98" s="161" t="s">
        <v>362</v>
      </c>
      <c r="D98" s="142" t="s">
        <v>53</v>
      </c>
      <c r="E98" s="142">
        <v>4</v>
      </c>
      <c r="F98" s="142">
        <v>24</v>
      </c>
      <c r="G98" s="131"/>
      <c r="H98" s="43"/>
      <c r="I98" s="131"/>
      <c r="J98" s="131"/>
      <c r="K98" s="43"/>
      <c r="L98" s="131"/>
      <c r="M98" s="131"/>
      <c r="N98" s="131"/>
      <c r="O98" s="131"/>
      <c r="P98" s="131"/>
      <c r="Q98" s="131"/>
    </row>
    <row r="99" spans="1:17" x14ac:dyDescent="0.25">
      <c r="A99" s="142">
        <v>14</v>
      </c>
      <c r="B99" s="135"/>
      <c r="C99" s="161" t="s">
        <v>351</v>
      </c>
      <c r="D99" s="142" t="s">
        <v>312</v>
      </c>
      <c r="E99" s="142">
        <v>1</v>
      </c>
      <c r="F99" s="142">
        <v>6</v>
      </c>
      <c r="G99" s="131"/>
      <c r="H99" s="43"/>
      <c r="I99" s="131"/>
      <c r="J99" s="131"/>
      <c r="K99" s="43"/>
      <c r="L99" s="131"/>
      <c r="M99" s="131"/>
      <c r="N99" s="131"/>
      <c r="O99" s="131"/>
      <c r="P99" s="131"/>
      <c r="Q99" s="131"/>
    </row>
    <row r="100" spans="1:17" x14ac:dyDescent="0.25">
      <c r="A100" s="142">
        <v>15</v>
      </c>
      <c r="B100" s="135"/>
      <c r="C100" s="161" t="s">
        <v>357</v>
      </c>
      <c r="D100" s="142" t="s">
        <v>312</v>
      </c>
      <c r="E100" s="142">
        <v>1</v>
      </c>
      <c r="F100" s="142">
        <v>6</v>
      </c>
      <c r="G100" s="131"/>
      <c r="H100" s="43"/>
      <c r="I100" s="131"/>
      <c r="J100" s="131"/>
      <c r="K100" s="43"/>
      <c r="L100" s="131"/>
      <c r="M100" s="131"/>
      <c r="N100" s="131"/>
      <c r="O100" s="131"/>
      <c r="P100" s="131"/>
      <c r="Q100" s="131"/>
    </row>
    <row r="101" spans="1:17" x14ac:dyDescent="0.25">
      <c r="A101" s="142"/>
      <c r="B101" s="135"/>
      <c r="C101" s="339" t="s">
        <v>370</v>
      </c>
      <c r="D101" s="339"/>
      <c r="E101" s="339"/>
      <c r="F101" s="142"/>
      <c r="G101" s="131"/>
      <c r="H101" s="43"/>
      <c r="I101" s="131"/>
      <c r="J101" s="131"/>
      <c r="K101" s="43"/>
      <c r="L101" s="131"/>
      <c r="M101" s="131"/>
      <c r="N101" s="131"/>
      <c r="O101" s="131"/>
      <c r="P101" s="131"/>
      <c r="Q101" s="131"/>
    </row>
    <row r="102" spans="1:17" x14ac:dyDescent="0.25">
      <c r="A102" s="142"/>
      <c r="B102" s="135"/>
      <c r="C102" s="161" t="s">
        <v>490</v>
      </c>
      <c r="D102" s="142"/>
      <c r="E102" s="142"/>
      <c r="F102" s="142"/>
      <c r="G102" s="131"/>
      <c r="H102" s="43"/>
      <c r="I102" s="131"/>
      <c r="J102" s="131"/>
      <c r="K102" s="43"/>
      <c r="L102" s="131"/>
      <c r="M102" s="131"/>
      <c r="N102" s="131"/>
      <c r="O102" s="131"/>
      <c r="P102" s="131"/>
      <c r="Q102" s="131"/>
    </row>
    <row r="103" spans="1:17" x14ac:dyDescent="0.25">
      <c r="A103" s="151">
        <v>1</v>
      </c>
      <c r="B103" s="41"/>
      <c r="C103" s="161" t="s">
        <v>311</v>
      </c>
      <c r="D103" s="142" t="s">
        <v>312</v>
      </c>
      <c r="E103" s="142">
        <v>1</v>
      </c>
      <c r="F103" s="142">
        <v>8</v>
      </c>
      <c r="G103" s="131"/>
      <c r="H103" s="43"/>
      <c r="I103" s="131"/>
      <c r="J103" s="131"/>
      <c r="K103" s="43"/>
      <c r="L103" s="131"/>
      <c r="M103" s="131"/>
      <c r="N103" s="131"/>
      <c r="O103" s="131"/>
      <c r="P103" s="131"/>
      <c r="Q103" s="131"/>
    </row>
    <row r="104" spans="1:17" ht="22.5" x14ac:dyDescent="0.25">
      <c r="A104" s="151">
        <v>5</v>
      </c>
      <c r="B104" s="41"/>
      <c r="C104" s="227" t="s">
        <v>496</v>
      </c>
      <c r="D104" s="142" t="s">
        <v>312</v>
      </c>
      <c r="E104" s="142">
        <v>4</v>
      </c>
      <c r="F104" s="142">
        <v>32</v>
      </c>
      <c r="G104" s="131"/>
      <c r="H104" s="43"/>
      <c r="I104" s="131"/>
      <c r="J104" s="131"/>
      <c r="K104" s="43"/>
      <c r="L104" s="131"/>
      <c r="M104" s="131"/>
      <c r="N104" s="131"/>
      <c r="O104" s="131"/>
      <c r="P104" s="131"/>
      <c r="Q104" s="131"/>
    </row>
    <row r="105" spans="1:17" ht="22.5" x14ac:dyDescent="0.25">
      <c r="A105" s="142">
        <v>6</v>
      </c>
      <c r="B105" s="135"/>
      <c r="C105" s="161" t="s">
        <v>471</v>
      </c>
      <c r="D105" s="142" t="s">
        <v>110</v>
      </c>
      <c r="E105" s="142">
        <v>4</v>
      </c>
      <c r="F105" s="142">
        <v>32</v>
      </c>
      <c r="G105" s="131"/>
      <c r="H105" s="43"/>
      <c r="I105" s="131"/>
      <c r="J105" s="131"/>
      <c r="K105" s="43"/>
      <c r="L105" s="131"/>
      <c r="M105" s="131"/>
      <c r="N105" s="131"/>
      <c r="O105" s="131"/>
      <c r="P105" s="131"/>
      <c r="Q105" s="131"/>
    </row>
    <row r="106" spans="1:17" x14ac:dyDescent="0.25">
      <c r="A106" s="151">
        <v>7</v>
      </c>
      <c r="B106" s="41"/>
      <c r="C106" s="161" t="s">
        <v>364</v>
      </c>
      <c r="D106" s="142" t="s">
        <v>53</v>
      </c>
      <c r="E106" s="142">
        <v>58</v>
      </c>
      <c r="F106" s="142">
        <v>464</v>
      </c>
      <c r="G106" s="131"/>
      <c r="H106" s="43"/>
      <c r="I106" s="131"/>
      <c r="J106" s="131"/>
      <c r="K106" s="43"/>
      <c r="L106" s="131"/>
      <c r="M106" s="131"/>
      <c r="N106" s="131"/>
      <c r="O106" s="131"/>
      <c r="P106" s="131"/>
      <c r="Q106" s="131"/>
    </row>
    <row r="107" spans="1:17" x14ac:dyDescent="0.25">
      <c r="A107" s="142">
        <v>8</v>
      </c>
      <c r="B107" s="135"/>
      <c r="C107" s="161" t="s">
        <v>365</v>
      </c>
      <c r="D107" s="142" t="s">
        <v>110</v>
      </c>
      <c r="E107" s="142">
        <v>52</v>
      </c>
      <c r="F107" s="142">
        <v>416</v>
      </c>
      <c r="G107" s="131"/>
      <c r="H107" s="43"/>
      <c r="I107" s="131"/>
      <c r="J107" s="131"/>
      <c r="K107" s="43"/>
      <c r="L107" s="131"/>
      <c r="M107" s="131"/>
      <c r="N107" s="131"/>
      <c r="O107" s="131"/>
      <c r="P107" s="131"/>
      <c r="Q107" s="131"/>
    </row>
    <row r="108" spans="1:17" x14ac:dyDescent="0.25">
      <c r="A108" s="151">
        <v>9</v>
      </c>
      <c r="B108" s="41"/>
      <c r="C108" s="161" t="s">
        <v>366</v>
      </c>
      <c r="D108" s="142" t="s">
        <v>110</v>
      </c>
      <c r="E108" s="142">
        <v>6</v>
      </c>
      <c r="F108" s="142">
        <v>48</v>
      </c>
      <c r="G108" s="131"/>
      <c r="H108" s="43"/>
      <c r="I108" s="131"/>
      <c r="J108" s="131"/>
      <c r="K108" s="43"/>
      <c r="L108" s="131"/>
      <c r="M108" s="131"/>
      <c r="N108" s="131"/>
      <c r="O108" s="131"/>
      <c r="P108" s="131"/>
      <c r="Q108" s="131"/>
    </row>
    <row r="109" spans="1:17" x14ac:dyDescent="0.25">
      <c r="A109" s="142">
        <v>10</v>
      </c>
      <c r="B109" s="135"/>
      <c r="C109" s="172" t="s">
        <v>367</v>
      </c>
      <c r="D109" s="142" t="s">
        <v>110</v>
      </c>
      <c r="E109" s="142">
        <v>2</v>
      </c>
      <c r="F109" s="142">
        <v>16</v>
      </c>
      <c r="G109" s="131"/>
      <c r="H109" s="43"/>
      <c r="I109" s="131"/>
      <c r="J109" s="131"/>
      <c r="K109" s="43"/>
      <c r="L109" s="131"/>
      <c r="M109" s="131"/>
      <c r="N109" s="131"/>
      <c r="O109" s="131"/>
      <c r="P109" s="131"/>
      <c r="Q109" s="131"/>
    </row>
    <row r="110" spans="1:17" ht="22.5" x14ac:dyDescent="0.25">
      <c r="A110" s="151">
        <v>11</v>
      </c>
      <c r="B110" s="41"/>
      <c r="C110" s="161" t="s">
        <v>368</v>
      </c>
      <c r="D110" s="142" t="s">
        <v>110</v>
      </c>
      <c r="E110" s="142">
        <v>10</v>
      </c>
      <c r="F110" s="142">
        <v>80</v>
      </c>
      <c r="G110" s="131"/>
      <c r="H110" s="43"/>
      <c r="I110" s="131"/>
      <c r="J110" s="131"/>
      <c r="K110" s="43"/>
      <c r="L110" s="131"/>
      <c r="M110" s="131"/>
      <c r="N110" s="131"/>
      <c r="O110" s="131"/>
      <c r="P110" s="131"/>
      <c r="Q110" s="131"/>
    </row>
    <row r="111" spans="1:17" x14ac:dyDescent="0.25">
      <c r="A111" s="142">
        <v>12</v>
      </c>
      <c r="B111" s="135"/>
      <c r="C111" s="161" t="s">
        <v>349</v>
      </c>
      <c r="D111" s="142" t="s">
        <v>72</v>
      </c>
      <c r="E111" s="142">
        <v>0.5</v>
      </c>
      <c r="F111" s="142">
        <v>4</v>
      </c>
      <c r="G111" s="131"/>
      <c r="H111" s="43"/>
      <c r="I111" s="131"/>
      <c r="J111" s="131"/>
      <c r="K111" s="43"/>
      <c r="L111" s="131"/>
      <c r="M111" s="131"/>
      <c r="N111" s="131"/>
      <c r="O111" s="131"/>
      <c r="P111" s="131"/>
      <c r="Q111" s="131"/>
    </row>
    <row r="112" spans="1:17" x14ac:dyDescent="0.25">
      <c r="A112" s="151">
        <v>13</v>
      </c>
      <c r="B112" s="41"/>
      <c r="C112" s="161" t="s">
        <v>350</v>
      </c>
      <c r="D112" s="142" t="s">
        <v>312</v>
      </c>
      <c r="E112" s="142">
        <v>1</v>
      </c>
      <c r="F112" s="142">
        <v>8</v>
      </c>
      <c r="G112" s="131"/>
      <c r="H112" s="43"/>
      <c r="I112" s="131"/>
      <c r="J112" s="131"/>
      <c r="K112" s="43"/>
      <c r="L112" s="131"/>
      <c r="M112" s="131"/>
      <c r="N112" s="131"/>
      <c r="O112" s="131"/>
      <c r="P112" s="131"/>
      <c r="Q112" s="131"/>
    </row>
    <row r="113" spans="1:17" x14ac:dyDescent="0.25">
      <c r="A113" s="142">
        <v>14</v>
      </c>
      <c r="B113" s="135"/>
      <c r="C113" s="161" t="s">
        <v>362</v>
      </c>
      <c r="D113" s="142" t="s">
        <v>53</v>
      </c>
      <c r="E113" s="142">
        <v>4</v>
      </c>
      <c r="F113" s="142">
        <v>32</v>
      </c>
      <c r="G113" s="131"/>
      <c r="H113" s="43"/>
      <c r="I113" s="131"/>
      <c r="J113" s="131"/>
      <c r="K113" s="43"/>
      <c r="L113" s="131"/>
      <c r="M113" s="131"/>
      <c r="N113" s="131"/>
      <c r="O113" s="131"/>
      <c r="P113" s="131"/>
      <c r="Q113" s="131"/>
    </row>
    <row r="114" spans="1:17" x14ac:dyDescent="0.25">
      <c r="A114" s="151">
        <v>15</v>
      </c>
      <c r="B114" s="41"/>
      <c r="C114" s="161" t="s">
        <v>351</v>
      </c>
      <c r="D114" s="142" t="s">
        <v>312</v>
      </c>
      <c r="E114" s="142">
        <v>1</v>
      </c>
      <c r="F114" s="142">
        <v>8</v>
      </c>
      <c r="G114" s="129"/>
      <c r="H114" s="43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1:17" x14ac:dyDescent="0.25">
      <c r="A115" s="142">
        <v>16</v>
      </c>
      <c r="B115" s="135"/>
      <c r="C115" s="161" t="s">
        <v>357</v>
      </c>
      <c r="D115" s="142" t="s">
        <v>312</v>
      </c>
      <c r="E115" s="142">
        <v>1</v>
      </c>
      <c r="F115" s="142">
        <v>8</v>
      </c>
      <c r="G115" s="129"/>
      <c r="H115" s="43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1:17" x14ac:dyDescent="0.25">
      <c r="A116" s="142"/>
      <c r="B116" s="135"/>
      <c r="C116" s="173" t="s">
        <v>371</v>
      </c>
      <c r="D116" s="186"/>
      <c r="E116" s="186"/>
      <c r="F116" s="142"/>
      <c r="G116" s="131"/>
      <c r="H116" s="43"/>
      <c r="I116" s="131"/>
      <c r="J116" s="131"/>
      <c r="K116" s="43"/>
      <c r="L116" s="131"/>
      <c r="M116" s="131"/>
      <c r="N116" s="131"/>
      <c r="O116" s="131"/>
      <c r="P116" s="131"/>
      <c r="Q116" s="131"/>
    </row>
    <row r="117" spans="1:17" x14ac:dyDescent="0.25">
      <c r="A117" s="142"/>
      <c r="B117" s="135"/>
      <c r="C117" s="161" t="s">
        <v>491</v>
      </c>
      <c r="D117" s="142"/>
      <c r="E117" s="142"/>
      <c r="F117" s="142"/>
      <c r="G117" s="131"/>
      <c r="H117" s="43"/>
      <c r="I117" s="131"/>
      <c r="J117" s="131"/>
      <c r="K117" s="43"/>
      <c r="L117" s="131"/>
      <c r="M117" s="131"/>
      <c r="N117" s="131"/>
      <c r="O117" s="131"/>
      <c r="P117" s="131"/>
      <c r="Q117" s="131"/>
    </row>
    <row r="118" spans="1:17" x14ac:dyDescent="0.25">
      <c r="A118" s="151">
        <v>1</v>
      </c>
      <c r="B118" s="41"/>
      <c r="C118" s="161" t="s">
        <v>311</v>
      </c>
      <c r="D118" s="142" t="s">
        <v>312</v>
      </c>
      <c r="E118" s="142">
        <v>1</v>
      </c>
      <c r="F118" s="142">
        <v>2</v>
      </c>
      <c r="G118" s="131"/>
      <c r="H118" s="43"/>
      <c r="I118" s="131"/>
      <c r="J118" s="131"/>
      <c r="K118" s="43"/>
      <c r="L118" s="131"/>
      <c r="M118" s="131"/>
      <c r="N118" s="131"/>
      <c r="O118" s="131"/>
      <c r="P118" s="131"/>
      <c r="Q118" s="131"/>
    </row>
    <row r="119" spans="1:17" ht="22.5" x14ac:dyDescent="0.25">
      <c r="A119" s="151">
        <v>4</v>
      </c>
      <c r="B119" s="41"/>
      <c r="C119" s="227" t="s">
        <v>496</v>
      </c>
      <c r="D119" s="142" t="s">
        <v>312</v>
      </c>
      <c r="E119" s="142">
        <v>2</v>
      </c>
      <c r="F119" s="142">
        <v>4</v>
      </c>
      <c r="G119" s="131"/>
      <c r="H119" s="43"/>
      <c r="I119" s="131"/>
      <c r="J119" s="131"/>
      <c r="K119" s="43"/>
      <c r="L119" s="131"/>
      <c r="M119" s="131"/>
      <c r="N119" s="131"/>
      <c r="O119" s="131"/>
      <c r="P119" s="131"/>
      <c r="Q119" s="131"/>
    </row>
    <row r="120" spans="1:17" ht="22.5" x14ac:dyDescent="0.25">
      <c r="A120" s="151">
        <v>5</v>
      </c>
      <c r="B120" s="41"/>
      <c r="C120" s="161" t="s">
        <v>471</v>
      </c>
      <c r="D120" s="142" t="s">
        <v>110</v>
      </c>
      <c r="E120" s="142">
        <v>2</v>
      </c>
      <c r="F120" s="142">
        <v>4</v>
      </c>
      <c r="G120" s="131"/>
      <c r="H120" s="43"/>
      <c r="I120" s="131"/>
      <c r="J120" s="131"/>
      <c r="K120" s="43"/>
      <c r="L120" s="131"/>
      <c r="M120" s="131"/>
      <c r="N120" s="131"/>
      <c r="O120" s="131"/>
      <c r="P120" s="131"/>
      <c r="Q120" s="131"/>
    </row>
    <row r="121" spans="1:17" x14ac:dyDescent="0.25">
      <c r="A121" s="142">
        <v>6</v>
      </c>
      <c r="B121" s="135"/>
      <c r="C121" s="161" t="s">
        <v>364</v>
      </c>
      <c r="D121" s="142" t="s">
        <v>53</v>
      </c>
      <c r="E121" s="142">
        <v>20</v>
      </c>
      <c r="F121" s="142">
        <v>40</v>
      </c>
      <c r="G121" s="131"/>
      <c r="H121" s="43"/>
      <c r="I121" s="131"/>
      <c r="J121" s="131"/>
      <c r="K121" s="43"/>
      <c r="L121" s="131"/>
      <c r="M121" s="131"/>
      <c r="N121" s="131"/>
      <c r="O121" s="131"/>
      <c r="P121" s="131"/>
      <c r="Q121" s="131"/>
    </row>
    <row r="122" spans="1:17" x14ac:dyDescent="0.25">
      <c r="A122" s="142">
        <v>7</v>
      </c>
      <c r="B122" s="135"/>
      <c r="C122" s="161" t="s">
        <v>365</v>
      </c>
      <c r="D122" s="142" t="s">
        <v>110</v>
      </c>
      <c r="E122" s="142">
        <v>8</v>
      </c>
      <c r="F122" s="142">
        <v>16</v>
      </c>
      <c r="G122" s="131"/>
      <c r="H122" s="43"/>
      <c r="I122" s="131"/>
      <c r="J122" s="131"/>
      <c r="K122" s="43"/>
      <c r="L122" s="131"/>
      <c r="M122" s="131"/>
      <c r="N122" s="131"/>
      <c r="O122" s="131"/>
      <c r="P122" s="131"/>
      <c r="Q122" s="131"/>
    </row>
    <row r="123" spans="1:17" x14ac:dyDescent="0.25">
      <c r="A123" s="151">
        <v>8</v>
      </c>
      <c r="B123" s="41"/>
      <c r="C123" s="161" t="s">
        <v>366</v>
      </c>
      <c r="D123" s="142" t="s">
        <v>110</v>
      </c>
      <c r="E123" s="142">
        <v>2</v>
      </c>
      <c r="F123" s="142">
        <v>4</v>
      </c>
      <c r="G123" s="131"/>
      <c r="H123" s="43"/>
      <c r="I123" s="131"/>
      <c r="J123" s="131"/>
      <c r="K123" s="43"/>
      <c r="L123" s="131"/>
      <c r="M123" s="131"/>
      <c r="N123" s="131"/>
      <c r="O123" s="131"/>
      <c r="P123" s="131"/>
      <c r="Q123" s="131"/>
    </row>
    <row r="124" spans="1:17" x14ac:dyDescent="0.25">
      <c r="A124" s="151">
        <v>9</v>
      </c>
      <c r="B124" s="41"/>
      <c r="C124" s="172" t="s">
        <v>367</v>
      </c>
      <c r="D124" s="142" t="s">
        <v>110</v>
      </c>
      <c r="E124" s="142">
        <v>2</v>
      </c>
      <c r="F124" s="142">
        <v>4</v>
      </c>
      <c r="G124" s="131"/>
      <c r="H124" s="43"/>
      <c r="I124" s="131"/>
      <c r="J124" s="131"/>
      <c r="K124" s="43"/>
      <c r="L124" s="131"/>
      <c r="M124" s="131"/>
      <c r="N124" s="131"/>
      <c r="O124" s="131"/>
      <c r="P124" s="131"/>
      <c r="Q124" s="131"/>
    </row>
    <row r="125" spans="1:17" ht="22.5" x14ac:dyDescent="0.25">
      <c r="A125" s="142">
        <v>10</v>
      </c>
      <c r="B125" s="135"/>
      <c r="C125" s="161" t="s">
        <v>368</v>
      </c>
      <c r="D125" s="142" t="s">
        <v>110</v>
      </c>
      <c r="E125" s="142">
        <v>2</v>
      </c>
      <c r="F125" s="142">
        <v>4</v>
      </c>
      <c r="G125" s="129"/>
      <c r="H125" s="43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1:17" x14ac:dyDescent="0.25">
      <c r="A126" s="142">
        <v>11</v>
      </c>
      <c r="B126" s="135"/>
      <c r="C126" s="161" t="s">
        <v>349</v>
      </c>
      <c r="D126" s="142" t="s">
        <v>72</v>
      </c>
      <c r="E126" s="142">
        <v>0.3</v>
      </c>
      <c r="F126" s="142">
        <v>0.6</v>
      </c>
      <c r="G126" s="129"/>
      <c r="H126" s="43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1:17" x14ac:dyDescent="0.25">
      <c r="A127" s="151">
        <v>12</v>
      </c>
      <c r="B127" s="41"/>
      <c r="C127" s="161" t="s">
        <v>350</v>
      </c>
      <c r="D127" s="142" t="s">
        <v>312</v>
      </c>
      <c r="E127" s="142">
        <v>1</v>
      </c>
      <c r="F127" s="142">
        <v>2</v>
      </c>
      <c r="G127" s="131"/>
      <c r="H127" s="43"/>
      <c r="I127" s="131"/>
      <c r="J127" s="131"/>
      <c r="K127" s="43"/>
      <c r="L127" s="131"/>
      <c r="M127" s="131"/>
      <c r="N127" s="131"/>
      <c r="O127" s="131"/>
      <c r="P127" s="131"/>
      <c r="Q127" s="131"/>
    </row>
    <row r="128" spans="1:17" x14ac:dyDescent="0.25">
      <c r="A128" s="151">
        <v>13</v>
      </c>
      <c r="B128" s="41"/>
      <c r="C128" s="161" t="s">
        <v>351</v>
      </c>
      <c r="D128" s="142" t="s">
        <v>312</v>
      </c>
      <c r="E128" s="142">
        <v>1</v>
      </c>
      <c r="F128" s="142">
        <v>2</v>
      </c>
      <c r="G128" s="131"/>
      <c r="H128" s="43"/>
      <c r="I128" s="131"/>
      <c r="J128" s="131"/>
      <c r="K128" s="43"/>
      <c r="L128" s="131"/>
      <c r="M128" s="131"/>
      <c r="N128" s="131"/>
      <c r="O128" s="131"/>
      <c r="P128" s="131"/>
      <c r="Q128" s="131"/>
    </row>
    <row r="129" spans="1:17" x14ac:dyDescent="0.25">
      <c r="A129" s="142">
        <v>14</v>
      </c>
      <c r="B129" s="135"/>
      <c r="C129" s="161" t="s">
        <v>357</v>
      </c>
      <c r="D129" s="142" t="s">
        <v>312</v>
      </c>
      <c r="E129" s="142">
        <v>1</v>
      </c>
      <c r="F129" s="142">
        <v>2</v>
      </c>
      <c r="G129" s="131"/>
      <c r="H129" s="43"/>
      <c r="I129" s="131"/>
      <c r="J129" s="131"/>
      <c r="K129" s="43"/>
      <c r="L129" s="131"/>
      <c r="M129" s="131"/>
      <c r="N129" s="131"/>
      <c r="O129" s="131"/>
      <c r="P129" s="131"/>
      <c r="Q129" s="131"/>
    </row>
    <row r="130" spans="1:17" x14ac:dyDescent="0.25">
      <c r="A130" s="142"/>
      <c r="B130" s="135"/>
      <c r="C130" s="173" t="s">
        <v>372</v>
      </c>
      <c r="D130" s="186"/>
      <c r="E130" s="186"/>
      <c r="F130" s="142"/>
      <c r="G130" s="131"/>
      <c r="H130" s="43"/>
      <c r="I130" s="131"/>
      <c r="J130" s="131"/>
      <c r="K130" s="43"/>
      <c r="L130" s="131"/>
      <c r="M130" s="131"/>
      <c r="N130" s="131"/>
      <c r="O130" s="131"/>
      <c r="P130" s="131"/>
      <c r="Q130" s="131"/>
    </row>
    <row r="131" spans="1:17" x14ac:dyDescent="0.25">
      <c r="A131" s="142"/>
      <c r="B131" s="135"/>
      <c r="C131" s="161" t="s">
        <v>490</v>
      </c>
      <c r="D131" s="142"/>
      <c r="E131" s="142"/>
      <c r="F131" s="142"/>
      <c r="G131" s="131"/>
      <c r="H131" s="43"/>
      <c r="I131" s="131"/>
      <c r="J131" s="131"/>
      <c r="K131" s="43"/>
      <c r="L131" s="131"/>
      <c r="M131" s="131"/>
      <c r="N131" s="131"/>
      <c r="O131" s="131"/>
      <c r="P131" s="131"/>
      <c r="Q131" s="131"/>
    </row>
    <row r="132" spans="1:17" x14ac:dyDescent="0.25">
      <c r="A132" s="151">
        <v>1</v>
      </c>
      <c r="B132" s="41"/>
      <c r="C132" s="161" t="s">
        <v>311</v>
      </c>
      <c r="D132" s="142" t="s">
        <v>312</v>
      </c>
      <c r="E132" s="142">
        <v>1</v>
      </c>
      <c r="F132" s="142">
        <v>8</v>
      </c>
      <c r="G132" s="131"/>
      <c r="H132" s="43"/>
      <c r="I132" s="131"/>
      <c r="J132" s="131"/>
      <c r="K132" s="43"/>
      <c r="L132" s="131"/>
      <c r="M132" s="131"/>
      <c r="N132" s="131"/>
      <c r="O132" s="131"/>
      <c r="P132" s="131"/>
      <c r="Q132" s="131"/>
    </row>
    <row r="133" spans="1:17" ht="22.5" x14ac:dyDescent="0.25">
      <c r="A133" s="151">
        <v>4</v>
      </c>
      <c r="B133" s="41"/>
      <c r="C133" s="227" t="s">
        <v>496</v>
      </c>
      <c r="D133" s="142" t="s">
        <v>312</v>
      </c>
      <c r="E133" s="142">
        <v>3</v>
      </c>
      <c r="F133" s="142">
        <v>24</v>
      </c>
      <c r="G133" s="131"/>
      <c r="H133" s="43"/>
      <c r="I133" s="131"/>
      <c r="J133" s="131"/>
      <c r="K133" s="43"/>
      <c r="L133" s="131"/>
      <c r="M133" s="131"/>
      <c r="N133" s="131"/>
      <c r="O133" s="131"/>
      <c r="P133" s="131"/>
      <c r="Q133" s="131"/>
    </row>
    <row r="134" spans="1:17" ht="22.5" x14ac:dyDescent="0.25">
      <c r="A134" s="151">
        <v>5</v>
      </c>
      <c r="B134" s="41"/>
      <c r="C134" s="161" t="s">
        <v>471</v>
      </c>
      <c r="D134" s="142" t="s">
        <v>110</v>
      </c>
      <c r="E134" s="142">
        <v>3</v>
      </c>
      <c r="F134" s="142">
        <v>24</v>
      </c>
      <c r="G134" s="131"/>
      <c r="H134" s="43"/>
      <c r="I134" s="131"/>
      <c r="J134" s="131"/>
      <c r="K134" s="43"/>
      <c r="L134" s="131"/>
      <c r="M134" s="131"/>
      <c r="N134" s="131"/>
      <c r="O134" s="131"/>
      <c r="P134" s="131"/>
      <c r="Q134" s="131"/>
    </row>
    <row r="135" spans="1:17" x14ac:dyDescent="0.25">
      <c r="A135" s="142">
        <v>6</v>
      </c>
      <c r="B135" s="135"/>
      <c r="C135" s="161" t="s">
        <v>364</v>
      </c>
      <c r="D135" s="142" t="s">
        <v>53</v>
      </c>
      <c r="E135" s="142">
        <v>48</v>
      </c>
      <c r="F135" s="142">
        <v>384</v>
      </c>
      <c r="G135" s="131"/>
      <c r="H135" s="43"/>
      <c r="I135" s="131"/>
      <c r="J135" s="131"/>
      <c r="K135" s="43"/>
      <c r="L135" s="131"/>
      <c r="M135" s="131"/>
      <c r="N135" s="131"/>
      <c r="O135" s="131"/>
      <c r="P135" s="131"/>
      <c r="Q135" s="131"/>
    </row>
    <row r="136" spans="1:17" x14ac:dyDescent="0.25">
      <c r="A136" s="142">
        <v>7</v>
      </c>
      <c r="B136" s="135"/>
      <c r="C136" s="161" t="s">
        <v>365</v>
      </c>
      <c r="D136" s="142" t="s">
        <v>110</v>
      </c>
      <c r="E136" s="142">
        <v>8</v>
      </c>
      <c r="F136" s="142">
        <v>64</v>
      </c>
      <c r="G136" s="131"/>
      <c r="H136" s="43"/>
      <c r="I136" s="131"/>
      <c r="J136" s="131"/>
      <c r="K136" s="43"/>
      <c r="L136" s="131"/>
      <c r="M136" s="131"/>
      <c r="N136" s="131"/>
      <c r="O136" s="131"/>
      <c r="P136" s="131"/>
      <c r="Q136" s="131"/>
    </row>
    <row r="137" spans="1:17" x14ac:dyDescent="0.25">
      <c r="A137" s="151">
        <v>8</v>
      </c>
      <c r="B137" s="41"/>
      <c r="C137" s="161" t="s">
        <v>366</v>
      </c>
      <c r="D137" s="142" t="s">
        <v>110</v>
      </c>
      <c r="E137" s="142">
        <v>4</v>
      </c>
      <c r="F137" s="142">
        <v>32</v>
      </c>
      <c r="G137" s="129"/>
      <c r="H137" s="43"/>
      <c r="I137" s="129"/>
      <c r="J137" s="129"/>
      <c r="K137" s="129"/>
      <c r="L137" s="129"/>
      <c r="M137" s="129"/>
      <c r="N137" s="129"/>
      <c r="O137" s="129"/>
      <c r="P137" s="129"/>
      <c r="Q137" s="129"/>
    </row>
    <row r="138" spans="1:17" x14ac:dyDescent="0.25">
      <c r="A138" s="151">
        <v>9</v>
      </c>
      <c r="B138" s="41"/>
      <c r="C138" s="172" t="s">
        <v>367</v>
      </c>
      <c r="D138" s="142" t="s">
        <v>110</v>
      </c>
      <c r="E138" s="142">
        <v>2</v>
      </c>
      <c r="F138" s="142">
        <v>16</v>
      </c>
      <c r="G138" s="129"/>
      <c r="H138" s="43"/>
      <c r="I138" s="129"/>
      <c r="J138" s="129"/>
      <c r="K138" s="129"/>
      <c r="L138" s="129"/>
      <c r="M138" s="129"/>
      <c r="N138" s="129"/>
      <c r="O138" s="129"/>
      <c r="P138" s="129"/>
      <c r="Q138" s="129"/>
    </row>
    <row r="139" spans="1:17" ht="22.5" x14ac:dyDescent="0.25">
      <c r="A139" s="142">
        <v>10</v>
      </c>
      <c r="B139" s="135"/>
      <c r="C139" s="161" t="s">
        <v>368</v>
      </c>
      <c r="D139" s="142" t="s">
        <v>110</v>
      </c>
      <c r="E139" s="142">
        <v>6</v>
      </c>
      <c r="F139" s="142">
        <v>48</v>
      </c>
      <c r="G139" s="131"/>
      <c r="H139" s="43"/>
      <c r="I139" s="131"/>
      <c r="J139" s="131"/>
      <c r="K139" s="43"/>
      <c r="L139" s="131"/>
      <c r="M139" s="131"/>
      <c r="N139" s="131"/>
      <c r="O139" s="131"/>
      <c r="P139" s="131"/>
      <c r="Q139" s="131"/>
    </row>
    <row r="140" spans="1:17" x14ac:dyDescent="0.25">
      <c r="A140" s="142">
        <v>11</v>
      </c>
      <c r="B140" s="135"/>
      <c r="C140" s="161" t="s">
        <v>349</v>
      </c>
      <c r="D140" s="142" t="s">
        <v>72</v>
      </c>
      <c r="E140" s="142">
        <v>0.5</v>
      </c>
      <c r="F140" s="142">
        <v>4</v>
      </c>
      <c r="G140" s="131"/>
      <c r="H140" s="43"/>
      <c r="I140" s="131"/>
      <c r="J140" s="131"/>
      <c r="K140" s="43"/>
      <c r="L140" s="131"/>
      <c r="M140" s="131"/>
      <c r="N140" s="131"/>
      <c r="O140" s="131"/>
      <c r="P140" s="131"/>
      <c r="Q140" s="131"/>
    </row>
    <row r="141" spans="1:17" x14ac:dyDescent="0.25">
      <c r="A141" s="151">
        <v>12</v>
      </c>
      <c r="B141" s="41"/>
      <c r="C141" s="161" t="s">
        <v>350</v>
      </c>
      <c r="D141" s="142" t="s">
        <v>312</v>
      </c>
      <c r="E141" s="142">
        <v>1</v>
      </c>
      <c r="F141" s="142">
        <v>8</v>
      </c>
      <c r="G141" s="131"/>
      <c r="H141" s="43"/>
      <c r="I141" s="131"/>
      <c r="J141" s="131"/>
      <c r="K141" s="43"/>
      <c r="L141" s="131"/>
      <c r="M141" s="131"/>
      <c r="N141" s="131"/>
      <c r="O141" s="131"/>
      <c r="P141" s="131"/>
      <c r="Q141" s="131"/>
    </row>
    <row r="142" spans="1:17" x14ac:dyDescent="0.25">
      <c r="A142" s="151">
        <v>13</v>
      </c>
      <c r="B142" s="41"/>
      <c r="C142" s="161" t="s">
        <v>351</v>
      </c>
      <c r="D142" s="142" t="s">
        <v>312</v>
      </c>
      <c r="E142" s="142">
        <v>1</v>
      </c>
      <c r="F142" s="142">
        <v>8</v>
      </c>
      <c r="G142" s="131"/>
      <c r="H142" s="43"/>
      <c r="I142" s="131"/>
      <c r="J142" s="131"/>
      <c r="K142" s="43"/>
      <c r="L142" s="131"/>
      <c r="M142" s="131"/>
      <c r="N142" s="131"/>
      <c r="O142" s="131"/>
      <c r="P142" s="131"/>
      <c r="Q142" s="131"/>
    </row>
    <row r="143" spans="1:17" x14ac:dyDescent="0.25">
      <c r="A143" s="142">
        <v>14</v>
      </c>
      <c r="B143" s="135"/>
      <c r="C143" s="161" t="s">
        <v>373</v>
      </c>
      <c r="D143" s="142" t="s">
        <v>312</v>
      </c>
      <c r="E143" s="142">
        <v>1</v>
      </c>
      <c r="F143" s="142">
        <v>8</v>
      </c>
      <c r="G143" s="131"/>
      <c r="H143" s="43"/>
      <c r="I143" s="131"/>
      <c r="J143" s="131"/>
      <c r="K143" s="43"/>
      <c r="L143" s="131"/>
      <c r="M143" s="131"/>
      <c r="N143" s="131"/>
      <c r="O143" s="131"/>
      <c r="P143" s="131"/>
      <c r="Q143" s="131"/>
    </row>
    <row r="144" spans="1:17" x14ac:dyDescent="0.25">
      <c r="A144" s="142"/>
      <c r="B144" s="135"/>
      <c r="C144" s="173" t="s">
        <v>374</v>
      </c>
      <c r="D144" s="186"/>
      <c r="E144" s="186"/>
      <c r="F144" s="142"/>
      <c r="G144" s="131"/>
      <c r="H144" s="43"/>
      <c r="I144" s="131"/>
      <c r="J144" s="131"/>
      <c r="K144" s="43"/>
      <c r="L144" s="131"/>
      <c r="M144" s="131"/>
      <c r="N144" s="131"/>
      <c r="O144" s="131"/>
      <c r="P144" s="131"/>
      <c r="Q144" s="131"/>
    </row>
    <row r="145" spans="1:17" x14ac:dyDescent="0.25">
      <c r="A145" s="142"/>
      <c r="B145" s="135"/>
      <c r="C145" s="161" t="s">
        <v>489</v>
      </c>
      <c r="D145" s="142"/>
      <c r="E145" s="142"/>
      <c r="F145" s="142"/>
      <c r="G145" s="131"/>
      <c r="H145" s="43"/>
      <c r="I145" s="131"/>
      <c r="J145" s="131"/>
      <c r="K145" s="43"/>
      <c r="L145" s="131"/>
      <c r="M145" s="131"/>
      <c r="N145" s="131"/>
      <c r="O145" s="131"/>
      <c r="P145" s="131"/>
      <c r="Q145" s="131"/>
    </row>
    <row r="146" spans="1:17" x14ac:dyDescent="0.25">
      <c r="A146" s="151">
        <v>1</v>
      </c>
      <c r="B146" s="41"/>
      <c r="C146" s="161" t="s">
        <v>311</v>
      </c>
      <c r="D146" s="142" t="s">
        <v>312</v>
      </c>
      <c r="E146" s="142">
        <v>1</v>
      </c>
      <c r="F146" s="142">
        <v>6</v>
      </c>
      <c r="G146" s="131"/>
      <c r="H146" s="43"/>
      <c r="I146" s="131"/>
      <c r="J146" s="131"/>
      <c r="K146" s="43"/>
      <c r="L146" s="131"/>
      <c r="M146" s="131"/>
      <c r="N146" s="131"/>
      <c r="O146" s="131"/>
      <c r="P146" s="131"/>
      <c r="Q146" s="131"/>
    </row>
    <row r="147" spans="1:17" ht="22.5" x14ac:dyDescent="0.25">
      <c r="A147" s="151">
        <v>4</v>
      </c>
      <c r="B147" s="41"/>
      <c r="C147" s="227" t="s">
        <v>496</v>
      </c>
      <c r="D147" s="142" t="s">
        <v>312</v>
      </c>
      <c r="E147" s="142">
        <v>2</v>
      </c>
      <c r="F147" s="142">
        <v>12</v>
      </c>
      <c r="G147" s="131"/>
      <c r="H147" s="43"/>
      <c r="I147" s="131"/>
      <c r="J147" s="131"/>
      <c r="K147" s="43"/>
      <c r="L147" s="131"/>
      <c r="M147" s="131"/>
      <c r="N147" s="131"/>
      <c r="O147" s="131"/>
      <c r="P147" s="131"/>
      <c r="Q147" s="131"/>
    </row>
    <row r="148" spans="1:17" ht="22.5" x14ac:dyDescent="0.25">
      <c r="A148" s="142">
        <v>5</v>
      </c>
      <c r="B148" s="135"/>
      <c r="C148" s="161" t="s">
        <v>471</v>
      </c>
      <c r="D148" s="142" t="s">
        <v>110</v>
      </c>
      <c r="E148" s="142">
        <v>2</v>
      </c>
      <c r="F148" s="142">
        <v>12</v>
      </c>
      <c r="G148" s="131"/>
      <c r="H148" s="43"/>
      <c r="I148" s="131"/>
      <c r="J148" s="131"/>
      <c r="K148" s="43"/>
      <c r="L148" s="131"/>
      <c r="M148" s="131"/>
      <c r="N148" s="131"/>
      <c r="O148" s="131"/>
      <c r="P148" s="131"/>
      <c r="Q148" s="131"/>
    </row>
    <row r="149" spans="1:17" x14ac:dyDescent="0.25">
      <c r="A149" s="142">
        <v>6</v>
      </c>
      <c r="B149" s="135"/>
      <c r="C149" s="161" t="s">
        <v>364</v>
      </c>
      <c r="D149" s="142" t="s">
        <v>53</v>
      </c>
      <c r="E149" s="142">
        <v>44</v>
      </c>
      <c r="F149" s="142">
        <v>264</v>
      </c>
      <c r="G149" s="129"/>
      <c r="H149" s="43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1:17" x14ac:dyDescent="0.25">
      <c r="A150" s="151">
        <v>7</v>
      </c>
      <c r="B150" s="41"/>
      <c r="C150" s="161" t="s">
        <v>365</v>
      </c>
      <c r="D150" s="142" t="s">
        <v>110</v>
      </c>
      <c r="E150" s="142">
        <v>8</v>
      </c>
      <c r="F150" s="142">
        <v>48</v>
      </c>
      <c r="G150" s="129"/>
      <c r="H150" s="43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1:17" x14ac:dyDescent="0.25">
      <c r="A151" s="142">
        <v>8</v>
      </c>
      <c r="B151" s="135"/>
      <c r="C151" s="161" t="s">
        <v>366</v>
      </c>
      <c r="D151" s="142" t="s">
        <v>110</v>
      </c>
      <c r="E151" s="142">
        <v>2</v>
      </c>
      <c r="F151" s="142">
        <v>12</v>
      </c>
      <c r="G151" s="131"/>
      <c r="H151" s="43"/>
      <c r="I151" s="131"/>
      <c r="J151" s="131"/>
      <c r="K151" s="43"/>
      <c r="L151" s="131"/>
      <c r="M151" s="131"/>
      <c r="N151" s="131"/>
      <c r="O151" s="131"/>
      <c r="P151" s="131"/>
      <c r="Q151" s="131"/>
    </row>
    <row r="152" spans="1:17" x14ac:dyDescent="0.25">
      <c r="A152" s="142">
        <v>9</v>
      </c>
      <c r="B152" s="135"/>
      <c r="C152" s="172" t="s">
        <v>367</v>
      </c>
      <c r="D152" s="142" t="s">
        <v>110</v>
      </c>
      <c r="E152" s="142">
        <v>2</v>
      </c>
      <c r="F152" s="142">
        <v>12</v>
      </c>
      <c r="G152" s="131"/>
      <c r="H152" s="43"/>
      <c r="I152" s="131"/>
      <c r="J152" s="131"/>
      <c r="K152" s="43"/>
      <c r="L152" s="131"/>
      <c r="M152" s="131"/>
      <c r="N152" s="131"/>
      <c r="O152" s="131"/>
      <c r="P152" s="131"/>
      <c r="Q152" s="131"/>
    </row>
    <row r="153" spans="1:17" ht="22.5" x14ac:dyDescent="0.25">
      <c r="A153" s="151">
        <v>10</v>
      </c>
      <c r="B153" s="41"/>
      <c r="C153" s="161" t="s">
        <v>368</v>
      </c>
      <c r="D153" s="142" t="s">
        <v>110</v>
      </c>
      <c r="E153" s="142">
        <v>6</v>
      </c>
      <c r="F153" s="142">
        <v>36</v>
      </c>
      <c r="G153" s="131"/>
      <c r="H153" s="43"/>
      <c r="I153" s="131"/>
      <c r="J153" s="131"/>
      <c r="K153" s="43"/>
      <c r="L153" s="131"/>
      <c r="M153" s="131"/>
      <c r="N153" s="131"/>
      <c r="O153" s="131"/>
      <c r="P153" s="131"/>
      <c r="Q153" s="131"/>
    </row>
    <row r="154" spans="1:17" x14ac:dyDescent="0.25">
      <c r="A154" s="142">
        <v>11</v>
      </c>
      <c r="B154" s="135"/>
      <c r="C154" s="161" t="s">
        <v>349</v>
      </c>
      <c r="D154" s="142" t="s">
        <v>72</v>
      </c>
      <c r="E154" s="142">
        <v>0.3</v>
      </c>
      <c r="F154" s="142">
        <v>1.8</v>
      </c>
      <c r="G154" s="131"/>
      <c r="H154" s="43"/>
      <c r="I154" s="131"/>
      <c r="J154" s="131"/>
      <c r="K154" s="43"/>
      <c r="L154" s="131"/>
      <c r="M154" s="131"/>
      <c r="N154" s="131"/>
      <c r="O154" s="131"/>
      <c r="P154" s="131"/>
      <c r="Q154" s="131"/>
    </row>
    <row r="155" spans="1:17" x14ac:dyDescent="0.25">
      <c r="A155" s="142">
        <v>12</v>
      </c>
      <c r="B155" s="135"/>
      <c r="C155" s="161" t="s">
        <v>350</v>
      </c>
      <c r="D155" s="142" t="s">
        <v>312</v>
      </c>
      <c r="E155" s="142">
        <v>1</v>
      </c>
      <c r="F155" s="142">
        <v>6</v>
      </c>
      <c r="G155" s="131"/>
      <c r="H155" s="43"/>
      <c r="I155" s="131"/>
      <c r="J155" s="131"/>
      <c r="K155" s="43"/>
      <c r="L155" s="131"/>
      <c r="M155" s="131"/>
      <c r="N155" s="131"/>
      <c r="O155" s="131"/>
      <c r="P155" s="131"/>
      <c r="Q155" s="131"/>
    </row>
    <row r="156" spans="1:17" x14ac:dyDescent="0.25">
      <c r="A156" s="151">
        <v>13</v>
      </c>
      <c r="B156" s="41"/>
      <c r="C156" s="161" t="s">
        <v>362</v>
      </c>
      <c r="D156" s="142" t="s">
        <v>53</v>
      </c>
      <c r="E156" s="142">
        <v>12</v>
      </c>
      <c r="F156" s="142">
        <v>72</v>
      </c>
      <c r="G156" s="131"/>
      <c r="H156" s="43"/>
      <c r="I156" s="131"/>
      <c r="J156" s="131"/>
      <c r="K156" s="43"/>
      <c r="L156" s="131"/>
      <c r="M156" s="131"/>
      <c r="N156" s="131"/>
      <c r="O156" s="131"/>
      <c r="P156" s="131"/>
      <c r="Q156" s="131"/>
    </row>
    <row r="157" spans="1:17" x14ac:dyDescent="0.25">
      <c r="A157" s="142">
        <v>14</v>
      </c>
      <c r="B157" s="135"/>
      <c r="C157" s="161" t="s">
        <v>351</v>
      </c>
      <c r="D157" s="142" t="s">
        <v>312</v>
      </c>
      <c r="E157" s="142">
        <v>1</v>
      </c>
      <c r="F157" s="142">
        <v>6</v>
      </c>
      <c r="G157" s="131"/>
      <c r="H157" s="43"/>
      <c r="I157" s="131"/>
      <c r="J157" s="131"/>
      <c r="K157" s="43"/>
      <c r="L157" s="131"/>
      <c r="M157" s="131"/>
      <c r="N157" s="131"/>
      <c r="O157" s="131"/>
      <c r="P157" s="131"/>
      <c r="Q157" s="131"/>
    </row>
    <row r="158" spans="1:17" x14ac:dyDescent="0.25">
      <c r="A158" s="142">
        <v>15</v>
      </c>
      <c r="B158" s="135"/>
      <c r="C158" s="161" t="s">
        <v>357</v>
      </c>
      <c r="D158" s="142" t="s">
        <v>312</v>
      </c>
      <c r="E158" s="142">
        <v>1</v>
      </c>
      <c r="F158" s="142">
        <v>6</v>
      </c>
      <c r="G158" s="131"/>
      <c r="H158" s="43"/>
      <c r="I158" s="131"/>
      <c r="J158" s="131"/>
      <c r="K158" s="43"/>
      <c r="L158" s="131"/>
      <c r="M158" s="131"/>
      <c r="N158" s="131"/>
      <c r="O158" s="131"/>
      <c r="P158" s="131"/>
      <c r="Q158" s="131"/>
    </row>
    <row r="159" spans="1:17" x14ac:dyDescent="0.25">
      <c r="A159" s="142"/>
      <c r="B159" s="135"/>
      <c r="C159" s="173" t="s">
        <v>375</v>
      </c>
      <c r="D159" s="186"/>
      <c r="E159" s="186"/>
      <c r="F159" s="142"/>
      <c r="G159" s="131"/>
      <c r="H159" s="43"/>
      <c r="I159" s="131"/>
      <c r="J159" s="131"/>
      <c r="K159" s="43"/>
      <c r="L159" s="131"/>
      <c r="M159" s="131"/>
      <c r="N159" s="131"/>
      <c r="O159" s="131"/>
      <c r="P159" s="131"/>
      <c r="Q159" s="131"/>
    </row>
    <row r="160" spans="1:17" x14ac:dyDescent="0.25">
      <c r="A160" s="142"/>
      <c r="B160" s="135"/>
      <c r="C160" s="161" t="s">
        <v>492</v>
      </c>
      <c r="D160" s="142"/>
      <c r="E160" s="142"/>
      <c r="F160" s="142"/>
      <c r="G160" s="131"/>
      <c r="H160" s="43"/>
      <c r="I160" s="131"/>
      <c r="J160" s="131"/>
      <c r="K160" s="43"/>
      <c r="L160" s="131"/>
      <c r="M160" s="131"/>
      <c r="N160" s="131"/>
      <c r="O160" s="131"/>
      <c r="P160" s="131"/>
      <c r="Q160" s="131"/>
    </row>
    <row r="161" spans="1:19" x14ac:dyDescent="0.25">
      <c r="A161" s="151">
        <v>1</v>
      </c>
      <c r="B161" s="41"/>
      <c r="C161" s="161" t="s">
        <v>311</v>
      </c>
      <c r="D161" s="142" t="s">
        <v>312</v>
      </c>
      <c r="E161" s="142">
        <v>1</v>
      </c>
      <c r="F161" s="142">
        <v>12</v>
      </c>
      <c r="G161" s="131"/>
      <c r="H161" s="43"/>
      <c r="I161" s="131"/>
      <c r="J161" s="131"/>
      <c r="K161" s="43"/>
      <c r="L161" s="131"/>
      <c r="M161" s="131"/>
      <c r="N161" s="131"/>
      <c r="O161" s="131"/>
      <c r="P161" s="131"/>
      <c r="Q161" s="131"/>
    </row>
    <row r="162" spans="1:19" ht="22.5" x14ac:dyDescent="0.25">
      <c r="A162" s="151">
        <v>4</v>
      </c>
      <c r="B162" s="41"/>
      <c r="C162" s="227" t="s">
        <v>496</v>
      </c>
      <c r="D162" s="142" t="s">
        <v>312</v>
      </c>
      <c r="E162" s="142">
        <v>3</v>
      </c>
      <c r="F162" s="142">
        <v>36</v>
      </c>
      <c r="G162" s="129"/>
      <c r="H162" s="43"/>
      <c r="I162" s="129"/>
      <c r="J162" s="129"/>
      <c r="K162" s="129"/>
      <c r="L162" s="129"/>
      <c r="M162" s="129"/>
      <c r="N162" s="129"/>
      <c r="O162" s="129"/>
      <c r="P162" s="129"/>
      <c r="Q162" s="129"/>
    </row>
    <row r="163" spans="1:19" ht="22.5" x14ac:dyDescent="0.25">
      <c r="A163" s="151">
        <v>5</v>
      </c>
      <c r="B163" s="41"/>
      <c r="C163" s="161" t="s">
        <v>471</v>
      </c>
      <c r="D163" s="142" t="s">
        <v>110</v>
      </c>
      <c r="E163" s="142">
        <v>3</v>
      </c>
      <c r="F163" s="142">
        <v>36</v>
      </c>
      <c r="G163" s="131"/>
      <c r="H163" s="43"/>
      <c r="I163" s="131"/>
      <c r="J163" s="131"/>
      <c r="K163" s="43"/>
      <c r="L163" s="131"/>
      <c r="M163" s="131"/>
      <c r="N163" s="131"/>
      <c r="O163" s="131"/>
      <c r="P163" s="131"/>
      <c r="Q163" s="131"/>
    </row>
    <row r="164" spans="1:19" x14ac:dyDescent="0.25">
      <c r="A164" s="142">
        <v>6</v>
      </c>
      <c r="B164" s="135"/>
      <c r="C164" s="161" t="s">
        <v>364</v>
      </c>
      <c r="D164" s="142" t="s">
        <v>53</v>
      </c>
      <c r="E164" s="142">
        <v>50</v>
      </c>
      <c r="F164" s="142">
        <v>600</v>
      </c>
      <c r="G164" s="131"/>
      <c r="H164" s="43"/>
      <c r="I164" s="131"/>
      <c r="J164" s="131"/>
      <c r="K164" s="43"/>
      <c r="L164" s="131"/>
      <c r="M164" s="131"/>
      <c r="N164" s="131"/>
      <c r="O164" s="131"/>
      <c r="P164" s="131"/>
      <c r="Q164" s="131"/>
    </row>
    <row r="165" spans="1:19" x14ac:dyDescent="0.25">
      <c r="A165" s="142">
        <v>7</v>
      </c>
      <c r="B165" s="135"/>
      <c r="C165" s="161" t="s">
        <v>365</v>
      </c>
      <c r="D165" s="142" t="s">
        <v>110</v>
      </c>
      <c r="E165" s="142">
        <v>18</v>
      </c>
      <c r="F165" s="142">
        <v>216</v>
      </c>
      <c r="G165" s="131"/>
      <c r="H165" s="43"/>
      <c r="I165" s="131"/>
      <c r="J165" s="131"/>
      <c r="K165" s="43"/>
      <c r="L165" s="131"/>
      <c r="M165" s="131"/>
      <c r="N165" s="131"/>
      <c r="O165" s="131"/>
      <c r="P165" s="131"/>
      <c r="Q165" s="131"/>
    </row>
    <row r="166" spans="1:19" x14ac:dyDescent="0.25">
      <c r="A166" s="151">
        <v>8</v>
      </c>
      <c r="B166" s="41"/>
      <c r="C166" s="161" t="s">
        <v>366</v>
      </c>
      <c r="D166" s="142" t="s">
        <v>110</v>
      </c>
      <c r="E166" s="142">
        <v>4</v>
      </c>
      <c r="F166" s="142">
        <v>48</v>
      </c>
      <c r="G166" s="131"/>
      <c r="H166" s="43"/>
      <c r="I166" s="131"/>
      <c r="J166" s="131"/>
      <c r="K166" s="43"/>
      <c r="L166" s="131"/>
      <c r="M166" s="131"/>
      <c r="N166" s="131"/>
      <c r="O166" s="131"/>
      <c r="P166" s="131"/>
      <c r="Q166" s="131"/>
    </row>
    <row r="167" spans="1:19" x14ac:dyDescent="0.25">
      <c r="A167" s="151">
        <v>9</v>
      </c>
      <c r="B167" s="41"/>
      <c r="C167" s="172" t="s">
        <v>367</v>
      </c>
      <c r="D167" s="142" t="s">
        <v>110</v>
      </c>
      <c r="E167" s="142">
        <v>2</v>
      </c>
      <c r="F167" s="142">
        <v>24</v>
      </c>
      <c r="G167" s="131"/>
      <c r="H167" s="43"/>
      <c r="I167" s="131"/>
      <c r="J167" s="131"/>
      <c r="K167" s="43"/>
      <c r="L167" s="131"/>
      <c r="M167" s="131"/>
      <c r="N167" s="131"/>
      <c r="O167" s="131"/>
      <c r="P167" s="131"/>
      <c r="Q167" s="131"/>
    </row>
    <row r="168" spans="1:19" ht="22.5" x14ac:dyDescent="0.25">
      <c r="A168" s="142">
        <v>10</v>
      </c>
      <c r="B168" s="135"/>
      <c r="C168" s="161" t="s">
        <v>368</v>
      </c>
      <c r="D168" s="142" t="s">
        <v>110</v>
      </c>
      <c r="E168" s="142">
        <v>6</v>
      </c>
      <c r="F168" s="142">
        <v>72</v>
      </c>
      <c r="G168" s="131"/>
      <c r="H168" s="43"/>
      <c r="I168" s="131"/>
      <c r="J168" s="131"/>
      <c r="K168" s="43"/>
      <c r="L168" s="131"/>
      <c r="M168" s="131"/>
      <c r="N168" s="131"/>
      <c r="O168" s="131"/>
      <c r="P168" s="131"/>
      <c r="Q168" s="131"/>
    </row>
    <row r="169" spans="1:19" x14ac:dyDescent="0.25">
      <c r="A169" s="142">
        <v>11</v>
      </c>
      <c r="B169" s="135"/>
      <c r="C169" s="161" t="s">
        <v>349</v>
      </c>
      <c r="D169" s="142" t="s">
        <v>72</v>
      </c>
      <c r="E169" s="142">
        <v>0.5</v>
      </c>
      <c r="F169" s="142">
        <v>6</v>
      </c>
      <c r="G169" s="131"/>
      <c r="H169" s="43"/>
      <c r="I169" s="131"/>
      <c r="J169" s="131"/>
      <c r="K169" s="43"/>
      <c r="L169" s="131"/>
      <c r="M169" s="131"/>
      <c r="N169" s="131"/>
      <c r="O169" s="131"/>
      <c r="P169" s="131"/>
      <c r="Q169" s="131"/>
    </row>
    <row r="170" spans="1:19" x14ac:dyDescent="0.25">
      <c r="A170" s="151">
        <v>12</v>
      </c>
      <c r="B170" s="41"/>
      <c r="C170" s="161" t="s">
        <v>350</v>
      </c>
      <c r="D170" s="142" t="s">
        <v>312</v>
      </c>
      <c r="E170" s="142">
        <v>1</v>
      </c>
      <c r="F170" s="142">
        <v>12</v>
      </c>
      <c r="G170" s="131"/>
      <c r="H170" s="43"/>
      <c r="I170" s="131"/>
      <c r="J170" s="131"/>
      <c r="K170" s="43"/>
      <c r="L170" s="131"/>
      <c r="M170" s="131"/>
      <c r="N170" s="131"/>
      <c r="O170" s="131"/>
      <c r="P170" s="131"/>
      <c r="Q170" s="131"/>
    </row>
    <row r="171" spans="1:19" x14ac:dyDescent="0.25">
      <c r="A171" s="151">
        <v>13</v>
      </c>
      <c r="B171" s="41"/>
      <c r="C171" s="161" t="s">
        <v>362</v>
      </c>
      <c r="D171" s="142" t="s">
        <v>53</v>
      </c>
      <c r="E171" s="142">
        <v>12</v>
      </c>
      <c r="F171" s="142">
        <v>144</v>
      </c>
      <c r="G171" s="131"/>
      <c r="H171" s="43"/>
      <c r="I171" s="131"/>
      <c r="J171" s="131"/>
      <c r="K171" s="43"/>
      <c r="L171" s="131"/>
      <c r="M171" s="131"/>
      <c r="N171" s="131"/>
      <c r="O171" s="131"/>
      <c r="P171" s="131"/>
      <c r="Q171" s="131"/>
    </row>
    <row r="172" spans="1:19" x14ac:dyDescent="0.25">
      <c r="A172" s="142">
        <v>14</v>
      </c>
      <c r="B172" s="135"/>
      <c r="C172" s="161" t="s">
        <v>351</v>
      </c>
      <c r="D172" s="142" t="s">
        <v>312</v>
      </c>
      <c r="E172" s="142">
        <v>1</v>
      </c>
      <c r="F172" s="142">
        <v>12</v>
      </c>
      <c r="G172" s="131"/>
      <c r="H172" s="43"/>
      <c r="I172" s="131"/>
      <c r="J172" s="131"/>
      <c r="K172" s="43"/>
      <c r="L172" s="131"/>
      <c r="M172" s="131"/>
      <c r="N172" s="131"/>
      <c r="O172" s="131"/>
      <c r="P172" s="131"/>
      <c r="Q172" s="131"/>
    </row>
    <row r="173" spans="1:19" x14ac:dyDescent="0.25">
      <c r="A173" s="151">
        <v>15</v>
      </c>
      <c r="B173" s="41"/>
      <c r="C173" s="161" t="s">
        <v>373</v>
      </c>
      <c r="D173" s="142" t="s">
        <v>312</v>
      </c>
      <c r="E173" s="142">
        <v>1</v>
      </c>
      <c r="F173" s="142">
        <v>12</v>
      </c>
      <c r="G173" s="131"/>
      <c r="H173" s="43"/>
      <c r="I173" s="131"/>
      <c r="J173" s="131"/>
      <c r="K173" s="43"/>
      <c r="L173" s="131"/>
      <c r="M173" s="131"/>
      <c r="N173" s="131"/>
      <c r="O173" s="131"/>
      <c r="P173" s="131"/>
      <c r="Q173" s="131"/>
    </row>
    <row r="174" spans="1:19" x14ac:dyDescent="0.25">
      <c r="A174" s="142"/>
      <c r="B174" s="135"/>
      <c r="C174" s="173" t="s">
        <v>376</v>
      </c>
      <c r="D174" s="186"/>
      <c r="E174" s="186"/>
      <c r="F174" s="174"/>
      <c r="G174" s="131"/>
      <c r="H174" s="43"/>
      <c r="I174" s="131"/>
      <c r="J174" s="131"/>
      <c r="K174" s="43"/>
      <c r="L174" s="131"/>
      <c r="M174" s="131"/>
      <c r="N174" s="131"/>
      <c r="O174" s="131"/>
      <c r="P174" s="131"/>
      <c r="Q174" s="131"/>
    </row>
    <row r="175" spans="1:19" x14ac:dyDescent="0.25">
      <c r="A175" s="142"/>
      <c r="B175" s="135"/>
      <c r="C175" s="161" t="s">
        <v>488</v>
      </c>
      <c r="D175" s="142"/>
      <c r="E175" s="142"/>
      <c r="F175" s="174"/>
      <c r="G175" s="185"/>
      <c r="H175" s="185"/>
      <c r="I175" s="185"/>
      <c r="J175" s="42"/>
      <c r="K175" s="43"/>
      <c r="L175" s="42"/>
      <c r="M175" s="200"/>
      <c r="N175" s="42"/>
      <c r="O175" s="43"/>
      <c r="P175" s="43"/>
      <c r="Q175" s="43"/>
      <c r="R175" s="16"/>
      <c r="S175" s="21"/>
    </row>
    <row r="176" spans="1:19" x14ac:dyDescent="0.25">
      <c r="A176" s="151">
        <v>1</v>
      </c>
      <c r="B176" s="41"/>
      <c r="C176" s="161" t="s">
        <v>311</v>
      </c>
      <c r="D176" s="142" t="s">
        <v>312</v>
      </c>
      <c r="E176" s="142">
        <v>1</v>
      </c>
      <c r="F176" s="174">
        <v>1</v>
      </c>
      <c r="G176" s="180"/>
      <c r="H176" s="182"/>
      <c r="I176" s="182"/>
      <c r="J176" s="180"/>
      <c r="K176" s="180"/>
      <c r="L176" s="180"/>
      <c r="M176" s="42"/>
      <c r="N176" s="42"/>
      <c r="O176" s="42"/>
      <c r="P176" s="42"/>
      <c r="Q176" s="42"/>
      <c r="R176" s="16"/>
      <c r="S176" s="16"/>
    </row>
    <row r="177" spans="1:19" ht="22.5" x14ac:dyDescent="0.25">
      <c r="A177" s="151">
        <v>4</v>
      </c>
      <c r="B177" s="41"/>
      <c r="C177" s="227" t="s">
        <v>496</v>
      </c>
      <c r="D177" s="142" t="s">
        <v>312</v>
      </c>
      <c r="E177" s="142">
        <v>3</v>
      </c>
      <c r="F177" s="174">
        <v>3</v>
      </c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83"/>
      <c r="S177" s="5"/>
    </row>
    <row r="178" spans="1:19" ht="22.5" x14ac:dyDescent="0.25">
      <c r="A178" s="142">
        <v>5</v>
      </c>
      <c r="B178" s="135"/>
      <c r="C178" s="161" t="s">
        <v>471</v>
      </c>
      <c r="D178" s="142" t="s">
        <v>110</v>
      </c>
      <c r="E178" s="142">
        <v>3</v>
      </c>
      <c r="F178" s="174">
        <v>3</v>
      </c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83"/>
      <c r="S178" s="5"/>
    </row>
    <row r="179" spans="1:19" x14ac:dyDescent="0.25">
      <c r="A179" s="142">
        <v>6</v>
      </c>
      <c r="B179" s="135"/>
      <c r="C179" s="161" t="s">
        <v>364</v>
      </c>
      <c r="D179" s="142" t="s">
        <v>53</v>
      </c>
      <c r="E179" s="142">
        <v>34</v>
      </c>
      <c r="F179" s="174">
        <v>34</v>
      </c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21"/>
      <c r="S179" s="5"/>
    </row>
    <row r="180" spans="1:19" x14ac:dyDescent="0.25">
      <c r="A180" s="151">
        <v>7</v>
      </c>
      <c r="B180" s="41"/>
      <c r="C180" s="161" t="s">
        <v>365</v>
      </c>
      <c r="D180" s="142" t="s">
        <v>110</v>
      </c>
      <c r="E180" s="142">
        <v>16</v>
      </c>
      <c r="F180" s="174">
        <v>16</v>
      </c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21"/>
      <c r="S180" s="5"/>
    </row>
    <row r="181" spans="1:19" x14ac:dyDescent="0.25">
      <c r="A181" s="142">
        <v>8</v>
      </c>
      <c r="B181" s="135"/>
      <c r="C181" s="161" t="s">
        <v>366</v>
      </c>
      <c r="D181" s="142" t="s">
        <v>110</v>
      </c>
      <c r="E181" s="142">
        <v>4</v>
      </c>
      <c r="F181" s="174">
        <v>4</v>
      </c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21"/>
      <c r="S181" s="5"/>
    </row>
    <row r="182" spans="1:19" x14ac:dyDescent="0.25">
      <c r="A182" s="142">
        <v>9</v>
      </c>
      <c r="B182" s="135"/>
      <c r="C182" s="172" t="s">
        <v>367</v>
      </c>
      <c r="D182" s="142" t="s">
        <v>110</v>
      </c>
      <c r="E182" s="142">
        <v>2</v>
      </c>
      <c r="F182" s="174">
        <v>2</v>
      </c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21"/>
      <c r="S182" s="5"/>
    </row>
    <row r="183" spans="1:19" ht="22.5" x14ac:dyDescent="0.25">
      <c r="A183" s="151">
        <v>10</v>
      </c>
      <c r="B183" s="41"/>
      <c r="C183" s="161" t="s">
        <v>368</v>
      </c>
      <c r="D183" s="142" t="s">
        <v>110</v>
      </c>
      <c r="E183" s="142">
        <v>6</v>
      </c>
      <c r="F183" s="174">
        <v>6</v>
      </c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21"/>
      <c r="S183" s="21"/>
    </row>
    <row r="184" spans="1:19" x14ac:dyDescent="0.25">
      <c r="A184" s="142">
        <v>11</v>
      </c>
      <c r="B184" s="135"/>
      <c r="C184" s="161" t="s">
        <v>349</v>
      </c>
      <c r="D184" s="142" t="s">
        <v>72</v>
      </c>
      <c r="E184" s="142">
        <v>0.3</v>
      </c>
      <c r="F184" s="174">
        <v>0.3</v>
      </c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21"/>
      <c r="S184" s="21"/>
    </row>
    <row r="185" spans="1:19" x14ac:dyDescent="0.25">
      <c r="A185" s="142">
        <v>12</v>
      </c>
      <c r="B185" s="135"/>
      <c r="C185" s="161" t="s">
        <v>350</v>
      </c>
      <c r="D185" s="142" t="s">
        <v>312</v>
      </c>
      <c r="E185" s="142">
        <v>1</v>
      </c>
      <c r="F185" s="174">
        <v>1</v>
      </c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</row>
    <row r="186" spans="1:19" x14ac:dyDescent="0.25">
      <c r="A186" s="151">
        <v>13</v>
      </c>
      <c r="B186" s="41"/>
      <c r="C186" s="161" t="s">
        <v>377</v>
      </c>
      <c r="D186" s="142" t="s">
        <v>110</v>
      </c>
      <c r="E186" s="142">
        <v>1</v>
      </c>
      <c r="F186" s="174">
        <v>1</v>
      </c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</row>
    <row r="187" spans="1:19" x14ac:dyDescent="0.25">
      <c r="A187" s="142">
        <v>14</v>
      </c>
      <c r="B187" s="135"/>
      <c r="C187" s="161" t="s">
        <v>351</v>
      </c>
      <c r="D187" s="142" t="s">
        <v>312</v>
      </c>
      <c r="E187" s="142">
        <v>1</v>
      </c>
      <c r="F187" s="174">
        <v>1</v>
      </c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</row>
    <row r="188" spans="1:19" x14ac:dyDescent="0.25">
      <c r="A188" s="142">
        <v>15</v>
      </c>
      <c r="B188" s="135"/>
      <c r="C188" s="161" t="s">
        <v>357</v>
      </c>
      <c r="D188" s="142" t="s">
        <v>312</v>
      </c>
      <c r="E188" s="142">
        <v>1</v>
      </c>
      <c r="F188" s="174">
        <v>1</v>
      </c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</row>
    <row r="189" spans="1:19" x14ac:dyDescent="0.25">
      <c r="A189" s="142"/>
      <c r="B189" s="135"/>
      <c r="C189" s="173" t="s">
        <v>378</v>
      </c>
      <c r="D189" s="186"/>
      <c r="E189" s="186"/>
      <c r="F189" s="174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</row>
    <row r="190" spans="1:19" x14ac:dyDescent="0.25">
      <c r="A190" s="142"/>
      <c r="B190" s="135"/>
      <c r="C190" s="161" t="s">
        <v>488</v>
      </c>
      <c r="D190" s="142"/>
      <c r="E190" s="142"/>
      <c r="F190" s="174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</row>
    <row r="191" spans="1:19" x14ac:dyDescent="0.25">
      <c r="A191" s="151">
        <v>1</v>
      </c>
      <c r="B191" s="41"/>
      <c r="C191" s="161" t="s">
        <v>311</v>
      </c>
      <c r="D191" s="142" t="s">
        <v>312</v>
      </c>
      <c r="E191" s="142">
        <v>1</v>
      </c>
      <c r="F191" s="174">
        <v>1</v>
      </c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</row>
    <row r="192" spans="1:19" ht="22.5" x14ac:dyDescent="0.25">
      <c r="A192" s="151">
        <v>4</v>
      </c>
      <c r="B192" s="41"/>
      <c r="C192" s="227" t="s">
        <v>496</v>
      </c>
      <c r="D192" s="142" t="s">
        <v>312</v>
      </c>
      <c r="E192" s="142">
        <v>2</v>
      </c>
      <c r="F192" s="174">
        <v>2</v>
      </c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</row>
    <row r="193" spans="1:17" ht="22.5" x14ac:dyDescent="0.25">
      <c r="A193" s="151">
        <v>5</v>
      </c>
      <c r="B193" s="41"/>
      <c r="C193" s="161" t="s">
        <v>471</v>
      </c>
      <c r="D193" s="142" t="s">
        <v>110</v>
      </c>
      <c r="E193" s="142">
        <v>2</v>
      </c>
      <c r="F193" s="174">
        <v>2</v>
      </c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</row>
    <row r="194" spans="1:17" x14ac:dyDescent="0.25">
      <c r="A194" s="142">
        <v>6</v>
      </c>
      <c r="B194" s="135"/>
      <c r="C194" s="161" t="s">
        <v>364</v>
      </c>
      <c r="D194" s="142" t="s">
        <v>53</v>
      </c>
      <c r="E194" s="142">
        <v>44</v>
      </c>
      <c r="F194" s="174">
        <v>44</v>
      </c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</row>
    <row r="195" spans="1:17" x14ac:dyDescent="0.25">
      <c r="A195" s="142">
        <v>7</v>
      </c>
      <c r="B195" s="135"/>
      <c r="C195" s="161" t="s">
        <v>365</v>
      </c>
      <c r="D195" s="142" t="s">
        <v>110</v>
      </c>
      <c r="E195" s="142">
        <v>12</v>
      </c>
      <c r="F195" s="174">
        <v>12</v>
      </c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</row>
    <row r="196" spans="1:17" x14ac:dyDescent="0.25">
      <c r="A196" s="151">
        <v>8</v>
      </c>
      <c r="B196" s="41"/>
      <c r="C196" s="161" t="s">
        <v>366</v>
      </c>
      <c r="D196" s="142" t="s">
        <v>110</v>
      </c>
      <c r="E196" s="142">
        <v>2</v>
      </c>
      <c r="F196" s="174">
        <v>2</v>
      </c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</row>
    <row r="197" spans="1:17" x14ac:dyDescent="0.25">
      <c r="A197" s="151">
        <v>9</v>
      </c>
      <c r="B197" s="41"/>
      <c r="C197" s="172" t="s">
        <v>367</v>
      </c>
      <c r="D197" s="142" t="s">
        <v>110</v>
      </c>
      <c r="E197" s="142">
        <v>2</v>
      </c>
      <c r="F197" s="174">
        <v>2</v>
      </c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</row>
    <row r="198" spans="1:17" ht="22.5" x14ac:dyDescent="0.25">
      <c r="A198" s="142">
        <v>10</v>
      </c>
      <c r="B198" s="135"/>
      <c r="C198" s="161" t="s">
        <v>368</v>
      </c>
      <c r="D198" s="142" t="s">
        <v>110</v>
      </c>
      <c r="E198" s="142">
        <v>6</v>
      </c>
      <c r="F198" s="174">
        <v>6</v>
      </c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</row>
    <row r="199" spans="1:17" x14ac:dyDescent="0.25">
      <c r="A199" s="142">
        <v>11</v>
      </c>
      <c r="B199" s="135"/>
      <c r="C199" s="161" t="s">
        <v>349</v>
      </c>
      <c r="D199" s="142" t="s">
        <v>72</v>
      </c>
      <c r="E199" s="142">
        <v>0.3</v>
      </c>
      <c r="F199" s="174">
        <v>0.3</v>
      </c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</row>
    <row r="200" spans="1:17" x14ac:dyDescent="0.25">
      <c r="A200" s="151">
        <v>12</v>
      </c>
      <c r="B200" s="41"/>
      <c r="C200" s="161" t="s">
        <v>350</v>
      </c>
      <c r="D200" s="142" t="s">
        <v>312</v>
      </c>
      <c r="E200" s="142">
        <v>1</v>
      </c>
      <c r="F200" s="174">
        <v>1</v>
      </c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</row>
    <row r="201" spans="1:17" x14ac:dyDescent="0.25">
      <c r="A201" s="151">
        <v>13</v>
      </c>
      <c r="B201" s="41"/>
      <c r="C201" s="161" t="s">
        <v>362</v>
      </c>
      <c r="D201" s="142" t="s">
        <v>53</v>
      </c>
      <c r="E201" s="142">
        <v>12</v>
      </c>
      <c r="F201" s="174">
        <v>12</v>
      </c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</row>
    <row r="202" spans="1:17" x14ac:dyDescent="0.25">
      <c r="A202" s="142">
        <v>14</v>
      </c>
      <c r="B202" s="135"/>
      <c r="C202" s="161" t="s">
        <v>351</v>
      </c>
      <c r="D202" s="142" t="s">
        <v>312</v>
      </c>
      <c r="E202" s="142">
        <v>1</v>
      </c>
      <c r="F202" s="174">
        <v>1</v>
      </c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</row>
    <row r="203" spans="1:17" x14ac:dyDescent="0.25">
      <c r="A203" s="151">
        <v>15</v>
      </c>
      <c r="B203" s="41"/>
      <c r="C203" s="161" t="s">
        <v>357</v>
      </c>
      <c r="D203" s="142" t="s">
        <v>312</v>
      </c>
      <c r="E203" s="142">
        <v>1</v>
      </c>
      <c r="F203" s="174">
        <v>1</v>
      </c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</row>
    <row r="204" spans="1:17" x14ac:dyDescent="0.25">
      <c r="A204" s="246"/>
      <c r="B204" s="247"/>
      <c r="C204" s="248"/>
      <c r="D204" s="249"/>
      <c r="E204" s="249"/>
      <c r="F204" s="249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1:17" x14ac:dyDescent="0.25">
      <c r="A205" s="9" t="str">
        <f>IF(COUNTBLANK(L206)=1," ",COUNTA($K$38:K206))</f>
        <v xml:space="preserve"> </v>
      </c>
      <c r="B205" s="39"/>
      <c r="C205" s="10" t="s">
        <v>91</v>
      </c>
      <c r="D205" s="9"/>
      <c r="E205" s="9"/>
      <c r="F205" s="9"/>
      <c r="G205" s="5"/>
      <c r="H205" s="5"/>
      <c r="I205" s="9"/>
      <c r="J205" s="9"/>
      <c r="K205" s="9"/>
      <c r="L205" s="9"/>
      <c r="M205" s="52">
        <f>SUM(M12:M203)</f>
        <v>0</v>
      </c>
      <c r="N205" s="52">
        <f>SUM(N12:N203)</f>
        <v>0</v>
      </c>
      <c r="O205" s="52">
        <f>SUM(O12:O203)</f>
        <v>0</v>
      </c>
      <c r="P205" s="52">
        <f>SUM(P12:P203)</f>
        <v>0</v>
      </c>
      <c r="Q205" s="52">
        <f>SUM(Q12:Q203)</f>
        <v>0</v>
      </c>
    </row>
    <row r="206" spans="1:17" x14ac:dyDescent="0.25">
      <c r="A206" s="183"/>
      <c r="B206" s="39"/>
      <c r="C206" s="10"/>
      <c r="D206" s="9"/>
      <c r="E206" s="9"/>
      <c r="F206" s="9"/>
      <c r="G206" s="5"/>
      <c r="H206" s="5"/>
      <c r="I206" s="9"/>
      <c r="J206" s="5"/>
      <c r="K206" s="5"/>
      <c r="L206" s="9"/>
      <c r="M206" s="16"/>
      <c r="N206" s="9"/>
      <c r="O206" s="16"/>
      <c r="P206" s="16"/>
      <c r="Q206" s="16"/>
    </row>
    <row r="207" spans="1:17" x14ac:dyDescent="0.25">
      <c r="A207" s="183"/>
      <c r="B207" s="183"/>
      <c r="C207" s="46"/>
      <c r="D207" s="39"/>
      <c r="E207" s="39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</row>
    <row r="208" spans="1:17" x14ac:dyDescent="0.25">
      <c r="A208" s="183"/>
      <c r="B208" s="21" t="s">
        <v>31</v>
      </c>
      <c r="C208" s="130"/>
      <c r="D208" s="21"/>
      <c r="E208" s="21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</row>
    <row r="209" spans="1:17" x14ac:dyDescent="0.25">
      <c r="A209" s="21"/>
      <c r="B209" s="21"/>
      <c r="C209" s="229" t="s">
        <v>32</v>
      </c>
      <c r="D209" s="183"/>
      <c r="E209" s="183"/>
      <c r="F209" s="21"/>
      <c r="G209" s="21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</row>
    <row r="210" spans="1:17" x14ac:dyDescent="0.25">
      <c r="A210" s="21"/>
      <c r="B210" s="5"/>
      <c r="C210" s="3"/>
      <c r="D210" s="5"/>
      <c r="E210" s="5"/>
      <c r="F210" s="21"/>
      <c r="G210" s="21"/>
      <c r="H210" s="183"/>
      <c r="I210" s="183"/>
      <c r="J210" s="21"/>
      <c r="K210" s="21"/>
      <c r="L210" s="21"/>
      <c r="M210" s="21"/>
      <c r="N210" s="21"/>
      <c r="O210" s="21"/>
      <c r="P210" s="21"/>
      <c r="Q210" s="21"/>
    </row>
    <row r="211" spans="1:17" x14ac:dyDescent="0.25">
      <c r="A211" s="21"/>
      <c r="B211" s="310" t="s">
        <v>476</v>
      </c>
      <c r="C211" s="130"/>
      <c r="D211" s="21"/>
      <c r="E211" s="21"/>
      <c r="F211" s="21"/>
      <c r="G211" s="21"/>
      <c r="H211" s="183"/>
      <c r="I211" s="183"/>
      <c r="J211" s="21"/>
      <c r="K211" s="21"/>
      <c r="L211" s="21"/>
      <c r="M211" s="21"/>
      <c r="N211" s="21"/>
      <c r="O211" s="21"/>
      <c r="P211" s="21"/>
      <c r="Q211" s="21"/>
    </row>
    <row r="212" spans="1:17" x14ac:dyDescent="0.25">
      <c r="A212" s="21"/>
      <c r="B212" s="5"/>
      <c r="C212" s="3"/>
      <c r="D212" s="5"/>
      <c r="E212" s="5"/>
      <c r="F212" s="21"/>
      <c r="G212" s="21"/>
      <c r="H212" s="183"/>
      <c r="I212" s="183"/>
      <c r="J212" s="21"/>
      <c r="K212" s="21"/>
      <c r="L212" s="21"/>
      <c r="M212" s="21"/>
      <c r="N212" s="21"/>
      <c r="O212" s="21"/>
      <c r="P212" s="21"/>
      <c r="Q212" s="21"/>
    </row>
    <row r="213" spans="1:17" x14ac:dyDescent="0.25">
      <c r="A213" s="21"/>
      <c r="B213" s="21" t="s">
        <v>33</v>
      </c>
      <c r="C213" s="130"/>
      <c r="D213" s="21"/>
      <c r="E213" s="21"/>
      <c r="F213" s="21"/>
      <c r="G213" s="21"/>
      <c r="H213" s="183"/>
      <c r="I213" s="183"/>
      <c r="J213" s="21"/>
      <c r="K213" s="21"/>
      <c r="L213" s="21"/>
      <c r="M213" s="21"/>
      <c r="N213" s="21"/>
      <c r="O213" s="21"/>
      <c r="P213" s="21"/>
      <c r="Q213" s="21"/>
    </row>
    <row r="214" spans="1:17" x14ac:dyDescent="0.25">
      <c r="A214" s="21"/>
      <c r="B214" s="21"/>
      <c r="C214" s="229" t="s">
        <v>32</v>
      </c>
      <c r="D214" s="183"/>
      <c r="E214" s="183"/>
      <c r="F214" s="21"/>
      <c r="G214" s="21"/>
      <c r="H214" s="183"/>
      <c r="I214" s="183"/>
      <c r="J214" s="21"/>
      <c r="K214" s="21"/>
      <c r="L214" s="21"/>
      <c r="M214" s="21"/>
      <c r="N214" s="21"/>
      <c r="O214" s="21"/>
      <c r="P214" s="21"/>
      <c r="Q214" s="21"/>
    </row>
    <row r="215" spans="1:17" x14ac:dyDescent="0.25">
      <c r="B215" s="5"/>
      <c r="C215" s="130" t="s">
        <v>34</v>
      </c>
      <c r="D215" s="21"/>
      <c r="E215" s="21"/>
      <c r="F215" s="21"/>
      <c r="G215" s="21"/>
      <c r="H215" s="183"/>
      <c r="I215" s="183"/>
      <c r="J215" s="21"/>
      <c r="K215" s="21"/>
      <c r="L215" s="21"/>
      <c r="M215" s="21"/>
      <c r="N215" s="21"/>
      <c r="O215" s="21"/>
      <c r="P215" s="21"/>
      <c r="Q215" s="21"/>
    </row>
  </sheetData>
  <mergeCells count="9">
    <mergeCell ref="F9:F10"/>
    <mergeCell ref="G9:L9"/>
    <mergeCell ref="M9:Q9"/>
    <mergeCell ref="C101:E101"/>
    <mergeCell ref="A9:A10"/>
    <mergeCell ref="B9:B10"/>
    <mergeCell ref="C9:C10"/>
    <mergeCell ref="D9:D10"/>
    <mergeCell ref="E9:E10"/>
  </mergeCells>
  <pageMargins left="0" right="0" top="0.39374999999999999" bottom="0.39374999999999999" header="0.51180555555555496" footer="0.51180555555555496"/>
  <pageSetup paperSize="9" scale="57" firstPageNumber="0" orientation="portrait" horizontalDpi="300" verticalDpi="300" r:id="rId1"/>
  <rowBreaks count="4" manualBreakCount="4">
    <brk id="54" max="16383" man="1"/>
    <brk id="89" max="16383" man="1"/>
    <brk id="124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MK49"/>
  <sheetViews>
    <sheetView view="pageBreakPreview" zoomScale="85" zoomScaleNormal="100" zoomScalePageLayoutView="85" workbookViewId="0">
      <selection activeCell="D22" sqref="D22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16.140625" style="20" customWidth="1"/>
    <col min="5" max="5" width="6" style="20" customWidth="1"/>
    <col min="6" max="17" width="5" style="20" customWidth="1"/>
    <col min="18" max="18" width="36.140625" style="20" customWidth="1"/>
    <col min="19" max="36" width="9.140625" style="20" customWidth="1"/>
    <col min="37" max="1025" width="40" style="20" customWidth="1"/>
    <col min="1026" max="16384" width="9" style="198"/>
  </cols>
  <sheetData>
    <row r="1" spans="1:17" s="21" customFormat="1" ht="11.25" x14ac:dyDescent="0.25">
      <c r="B1" s="5"/>
      <c r="C1" s="3"/>
      <c r="D1" s="309" t="s">
        <v>35</v>
      </c>
      <c r="E1" s="201">
        <f>kpdv!A20</f>
        <v>9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</row>
    <row r="2" spans="1:17" x14ac:dyDescent="0.25">
      <c r="A2" s="5"/>
      <c r="B2" s="5"/>
      <c r="C2" s="136" t="s">
        <v>379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7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7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</row>
    <row r="6" spans="1:17" x14ac:dyDescent="0.25">
      <c r="A6" s="308" t="str">
        <f>KOP!A6</f>
        <v>Pasūtījuma Nr.EA-79-16</v>
      </c>
      <c r="B6" s="177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x14ac:dyDescent="0.25">
      <c r="B7" s="5"/>
      <c r="C7" s="313" t="s">
        <v>479</v>
      </c>
      <c r="D7" s="5" t="s">
        <v>380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x14ac:dyDescent="0.25">
      <c r="A8" s="338" t="s">
        <v>39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29">
        <f>Q39</f>
        <v>0</v>
      </c>
    </row>
    <row r="9" spans="1:17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09" t="s">
        <v>476</v>
      </c>
      <c r="Q9" s="314"/>
    </row>
    <row r="10" spans="1:17" ht="10.5" customHeight="1" x14ac:dyDescent="0.25">
      <c r="A10" s="320" t="s">
        <v>1</v>
      </c>
      <c r="B10" s="320" t="s">
        <v>40</v>
      </c>
      <c r="C10" s="330" t="s">
        <v>41</v>
      </c>
      <c r="D10" s="330"/>
      <c r="E10" s="331" t="s">
        <v>42</v>
      </c>
      <c r="F10" s="320" t="s">
        <v>43</v>
      </c>
      <c r="G10" s="332" t="s">
        <v>44</v>
      </c>
      <c r="H10" s="332"/>
      <c r="I10" s="332"/>
      <c r="J10" s="332"/>
      <c r="K10" s="332"/>
      <c r="L10" s="332"/>
      <c r="M10" s="332" t="s">
        <v>45</v>
      </c>
      <c r="N10" s="332"/>
      <c r="O10" s="332"/>
      <c r="P10" s="332"/>
      <c r="Q10" s="332"/>
    </row>
    <row r="11" spans="1:17" ht="72.75" x14ac:dyDescent="0.25">
      <c r="A11" s="320"/>
      <c r="B11" s="320"/>
      <c r="C11" s="330"/>
      <c r="D11" s="330"/>
      <c r="E11" s="331"/>
      <c r="F11" s="320"/>
      <c r="G11" s="179" t="s">
        <v>46</v>
      </c>
      <c r="H11" s="22" t="s">
        <v>480</v>
      </c>
      <c r="I11" s="22" t="s">
        <v>47</v>
      </c>
      <c r="J11" s="22" t="s">
        <v>481</v>
      </c>
      <c r="K11" s="22" t="s">
        <v>48</v>
      </c>
      <c r="L11" s="22" t="s">
        <v>482</v>
      </c>
      <c r="M11" s="179" t="s">
        <v>50</v>
      </c>
      <c r="N11" s="22" t="s">
        <v>47</v>
      </c>
      <c r="O11" s="22" t="s">
        <v>483</v>
      </c>
      <c r="P11" s="22" t="s">
        <v>48</v>
      </c>
      <c r="Q11" s="22" t="s">
        <v>49</v>
      </c>
    </row>
    <row r="12" spans="1:17" x14ac:dyDescent="0.25">
      <c r="A12" s="23">
        <v>1</v>
      </c>
      <c r="B12" s="23">
        <f>A12+1</f>
        <v>2</v>
      </c>
      <c r="C12" s="329">
        <v>3</v>
      </c>
      <c r="D12" s="329"/>
      <c r="E12" s="23">
        <f>C12+1</f>
        <v>4</v>
      </c>
      <c r="F12" s="23">
        <f t="shared" ref="F12:Q12" si="0">E12+1</f>
        <v>5</v>
      </c>
      <c r="G12" s="23">
        <f t="shared" si="0"/>
        <v>6</v>
      </c>
      <c r="H12" s="23">
        <f t="shared" si="0"/>
        <v>7</v>
      </c>
      <c r="I12" s="23">
        <f t="shared" si="0"/>
        <v>8</v>
      </c>
      <c r="J12" s="23">
        <f t="shared" si="0"/>
        <v>9</v>
      </c>
      <c r="K12" s="23">
        <f t="shared" si="0"/>
        <v>10</v>
      </c>
      <c r="L12" s="23">
        <f t="shared" si="0"/>
        <v>11</v>
      </c>
      <c r="M12" s="23">
        <f t="shared" si="0"/>
        <v>12</v>
      </c>
      <c r="N12" s="23">
        <f t="shared" si="0"/>
        <v>13</v>
      </c>
      <c r="O12" s="23">
        <f t="shared" si="0"/>
        <v>14</v>
      </c>
      <c r="P12" s="23">
        <f t="shared" si="0"/>
        <v>15</v>
      </c>
      <c r="Q12" s="23">
        <f t="shared" si="0"/>
        <v>16</v>
      </c>
    </row>
    <row r="13" spans="1:17" x14ac:dyDescent="0.25">
      <c r="A13" s="187">
        <v>1</v>
      </c>
      <c r="B13" s="200"/>
      <c r="C13" s="188" t="s">
        <v>381</v>
      </c>
      <c r="D13" s="189" t="s">
        <v>382</v>
      </c>
      <c r="E13" s="189" t="s">
        <v>53</v>
      </c>
      <c r="F13" s="187">
        <v>150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5">
      <c r="A14" s="187">
        <v>2</v>
      </c>
      <c r="B14" s="200"/>
      <c r="C14" s="190" t="s">
        <v>383</v>
      </c>
      <c r="D14" s="189" t="s">
        <v>384</v>
      </c>
      <c r="E14" s="129" t="s">
        <v>385</v>
      </c>
      <c r="F14" s="191">
        <v>38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25">
      <c r="A15" s="187">
        <v>3</v>
      </c>
      <c r="B15" s="200"/>
      <c r="C15" s="190" t="s">
        <v>386</v>
      </c>
      <c r="D15" s="189" t="s">
        <v>387</v>
      </c>
      <c r="E15" s="129" t="s">
        <v>385</v>
      </c>
      <c r="F15" s="191">
        <v>19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22.5" x14ac:dyDescent="0.25">
      <c r="A16" s="187">
        <v>4</v>
      </c>
      <c r="B16" s="200"/>
      <c r="C16" s="190" t="s">
        <v>388</v>
      </c>
      <c r="D16" s="192" t="s">
        <v>389</v>
      </c>
      <c r="E16" s="129" t="s">
        <v>385</v>
      </c>
      <c r="F16" s="191">
        <v>19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x14ac:dyDescent="0.25">
      <c r="A17" s="187">
        <v>5</v>
      </c>
      <c r="B17" s="200"/>
      <c r="C17" s="190" t="s">
        <v>472</v>
      </c>
      <c r="D17" s="189" t="s">
        <v>390</v>
      </c>
      <c r="E17" s="129" t="s">
        <v>385</v>
      </c>
      <c r="F17" s="191">
        <v>6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x14ac:dyDescent="0.25">
      <c r="A18" s="187">
        <v>6</v>
      </c>
      <c r="B18" s="200"/>
      <c r="C18" s="190" t="s">
        <v>473</v>
      </c>
      <c r="D18" s="189" t="s">
        <v>391</v>
      </c>
      <c r="E18" s="129" t="s">
        <v>385</v>
      </c>
      <c r="F18" s="191">
        <v>4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x14ac:dyDescent="0.25">
      <c r="A19" s="187">
        <v>7</v>
      </c>
      <c r="B19" s="200"/>
      <c r="C19" s="30" t="s">
        <v>392</v>
      </c>
      <c r="D19" s="189" t="s">
        <v>393</v>
      </c>
      <c r="E19" s="189" t="s">
        <v>385</v>
      </c>
      <c r="F19" s="191">
        <v>4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x14ac:dyDescent="0.25">
      <c r="A20" s="187">
        <v>8</v>
      </c>
      <c r="B20" s="200"/>
      <c r="C20" s="188" t="s">
        <v>394</v>
      </c>
      <c r="D20" s="189" t="s">
        <v>395</v>
      </c>
      <c r="E20" s="129" t="s">
        <v>53</v>
      </c>
      <c r="F20" s="191">
        <v>80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x14ac:dyDescent="0.25">
      <c r="A21" s="187">
        <v>9</v>
      </c>
      <c r="B21" s="200"/>
      <c r="C21" s="30" t="s">
        <v>396</v>
      </c>
      <c r="D21" s="189" t="s">
        <v>397</v>
      </c>
      <c r="E21" s="189" t="s">
        <v>385</v>
      </c>
      <c r="F21" s="191">
        <v>15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x14ac:dyDescent="0.25">
      <c r="A22" s="187">
        <v>10</v>
      </c>
      <c r="B22" s="200"/>
      <c r="C22" s="30" t="s">
        <v>398</v>
      </c>
      <c r="D22" s="189" t="s">
        <v>399</v>
      </c>
      <c r="E22" s="189" t="s">
        <v>385</v>
      </c>
      <c r="F22" s="191">
        <v>55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5">
      <c r="A23" s="187">
        <v>11</v>
      </c>
      <c r="B23" s="200"/>
      <c r="C23" s="190" t="s">
        <v>474</v>
      </c>
      <c r="D23" s="189" t="s">
        <v>400</v>
      </c>
      <c r="E23" s="189" t="s">
        <v>385</v>
      </c>
      <c r="F23" s="191">
        <v>7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x14ac:dyDescent="0.25">
      <c r="A24" s="187">
        <v>13</v>
      </c>
      <c r="B24" s="200"/>
      <c r="C24" s="30" t="s">
        <v>401</v>
      </c>
      <c r="D24" s="189" t="s">
        <v>402</v>
      </c>
      <c r="E24" s="189" t="s">
        <v>385</v>
      </c>
      <c r="F24" s="191">
        <v>45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5">
      <c r="A25" s="187">
        <v>14</v>
      </c>
      <c r="B25" s="200"/>
      <c r="C25" s="30" t="s">
        <v>475</v>
      </c>
      <c r="D25" s="189" t="s">
        <v>403</v>
      </c>
      <c r="E25" s="189" t="s">
        <v>385</v>
      </c>
      <c r="F25" s="129">
        <v>20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5">
      <c r="A26" s="187">
        <v>15</v>
      </c>
      <c r="B26" s="200"/>
      <c r="C26" s="30" t="s">
        <v>404</v>
      </c>
      <c r="D26" s="189" t="s">
        <v>405</v>
      </c>
      <c r="E26" s="129" t="s">
        <v>53</v>
      </c>
      <c r="F26" s="129">
        <v>280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5">
      <c r="A27" s="187">
        <v>16</v>
      </c>
      <c r="B27" s="200"/>
      <c r="C27" s="30" t="s">
        <v>406</v>
      </c>
      <c r="D27" s="189" t="s">
        <v>407</v>
      </c>
      <c r="E27" s="129" t="s">
        <v>385</v>
      </c>
      <c r="F27" s="129">
        <v>112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25">
      <c r="A28" s="187">
        <v>17</v>
      </c>
      <c r="B28" s="200"/>
      <c r="C28" s="30" t="s">
        <v>408</v>
      </c>
      <c r="D28" s="189" t="s">
        <v>409</v>
      </c>
      <c r="E28" s="129" t="s">
        <v>385</v>
      </c>
      <c r="F28" s="129">
        <v>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5">
      <c r="A29" s="187">
        <v>18</v>
      </c>
      <c r="B29" s="200"/>
      <c r="C29" s="30" t="s">
        <v>410</v>
      </c>
      <c r="D29" s="189" t="s">
        <v>411</v>
      </c>
      <c r="E29" s="129" t="s">
        <v>385</v>
      </c>
      <c r="F29" s="129">
        <v>5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5">
      <c r="A30" s="187">
        <v>19</v>
      </c>
      <c r="B30" s="200"/>
      <c r="C30" s="30" t="s">
        <v>412</v>
      </c>
      <c r="D30" s="189" t="s">
        <v>413</v>
      </c>
      <c r="E30" s="129" t="s">
        <v>385</v>
      </c>
      <c r="F30" s="129">
        <v>9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25">
      <c r="A31" s="187">
        <v>20</v>
      </c>
      <c r="B31" s="200"/>
      <c r="C31" s="30" t="s">
        <v>414</v>
      </c>
      <c r="D31" s="189"/>
      <c r="E31" s="129" t="s">
        <v>415</v>
      </c>
      <c r="F31" s="129">
        <v>9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25">
      <c r="A32" s="187">
        <v>21</v>
      </c>
      <c r="B32" s="200"/>
      <c r="C32" s="30" t="s">
        <v>416</v>
      </c>
      <c r="D32" s="189"/>
      <c r="E32" s="129" t="s">
        <v>53</v>
      </c>
      <c r="F32" s="129">
        <v>150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8" x14ac:dyDescent="0.25">
      <c r="A33" s="187">
        <v>22</v>
      </c>
      <c r="B33" s="200"/>
      <c r="C33" s="30" t="s">
        <v>417</v>
      </c>
      <c r="D33" s="129"/>
      <c r="E33" s="129" t="s">
        <v>53</v>
      </c>
      <c r="F33" s="129">
        <v>150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8" x14ac:dyDescent="0.25">
      <c r="A34" s="187">
        <v>23</v>
      </c>
      <c r="B34" s="200"/>
      <c r="C34" s="30" t="s">
        <v>418</v>
      </c>
      <c r="D34" s="129"/>
      <c r="E34" s="129" t="s">
        <v>415</v>
      </c>
      <c r="F34" s="129">
        <v>1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8" x14ac:dyDescent="0.25">
      <c r="A35" s="187">
        <v>24</v>
      </c>
      <c r="B35" s="200"/>
      <c r="C35" s="30" t="s">
        <v>351</v>
      </c>
      <c r="D35" s="129"/>
      <c r="E35" s="129" t="s">
        <v>415</v>
      </c>
      <c r="F35" s="129">
        <v>1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8" x14ac:dyDescent="0.25">
      <c r="A36" s="187">
        <v>25</v>
      </c>
      <c r="B36" s="200"/>
      <c r="C36" s="30" t="s">
        <v>419</v>
      </c>
      <c r="D36" s="129"/>
      <c r="E36" s="129" t="s">
        <v>385</v>
      </c>
      <c r="F36" s="129">
        <v>1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8" x14ac:dyDescent="0.25">
      <c r="A37" s="187">
        <v>26</v>
      </c>
      <c r="B37" s="200"/>
      <c r="C37" s="30" t="s">
        <v>420</v>
      </c>
      <c r="D37" s="129"/>
      <c r="E37" s="129" t="s">
        <v>421</v>
      </c>
      <c r="F37" s="129">
        <v>8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8" x14ac:dyDescent="0.25">
      <c r="A38" s="193"/>
      <c r="C38" s="32"/>
      <c r="D38" s="183"/>
      <c r="E38" s="183"/>
      <c r="F38" s="183"/>
      <c r="G38" s="51"/>
      <c r="H38" s="39"/>
      <c r="I38" s="52"/>
      <c r="J38" s="16"/>
      <c r="K38" s="52"/>
      <c r="L38" s="52"/>
      <c r="M38" s="52"/>
      <c r="N38" s="16"/>
      <c r="O38" s="16"/>
      <c r="P38" s="16"/>
      <c r="Q38" s="16"/>
    </row>
    <row r="39" spans="1:18" ht="22.5" x14ac:dyDescent="0.25">
      <c r="A39" s="9" t="str">
        <f>IF(COUNTBLANK(L40)=1," ",COUNTA($K$38:K40))</f>
        <v xml:space="preserve"> </v>
      </c>
      <c r="B39" s="39"/>
      <c r="C39" s="10" t="s">
        <v>91</v>
      </c>
      <c r="D39" s="9"/>
      <c r="E39" s="9"/>
      <c r="F39" s="9"/>
      <c r="G39" s="5"/>
      <c r="H39" s="5"/>
      <c r="I39" s="9"/>
      <c r="J39" s="9"/>
      <c r="K39" s="9"/>
      <c r="L39" s="9"/>
      <c r="M39" s="52">
        <f>SUM(M13:M37)</f>
        <v>0</v>
      </c>
      <c r="N39" s="52">
        <f>SUM(N13:N37)</f>
        <v>0</v>
      </c>
      <c r="O39" s="52">
        <f>SUM(O13:O37)</f>
        <v>0</v>
      </c>
      <c r="P39" s="52">
        <f>SUM(P13:P37)</f>
        <v>0</v>
      </c>
      <c r="Q39" s="52">
        <f>SUM(Q13:Q37)</f>
        <v>0</v>
      </c>
      <c r="R39" s="16"/>
    </row>
    <row r="40" spans="1:18" x14ac:dyDescent="0.25">
      <c r="A40" s="183"/>
      <c r="B40" s="39"/>
      <c r="C40" s="10"/>
      <c r="D40" s="9"/>
      <c r="E40" s="9"/>
      <c r="F40" s="9"/>
      <c r="G40" s="5"/>
      <c r="H40" s="5"/>
      <c r="I40" s="9"/>
      <c r="J40" s="5"/>
      <c r="K40" s="5"/>
      <c r="L40" s="9"/>
      <c r="M40" s="16"/>
      <c r="N40" s="9"/>
      <c r="O40" s="16"/>
      <c r="P40" s="16"/>
      <c r="Q40" s="16"/>
      <c r="R40" s="16"/>
    </row>
    <row r="41" spans="1:18" x14ac:dyDescent="0.25">
      <c r="A41" s="183"/>
      <c r="B41" s="183"/>
      <c r="C41" s="46"/>
      <c r="D41" s="39"/>
      <c r="E41" s="39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54"/>
    </row>
    <row r="42" spans="1:18" x14ac:dyDescent="0.25">
      <c r="A42" s="183"/>
      <c r="B42" s="21" t="s">
        <v>31</v>
      </c>
      <c r="C42" s="130"/>
      <c r="D42" s="21"/>
      <c r="E42" s="21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5"/>
    </row>
    <row r="43" spans="1:18" x14ac:dyDescent="0.25">
      <c r="A43" s="21"/>
      <c r="B43" s="21"/>
      <c r="C43" s="229" t="s">
        <v>32</v>
      </c>
      <c r="D43" s="183"/>
      <c r="E43" s="183"/>
      <c r="F43" s="21"/>
      <c r="G43" s="21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5"/>
    </row>
    <row r="44" spans="1:18" x14ac:dyDescent="0.25">
      <c r="A44" s="21"/>
      <c r="B44" s="5"/>
      <c r="C44" s="3"/>
      <c r="D44" s="5"/>
      <c r="E44" s="5"/>
      <c r="F44" s="21"/>
      <c r="G44" s="21"/>
      <c r="H44" s="183"/>
      <c r="I44" s="183"/>
      <c r="J44" s="21"/>
      <c r="K44" s="21"/>
      <c r="L44" s="21"/>
      <c r="M44" s="21"/>
      <c r="N44" s="21"/>
      <c r="O44" s="21"/>
      <c r="P44" s="21"/>
      <c r="Q44" s="21"/>
      <c r="R44" s="5"/>
    </row>
    <row r="45" spans="1:18" x14ac:dyDescent="0.25">
      <c r="A45" s="21"/>
      <c r="B45" s="310" t="s">
        <v>476</v>
      </c>
      <c r="C45" s="130"/>
      <c r="D45" s="21"/>
      <c r="E45" s="21"/>
      <c r="F45" s="21"/>
      <c r="G45" s="21"/>
      <c r="H45" s="183"/>
      <c r="I45" s="183"/>
      <c r="J45" s="21"/>
      <c r="K45" s="21"/>
      <c r="L45" s="21"/>
      <c r="M45" s="21"/>
      <c r="N45" s="21"/>
      <c r="O45" s="21"/>
      <c r="P45" s="21"/>
      <c r="Q45" s="21"/>
      <c r="R45" s="5"/>
    </row>
    <row r="46" spans="1:18" x14ac:dyDescent="0.25">
      <c r="A46" s="21"/>
      <c r="B46" s="5"/>
      <c r="C46" s="3"/>
      <c r="D46" s="5"/>
      <c r="E46" s="5"/>
      <c r="F46" s="21"/>
      <c r="G46" s="21"/>
      <c r="H46" s="183"/>
      <c r="I46" s="183"/>
      <c r="J46" s="21"/>
      <c r="K46" s="21"/>
      <c r="L46" s="21"/>
      <c r="M46" s="21"/>
      <c r="N46" s="21"/>
      <c r="O46" s="21"/>
      <c r="P46" s="21"/>
      <c r="Q46" s="21"/>
      <c r="R46" s="5"/>
    </row>
    <row r="47" spans="1:18" x14ac:dyDescent="0.25">
      <c r="A47" s="21"/>
      <c r="B47" s="21" t="s">
        <v>33</v>
      </c>
      <c r="C47" s="130"/>
      <c r="D47" s="21"/>
      <c r="E47" s="21"/>
      <c r="F47" s="21"/>
      <c r="G47" s="21"/>
      <c r="H47" s="183"/>
      <c r="I47" s="183"/>
      <c r="J47" s="21"/>
      <c r="K47" s="21"/>
      <c r="L47" s="21"/>
      <c r="M47" s="21"/>
      <c r="N47" s="21"/>
      <c r="O47" s="21"/>
      <c r="P47" s="21"/>
      <c r="Q47" s="21"/>
      <c r="R47" s="5"/>
    </row>
    <row r="48" spans="1:18" x14ac:dyDescent="0.25">
      <c r="A48" s="21"/>
      <c r="B48" s="21"/>
      <c r="C48" s="229" t="s">
        <v>32</v>
      </c>
      <c r="D48" s="183"/>
      <c r="E48" s="183"/>
      <c r="F48" s="21"/>
      <c r="G48" s="21"/>
      <c r="H48" s="183"/>
      <c r="I48" s="183"/>
      <c r="J48" s="21"/>
      <c r="K48" s="21"/>
      <c r="L48" s="21"/>
      <c r="M48" s="21"/>
      <c r="N48" s="21"/>
      <c r="O48" s="21"/>
      <c r="P48" s="21"/>
      <c r="Q48" s="21"/>
    </row>
    <row r="49" spans="2:17" x14ac:dyDescent="0.25">
      <c r="B49" s="5"/>
      <c r="C49" s="130" t="s">
        <v>34</v>
      </c>
      <c r="D49" s="21"/>
      <c r="E49" s="21"/>
      <c r="F49" s="21"/>
      <c r="G49" s="21"/>
      <c r="H49" s="183"/>
      <c r="I49" s="183"/>
      <c r="J49" s="21"/>
      <c r="K49" s="21"/>
      <c r="L49" s="21"/>
      <c r="M49" s="21"/>
      <c r="N49" s="21"/>
      <c r="O49" s="21"/>
      <c r="P49" s="21"/>
      <c r="Q49" s="21"/>
    </row>
  </sheetData>
  <autoFilter ref="A12:Q12" xr:uid="{00000000-0009-0000-0000-00000B000000}"/>
  <mergeCells count="9">
    <mergeCell ref="C12:D12"/>
    <mergeCell ref="A8:P8"/>
    <mergeCell ref="A10:A11"/>
    <mergeCell ref="B10:B11"/>
    <mergeCell ref="C10:D11"/>
    <mergeCell ref="E10:E11"/>
    <mergeCell ref="F10:F11"/>
    <mergeCell ref="G10:L10"/>
    <mergeCell ref="M10:Q10"/>
  </mergeCells>
  <pageMargins left="0" right="0" top="0.39374999999999999" bottom="0.39374999999999999" header="0.51180555555555496" footer="0.51180555555555496"/>
  <pageSetup paperSize="9" scale="90" firstPageNumber="0" orientation="landscape" horizontalDpi="300" verticalDpi="300" r:id="rId1"/>
  <rowBreaks count="1" manualBreakCount="1">
    <brk id="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MK26"/>
  <sheetViews>
    <sheetView view="pageBreakPreview" zoomScaleNormal="100" zoomScaleSheetLayoutView="100" zoomScalePageLayoutView="115" workbookViewId="0">
      <selection activeCell="C15" sqref="C15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6" style="20" customWidth="1"/>
    <col min="5" max="5" width="9.85546875" style="20" customWidth="1"/>
    <col min="6" max="17" width="5" style="20" customWidth="1"/>
    <col min="18" max="18" width="14.42578125" style="20" customWidth="1"/>
    <col min="19" max="19" width="36.140625" style="20" customWidth="1"/>
    <col min="20" max="37" width="9.140625" style="20" customWidth="1"/>
    <col min="38" max="1025" width="40" style="20" customWidth="1"/>
    <col min="1026" max="16384" width="9" style="198"/>
  </cols>
  <sheetData>
    <row r="1" spans="1:19" s="21" customFormat="1" ht="11.25" x14ac:dyDescent="0.25">
      <c r="B1" s="5"/>
      <c r="C1" s="3"/>
      <c r="D1" s="5"/>
      <c r="E1" s="309" t="s">
        <v>35</v>
      </c>
      <c r="F1" s="201">
        <f>kpdv!B21</f>
        <v>10</v>
      </c>
      <c r="G1" s="5"/>
      <c r="H1" s="5"/>
      <c r="I1" s="183"/>
      <c r="J1" s="5"/>
      <c r="K1" s="5"/>
      <c r="L1" s="5"/>
      <c r="M1" s="5"/>
      <c r="N1" s="5"/>
      <c r="O1" s="5"/>
      <c r="P1" s="5"/>
      <c r="Q1" s="5"/>
    </row>
    <row r="2" spans="1:19" x14ac:dyDescent="0.25">
      <c r="A2" s="5"/>
      <c r="B2" s="5"/>
      <c r="C2" s="136" t="s">
        <v>422</v>
      </c>
      <c r="D2" s="18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9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9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9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9" x14ac:dyDescent="0.25">
      <c r="A6" s="308" t="str">
        <f>KOP!A6</f>
        <v>Pasūtījuma Nr.EA-79-16</v>
      </c>
      <c r="B6" s="177"/>
      <c r="C6" s="2"/>
      <c r="D6" s="17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x14ac:dyDescent="0.25">
      <c r="B7" s="5"/>
      <c r="C7" s="313" t="s">
        <v>479</v>
      </c>
      <c r="D7" s="5" t="s">
        <v>380</v>
      </c>
      <c r="E7" s="310" t="s">
        <v>38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9" x14ac:dyDescent="0.25">
      <c r="A8" s="338" t="s">
        <v>39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29">
        <f>R16</f>
        <v>0</v>
      </c>
    </row>
    <row r="9" spans="1:19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309" t="s">
        <v>476</v>
      </c>
    </row>
    <row r="10" spans="1:19" ht="10.5" customHeight="1" x14ac:dyDescent="0.25">
      <c r="A10" s="320" t="s">
        <v>1</v>
      </c>
      <c r="B10" s="320" t="s">
        <v>40</v>
      </c>
      <c r="C10" s="330" t="s">
        <v>41</v>
      </c>
      <c r="D10" s="330"/>
      <c r="E10" s="330"/>
      <c r="F10" s="331" t="s">
        <v>42</v>
      </c>
      <c r="G10" s="320" t="s">
        <v>43</v>
      </c>
      <c r="H10" s="332" t="s">
        <v>44</v>
      </c>
      <c r="I10" s="332"/>
      <c r="J10" s="332"/>
      <c r="K10" s="332"/>
      <c r="L10" s="332"/>
      <c r="M10" s="332"/>
      <c r="N10" s="332" t="s">
        <v>45</v>
      </c>
      <c r="O10" s="332"/>
      <c r="P10" s="332"/>
      <c r="Q10" s="332"/>
      <c r="R10" s="332"/>
    </row>
    <row r="11" spans="1:19" ht="72.75" x14ac:dyDescent="0.25">
      <c r="A11" s="320"/>
      <c r="B11" s="320"/>
      <c r="C11" s="330"/>
      <c r="D11" s="330"/>
      <c r="E11" s="330"/>
      <c r="F11" s="331"/>
      <c r="G11" s="320"/>
      <c r="H11" s="179" t="s">
        <v>46</v>
      </c>
      <c r="I11" s="22" t="s">
        <v>480</v>
      </c>
      <c r="J11" s="22" t="s">
        <v>47</v>
      </c>
      <c r="K11" s="22" t="s">
        <v>481</v>
      </c>
      <c r="L11" s="22" t="s">
        <v>48</v>
      </c>
      <c r="M11" s="22" t="s">
        <v>482</v>
      </c>
      <c r="N11" s="179" t="s">
        <v>50</v>
      </c>
      <c r="O11" s="22" t="s">
        <v>47</v>
      </c>
      <c r="P11" s="22" t="s">
        <v>483</v>
      </c>
      <c r="Q11" s="22" t="s">
        <v>48</v>
      </c>
      <c r="R11" s="22" t="s">
        <v>49</v>
      </c>
    </row>
    <row r="12" spans="1:19" x14ac:dyDescent="0.25">
      <c r="A12" s="23">
        <v>1</v>
      </c>
      <c r="B12" s="23">
        <f>A12+1</f>
        <v>2</v>
      </c>
      <c r="C12" s="329">
        <v>3</v>
      </c>
      <c r="D12" s="329"/>
      <c r="E12" s="329"/>
      <c r="F12" s="23">
        <f>C12+1</f>
        <v>4</v>
      </c>
      <c r="G12" s="23">
        <f t="shared" ref="G12:R12" si="0">F12+1</f>
        <v>5</v>
      </c>
      <c r="H12" s="23">
        <f t="shared" si="0"/>
        <v>6</v>
      </c>
      <c r="I12" s="23">
        <f t="shared" si="0"/>
        <v>7</v>
      </c>
      <c r="J12" s="23">
        <f t="shared" si="0"/>
        <v>8</v>
      </c>
      <c r="K12" s="23">
        <f t="shared" si="0"/>
        <v>9</v>
      </c>
      <c r="L12" s="23">
        <f t="shared" si="0"/>
        <v>10</v>
      </c>
      <c r="M12" s="23">
        <f t="shared" si="0"/>
        <v>11</v>
      </c>
      <c r="N12" s="23">
        <f t="shared" si="0"/>
        <v>12</v>
      </c>
      <c r="O12" s="23">
        <f t="shared" si="0"/>
        <v>13</v>
      </c>
      <c r="P12" s="23">
        <f t="shared" si="0"/>
        <v>14</v>
      </c>
      <c r="Q12" s="23">
        <f t="shared" si="0"/>
        <v>15</v>
      </c>
      <c r="R12" s="23">
        <f t="shared" si="0"/>
        <v>16</v>
      </c>
    </row>
    <row r="13" spans="1:19" x14ac:dyDescent="0.25">
      <c r="A13" s="129"/>
      <c r="B13" s="129"/>
      <c r="C13" s="93" t="s">
        <v>423</v>
      </c>
      <c r="D13" s="137"/>
      <c r="E13" s="137"/>
      <c r="F13" s="137"/>
      <c r="G13" s="185"/>
      <c r="H13" s="185"/>
      <c r="I13" s="131"/>
      <c r="J13" s="131"/>
      <c r="K13" s="131"/>
      <c r="L13" s="131"/>
      <c r="M13" s="131"/>
      <c r="N13" s="43"/>
      <c r="O13" s="43"/>
      <c r="P13" s="43"/>
      <c r="Q13" s="43"/>
    </row>
    <row r="14" spans="1:19" ht="22.5" x14ac:dyDescent="0.25">
      <c r="A14" s="185">
        <v>1</v>
      </c>
      <c r="B14" s="129"/>
      <c r="C14" s="227" t="s">
        <v>528</v>
      </c>
      <c r="D14" s="185"/>
      <c r="E14" s="129" t="s">
        <v>424</v>
      </c>
      <c r="F14" s="185" t="s">
        <v>415</v>
      </c>
      <c r="G14" s="129">
        <v>3</v>
      </c>
      <c r="H14" s="131"/>
      <c r="I14" s="131"/>
      <c r="J14" s="131"/>
      <c r="K14" s="131"/>
      <c r="L14" s="131"/>
      <c r="M14" s="43"/>
      <c r="N14" s="43"/>
      <c r="O14" s="43"/>
      <c r="P14" s="43"/>
      <c r="Q14" s="43"/>
      <c r="R14" s="43"/>
      <c r="S14" s="20" t="s">
        <v>54</v>
      </c>
    </row>
    <row r="15" spans="1:19" x14ac:dyDescent="0.25">
      <c r="A15" s="39"/>
      <c r="B15" s="50"/>
      <c r="C15" s="46"/>
      <c r="D15" s="39"/>
      <c r="E15" s="39"/>
      <c r="F15" s="39"/>
      <c r="G15" s="39"/>
      <c r="H15" s="51"/>
      <c r="I15" s="39"/>
      <c r="J15" s="52"/>
      <c r="K15" s="16"/>
      <c r="L15" s="52"/>
      <c r="M15" s="52"/>
      <c r="N15" s="52"/>
      <c r="O15" s="16"/>
      <c r="P15" s="16"/>
      <c r="Q15" s="16"/>
      <c r="R15" s="16"/>
    </row>
    <row r="16" spans="1:19" ht="22.5" x14ac:dyDescent="0.25">
      <c r="A16" s="39"/>
      <c r="B16" s="39"/>
      <c r="C16" s="10" t="s">
        <v>91</v>
      </c>
      <c r="D16" s="9"/>
      <c r="E16" s="9"/>
      <c r="F16" s="9"/>
      <c r="G16" s="9"/>
      <c r="H16" s="5"/>
      <c r="I16" s="5"/>
      <c r="J16" s="9"/>
      <c r="K16" s="9"/>
      <c r="L16" s="9"/>
      <c r="M16" s="9"/>
      <c r="N16" s="52">
        <f>SUM(N14:N15)</f>
        <v>0</v>
      </c>
      <c r="O16" s="52">
        <f>SUM(O14:O15)</f>
        <v>0</v>
      </c>
      <c r="P16" s="52">
        <f>SUM(P14:P15)</f>
        <v>0</v>
      </c>
      <c r="Q16" s="52">
        <f>SUM(Q14:Q15)</f>
        <v>0</v>
      </c>
      <c r="R16" s="52">
        <f>SUM(R14:R15)</f>
        <v>0</v>
      </c>
      <c r="S16" s="16"/>
    </row>
    <row r="17" spans="1:19" x14ac:dyDescent="0.25">
      <c r="A17" s="9" t="str">
        <f>IF(COUNTBLANK(M17)=1," ",COUNTA($L$15:L17))</f>
        <v xml:space="preserve"> </v>
      </c>
      <c r="B17" s="39"/>
      <c r="C17" s="10"/>
      <c r="D17" s="9"/>
      <c r="E17" s="9"/>
      <c r="F17" s="9"/>
      <c r="G17" s="9"/>
      <c r="H17" s="5"/>
      <c r="I17" s="5"/>
      <c r="J17" s="9"/>
      <c r="K17" s="5"/>
      <c r="L17" s="5"/>
      <c r="M17" s="9"/>
      <c r="N17" s="16"/>
      <c r="O17" s="9"/>
      <c r="P17" s="16"/>
      <c r="Q17" s="16"/>
      <c r="R17" s="16"/>
      <c r="S17" s="16"/>
    </row>
    <row r="18" spans="1:19" x14ac:dyDescent="0.25">
      <c r="A18" s="183"/>
      <c r="B18" s="183"/>
      <c r="C18" s="46"/>
      <c r="D18" s="39"/>
      <c r="E18" s="39"/>
      <c r="F18" s="39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54"/>
    </row>
    <row r="19" spans="1:19" x14ac:dyDescent="0.25">
      <c r="A19" s="183"/>
      <c r="B19" s="21" t="s">
        <v>31</v>
      </c>
      <c r="C19" s="130"/>
      <c r="D19" s="21"/>
      <c r="E19" s="21"/>
      <c r="F19" s="21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5"/>
    </row>
    <row r="20" spans="1:19" x14ac:dyDescent="0.25">
      <c r="A20" s="183"/>
      <c r="B20" s="21"/>
      <c r="C20" s="229" t="s">
        <v>32</v>
      </c>
      <c r="D20" s="183"/>
      <c r="E20" s="183"/>
      <c r="F20" s="183"/>
      <c r="G20" s="21"/>
      <c r="H20" s="21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5"/>
    </row>
    <row r="21" spans="1:19" x14ac:dyDescent="0.25">
      <c r="A21" s="21"/>
      <c r="B21" s="5"/>
      <c r="C21" s="3"/>
      <c r="D21" s="5"/>
      <c r="E21" s="5"/>
      <c r="F21" s="5"/>
      <c r="G21" s="21"/>
      <c r="H21" s="21"/>
      <c r="I21" s="183"/>
      <c r="J21" s="183"/>
      <c r="K21" s="21"/>
      <c r="L21" s="21"/>
      <c r="M21" s="21"/>
      <c r="N21" s="21"/>
      <c r="O21" s="21"/>
      <c r="P21" s="21"/>
      <c r="Q21" s="21"/>
      <c r="R21" s="21"/>
      <c r="S21" s="5"/>
    </row>
    <row r="22" spans="1:19" x14ac:dyDescent="0.25">
      <c r="A22" s="21"/>
      <c r="B22" s="310" t="s">
        <v>476</v>
      </c>
      <c r="C22" s="130"/>
      <c r="D22" s="21"/>
      <c r="E22" s="21"/>
      <c r="F22" s="21"/>
      <c r="G22" s="21"/>
      <c r="H22" s="21"/>
      <c r="I22" s="183"/>
      <c r="J22" s="183"/>
      <c r="K22" s="21"/>
      <c r="L22" s="21"/>
      <c r="M22" s="21"/>
      <c r="N22" s="21"/>
      <c r="O22" s="21"/>
      <c r="P22" s="21"/>
      <c r="Q22" s="21"/>
      <c r="R22" s="21"/>
      <c r="S22" s="5"/>
    </row>
    <row r="23" spans="1:19" x14ac:dyDescent="0.25">
      <c r="A23" s="21"/>
      <c r="B23" s="5"/>
      <c r="C23" s="3"/>
      <c r="D23" s="5"/>
      <c r="E23" s="5"/>
      <c r="F23" s="5"/>
      <c r="G23" s="21"/>
      <c r="H23" s="21"/>
      <c r="I23" s="183"/>
      <c r="J23" s="183"/>
      <c r="K23" s="21"/>
      <c r="L23" s="21"/>
      <c r="M23" s="21"/>
      <c r="N23" s="21"/>
      <c r="O23" s="21"/>
      <c r="P23" s="21"/>
      <c r="Q23" s="21"/>
      <c r="R23" s="21"/>
      <c r="S23" s="5"/>
    </row>
    <row r="24" spans="1:19" x14ac:dyDescent="0.25">
      <c r="A24" s="21"/>
      <c r="B24" s="21" t="s">
        <v>33</v>
      </c>
      <c r="C24" s="130"/>
      <c r="D24" s="21"/>
      <c r="E24" s="21"/>
      <c r="F24" s="21"/>
      <c r="G24" s="21"/>
      <c r="H24" s="21"/>
      <c r="I24" s="183"/>
      <c r="J24" s="183"/>
      <c r="K24" s="21"/>
      <c r="L24" s="21"/>
      <c r="M24" s="21"/>
      <c r="N24" s="21"/>
      <c r="O24" s="21"/>
      <c r="P24" s="21"/>
      <c r="Q24" s="21"/>
      <c r="R24" s="21"/>
      <c r="S24" s="5"/>
    </row>
    <row r="25" spans="1:19" x14ac:dyDescent="0.25">
      <c r="A25" s="21"/>
      <c r="B25" s="21"/>
      <c r="C25" s="229" t="s">
        <v>32</v>
      </c>
      <c r="D25" s="183"/>
      <c r="E25" s="183"/>
      <c r="F25" s="183"/>
      <c r="G25" s="21"/>
      <c r="H25" s="21"/>
      <c r="I25" s="183"/>
      <c r="J25" s="183"/>
      <c r="K25" s="21"/>
      <c r="L25" s="21"/>
      <c r="M25" s="21"/>
      <c r="N25" s="21"/>
      <c r="O25" s="21"/>
      <c r="P25" s="21"/>
      <c r="Q25" s="21"/>
      <c r="R25" s="21"/>
    </row>
    <row r="26" spans="1:19" x14ac:dyDescent="0.25">
      <c r="A26" s="21"/>
      <c r="B26" s="5"/>
      <c r="C26" s="130" t="s">
        <v>34</v>
      </c>
      <c r="D26" s="21"/>
      <c r="E26" s="21"/>
      <c r="F26" s="21"/>
      <c r="G26" s="21"/>
      <c r="H26" s="21"/>
      <c r="I26" s="183"/>
      <c r="J26" s="183"/>
      <c r="K26" s="21"/>
      <c r="L26" s="21"/>
      <c r="M26" s="21"/>
      <c r="N26" s="21"/>
      <c r="O26" s="21"/>
      <c r="P26" s="21"/>
      <c r="Q26" s="21"/>
      <c r="R26" s="21"/>
    </row>
  </sheetData>
  <autoFilter ref="A12:R12" xr:uid="{00000000-0009-0000-0000-00000C000000}"/>
  <mergeCells count="9">
    <mergeCell ref="C12:E12"/>
    <mergeCell ref="A8:Q8"/>
    <mergeCell ref="A10:A11"/>
    <mergeCell ref="B10:B11"/>
    <mergeCell ref="C10:E11"/>
    <mergeCell ref="F10:F11"/>
    <mergeCell ref="G10:G11"/>
    <mergeCell ref="H10:M10"/>
    <mergeCell ref="N10:R10"/>
  </mergeCells>
  <pageMargins left="0" right="0" top="0.39374999999999999" bottom="0.39374999999999999" header="0.51180555555555496" footer="0.51180555555555496"/>
  <pageSetup paperSize="9" scale="9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K35"/>
  <sheetViews>
    <sheetView view="pageBreakPreview" zoomScaleNormal="115" workbookViewId="0">
      <selection activeCell="E8" sqref="E8"/>
    </sheetView>
  </sheetViews>
  <sheetFormatPr defaultColWidth="9" defaultRowHeight="15" x14ac:dyDescent="0.25"/>
  <cols>
    <col min="1" max="1" width="6" style="20" customWidth="1"/>
    <col min="2" max="2" width="6" style="56" customWidth="1"/>
    <col min="3" max="3" width="38.85546875" style="1" customWidth="1"/>
    <col min="4" max="4" width="10.42578125" style="56" customWidth="1"/>
    <col min="5" max="5" width="9.85546875" style="56" customWidth="1"/>
    <col min="6" max="17" width="5" style="56" customWidth="1"/>
    <col min="18" max="18" width="7.5703125" style="56" customWidth="1"/>
    <col min="19" max="19" width="6.7109375" style="56" customWidth="1"/>
    <col min="20" max="20" width="8.28515625" style="56" customWidth="1"/>
    <col min="21" max="1025" width="27.28515625" style="56" customWidth="1"/>
    <col min="1026" max="16384" width="9" style="198"/>
  </cols>
  <sheetData>
    <row r="1" spans="1:18" s="5" customFormat="1" ht="11.25" x14ac:dyDescent="0.25">
      <c r="B1" s="315" t="s">
        <v>10</v>
      </c>
      <c r="C1" s="315"/>
      <c r="D1" s="315"/>
      <c r="E1" s="315"/>
      <c r="F1" s="315"/>
      <c r="G1" s="315"/>
      <c r="H1" s="315"/>
    </row>
    <row r="2" spans="1:18" s="21" customFormat="1" ht="11.25" x14ac:dyDescent="0.25">
      <c r="A2" s="20"/>
      <c r="B2" s="308" t="s">
        <v>11</v>
      </c>
      <c r="C2" s="2"/>
      <c r="D2" s="177"/>
      <c r="E2" s="177"/>
      <c r="F2" s="177"/>
      <c r="G2" s="177"/>
      <c r="H2" s="177"/>
      <c r="I2" s="5"/>
      <c r="J2" s="5"/>
    </row>
    <row r="3" spans="1:18" s="5" customFormat="1" ht="11.25" x14ac:dyDescent="0.25">
      <c r="B3" s="308" t="s">
        <v>12</v>
      </c>
      <c r="C3" s="2"/>
      <c r="D3" s="177"/>
      <c r="E3" s="177"/>
      <c r="F3" s="177"/>
      <c r="G3" s="177"/>
      <c r="H3" s="177"/>
      <c r="K3" s="177"/>
      <c r="L3" s="177"/>
      <c r="M3" s="177"/>
      <c r="N3" s="177"/>
      <c r="O3" s="177"/>
      <c r="P3" s="177"/>
      <c r="Q3" s="177"/>
      <c r="R3" s="177"/>
    </row>
    <row r="4" spans="1:18" s="21" customFormat="1" ht="11.25" x14ac:dyDescent="0.25">
      <c r="A4" s="20"/>
      <c r="B4" s="308" t="s">
        <v>13</v>
      </c>
      <c r="C4" s="2"/>
      <c r="D4" s="177"/>
      <c r="E4" s="177"/>
      <c r="F4" s="177"/>
      <c r="G4" s="177"/>
      <c r="H4" s="177"/>
      <c r="I4" s="5"/>
      <c r="J4" s="5"/>
      <c r="K4" s="177"/>
      <c r="L4" s="177"/>
      <c r="M4" s="177"/>
      <c r="N4" s="177"/>
      <c r="O4" s="177"/>
      <c r="P4" s="177"/>
      <c r="Q4" s="177"/>
      <c r="R4" s="177"/>
    </row>
    <row r="5" spans="1:18" s="21" customFormat="1" ht="11.25" x14ac:dyDescent="0.25">
      <c r="A5" s="20"/>
      <c r="B5" s="308" t="s">
        <v>14</v>
      </c>
      <c r="C5" s="2"/>
      <c r="D5" s="177"/>
      <c r="E5" s="177"/>
      <c r="F5" s="177"/>
      <c r="G5" s="177"/>
      <c r="H5" s="177"/>
      <c r="I5" s="5"/>
      <c r="J5" s="5"/>
      <c r="K5" s="177"/>
      <c r="L5" s="177"/>
      <c r="M5" s="177"/>
      <c r="N5" s="177"/>
      <c r="O5" s="177"/>
      <c r="P5" s="177"/>
      <c r="Q5" s="177"/>
      <c r="R5" s="177"/>
    </row>
    <row r="6" spans="1:18" s="5" customFormat="1" ht="11.25" x14ac:dyDescent="0.25">
      <c r="B6" s="308" t="s">
        <v>15</v>
      </c>
      <c r="C6" s="2"/>
      <c r="D6" s="177"/>
    </row>
    <row r="7" spans="1:18" s="21" customFormat="1" ht="11.25" x14ac:dyDescent="0.25">
      <c r="A7" s="20"/>
      <c r="B7" s="316" t="s">
        <v>16</v>
      </c>
      <c r="C7" s="316"/>
      <c r="D7" s="316"/>
      <c r="E7" s="214">
        <f>D23</f>
        <v>0</v>
      </c>
      <c r="F7" s="5"/>
      <c r="G7" s="5"/>
      <c r="H7" s="5"/>
    </row>
    <row r="8" spans="1:18" s="21" customFormat="1" ht="11.25" x14ac:dyDescent="0.25">
      <c r="A8" s="20"/>
      <c r="B8" s="5"/>
      <c r="C8" s="3"/>
      <c r="D8" s="197" t="s">
        <v>477</v>
      </c>
      <c r="E8" s="21">
        <f>H29</f>
        <v>0</v>
      </c>
    </row>
    <row r="9" spans="1:18" s="21" customFormat="1" ht="11.25" x14ac:dyDescent="0.25">
      <c r="A9" s="20"/>
      <c r="B9" s="5"/>
      <c r="C9" s="3"/>
      <c r="D9" s="5"/>
      <c r="E9" s="214"/>
      <c r="F9" s="5"/>
      <c r="G9" s="5"/>
      <c r="H9" s="309" t="s">
        <v>476</v>
      </c>
    </row>
    <row r="10" spans="1:18" s="5" customFormat="1" ht="10.15" customHeight="1" x14ac:dyDescent="0.25">
      <c r="A10" s="317" t="s">
        <v>1</v>
      </c>
      <c r="B10" s="317" t="s">
        <v>17</v>
      </c>
      <c r="C10" s="318" t="s">
        <v>18</v>
      </c>
      <c r="D10" s="317" t="s">
        <v>19</v>
      </c>
      <c r="E10" s="317" t="s">
        <v>20</v>
      </c>
      <c r="F10" s="317"/>
      <c r="G10" s="317"/>
      <c r="H10" s="317" t="s">
        <v>21</v>
      </c>
    </row>
    <row r="11" spans="1:18" s="9" customFormat="1" ht="45" x14ac:dyDescent="0.25">
      <c r="A11" s="317"/>
      <c r="B11" s="317"/>
      <c r="C11" s="318"/>
      <c r="D11" s="317"/>
      <c r="E11" s="178" t="s">
        <v>22</v>
      </c>
      <c r="F11" s="178" t="s">
        <v>23</v>
      </c>
      <c r="G11" s="178" t="s">
        <v>24</v>
      </c>
      <c r="H11" s="317"/>
    </row>
    <row r="12" spans="1:18" s="5" customFormat="1" ht="11.25" x14ac:dyDescent="0.25">
      <c r="A12" s="182">
        <f t="shared" ref="A12:A21" si="0">B12</f>
        <v>1</v>
      </c>
      <c r="B12" s="180">
        <v>1</v>
      </c>
      <c r="C12" s="57" t="str">
        <f>AR!D2</f>
        <v>Ārsienu siltināšanas darbi</v>
      </c>
      <c r="D12" s="131">
        <f>AR!M67</f>
        <v>0</v>
      </c>
      <c r="E12" s="131">
        <f>AR!N67</f>
        <v>0</v>
      </c>
      <c r="F12" s="131">
        <f>AR!O67</f>
        <v>0</v>
      </c>
      <c r="G12" s="131">
        <f>AR!P67</f>
        <v>0</v>
      </c>
      <c r="H12" s="131">
        <f>AR!Q67</f>
        <v>0</v>
      </c>
      <c r="I12" s="215"/>
      <c r="J12" s="216"/>
      <c r="L12" s="216"/>
      <c r="M12" s="216"/>
    </row>
    <row r="13" spans="1:18" s="21" customFormat="1" ht="11.25" x14ac:dyDescent="0.25">
      <c r="A13" s="182">
        <f t="shared" si="0"/>
        <v>2</v>
      </c>
      <c r="B13" s="180">
        <f t="shared" ref="B13:B21" si="1">B12+1</f>
        <v>2</v>
      </c>
      <c r="C13" s="57" t="str">
        <f>logi!C2</f>
        <v>Logu nomaiņa</v>
      </c>
      <c r="D13" s="131">
        <f>logi!P59</f>
        <v>0</v>
      </c>
      <c r="E13" s="131">
        <f>logi!Q59</f>
        <v>0</v>
      </c>
      <c r="F13" s="131">
        <f>logi!R59</f>
        <v>0</v>
      </c>
      <c r="G13" s="131">
        <f>logi!S59</f>
        <v>0</v>
      </c>
      <c r="H13" s="131">
        <f>logi!T59</f>
        <v>0</v>
      </c>
      <c r="I13" s="215"/>
      <c r="J13" s="216"/>
      <c r="L13" s="216"/>
      <c r="M13" s="216"/>
    </row>
    <row r="14" spans="1:18" s="21" customFormat="1" ht="11.25" x14ac:dyDescent="0.25">
      <c r="A14" s="182">
        <f t="shared" si="0"/>
        <v>3</v>
      </c>
      <c r="B14" s="180">
        <f t="shared" si="1"/>
        <v>3</v>
      </c>
      <c r="C14" s="127" t="str">
        <f>Cokol!C2</f>
        <v>Cokola siltināšanas darbi</v>
      </c>
      <c r="D14" s="43">
        <f>Cokol!M50</f>
        <v>0</v>
      </c>
      <c r="E14" s="43">
        <f>Cokol!N50</f>
        <v>0</v>
      </c>
      <c r="F14" s="43">
        <f>Cokol!O50</f>
        <v>0</v>
      </c>
      <c r="G14" s="43">
        <f>Cokol!P50</f>
        <v>0</v>
      </c>
      <c r="H14" s="43">
        <f>Cokol!Q50</f>
        <v>0</v>
      </c>
      <c r="I14" s="215"/>
      <c r="J14" s="216"/>
      <c r="L14" s="216"/>
      <c r="M14" s="216"/>
    </row>
    <row r="15" spans="1:18" s="21" customFormat="1" ht="11.25" x14ac:dyDescent="0.25">
      <c r="A15" s="182">
        <f t="shared" si="0"/>
        <v>4</v>
      </c>
      <c r="B15" s="180">
        <f t="shared" si="1"/>
        <v>4</v>
      </c>
      <c r="C15" s="57" t="str">
        <f>Jumts!C2</f>
        <v>Jumta siltināšanas darbi</v>
      </c>
      <c r="D15" s="131">
        <f>Jumts!M104</f>
        <v>0</v>
      </c>
      <c r="E15" s="131">
        <f>Jumts!N104</f>
        <v>0</v>
      </c>
      <c r="F15" s="131">
        <f>Jumts!O104</f>
        <v>0</v>
      </c>
      <c r="G15" s="131">
        <f>Jumts!P104</f>
        <v>0</v>
      </c>
      <c r="H15" s="131">
        <f>Jumts!Q104</f>
        <v>0</v>
      </c>
      <c r="I15" s="215"/>
      <c r="J15" s="216"/>
      <c r="L15" s="216"/>
      <c r="M15" s="216"/>
    </row>
    <row r="16" spans="1:18" s="21" customFormat="1" ht="11.25" x14ac:dyDescent="0.25">
      <c r="A16" s="182">
        <f t="shared" si="0"/>
        <v>5</v>
      </c>
      <c r="B16" s="180">
        <f t="shared" si="1"/>
        <v>5</v>
      </c>
      <c r="C16" s="127" t="str">
        <f>pagr!C2</f>
        <v>Pagraba pārseguma  siltināšanas darbi</v>
      </c>
      <c r="D16" s="43">
        <f>pagr!M20</f>
        <v>0</v>
      </c>
      <c r="E16" s="43">
        <f>pagr!N20</f>
        <v>0</v>
      </c>
      <c r="F16" s="43">
        <f>pagr!O20</f>
        <v>0</v>
      </c>
      <c r="G16" s="43">
        <f>pagr!P20</f>
        <v>0</v>
      </c>
      <c r="H16" s="43">
        <f>pagr!Q20</f>
        <v>0</v>
      </c>
      <c r="I16" s="215"/>
      <c r="J16" s="216"/>
      <c r="L16" s="216"/>
      <c r="M16" s="216"/>
    </row>
    <row r="17" spans="1:13" s="21" customFormat="1" ht="11.25" x14ac:dyDescent="0.25">
      <c r="A17" s="182">
        <f t="shared" si="0"/>
        <v>6</v>
      </c>
      <c r="B17" s="180">
        <f t="shared" si="1"/>
        <v>6</v>
      </c>
      <c r="C17" s="127" t="str">
        <f>balkoni!D2</f>
        <v>Balkonu atjaunošana</v>
      </c>
      <c r="D17" s="43">
        <f>balkoni!M64</f>
        <v>0</v>
      </c>
      <c r="E17" s="43">
        <f>balkoni!N64</f>
        <v>0</v>
      </c>
      <c r="F17" s="43">
        <f>balkoni!O64</f>
        <v>0</v>
      </c>
      <c r="G17" s="43">
        <f>balkoni!P64</f>
        <v>0</v>
      </c>
      <c r="H17" s="43">
        <f>balkoni!Q64</f>
        <v>0</v>
      </c>
      <c r="I17" s="215"/>
      <c r="J17" s="216"/>
      <c r="L17" s="216"/>
      <c r="M17" s="216"/>
    </row>
    <row r="18" spans="1:13" s="21" customFormat="1" ht="11.25" x14ac:dyDescent="0.25">
      <c r="A18" s="182">
        <f t="shared" si="0"/>
        <v>7</v>
      </c>
      <c r="B18" s="180">
        <f t="shared" si="1"/>
        <v>7</v>
      </c>
      <c r="C18" s="127" t="str">
        <f>ieejas!D2</f>
        <v>Ieejas mezglu atjaunošana</v>
      </c>
      <c r="D18" s="43">
        <f>ieejas!M46</f>
        <v>0</v>
      </c>
      <c r="E18" s="43">
        <f>ieejas!N46</f>
        <v>0</v>
      </c>
      <c r="F18" s="43">
        <f>ieejas!O46</f>
        <v>0</v>
      </c>
      <c r="G18" s="43">
        <f>ieejas!P46</f>
        <v>0</v>
      </c>
      <c r="H18" s="43">
        <f>ieejas!Q46</f>
        <v>0</v>
      </c>
      <c r="I18" s="215"/>
      <c r="J18" s="216"/>
      <c r="L18" s="216"/>
      <c r="M18" s="216"/>
    </row>
    <row r="19" spans="1:13" s="21" customFormat="1" ht="11.25" x14ac:dyDescent="0.25">
      <c r="A19" s="182">
        <f t="shared" si="0"/>
        <v>8</v>
      </c>
      <c r="B19" s="180">
        <f t="shared" si="1"/>
        <v>8</v>
      </c>
      <c r="C19" s="127" t="str">
        <f>AVK!G2</f>
        <v>Apkures sistēmas pārbūve</v>
      </c>
      <c r="D19" s="43">
        <f>AVK!M205</f>
        <v>0</v>
      </c>
      <c r="E19" s="43">
        <f>AVK!N205</f>
        <v>0</v>
      </c>
      <c r="F19" s="43">
        <f>AVK!O205</f>
        <v>0</v>
      </c>
      <c r="G19" s="43">
        <f>AVK!P205</f>
        <v>0</v>
      </c>
      <c r="H19" s="43">
        <f>AVK!Q205</f>
        <v>0</v>
      </c>
      <c r="I19" s="215"/>
      <c r="J19" s="216"/>
      <c r="L19" s="216"/>
      <c r="M19" s="216"/>
    </row>
    <row r="20" spans="1:13" s="21" customFormat="1" ht="11.25" x14ac:dyDescent="0.25">
      <c r="A20" s="138">
        <f t="shared" si="0"/>
        <v>9</v>
      </c>
      <c r="B20" s="139">
        <f t="shared" si="1"/>
        <v>9</v>
      </c>
      <c r="C20" s="140" t="str">
        <f>zibens!C2</f>
        <v>Zibensaizsardzība</v>
      </c>
      <c r="D20" s="141">
        <f>zibens!M39</f>
        <v>0</v>
      </c>
      <c r="E20" s="141">
        <f>zibens!N39</f>
        <v>0</v>
      </c>
      <c r="F20" s="141">
        <f>zibens!O39</f>
        <v>0</v>
      </c>
      <c r="G20" s="141">
        <f>zibens!P39</f>
        <v>0</v>
      </c>
      <c r="H20" s="141">
        <f>zibens!Q39</f>
        <v>0</v>
      </c>
      <c r="I20" s="215"/>
      <c r="J20" s="216"/>
      <c r="L20" s="216"/>
      <c r="M20" s="216"/>
    </row>
    <row r="21" spans="1:13" s="21" customFormat="1" ht="11.25" x14ac:dyDescent="0.25">
      <c r="A21" s="182">
        <f t="shared" si="0"/>
        <v>10</v>
      </c>
      <c r="B21" s="180">
        <f t="shared" si="1"/>
        <v>10</v>
      </c>
      <c r="C21" s="127" t="str">
        <f>gaze!C2</f>
        <v>Gāzes apgāde</v>
      </c>
      <c r="D21" s="43">
        <f>gaze!N17</f>
        <v>0</v>
      </c>
      <c r="E21" s="43">
        <f>gaze!O17</f>
        <v>0</v>
      </c>
      <c r="F21" s="43">
        <f>gaze!P17</f>
        <v>0</v>
      </c>
      <c r="G21" s="43">
        <f>gaze!Q17</f>
        <v>0</v>
      </c>
      <c r="H21" s="43">
        <f>gaze!R17</f>
        <v>0</v>
      </c>
      <c r="I21" s="215"/>
      <c r="J21" s="216"/>
      <c r="L21" s="216"/>
      <c r="M21" s="216"/>
    </row>
    <row r="22" spans="1:13" s="21" customFormat="1" ht="11.25" x14ac:dyDescent="0.25">
      <c r="A22" s="20"/>
      <c r="B22" s="9"/>
      <c r="C22" s="130"/>
      <c r="D22" s="16"/>
      <c r="E22" s="16"/>
      <c r="F22" s="16"/>
      <c r="G22" s="16"/>
      <c r="H22" s="16"/>
      <c r="I22" s="215"/>
      <c r="J22" s="216"/>
      <c r="L22" s="216"/>
      <c r="M22" s="216"/>
    </row>
    <row r="23" spans="1:13" s="21" customFormat="1" ht="11.25" x14ac:dyDescent="0.25">
      <c r="A23" s="20"/>
      <c r="B23" s="9"/>
      <c r="C23" s="240" t="s">
        <v>25</v>
      </c>
      <c r="D23" s="17">
        <f>SUM(D12:D22)</f>
        <v>0</v>
      </c>
      <c r="E23" s="17">
        <f>SUM(E12:E22)</f>
        <v>0</v>
      </c>
      <c r="F23" s="17">
        <f>SUM(F12:F22)</f>
        <v>0</v>
      </c>
      <c r="G23" s="17">
        <f>SUM(G12:G22)</f>
        <v>0</v>
      </c>
      <c r="H23" s="17">
        <f>SUM(H12:H22)</f>
        <v>0</v>
      </c>
      <c r="J23" s="217"/>
    </row>
    <row r="24" spans="1:13" s="5" customFormat="1" ht="11.25" x14ac:dyDescent="0.25">
      <c r="C24" s="3"/>
      <c r="D24" s="9"/>
      <c r="F24" s="5" t="s">
        <v>26</v>
      </c>
      <c r="G24" s="18">
        <v>0</v>
      </c>
      <c r="H24" s="54"/>
    </row>
    <row r="25" spans="1:13" x14ac:dyDescent="0.25">
      <c r="A25" s="5"/>
      <c r="B25" s="5"/>
      <c r="C25" s="3"/>
      <c r="D25" s="9"/>
      <c r="E25" s="5"/>
      <c r="F25" s="56" t="s">
        <v>27</v>
      </c>
      <c r="G25" s="18"/>
      <c r="H25" s="54"/>
      <c r="J25" s="5"/>
      <c r="K25" s="20"/>
      <c r="L25" s="20"/>
      <c r="M25" s="20"/>
    </row>
    <row r="26" spans="1:13" x14ac:dyDescent="0.25">
      <c r="B26" s="21"/>
      <c r="C26" s="3"/>
      <c r="D26" s="9"/>
      <c r="E26" s="5"/>
      <c r="F26" s="5" t="s">
        <v>28</v>
      </c>
      <c r="G26" s="18">
        <v>0</v>
      </c>
      <c r="H26" s="54"/>
      <c r="J26" s="5"/>
      <c r="K26" s="21"/>
      <c r="L26" s="21"/>
      <c r="M26" s="21"/>
    </row>
    <row r="27" spans="1:13" x14ac:dyDescent="0.25">
      <c r="B27" s="21"/>
      <c r="C27" s="3"/>
      <c r="D27" s="9"/>
      <c r="E27" s="5"/>
      <c r="F27" s="177" t="s">
        <v>29</v>
      </c>
      <c r="G27" s="177" t="s">
        <v>30</v>
      </c>
      <c r="H27" s="214"/>
      <c r="J27" s="5"/>
      <c r="K27" s="21"/>
      <c r="L27" s="21"/>
      <c r="M27" s="21"/>
    </row>
    <row r="28" spans="1:13" x14ac:dyDescent="0.25">
      <c r="B28" s="21" t="s">
        <v>31</v>
      </c>
      <c r="C28" s="130"/>
      <c r="D28" s="5"/>
      <c r="E28" s="5"/>
      <c r="F28" s="5" t="s">
        <v>425</v>
      </c>
      <c r="G28" s="18">
        <v>0.02</v>
      </c>
      <c r="H28" s="218"/>
      <c r="J28" s="21"/>
      <c r="K28" s="21"/>
      <c r="L28" s="21"/>
      <c r="M28" s="21"/>
    </row>
    <row r="29" spans="1:13" x14ac:dyDescent="0.25">
      <c r="B29" s="21"/>
      <c r="C29" s="229" t="s">
        <v>32</v>
      </c>
      <c r="D29" s="21"/>
      <c r="E29" s="5"/>
      <c r="F29" s="219" t="s">
        <v>5</v>
      </c>
      <c r="G29" s="54"/>
      <c r="J29" s="5"/>
      <c r="K29" s="9"/>
      <c r="L29" s="9"/>
      <c r="M29" s="218"/>
    </row>
    <row r="30" spans="1:13" x14ac:dyDescent="0.25">
      <c r="B30" s="5"/>
      <c r="C30" s="3"/>
      <c r="D30" s="21"/>
      <c r="E30" s="5"/>
      <c r="F30" s="5"/>
      <c r="G30" s="54"/>
      <c r="J30" s="5"/>
      <c r="K30" s="216"/>
      <c r="L30" s="5"/>
    </row>
    <row r="31" spans="1:13" x14ac:dyDescent="0.25">
      <c r="B31" s="21" t="s">
        <v>478</v>
      </c>
      <c r="C31" s="130"/>
      <c r="D31" s="21"/>
      <c r="E31" s="5"/>
      <c r="F31" s="5"/>
      <c r="G31" s="54"/>
      <c r="K31" s="216"/>
      <c r="L31" s="5"/>
    </row>
    <row r="32" spans="1:13" x14ac:dyDescent="0.25">
      <c r="B32" s="5"/>
      <c r="C32" s="3"/>
      <c r="D32" s="21"/>
      <c r="E32" s="5"/>
      <c r="F32" s="5"/>
      <c r="G32" s="54"/>
    </row>
    <row r="33" spans="2:7" x14ac:dyDescent="0.25">
      <c r="B33" s="21" t="s">
        <v>33</v>
      </c>
      <c r="C33" s="130"/>
      <c r="D33" s="21"/>
      <c r="E33" s="5"/>
      <c r="F33" s="5"/>
      <c r="G33" s="5"/>
    </row>
    <row r="34" spans="2:7" x14ac:dyDescent="0.25">
      <c r="B34" s="21"/>
      <c r="C34" s="229" t="s">
        <v>32</v>
      </c>
      <c r="D34" s="38"/>
      <c r="E34" s="21"/>
      <c r="F34" s="5"/>
      <c r="G34" s="5"/>
    </row>
    <row r="35" spans="2:7" x14ac:dyDescent="0.25">
      <c r="B35" s="5"/>
      <c r="C35" s="130" t="s">
        <v>34</v>
      </c>
      <c r="D35" s="5"/>
      <c r="E35" s="21"/>
      <c r="F35" s="5"/>
      <c r="G35" s="5"/>
    </row>
  </sheetData>
  <mergeCells count="8">
    <mergeCell ref="B1:H1"/>
    <mergeCell ref="B7:D7"/>
    <mergeCell ref="A10:A11"/>
    <mergeCell ref="B10:B11"/>
    <mergeCell ref="C10:C11"/>
    <mergeCell ref="D10:D11"/>
    <mergeCell ref="E10:G10"/>
    <mergeCell ref="H10:H11"/>
  </mergeCells>
  <pageMargins left="0" right="0" top="0.39374999999999999" bottom="0.39374999999999999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MJ76"/>
  <sheetViews>
    <sheetView tabSelected="1" view="pageBreakPreview" zoomScaleNormal="115" zoomScaleSheetLayoutView="100" zoomScalePageLayoutView="115" workbookViewId="0">
      <selection activeCell="C41" sqref="C41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6" style="20" customWidth="1"/>
    <col min="5" max="5" width="7.5703125" style="20" customWidth="1"/>
    <col min="6" max="6" width="5" style="20" hidden="1" customWidth="1"/>
    <col min="7" max="17" width="5" style="20" customWidth="1"/>
    <col min="18" max="18" width="36.140625" style="20" customWidth="1"/>
    <col min="19" max="1024" width="37.140625" style="20" customWidth="1"/>
    <col min="1025" max="16384" width="9" style="198"/>
  </cols>
  <sheetData>
    <row r="1" spans="1:18" s="21" customFormat="1" ht="12" thickBot="1" x14ac:dyDescent="0.3">
      <c r="B1" s="5"/>
      <c r="C1" s="3"/>
      <c r="D1" s="309" t="s">
        <v>35</v>
      </c>
      <c r="E1" s="201">
        <v>1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</row>
    <row r="2" spans="1:18" x14ac:dyDescent="0.25">
      <c r="A2" s="5"/>
      <c r="B2" s="5"/>
      <c r="C2" s="3"/>
      <c r="D2" s="177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1"/>
    </row>
    <row r="3" spans="1:18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21"/>
    </row>
    <row r="4" spans="1:18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21"/>
    </row>
    <row r="5" spans="1:18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21"/>
    </row>
    <row r="6" spans="1:18" x14ac:dyDescent="0.25">
      <c r="A6" s="308" t="str">
        <f>KOP!A6</f>
        <v>Pasūtījuma Nr.EA-79-16</v>
      </c>
      <c r="B6" s="177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1"/>
    </row>
    <row r="7" spans="1:18" x14ac:dyDescent="0.25">
      <c r="B7" s="5"/>
      <c r="C7" s="222" t="s">
        <v>479</v>
      </c>
      <c r="D7" s="5" t="s">
        <v>37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1"/>
    </row>
    <row r="8" spans="1:18" x14ac:dyDescent="0.25">
      <c r="A8" s="316" t="s">
        <v>39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45">
        <f>Q66</f>
        <v>0</v>
      </c>
    </row>
    <row r="9" spans="1:18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309" t="s">
        <v>476</v>
      </c>
    </row>
    <row r="10" spans="1:18" x14ac:dyDescent="0.25">
      <c r="A10" s="5"/>
      <c r="B10" s="5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97"/>
      <c r="Q10" s="21"/>
    </row>
    <row r="11" spans="1:18" ht="10.5" customHeight="1" x14ac:dyDescent="0.25">
      <c r="A11" s="320" t="s">
        <v>1</v>
      </c>
      <c r="B11" s="320" t="s">
        <v>40</v>
      </c>
      <c r="C11" s="321" t="s">
        <v>41</v>
      </c>
      <c r="D11" s="322" t="s">
        <v>42</v>
      </c>
      <c r="E11" s="324" t="s">
        <v>43</v>
      </c>
      <c r="F11" s="179"/>
      <c r="G11" s="326" t="s">
        <v>44</v>
      </c>
      <c r="H11" s="327"/>
      <c r="I11" s="327"/>
      <c r="J11" s="327"/>
      <c r="K11" s="327"/>
      <c r="L11" s="328"/>
      <c r="M11" s="326" t="s">
        <v>45</v>
      </c>
      <c r="N11" s="327"/>
      <c r="O11" s="327"/>
      <c r="P11" s="327"/>
      <c r="Q11" s="328"/>
      <c r="R11" s="21"/>
    </row>
    <row r="12" spans="1:18" ht="54.75" customHeight="1" x14ac:dyDescent="0.25">
      <c r="A12" s="320"/>
      <c r="B12" s="320"/>
      <c r="C12" s="321"/>
      <c r="D12" s="323"/>
      <c r="E12" s="325"/>
      <c r="F12" s="179"/>
      <c r="G12" s="179" t="s">
        <v>46</v>
      </c>
      <c r="H12" s="22" t="s">
        <v>480</v>
      </c>
      <c r="I12" s="22" t="s">
        <v>47</v>
      </c>
      <c r="J12" s="22" t="s">
        <v>481</v>
      </c>
      <c r="K12" s="22" t="s">
        <v>48</v>
      </c>
      <c r="L12" s="22" t="s">
        <v>482</v>
      </c>
      <c r="M12" s="179" t="s">
        <v>50</v>
      </c>
      <c r="N12" s="22" t="s">
        <v>47</v>
      </c>
      <c r="O12" s="22" t="s">
        <v>483</v>
      </c>
      <c r="P12" s="22" t="s">
        <v>48</v>
      </c>
      <c r="Q12" s="22" t="s">
        <v>49</v>
      </c>
      <c r="R12" s="21"/>
    </row>
    <row r="13" spans="1:18" x14ac:dyDescent="0.25">
      <c r="A13" s="23">
        <v>1</v>
      </c>
      <c r="B13" s="23">
        <f>A13+1</f>
        <v>2</v>
      </c>
      <c r="C13" s="224">
        <v>3</v>
      </c>
      <c r="D13" s="23">
        <f>C13+1</f>
        <v>4</v>
      </c>
      <c r="E13" s="23">
        <f>D13+1</f>
        <v>5</v>
      </c>
      <c r="F13" s="131"/>
      <c r="G13" s="23">
        <f>E13+1</f>
        <v>6</v>
      </c>
      <c r="H13" s="23">
        <f t="shared" ref="H13:Q13" si="0">G13+1</f>
        <v>7</v>
      </c>
      <c r="I13" s="23">
        <f t="shared" si="0"/>
        <v>8</v>
      </c>
      <c r="J13" s="23">
        <f t="shared" si="0"/>
        <v>9</v>
      </c>
      <c r="K13" s="23">
        <f t="shared" si="0"/>
        <v>10</v>
      </c>
      <c r="L13" s="23">
        <f t="shared" si="0"/>
        <v>11</v>
      </c>
      <c r="M13" s="23">
        <f t="shared" si="0"/>
        <v>12</v>
      </c>
      <c r="N13" s="23">
        <f t="shared" si="0"/>
        <v>13</v>
      </c>
      <c r="O13" s="23">
        <f t="shared" si="0"/>
        <v>14</v>
      </c>
      <c r="P13" s="23">
        <f t="shared" si="0"/>
        <v>15</v>
      </c>
      <c r="Q13" s="23">
        <f t="shared" si="0"/>
        <v>16</v>
      </c>
      <c r="R13" s="21"/>
    </row>
    <row r="14" spans="1:18" s="21" customFormat="1" ht="11.25" x14ac:dyDescent="0.25">
      <c r="A14" s="185">
        <f>IF(COUNTBLANK(B14)=1," ",COUNTA($B$14:B14))</f>
        <v>1</v>
      </c>
      <c r="B14" s="121" t="s">
        <v>51</v>
      </c>
      <c r="C14" s="87" t="s">
        <v>52</v>
      </c>
      <c r="D14" s="185" t="s">
        <v>53</v>
      </c>
      <c r="E14" s="122">
        <v>143</v>
      </c>
      <c r="F14" s="42"/>
      <c r="G14" s="42"/>
      <c r="H14" s="24"/>
      <c r="I14" s="42"/>
      <c r="J14" s="42"/>
      <c r="K14" s="42"/>
      <c r="L14" s="25"/>
      <c r="M14" s="26"/>
      <c r="N14" s="26"/>
      <c r="O14" s="26"/>
      <c r="P14" s="26"/>
      <c r="Q14" s="26"/>
    </row>
    <row r="15" spans="1:18" x14ac:dyDescent="0.25">
      <c r="A15" s="185" t="str">
        <f>IF(COUNTBLANK(B15)=1," ",COUNTA($B$14:B15))</f>
        <v xml:space="preserve"> </v>
      </c>
      <c r="B15" s="121"/>
      <c r="C15" s="87" t="s">
        <v>55</v>
      </c>
      <c r="D15" s="185" t="s">
        <v>56</v>
      </c>
      <c r="E15" s="27">
        <f>ROUND(E14*F15,0)</f>
        <v>41</v>
      </c>
      <c r="F15" s="43">
        <v>0.28499999999999998</v>
      </c>
      <c r="G15" s="42"/>
      <c r="H15" s="43"/>
      <c r="I15" s="42"/>
      <c r="J15" s="185"/>
      <c r="K15" s="42"/>
      <c r="L15" s="25"/>
      <c r="M15" s="26"/>
      <c r="N15" s="26"/>
      <c r="O15" s="26"/>
      <c r="P15" s="26"/>
      <c r="Q15" s="26"/>
      <c r="R15" s="21"/>
    </row>
    <row r="16" spans="1:18" x14ac:dyDescent="0.25">
      <c r="A16" s="185" t="str">
        <f>IF(COUNTBLANK(B16)=1," ",COUNTA($B$14:B16))</f>
        <v xml:space="preserve"> </v>
      </c>
      <c r="B16" s="121"/>
      <c r="C16" s="87" t="s">
        <v>57</v>
      </c>
      <c r="D16" s="185" t="s">
        <v>56</v>
      </c>
      <c r="E16" s="27">
        <f>ROUND(E14*F16,0)+1</f>
        <v>42</v>
      </c>
      <c r="F16" s="43">
        <f>F15</f>
        <v>0.28499999999999998</v>
      </c>
      <c r="G16" s="42"/>
      <c r="H16" s="43"/>
      <c r="I16" s="42"/>
      <c r="J16" s="185"/>
      <c r="K16" s="42"/>
      <c r="L16" s="25"/>
      <c r="M16" s="26"/>
      <c r="N16" s="26"/>
      <c r="O16" s="26"/>
      <c r="P16" s="26"/>
      <c r="Q16" s="26"/>
      <c r="R16" s="21"/>
    </row>
    <row r="17" spans="1:234" x14ac:dyDescent="0.25">
      <c r="A17" s="185">
        <f>IF(COUNTBLANK(B17)=1," ",COUNTA($B$14:B17))</f>
        <v>2</v>
      </c>
      <c r="B17" s="121" t="s">
        <v>51</v>
      </c>
      <c r="C17" s="87" t="s">
        <v>58</v>
      </c>
      <c r="D17" s="185" t="s">
        <v>53</v>
      </c>
      <c r="E17" s="122">
        <v>143</v>
      </c>
      <c r="F17" s="42"/>
      <c r="G17" s="42"/>
      <c r="H17" s="24"/>
      <c r="I17" s="42"/>
      <c r="J17" s="42"/>
      <c r="K17" s="42"/>
      <c r="L17" s="25"/>
      <c r="M17" s="26"/>
      <c r="N17" s="26"/>
      <c r="O17" s="26"/>
      <c r="P17" s="26"/>
      <c r="Q17" s="26"/>
      <c r="R17" s="21"/>
    </row>
    <row r="18" spans="1:234" s="21" customFormat="1" ht="11.25" x14ac:dyDescent="0.25">
      <c r="A18" s="185">
        <f>IF(COUNTBLANK(B18)=1," ",COUNTA($B$14:B18))</f>
        <v>3</v>
      </c>
      <c r="B18" s="121" t="s">
        <v>51</v>
      </c>
      <c r="C18" s="87" t="s">
        <v>59</v>
      </c>
      <c r="D18" s="185" t="s">
        <v>60</v>
      </c>
      <c r="E18" s="122">
        <f>11.6*16.5*2+48*16.5*2</f>
        <v>1966.8</v>
      </c>
      <c r="F18" s="42"/>
      <c r="G18" s="42"/>
      <c r="H18" s="24"/>
      <c r="I18" s="42"/>
      <c r="J18" s="42"/>
      <c r="K18" s="42"/>
      <c r="L18" s="25"/>
      <c r="M18" s="26"/>
      <c r="N18" s="26"/>
      <c r="O18" s="26"/>
      <c r="P18" s="26"/>
      <c r="Q18" s="26"/>
    </row>
    <row r="19" spans="1:234" x14ac:dyDescent="0.25">
      <c r="A19" s="185" t="str">
        <f>IF(COUNTBLANK(B19)=1," ",COUNTA($B$14:B19))</f>
        <v xml:space="preserve"> </v>
      </c>
      <c r="B19" s="121"/>
      <c r="C19" s="87" t="s">
        <v>61</v>
      </c>
      <c r="D19" s="185" t="s">
        <v>60</v>
      </c>
      <c r="E19" s="28">
        <f>ROUNDUP(E18*F19,0)</f>
        <v>1967</v>
      </c>
      <c r="F19" s="43">
        <v>1</v>
      </c>
      <c r="G19" s="42"/>
      <c r="H19" s="43"/>
      <c r="I19" s="42"/>
      <c r="J19" s="42"/>
      <c r="K19" s="42"/>
      <c r="L19" s="25"/>
      <c r="M19" s="26"/>
      <c r="N19" s="26"/>
      <c r="O19" s="26"/>
      <c r="P19" s="26"/>
      <c r="Q19" s="26"/>
      <c r="R19" s="21"/>
    </row>
    <row r="20" spans="1:234" x14ac:dyDescent="0.25">
      <c r="A20" s="185" t="str">
        <f>IF(COUNTBLANK(B20)=1," ",COUNTA($B$14:B20))</f>
        <v xml:space="preserve"> </v>
      </c>
      <c r="B20" s="121"/>
      <c r="C20" s="87" t="s">
        <v>62</v>
      </c>
      <c r="D20" s="185" t="s">
        <v>60</v>
      </c>
      <c r="E20" s="28">
        <f>ROUNDUP(E18*F20,2)</f>
        <v>2163.48</v>
      </c>
      <c r="F20" s="43">
        <v>1.1000000000000001</v>
      </c>
      <c r="G20" s="42"/>
      <c r="H20" s="43"/>
      <c r="I20" s="42"/>
      <c r="J20" s="42"/>
      <c r="K20" s="42"/>
      <c r="L20" s="25"/>
      <c r="M20" s="26"/>
      <c r="N20" s="26"/>
      <c r="O20" s="26"/>
      <c r="P20" s="26"/>
      <c r="Q20" s="26"/>
      <c r="R20" s="29"/>
    </row>
    <row r="21" spans="1:234" x14ac:dyDescent="0.25">
      <c r="A21" s="185">
        <f>IF(COUNTBLANK(B21)=1," ",COUNTA($B$14:B21))</f>
        <v>4</v>
      </c>
      <c r="B21" s="121" t="s">
        <v>51</v>
      </c>
      <c r="C21" s="87" t="s">
        <v>63</v>
      </c>
      <c r="D21" s="185" t="s">
        <v>56</v>
      </c>
      <c r="E21" s="122">
        <v>1</v>
      </c>
      <c r="F21" s="42"/>
      <c r="G21" s="42"/>
      <c r="H21" s="24"/>
      <c r="I21" s="42"/>
      <c r="J21" s="42"/>
      <c r="K21" s="42"/>
      <c r="L21" s="25"/>
      <c r="M21" s="26"/>
      <c r="N21" s="26"/>
      <c r="O21" s="26"/>
      <c r="P21" s="26"/>
      <c r="Q21" s="26"/>
      <c r="R21" s="29"/>
    </row>
    <row r="22" spans="1:234" x14ac:dyDescent="0.25">
      <c r="A22" s="185" t="str">
        <f>IF(COUNTBLANK(B22)=1," ",COUNTA($B$14:B22))</f>
        <v xml:space="preserve"> </v>
      </c>
      <c r="B22" s="121"/>
      <c r="C22" s="87" t="s">
        <v>64</v>
      </c>
      <c r="D22" s="185" t="s">
        <v>65</v>
      </c>
      <c r="E22" s="122">
        <v>10</v>
      </c>
      <c r="F22" s="42"/>
      <c r="G22" s="42"/>
      <c r="H22" s="43"/>
      <c r="I22" s="42"/>
      <c r="J22" s="42"/>
      <c r="K22" s="42"/>
      <c r="L22" s="25"/>
      <c r="M22" s="26"/>
      <c r="N22" s="26"/>
      <c r="O22" s="26"/>
      <c r="P22" s="26"/>
      <c r="Q22" s="26"/>
      <c r="R22" s="29"/>
    </row>
    <row r="23" spans="1:234" s="5" customFormat="1" ht="11.25" x14ac:dyDescent="0.25">
      <c r="A23" s="185">
        <f>IF(COUNTBLANK(B23)=1," ",COUNTA($B$14:B23))</f>
        <v>5</v>
      </c>
      <c r="B23" s="121" t="s">
        <v>51</v>
      </c>
      <c r="C23" s="87" t="s">
        <v>66</v>
      </c>
      <c r="D23" s="185" t="s">
        <v>56</v>
      </c>
      <c r="E23" s="122">
        <v>1</v>
      </c>
      <c r="F23" s="42"/>
      <c r="G23" s="42"/>
      <c r="H23" s="24"/>
      <c r="I23" s="42"/>
      <c r="J23" s="42"/>
      <c r="K23" s="42"/>
      <c r="L23" s="25"/>
      <c r="M23" s="26"/>
      <c r="N23" s="26"/>
      <c r="O23" s="26"/>
      <c r="P23" s="26"/>
      <c r="Q23" s="26"/>
      <c r="R23" s="54"/>
    </row>
    <row r="24" spans="1:234" s="183" customFormat="1" ht="11.25" x14ac:dyDescent="0.25">
      <c r="A24" s="185">
        <f>IF(COUNTBLANK(B24)=1," ",COUNTA($B$14:B24))</f>
        <v>6</v>
      </c>
      <c r="B24" s="121" t="s">
        <v>51</v>
      </c>
      <c r="C24" s="87" t="s">
        <v>67</v>
      </c>
      <c r="D24" s="185" t="s">
        <v>56</v>
      </c>
      <c r="E24" s="122">
        <v>1</v>
      </c>
      <c r="F24" s="129"/>
      <c r="G24" s="42"/>
      <c r="H24" s="24"/>
      <c r="I24" s="42"/>
      <c r="J24" s="42"/>
      <c r="K24" s="42"/>
      <c r="L24" s="25"/>
      <c r="M24" s="26"/>
      <c r="N24" s="26"/>
      <c r="O24" s="26"/>
      <c r="P24" s="26"/>
      <c r="Q24" s="26"/>
    </row>
    <row r="25" spans="1:234" s="5" customFormat="1" ht="11.25" x14ac:dyDescent="0.25">
      <c r="A25" s="185">
        <f>IF(COUNTBLANK(B25)=1," ",COUNTA($B$14:B25))</f>
        <v>7</v>
      </c>
      <c r="B25" s="121" t="s">
        <v>51</v>
      </c>
      <c r="C25" s="57" t="s">
        <v>68</v>
      </c>
      <c r="D25" s="180" t="s">
        <v>56</v>
      </c>
      <c r="E25" s="27">
        <v>1</v>
      </c>
      <c r="F25" s="185"/>
      <c r="G25" s="42"/>
      <c r="H25" s="24"/>
      <c r="I25" s="42"/>
      <c r="J25" s="42"/>
      <c r="K25" s="42"/>
      <c r="L25" s="25"/>
      <c r="M25" s="26"/>
      <c r="N25" s="26"/>
      <c r="O25" s="26"/>
      <c r="P25" s="26"/>
      <c r="Q25" s="26"/>
    </row>
    <row r="26" spans="1:234" x14ac:dyDescent="0.25">
      <c r="A26" s="185">
        <f>IF(COUNTBLANK(B26)=1," ",COUNTA($B$14:B26))</f>
        <v>8</v>
      </c>
      <c r="B26" s="121" t="s">
        <v>51</v>
      </c>
      <c r="C26" s="161" t="s">
        <v>69</v>
      </c>
      <c r="D26" s="142" t="s">
        <v>53</v>
      </c>
      <c r="E26" s="268">
        <f>apjoms!Q17</f>
        <v>339.86400000000003</v>
      </c>
      <c r="F26" s="129"/>
      <c r="G26" s="43"/>
      <c r="H26" s="24"/>
      <c r="I26" s="43"/>
      <c r="J26" s="43"/>
      <c r="K26" s="43"/>
      <c r="L26" s="25"/>
      <c r="M26" s="26"/>
      <c r="N26" s="26"/>
      <c r="O26" s="26"/>
      <c r="P26" s="26"/>
      <c r="Q26" s="26"/>
      <c r="R26" s="21"/>
    </row>
    <row r="27" spans="1:234" s="5" customFormat="1" ht="33.75" x14ac:dyDescent="0.25">
      <c r="A27" s="185">
        <f>IF(COUNTBLANK(B27)=1," ",COUNTA($B$14:B27))</f>
        <v>9</v>
      </c>
      <c r="B27" s="121" t="s">
        <v>51</v>
      </c>
      <c r="C27" s="93" t="s">
        <v>70</v>
      </c>
      <c r="D27" s="129" t="s">
        <v>60</v>
      </c>
      <c r="E27" s="143">
        <f>apjoms!D19</f>
        <v>1195</v>
      </c>
      <c r="F27" s="185"/>
      <c r="G27" s="42"/>
      <c r="H27" s="43"/>
      <c r="I27" s="42"/>
      <c r="J27" s="124"/>
      <c r="K27" s="185"/>
      <c r="L27" s="25"/>
      <c r="M27" s="26"/>
      <c r="N27" s="26"/>
      <c r="O27" s="26"/>
      <c r="P27" s="26"/>
      <c r="Q27" s="26"/>
      <c r="R27" s="21"/>
    </row>
    <row r="28" spans="1:234" s="38" customFormat="1" ht="45" x14ac:dyDescent="0.25">
      <c r="A28" s="185">
        <f>IF(COUNTBLANK(B28)=1," ",COUNTA($B$14:B28))</f>
        <v>10</v>
      </c>
      <c r="B28" s="121" t="s">
        <v>51</v>
      </c>
      <c r="C28" s="87" t="str">
        <f>apjoms!B19</f>
        <v>Garensienas, grunts, siltinājums - akmensvate ( ekvivalentsTechnofacade Cottage vai  ekvivalents, λ=0,036W/m²K, b=150mm), līmjava, grunts. Vieglbetona panelis 250mm</v>
      </c>
      <c r="D28" s="129" t="s">
        <v>60</v>
      </c>
      <c r="E28" s="34">
        <f>apjoms!D19</f>
        <v>1195</v>
      </c>
      <c r="F28" s="43"/>
      <c r="G28" s="43"/>
      <c r="H28" s="24"/>
      <c r="I28" s="35"/>
      <c r="J28" s="36"/>
      <c r="K28" s="37"/>
      <c r="L28" s="25"/>
      <c r="M28" s="26"/>
      <c r="N28" s="26"/>
      <c r="O28" s="26"/>
      <c r="P28" s="26"/>
      <c r="Q28" s="26"/>
      <c r="R28" s="21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</row>
    <row r="29" spans="1:234" x14ac:dyDescent="0.25">
      <c r="A29" s="185" t="str">
        <f>IF(COUNTBLANK(B29)=1," ",COUNTA($B$14:B29))</f>
        <v xml:space="preserve"> </v>
      </c>
      <c r="B29" s="121"/>
      <c r="C29" s="259" t="s">
        <v>432</v>
      </c>
      <c r="D29" s="180" t="s">
        <v>72</v>
      </c>
      <c r="E29" s="42">
        <f>ROUNDUP(E28*F29,2)</f>
        <v>358.5</v>
      </c>
      <c r="F29" s="43">
        <v>0.3</v>
      </c>
      <c r="G29" s="43"/>
      <c r="H29" s="24"/>
      <c r="I29" s="43"/>
      <c r="J29" s="43"/>
      <c r="K29" s="43"/>
      <c r="L29" s="25"/>
      <c r="M29" s="26"/>
      <c r="N29" s="26"/>
      <c r="O29" s="26"/>
      <c r="P29" s="26"/>
      <c r="Q29" s="26"/>
      <c r="R29" s="38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</row>
    <row r="30" spans="1:234" x14ac:dyDescent="0.25">
      <c r="A30" s="251"/>
      <c r="B30" s="252"/>
      <c r="C30" s="57" t="s">
        <v>497</v>
      </c>
      <c r="D30" s="180" t="s">
        <v>72</v>
      </c>
      <c r="E30" s="261">
        <f>ROUNDUP(E28*F30,2)</f>
        <v>7170</v>
      </c>
      <c r="F30" s="43">
        <v>6</v>
      </c>
      <c r="G30" s="255"/>
      <c r="H30" s="256"/>
      <c r="I30" s="255"/>
      <c r="J30" s="255"/>
      <c r="K30" s="255"/>
      <c r="L30" s="257"/>
      <c r="M30" s="258"/>
      <c r="N30" s="258"/>
      <c r="O30" s="258"/>
      <c r="P30" s="258"/>
      <c r="Q30" s="258"/>
      <c r="R30" s="38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</row>
    <row r="31" spans="1:234" x14ac:dyDescent="0.25">
      <c r="A31" s="185" t="str">
        <f>IF(COUNTBLANK(B31)=1," ",COUNTA($B$14:B31))</f>
        <v xml:space="preserve"> </v>
      </c>
      <c r="B31" s="180"/>
      <c r="C31" s="57" t="s">
        <v>73</v>
      </c>
      <c r="D31" s="185" t="s">
        <v>60</v>
      </c>
      <c r="E31" s="261">
        <f>ROUNDUP(E28*F31,2)</f>
        <v>1314.5</v>
      </c>
      <c r="F31" s="43">
        <v>1.1000000000000001</v>
      </c>
      <c r="G31" s="43"/>
      <c r="H31" s="43"/>
      <c r="I31" s="43"/>
      <c r="J31" s="43"/>
      <c r="K31" s="43"/>
      <c r="L31" s="25"/>
      <c r="M31" s="26"/>
      <c r="N31" s="26"/>
      <c r="O31" s="26"/>
      <c r="P31" s="26"/>
      <c r="Q31" s="26"/>
      <c r="R31" s="3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</row>
    <row r="32" spans="1:234" ht="45" x14ac:dyDescent="0.25">
      <c r="A32" s="185" t="str">
        <f>IF(COUNTBLANK(B32)=1," ",COUNTA($B$14:B32))</f>
        <v xml:space="preserve"> </v>
      </c>
      <c r="B32" s="180"/>
      <c r="C32" s="87" t="s">
        <v>74</v>
      </c>
      <c r="D32" s="185" t="s">
        <v>56</v>
      </c>
      <c r="E32" s="42">
        <f>ROUNDUP(E28*F32,0)</f>
        <v>9560</v>
      </c>
      <c r="F32" s="43">
        <v>8</v>
      </c>
      <c r="G32" s="43"/>
      <c r="H32" s="43"/>
      <c r="I32" s="43"/>
      <c r="J32" s="43"/>
      <c r="K32" s="43"/>
      <c r="L32" s="25"/>
      <c r="M32" s="26"/>
      <c r="N32" s="26"/>
      <c r="O32" s="26"/>
      <c r="P32" s="26"/>
      <c r="Q32" s="26"/>
      <c r="R32" s="3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</row>
    <row r="33" spans="1:234" ht="25.5" customHeight="1" x14ac:dyDescent="0.25">
      <c r="A33" s="185"/>
      <c r="B33" s="121"/>
      <c r="C33" s="93" t="s">
        <v>75</v>
      </c>
      <c r="D33" s="129"/>
      <c r="E33" s="34"/>
      <c r="F33" s="185"/>
      <c r="G33" s="185"/>
      <c r="H33" s="185"/>
      <c r="I33" s="185"/>
      <c r="J33" s="42"/>
      <c r="K33" s="42"/>
      <c r="L33" s="25"/>
      <c r="M33" s="26"/>
      <c r="N33" s="26"/>
      <c r="O33" s="26"/>
      <c r="P33" s="26"/>
      <c r="Q33" s="26"/>
      <c r="R33" s="21"/>
      <c r="S33" s="319"/>
    </row>
    <row r="34" spans="1:234" x14ac:dyDescent="0.25">
      <c r="A34" s="185">
        <f>IF(COUNTBLANK(B34)=1," ",COUNTA($B$14:B34))</f>
        <v>11</v>
      </c>
      <c r="B34" s="121" t="s">
        <v>51</v>
      </c>
      <c r="C34" s="87" t="s">
        <v>76</v>
      </c>
      <c r="D34" s="129" t="s">
        <v>60</v>
      </c>
      <c r="E34" s="144">
        <f>apjoms!D20</f>
        <v>72</v>
      </c>
      <c r="F34" s="185"/>
      <c r="G34" s="42"/>
      <c r="H34" s="24"/>
      <c r="I34" s="42"/>
      <c r="J34" s="42"/>
      <c r="K34" s="42"/>
      <c r="L34" s="25"/>
      <c r="M34" s="26"/>
      <c r="N34" s="26"/>
      <c r="O34" s="26"/>
      <c r="P34" s="26"/>
      <c r="Q34" s="26"/>
      <c r="R34" s="21"/>
      <c r="S34" s="319"/>
    </row>
    <row r="35" spans="1:234" x14ac:dyDescent="0.25">
      <c r="A35" s="185" t="str">
        <f>IF(COUNTBLANK(B35)=1," ",COUNTA($B$14:B35))</f>
        <v xml:space="preserve"> </v>
      </c>
      <c r="B35" s="185"/>
      <c r="C35" s="87" t="s">
        <v>426</v>
      </c>
      <c r="D35" s="42" t="s">
        <v>72</v>
      </c>
      <c r="E35" s="42">
        <f>ROUNDUP(E34*F35,2)</f>
        <v>432</v>
      </c>
      <c r="F35" s="185">
        <v>6</v>
      </c>
      <c r="G35" s="42"/>
      <c r="H35" s="42"/>
      <c r="I35" s="42"/>
      <c r="J35" s="42"/>
      <c r="K35" s="42"/>
      <c r="L35" s="25"/>
      <c r="M35" s="26"/>
      <c r="N35" s="26"/>
      <c r="O35" s="26"/>
      <c r="P35" s="26"/>
      <c r="Q35" s="26"/>
      <c r="R35" s="21"/>
      <c r="S35" s="319"/>
    </row>
    <row r="36" spans="1:234" s="40" customFormat="1" ht="56.25" x14ac:dyDescent="0.25">
      <c r="A36" s="185">
        <f>IF(COUNTBLANK(B36)=1," ",COUNTA($B$14:B36))</f>
        <v>12</v>
      </c>
      <c r="B36" s="121" t="s">
        <v>51</v>
      </c>
      <c r="C36" s="87" t="str">
        <f>apjoms!B20</f>
        <v>Ēkas sienas un balkona plātnes pieslēguma vietā, grunts, putupolistirola plāksne (Estrudētais putu polistirols Tenapors extra EPS100 vai ekvivalents, λ=0,034W/m²K)  b=150mm, līmjava, vertikālā hidroizolācija, grunts. Vieglbetona panelis 250mm</v>
      </c>
      <c r="D36" s="129" t="s">
        <v>60</v>
      </c>
      <c r="E36" s="34">
        <f>E34</f>
        <v>72</v>
      </c>
      <c r="F36" s="185"/>
      <c r="G36" s="42"/>
      <c r="H36" s="24"/>
      <c r="I36" s="42"/>
      <c r="J36" s="124"/>
      <c r="K36" s="185"/>
      <c r="L36" s="25"/>
      <c r="M36" s="26"/>
      <c r="N36" s="26"/>
      <c r="O36" s="26"/>
      <c r="P36" s="26"/>
      <c r="Q36" s="26"/>
      <c r="R36" s="21"/>
      <c r="S36" s="319"/>
    </row>
    <row r="37" spans="1:234" s="38" customFormat="1" ht="11.25" x14ac:dyDescent="0.25">
      <c r="A37" s="185" t="str">
        <f>IF(COUNTBLANK(B37)=1," ",COUNTA($B$14:B37))</f>
        <v xml:space="preserve"> </v>
      </c>
      <c r="B37" s="121"/>
      <c r="C37" s="259" t="s">
        <v>432</v>
      </c>
      <c r="D37" s="180" t="s">
        <v>72</v>
      </c>
      <c r="E37" s="42">
        <f>ROUNDUP(E36*F37,2)</f>
        <v>21.6</v>
      </c>
      <c r="F37" s="43">
        <v>0.3</v>
      </c>
      <c r="G37" s="43"/>
      <c r="H37" s="24"/>
      <c r="I37" s="43"/>
      <c r="J37" s="43"/>
      <c r="K37" s="43"/>
      <c r="L37" s="25"/>
      <c r="M37" s="26"/>
      <c r="N37" s="26"/>
      <c r="O37" s="26"/>
      <c r="P37" s="26"/>
      <c r="Q37" s="26"/>
      <c r="S37" s="31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</row>
    <row r="38" spans="1:234" x14ac:dyDescent="0.25">
      <c r="A38" s="185" t="str">
        <f>IF(COUNTBLANK(B38)=1," ",COUNTA($B$14:B38))</f>
        <v xml:space="preserve"> </v>
      </c>
      <c r="B38" s="185"/>
      <c r="C38" s="87" t="s">
        <v>73</v>
      </c>
      <c r="D38" s="129" t="s">
        <v>60</v>
      </c>
      <c r="E38" s="42">
        <f>ROUNDUP(E36*F38,0)</f>
        <v>81</v>
      </c>
      <c r="F38" s="41">
        <v>1.1200000000000001</v>
      </c>
      <c r="G38" s="185"/>
      <c r="H38" s="185"/>
      <c r="I38" s="185"/>
      <c r="J38" s="42"/>
      <c r="K38" s="42"/>
      <c r="L38" s="25"/>
      <c r="M38" s="26"/>
      <c r="N38" s="26"/>
      <c r="O38" s="26"/>
      <c r="P38" s="26"/>
      <c r="Q38" s="26"/>
      <c r="R38" s="21"/>
      <c r="S38" s="319"/>
    </row>
    <row r="39" spans="1:234" x14ac:dyDescent="0.25">
      <c r="A39" s="185" t="str">
        <f>IF(COUNTBLANK(B39)=1," ",COUNTA($B$14:B39))</f>
        <v xml:space="preserve"> </v>
      </c>
      <c r="B39" s="185"/>
      <c r="C39" s="87" t="s">
        <v>77</v>
      </c>
      <c r="D39" s="185" t="s">
        <v>72</v>
      </c>
      <c r="E39" s="261">
        <f>ROUNDUP(E36*F39,0)</f>
        <v>360</v>
      </c>
      <c r="F39" s="42">
        <v>5</v>
      </c>
      <c r="G39" s="42"/>
      <c r="H39" s="42"/>
      <c r="I39" s="42"/>
      <c r="J39" s="42"/>
      <c r="K39" s="42"/>
      <c r="L39" s="25"/>
      <c r="M39" s="26"/>
      <c r="N39" s="26"/>
      <c r="O39" s="26"/>
      <c r="P39" s="26"/>
      <c r="Q39" s="26"/>
      <c r="R39" s="21"/>
      <c r="S39" s="319"/>
    </row>
    <row r="40" spans="1:234" ht="45" x14ac:dyDescent="0.25">
      <c r="A40" s="185" t="str">
        <f>IF(COUNTBLANK(B40)=1," ",COUNTA($B$14:B40))</f>
        <v xml:space="preserve"> </v>
      </c>
      <c r="B40" s="185"/>
      <c r="C40" s="87" t="s">
        <v>74</v>
      </c>
      <c r="D40" s="185" t="s">
        <v>56</v>
      </c>
      <c r="E40" s="42">
        <f>ROUNDUP(E36*F40,0)</f>
        <v>576</v>
      </c>
      <c r="F40" s="42">
        <v>8</v>
      </c>
      <c r="G40" s="42"/>
      <c r="H40" s="42"/>
      <c r="I40" s="185"/>
      <c r="J40" s="42"/>
      <c r="K40" s="42"/>
      <c r="L40" s="25"/>
      <c r="M40" s="26"/>
      <c r="N40" s="26"/>
      <c r="O40" s="26"/>
      <c r="P40" s="26"/>
      <c r="Q40" s="26"/>
      <c r="R40" s="39"/>
      <c r="S40" s="319"/>
    </row>
    <row r="41" spans="1:234" s="177" customFormat="1" ht="56.25" x14ac:dyDescent="0.25">
      <c r="A41" s="185">
        <f>IF(COUNTBLANK(B41)=1," ",COUNTA($B$14:B41))</f>
        <v>13</v>
      </c>
      <c r="B41" s="121" t="s">
        <v>51</v>
      </c>
      <c r="C41" s="87" t="s">
        <v>78</v>
      </c>
      <c r="D41" s="182" t="s">
        <v>60</v>
      </c>
      <c r="E41" s="42">
        <f>E27+E36+E47</f>
        <v>1695.4780000000001</v>
      </c>
      <c r="F41" s="43"/>
      <c r="G41" s="43"/>
      <c r="H41" s="24"/>
      <c r="I41" s="43"/>
      <c r="J41" s="43"/>
      <c r="K41" s="43"/>
      <c r="L41" s="25"/>
      <c r="M41" s="26"/>
      <c r="N41" s="26"/>
      <c r="O41" s="26"/>
      <c r="P41" s="26"/>
      <c r="Q41" s="26"/>
      <c r="R41" s="21"/>
    </row>
    <row r="42" spans="1:234" s="5" customFormat="1" ht="11.25" x14ac:dyDescent="0.25">
      <c r="A42" s="185" t="str">
        <f>IF(COUNTBLANK(B42)=1," ",COUNTA($B$14:B42))</f>
        <v xml:space="preserve"> </v>
      </c>
      <c r="B42" s="121"/>
      <c r="C42" s="57" t="s">
        <v>79</v>
      </c>
      <c r="D42" s="180" t="s">
        <v>72</v>
      </c>
      <c r="E42" s="42">
        <f>ROUNDUP(E41*F42,2)</f>
        <v>8477.39</v>
      </c>
      <c r="F42" s="43">
        <v>5</v>
      </c>
      <c r="G42" s="43"/>
      <c r="H42" s="43"/>
      <c r="I42" s="43"/>
      <c r="J42" s="43"/>
      <c r="K42" s="43"/>
      <c r="L42" s="25"/>
      <c r="M42" s="26"/>
      <c r="N42" s="26"/>
      <c r="O42" s="26"/>
      <c r="P42" s="26"/>
      <c r="Q42" s="26"/>
      <c r="R42" s="183"/>
    </row>
    <row r="43" spans="1:234" x14ac:dyDescent="0.25">
      <c r="A43" s="185" t="str">
        <f>IF(COUNTBLANK(B43)=1," ",COUNTA($B$14:B43))</f>
        <v xml:space="preserve"> </v>
      </c>
      <c r="B43" s="121"/>
      <c r="C43" s="57" t="s">
        <v>80</v>
      </c>
      <c r="D43" s="182" t="s">
        <v>60</v>
      </c>
      <c r="E43" s="42">
        <f>ROUNDUP(E41*F43,2)</f>
        <v>1865.03</v>
      </c>
      <c r="F43" s="44">
        <v>1.1000000000000001</v>
      </c>
      <c r="G43" s="43"/>
      <c r="H43" s="43"/>
      <c r="I43" s="43"/>
      <c r="J43" s="43"/>
      <c r="K43" s="43"/>
      <c r="L43" s="25"/>
      <c r="M43" s="26"/>
      <c r="N43" s="26"/>
      <c r="O43" s="26"/>
      <c r="P43" s="26"/>
      <c r="Q43" s="26"/>
      <c r="R43" s="21"/>
    </row>
    <row r="44" spans="1:234" x14ac:dyDescent="0.25">
      <c r="A44" s="185" t="str">
        <f>IF(COUNTBLANK(B44)=1," ",COUNTA($B$14:B44))</f>
        <v xml:space="preserve"> </v>
      </c>
      <c r="B44" s="121"/>
      <c r="C44" s="57" t="s">
        <v>71</v>
      </c>
      <c r="D44" s="180" t="s">
        <v>72</v>
      </c>
      <c r="E44" s="42">
        <f>ROUNDUP(E41*F44,2)</f>
        <v>508.65</v>
      </c>
      <c r="F44" s="43">
        <v>0.3</v>
      </c>
      <c r="G44" s="43"/>
      <c r="H44" s="43"/>
      <c r="I44" s="43"/>
      <c r="J44" s="43"/>
      <c r="K44" s="43"/>
      <c r="L44" s="25"/>
      <c r="M44" s="26"/>
      <c r="N44" s="26"/>
      <c r="O44" s="26"/>
      <c r="P44" s="26"/>
      <c r="Q44" s="26"/>
      <c r="R44" s="21"/>
    </row>
    <row r="45" spans="1:234" ht="22.5" x14ac:dyDescent="0.25">
      <c r="A45" s="185" t="str">
        <f>IF(COUNTBLANK(B45)=1," ",COUNTA($B$14:B45))</f>
        <v xml:space="preserve"> </v>
      </c>
      <c r="B45" s="121"/>
      <c r="C45" s="259" t="s">
        <v>498</v>
      </c>
      <c r="D45" s="145" t="s">
        <v>72</v>
      </c>
      <c r="E45" s="146">
        <f>ROUNDUP(E41*F45,2)</f>
        <v>6273.27</v>
      </c>
      <c r="F45" s="147">
        <v>3.7</v>
      </c>
      <c r="G45" s="147"/>
      <c r="H45" s="43"/>
      <c r="I45" s="43"/>
      <c r="J45" s="43"/>
      <c r="K45" s="43"/>
      <c r="L45" s="25"/>
      <c r="M45" s="26"/>
      <c r="N45" s="26"/>
      <c r="O45" s="26"/>
      <c r="P45" s="26"/>
      <c r="Q45" s="26"/>
      <c r="R45" s="21"/>
    </row>
    <row r="46" spans="1:234" s="9" customFormat="1" ht="11.25" x14ac:dyDescent="0.25">
      <c r="A46" s="185" t="str">
        <f>IF(COUNTBLANK(B46)=1," ",COUNTA($B$14:B46))</f>
        <v xml:space="preserve"> </v>
      </c>
      <c r="B46" s="121"/>
      <c r="C46" s="57" t="s">
        <v>81</v>
      </c>
      <c r="D46" s="145" t="s">
        <v>82</v>
      </c>
      <c r="E46" s="146">
        <f>ROUNDUP(E41*F46,0)</f>
        <v>153</v>
      </c>
      <c r="F46" s="147">
        <v>0.09</v>
      </c>
      <c r="G46" s="147"/>
      <c r="H46" s="43"/>
      <c r="I46" s="43"/>
      <c r="J46" s="43"/>
      <c r="K46" s="43"/>
      <c r="L46" s="25"/>
      <c r="M46" s="26"/>
      <c r="N46" s="26"/>
      <c r="O46" s="26"/>
      <c r="P46" s="26"/>
      <c r="Q46" s="26"/>
      <c r="R46" s="39"/>
    </row>
    <row r="47" spans="1:234" s="5" customFormat="1" ht="33.75" x14ac:dyDescent="0.25">
      <c r="A47" s="185">
        <f>IF(COUNTBLANK(B47)=1," ",COUNTA($B$14:B47))</f>
        <v>14</v>
      </c>
      <c r="B47" s="121" t="s">
        <v>51</v>
      </c>
      <c r="C47" s="57" t="s">
        <v>83</v>
      </c>
      <c r="D47" s="148" t="s">
        <v>60</v>
      </c>
      <c r="E47" s="164">
        <f>apjoms!N17</f>
        <v>428.47800000000001</v>
      </c>
      <c r="F47" s="147"/>
      <c r="G47" s="147"/>
      <c r="H47" s="24"/>
      <c r="I47" s="35"/>
      <c r="J47" s="43"/>
      <c r="K47" s="43"/>
      <c r="L47" s="25"/>
      <c r="M47" s="26"/>
      <c r="N47" s="26"/>
      <c r="O47" s="26"/>
      <c r="P47" s="26"/>
      <c r="Q47" s="26"/>
      <c r="R47" s="21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</row>
    <row r="48" spans="1:234" x14ac:dyDescent="0.25">
      <c r="A48" s="185" t="str">
        <f>IF(COUNTBLANK(B48)=1," ",COUNTA($B$14:B48))</f>
        <v xml:space="preserve"> </v>
      </c>
      <c r="B48" s="121"/>
      <c r="C48" s="57" t="s">
        <v>432</v>
      </c>
      <c r="D48" s="145" t="s">
        <v>84</v>
      </c>
      <c r="E48" s="260">
        <f>E47*F48/3</f>
        <v>42.847799999999999</v>
      </c>
      <c r="F48" s="147">
        <v>0.3</v>
      </c>
      <c r="G48" s="147"/>
      <c r="H48" s="43"/>
      <c r="I48" s="43"/>
      <c r="J48" s="43"/>
      <c r="K48" s="43"/>
      <c r="L48" s="25"/>
      <c r="M48" s="26"/>
      <c r="N48" s="26"/>
      <c r="O48" s="26"/>
      <c r="P48" s="26"/>
      <c r="Q48" s="26"/>
      <c r="R48" s="21"/>
    </row>
    <row r="49" spans="1:234" x14ac:dyDescent="0.25">
      <c r="A49" s="185" t="str">
        <f>IF(COUNTBLANK(B49)=1," ",COUNTA($B$14:B49))</f>
        <v xml:space="preserve"> </v>
      </c>
      <c r="B49" s="121"/>
      <c r="C49" s="57" t="s">
        <v>85</v>
      </c>
      <c r="D49" s="145" t="s">
        <v>60</v>
      </c>
      <c r="E49" s="260">
        <f>E47*F49</f>
        <v>471.32580000000007</v>
      </c>
      <c r="F49" s="147">
        <v>1.1000000000000001</v>
      </c>
      <c r="G49" s="147"/>
      <c r="H49" s="43"/>
      <c r="I49" s="43"/>
      <c r="J49" s="43"/>
      <c r="K49" s="43"/>
      <c r="L49" s="25"/>
      <c r="M49" s="26"/>
      <c r="N49" s="26"/>
      <c r="O49" s="26"/>
      <c r="P49" s="26"/>
      <c r="Q49" s="26"/>
      <c r="R49" s="3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</row>
    <row r="50" spans="1:234" x14ac:dyDescent="0.25">
      <c r="A50" s="185" t="str">
        <f>IF(COUNTBLANK(B50)=1," ",COUNTA($B$14:B50))</f>
        <v xml:space="preserve"> </v>
      </c>
      <c r="B50" s="121"/>
      <c r="C50" s="57" t="s">
        <v>433</v>
      </c>
      <c r="D50" s="145" t="s">
        <v>72</v>
      </c>
      <c r="E50" s="260">
        <f>E47*F50</f>
        <v>2142.39</v>
      </c>
      <c r="F50" s="147">
        <v>5</v>
      </c>
      <c r="G50" s="147"/>
      <c r="H50" s="43"/>
      <c r="I50" s="43"/>
      <c r="J50" s="43"/>
      <c r="K50" s="43"/>
      <c r="L50" s="25"/>
      <c r="M50" s="26"/>
      <c r="N50" s="26"/>
      <c r="O50" s="26"/>
      <c r="P50" s="26"/>
      <c r="Q50" s="26"/>
      <c r="R50" s="38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</row>
    <row r="51" spans="1:234" s="9" customFormat="1" ht="11.25" x14ac:dyDescent="0.25">
      <c r="A51" s="185" t="str">
        <f>IF(COUNTBLANK(B51)=1," ",COUNTA($B$14:B51))</f>
        <v xml:space="preserve"> </v>
      </c>
      <c r="B51" s="180"/>
      <c r="C51" s="57" t="s">
        <v>80</v>
      </c>
      <c r="D51" s="145" t="s">
        <v>60</v>
      </c>
      <c r="E51" s="260">
        <f>E47*F51</f>
        <v>471.32580000000007</v>
      </c>
      <c r="F51" s="147">
        <v>1.1000000000000001</v>
      </c>
      <c r="G51" s="147"/>
      <c r="H51" s="43"/>
      <c r="I51" s="43"/>
      <c r="J51" s="43"/>
      <c r="K51" s="43"/>
      <c r="L51" s="25"/>
      <c r="M51" s="26"/>
      <c r="N51" s="26"/>
      <c r="O51" s="26"/>
      <c r="P51" s="26"/>
      <c r="Q51" s="26"/>
    </row>
    <row r="52" spans="1:234" s="21" customFormat="1" ht="56.25" x14ac:dyDescent="0.25">
      <c r="A52" s="185">
        <f>IF(COUNTBLANK(B52)=1," ",COUNTA($B$14:B52))</f>
        <v>15</v>
      </c>
      <c r="B52" s="121" t="s">
        <v>51</v>
      </c>
      <c r="C52" s="87" t="s">
        <v>86</v>
      </c>
      <c r="D52" s="148" t="s">
        <v>60</v>
      </c>
      <c r="E52" s="149">
        <f>apjoms!F17*4*0.3*0.5</f>
        <v>174</v>
      </c>
      <c r="F52" s="150"/>
      <c r="G52" s="146"/>
      <c r="H52" s="24"/>
      <c r="I52" s="35"/>
      <c r="J52" s="124"/>
      <c r="K52" s="42"/>
      <c r="L52" s="25"/>
      <c r="M52" s="26"/>
      <c r="N52" s="26"/>
      <c r="O52" s="26"/>
      <c r="P52" s="26"/>
      <c r="Q52" s="26"/>
    </row>
    <row r="53" spans="1:234" x14ac:dyDescent="0.25">
      <c r="A53" s="185" t="str">
        <f>IF(COUNTBLANK(B53)=1," ",COUNTA($B$14:B53))</f>
        <v xml:space="preserve"> </v>
      </c>
      <c r="B53" s="180"/>
      <c r="C53" s="57" t="s">
        <v>79</v>
      </c>
      <c r="D53" s="145" t="s">
        <v>72</v>
      </c>
      <c r="E53" s="147">
        <f>E54*F53</f>
        <v>870</v>
      </c>
      <c r="F53" s="147">
        <v>5</v>
      </c>
      <c r="G53" s="147"/>
      <c r="H53" s="43"/>
      <c r="I53" s="43"/>
      <c r="J53" s="43"/>
      <c r="K53" s="43"/>
      <c r="L53" s="25"/>
      <c r="M53" s="26"/>
      <c r="N53" s="26"/>
      <c r="O53" s="26"/>
      <c r="P53" s="26"/>
      <c r="Q53" s="26"/>
      <c r="R53" s="21"/>
    </row>
    <row r="54" spans="1:234" x14ac:dyDescent="0.25">
      <c r="A54" s="185" t="str">
        <f>IF(COUNTBLANK(B54)=1," ",COUNTA($B$14:B54))</f>
        <v xml:space="preserve"> </v>
      </c>
      <c r="B54" s="180"/>
      <c r="C54" s="57" t="s">
        <v>80</v>
      </c>
      <c r="D54" s="180" t="s">
        <v>60</v>
      </c>
      <c r="E54" s="43">
        <f>E52</f>
        <v>174</v>
      </c>
      <c r="F54" s="43"/>
      <c r="G54" s="43"/>
      <c r="H54" s="43"/>
      <c r="I54" s="43"/>
      <c r="J54" s="43"/>
      <c r="K54" s="43"/>
      <c r="L54" s="25"/>
      <c r="M54" s="26"/>
      <c r="N54" s="26"/>
      <c r="O54" s="26"/>
      <c r="P54" s="26"/>
      <c r="Q54" s="26"/>
      <c r="R54" s="21"/>
    </row>
    <row r="55" spans="1:234" s="38" customFormat="1" ht="22.5" x14ac:dyDescent="0.25">
      <c r="A55" s="185">
        <f>IF(COUNTBLANK(B55)=1," ",COUNTA($B$14:B55))</f>
        <v>16</v>
      </c>
      <c r="B55" s="121" t="s">
        <v>51</v>
      </c>
      <c r="C55" s="227" t="s">
        <v>502</v>
      </c>
      <c r="D55" s="185" t="s">
        <v>53</v>
      </c>
      <c r="E55" s="262">
        <f>apjoms!L17</f>
        <v>1433.3600000000001</v>
      </c>
      <c r="F55" s="185"/>
      <c r="G55" s="43"/>
      <c r="H55" s="24"/>
      <c r="I55" s="43"/>
      <c r="J55" s="43"/>
      <c r="K55" s="43"/>
      <c r="L55" s="25"/>
      <c r="M55" s="26"/>
      <c r="N55" s="26"/>
      <c r="O55" s="26"/>
      <c r="P55" s="26"/>
      <c r="Q55" s="26"/>
      <c r="R55" s="21"/>
    </row>
    <row r="56" spans="1:234" ht="22.5" x14ac:dyDescent="0.25">
      <c r="A56" s="185">
        <f>IF(COUNTBLANK(B56)=1," ",COUNTA($B$14:B56))</f>
        <v>17</v>
      </c>
      <c r="B56" s="121" t="s">
        <v>51</v>
      </c>
      <c r="C56" s="87" t="s">
        <v>434</v>
      </c>
      <c r="D56" s="185" t="s">
        <v>53</v>
      </c>
      <c r="E56" s="262">
        <f>apjoms!R17</f>
        <v>1101.28</v>
      </c>
      <c r="F56" s="185"/>
      <c r="G56" s="43"/>
      <c r="H56" s="24"/>
      <c r="I56" s="43"/>
      <c r="J56" s="43"/>
      <c r="K56" s="43"/>
      <c r="L56" s="25"/>
      <c r="M56" s="26"/>
      <c r="N56" s="26"/>
      <c r="O56" s="26"/>
      <c r="P56" s="26"/>
      <c r="Q56" s="26"/>
      <c r="R56" s="21"/>
    </row>
    <row r="57" spans="1:234" ht="22.5" x14ac:dyDescent="0.25">
      <c r="A57" s="185">
        <f>IF(COUNTBLANK(B57)=1," ",COUNTA($B$14:B57))</f>
        <v>18</v>
      </c>
      <c r="B57" s="121" t="s">
        <v>51</v>
      </c>
      <c r="C57" s="87" t="s">
        <v>435</v>
      </c>
      <c r="D57" s="185" t="s">
        <v>53</v>
      </c>
      <c r="E57" s="263">
        <f>apjoms!S17</f>
        <v>1101.28</v>
      </c>
      <c r="F57" s="185"/>
      <c r="G57" s="43"/>
      <c r="H57" s="24"/>
      <c r="I57" s="43"/>
      <c r="J57" s="43"/>
      <c r="K57" s="43"/>
      <c r="L57" s="25"/>
      <c r="M57" s="26"/>
      <c r="N57" s="26"/>
      <c r="O57" s="26"/>
      <c r="P57" s="26"/>
      <c r="Q57" s="26"/>
      <c r="R57" s="21"/>
    </row>
    <row r="58" spans="1:234" ht="22.5" x14ac:dyDescent="0.25">
      <c r="A58" s="185">
        <f>IF(COUNTBLANK(B58)=1," ",COUNTA($B$14:B58))</f>
        <v>19</v>
      </c>
      <c r="B58" s="121" t="s">
        <v>51</v>
      </c>
      <c r="C58" s="87" t="s">
        <v>436</v>
      </c>
      <c r="D58" s="180" t="s">
        <v>53</v>
      </c>
      <c r="E58" s="263">
        <f>apjoms!T17</f>
        <v>335.08</v>
      </c>
      <c r="F58" s="185"/>
      <c r="G58" s="43"/>
      <c r="H58" s="24"/>
      <c r="I58" s="43"/>
      <c r="J58" s="43"/>
      <c r="K58" s="43"/>
      <c r="L58" s="25"/>
      <c r="M58" s="26"/>
      <c r="N58" s="26"/>
      <c r="O58" s="26"/>
      <c r="P58" s="26"/>
      <c r="Q58" s="26"/>
      <c r="R58" s="21"/>
    </row>
    <row r="59" spans="1:234" ht="22.9" customHeight="1" x14ac:dyDescent="0.25">
      <c r="A59" s="185">
        <f>IF(COUNTBLANK(B59)=1," ",COUNTA($B$14:B59))</f>
        <v>20</v>
      </c>
      <c r="B59" s="121" t="s">
        <v>51</v>
      </c>
      <c r="C59" s="87" t="s">
        <v>437</v>
      </c>
      <c r="D59" s="180" t="s">
        <v>53</v>
      </c>
      <c r="E59" s="263">
        <f>apjoms!U17</f>
        <v>335.08</v>
      </c>
      <c r="F59" s="185"/>
      <c r="G59" s="43"/>
      <c r="H59" s="24"/>
      <c r="I59" s="43"/>
      <c r="J59" s="43"/>
      <c r="K59" s="43"/>
      <c r="L59" s="25"/>
      <c r="M59" s="26"/>
      <c r="N59" s="26"/>
      <c r="O59" s="26"/>
      <c r="P59" s="26"/>
      <c r="Q59" s="26"/>
      <c r="R59" s="21"/>
    </row>
    <row r="60" spans="1:234" ht="22.5" x14ac:dyDescent="0.25">
      <c r="A60" s="185">
        <f>IF(COUNTBLANK(B60)=1," ",COUNTA($B$14:B60))</f>
        <v>21</v>
      </c>
      <c r="B60" s="121" t="s">
        <v>51</v>
      </c>
      <c r="C60" s="87" t="s">
        <v>438</v>
      </c>
      <c r="D60" s="185" t="s">
        <v>53</v>
      </c>
      <c r="E60" s="261">
        <f>apjoms!T17</f>
        <v>335.08</v>
      </c>
      <c r="F60" s="185"/>
      <c r="G60" s="43"/>
      <c r="H60" s="24"/>
      <c r="I60" s="43"/>
      <c r="J60" s="43"/>
      <c r="K60" s="43"/>
      <c r="L60" s="25"/>
      <c r="M60" s="26"/>
      <c r="N60" s="26"/>
      <c r="O60" s="26"/>
      <c r="P60" s="26"/>
      <c r="Q60" s="26"/>
      <c r="R60" s="21"/>
    </row>
    <row r="61" spans="1:234" s="202" customFormat="1" ht="22.5" x14ac:dyDescent="0.25">
      <c r="A61" s="185">
        <f>IF(COUNTBLANK(B61)=1," ",COUNTA($B$14:B61))</f>
        <v>22</v>
      </c>
      <c r="B61" s="121" t="s">
        <v>51</v>
      </c>
      <c r="C61" s="87" t="s">
        <v>439</v>
      </c>
      <c r="D61" s="129" t="s">
        <v>53</v>
      </c>
      <c r="E61" s="122">
        <f>apjoms!V17</f>
        <v>120</v>
      </c>
      <c r="F61" s="43"/>
      <c r="G61" s="47"/>
      <c r="H61" s="24"/>
      <c r="I61" s="35"/>
      <c r="J61" s="47"/>
      <c r="K61" s="47"/>
      <c r="L61" s="25"/>
      <c r="M61" s="26"/>
      <c r="N61" s="26"/>
      <c r="O61" s="26"/>
      <c r="P61" s="26"/>
      <c r="Q61" s="26"/>
      <c r="R61" s="204"/>
    </row>
    <row r="62" spans="1:234" x14ac:dyDescent="0.25">
      <c r="A62" s="185">
        <f>IF(COUNTBLANK(B62)=1," ",COUNTA($B$14:B62))</f>
        <v>23</v>
      </c>
      <c r="B62" s="121" t="s">
        <v>51</v>
      </c>
      <c r="C62" s="57" t="s">
        <v>87</v>
      </c>
      <c r="D62" s="43" t="s">
        <v>56</v>
      </c>
      <c r="E62" s="48">
        <v>1</v>
      </c>
      <c r="F62" s="180"/>
      <c r="G62" s="43"/>
      <c r="H62" s="24"/>
      <c r="I62" s="35"/>
      <c r="J62" s="43"/>
      <c r="K62" s="43"/>
      <c r="L62" s="25"/>
      <c r="M62" s="26"/>
      <c r="N62" s="26"/>
      <c r="O62" s="26"/>
      <c r="P62" s="26"/>
      <c r="Q62" s="26"/>
      <c r="R62" s="21"/>
    </row>
    <row r="63" spans="1:234" s="202" customFormat="1" ht="11.25" x14ac:dyDescent="0.25">
      <c r="A63" s="185">
        <f>IF(COUNTBLANK(B63)=1," ",COUNTA($B$14:B63))</f>
        <v>24</v>
      </c>
      <c r="B63" s="121" t="s">
        <v>51</v>
      </c>
      <c r="C63" s="57" t="s">
        <v>88</v>
      </c>
      <c r="D63" s="180" t="s">
        <v>89</v>
      </c>
      <c r="E63" s="43">
        <v>28</v>
      </c>
      <c r="F63" s="43"/>
      <c r="G63" s="43"/>
      <c r="H63" s="24"/>
      <c r="I63" s="35"/>
      <c r="J63" s="180"/>
      <c r="K63" s="43"/>
      <c r="L63" s="25"/>
      <c r="M63" s="26"/>
      <c r="N63" s="26"/>
      <c r="O63" s="26"/>
      <c r="P63" s="26"/>
      <c r="Q63" s="26"/>
    </row>
    <row r="64" spans="1:234" s="39" customFormat="1" ht="11.25" x14ac:dyDescent="0.25">
      <c r="A64" s="185" t="str">
        <f>IF(COUNTBLANK(I64)=1," ",COUNTA($I$14:I64))</f>
        <v xml:space="preserve"> </v>
      </c>
      <c r="B64" s="121"/>
      <c r="C64" s="57" t="s">
        <v>90</v>
      </c>
      <c r="D64" s="180" t="s">
        <v>56</v>
      </c>
      <c r="E64" s="42">
        <f>ROUNDUP(E63*F64,0)</f>
        <v>4</v>
      </c>
      <c r="F64" s="43">
        <v>0.14285714285714299</v>
      </c>
      <c r="G64" s="43"/>
      <c r="H64" s="43"/>
      <c r="I64" s="49"/>
      <c r="J64" s="180"/>
      <c r="K64" s="43"/>
      <c r="L64" s="25"/>
      <c r="M64" s="26"/>
      <c r="N64" s="26"/>
      <c r="O64" s="26"/>
      <c r="P64" s="26"/>
      <c r="Q64" s="26"/>
    </row>
    <row r="65" spans="1:18" s="5" customFormat="1" ht="11.25" x14ac:dyDescent="0.25">
      <c r="A65" s="39"/>
      <c r="B65" s="50"/>
      <c r="C65" s="46"/>
      <c r="D65" s="39"/>
      <c r="E65" s="39"/>
      <c r="F65" s="39"/>
      <c r="G65" s="39"/>
      <c r="H65" s="51"/>
      <c r="I65" s="39"/>
      <c r="J65" s="52"/>
      <c r="K65" s="16"/>
      <c r="L65" s="52"/>
      <c r="M65" s="52"/>
      <c r="N65" s="52"/>
      <c r="O65" s="16"/>
      <c r="P65" s="16"/>
      <c r="Q65" s="16"/>
      <c r="R65" s="52"/>
    </row>
    <row r="66" spans="1:18" ht="22.5" x14ac:dyDescent="0.25">
      <c r="A66" s="39"/>
      <c r="B66" s="39"/>
      <c r="C66" s="10" t="s">
        <v>91</v>
      </c>
      <c r="D66" s="9"/>
      <c r="E66" s="9"/>
      <c r="F66" s="9"/>
      <c r="G66" s="9"/>
      <c r="H66" s="5"/>
      <c r="I66" s="5"/>
      <c r="J66" s="9"/>
      <c r="K66" s="9"/>
      <c r="L66" s="9"/>
      <c r="M66" s="52">
        <f>SUM(M14:M64)</f>
        <v>0</v>
      </c>
      <c r="N66" s="52">
        <f>SUM(N14:N64)</f>
        <v>0</v>
      </c>
      <c r="O66" s="52">
        <f>SUM(O14:O64)</f>
        <v>0</v>
      </c>
      <c r="P66" s="52">
        <f>SUM(P14:P64)</f>
        <v>0</v>
      </c>
      <c r="Q66" s="52">
        <f>SUM(Q14:Q64)</f>
        <v>0</v>
      </c>
      <c r="R66" s="52"/>
    </row>
    <row r="67" spans="1:18" x14ac:dyDescent="0.25">
      <c r="A67" s="9" t="str">
        <f>IF(COUNTBLANK(L67)=1," ",COUNTA($L$14:L67))</f>
        <v xml:space="preserve"> </v>
      </c>
      <c r="B67" s="39"/>
      <c r="C67" s="10"/>
      <c r="D67" s="9"/>
      <c r="E67" s="9"/>
      <c r="F67" s="9"/>
      <c r="G67" s="9"/>
      <c r="H67" s="5"/>
      <c r="I67" s="5"/>
      <c r="J67" s="9"/>
      <c r="K67" s="5"/>
      <c r="L67" s="9"/>
      <c r="M67" s="16"/>
      <c r="N67" s="9"/>
      <c r="O67" s="16"/>
      <c r="P67" s="16"/>
      <c r="Q67" s="16"/>
      <c r="R67" s="21"/>
    </row>
    <row r="68" spans="1:18" s="38" customFormat="1" ht="11.25" x14ac:dyDescent="0.25">
      <c r="A68" s="183"/>
      <c r="B68" s="183"/>
      <c r="C68" s="46"/>
      <c r="D68" s="39"/>
      <c r="E68" s="39"/>
      <c r="F68" s="39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</row>
    <row r="69" spans="1:18" s="5" customFormat="1" ht="11.25" x14ac:dyDescent="0.25">
      <c r="A69" s="183"/>
      <c r="B69" s="21" t="s">
        <v>31</v>
      </c>
      <c r="C69" s="130"/>
      <c r="D69" s="21"/>
      <c r="E69" s="21"/>
      <c r="F69" s="21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</row>
    <row r="70" spans="1:18" s="5" customFormat="1" ht="11.25" x14ac:dyDescent="0.25">
      <c r="A70" s="183"/>
      <c r="B70" s="21"/>
      <c r="C70" s="229" t="s">
        <v>32</v>
      </c>
      <c r="D70" s="183"/>
      <c r="E70" s="183"/>
      <c r="F70" s="183"/>
      <c r="G70" s="21"/>
      <c r="H70" s="21"/>
      <c r="I70" s="183"/>
      <c r="J70" s="183"/>
      <c r="K70" s="183"/>
      <c r="L70" s="183"/>
      <c r="M70" s="183"/>
      <c r="N70" s="183"/>
      <c r="O70" s="183"/>
      <c r="P70" s="183"/>
      <c r="Q70" s="183"/>
      <c r="R70" s="183"/>
    </row>
    <row r="71" spans="1:18" s="9" customFormat="1" ht="11.25" x14ac:dyDescent="0.25">
      <c r="A71" s="21"/>
      <c r="B71" s="5"/>
      <c r="C71" s="3"/>
      <c r="D71" s="5"/>
      <c r="E71" s="5"/>
      <c r="F71" s="5"/>
      <c r="G71" s="21"/>
      <c r="H71" s="21"/>
      <c r="I71" s="183"/>
      <c r="J71" s="183"/>
      <c r="K71" s="21"/>
      <c r="L71" s="21"/>
      <c r="M71" s="21"/>
      <c r="N71" s="21"/>
      <c r="O71" s="21"/>
      <c r="P71" s="21"/>
      <c r="Q71" s="21"/>
      <c r="R71" s="21"/>
    </row>
    <row r="72" spans="1:18" x14ac:dyDescent="0.25">
      <c r="A72" s="21"/>
      <c r="B72" s="310" t="s">
        <v>476</v>
      </c>
      <c r="C72" s="130"/>
      <c r="D72" s="21"/>
      <c r="E72" s="21"/>
      <c r="F72" s="21"/>
      <c r="G72" s="21"/>
      <c r="H72" s="21"/>
      <c r="I72" s="183"/>
      <c r="J72" s="183"/>
      <c r="K72" s="21"/>
      <c r="L72" s="21"/>
      <c r="M72" s="21"/>
      <c r="N72" s="21"/>
      <c r="O72" s="21"/>
      <c r="P72" s="21"/>
      <c r="Q72" s="21"/>
      <c r="R72" s="21"/>
    </row>
    <row r="73" spans="1:18" x14ac:dyDescent="0.25">
      <c r="A73" s="21"/>
      <c r="B73" s="5"/>
      <c r="C73" s="3"/>
      <c r="D73" s="5"/>
      <c r="E73" s="5"/>
      <c r="F73" s="5"/>
      <c r="G73" s="21"/>
      <c r="H73" s="21"/>
      <c r="I73" s="183"/>
      <c r="J73" s="183"/>
      <c r="K73" s="21"/>
      <c r="L73" s="21"/>
      <c r="M73" s="21"/>
      <c r="N73" s="21"/>
      <c r="O73" s="21"/>
      <c r="P73" s="21"/>
      <c r="Q73" s="21"/>
      <c r="R73" s="21"/>
    </row>
    <row r="74" spans="1:18" x14ac:dyDescent="0.25">
      <c r="A74" s="21"/>
      <c r="B74" s="21" t="s">
        <v>33</v>
      </c>
      <c r="C74" s="130"/>
      <c r="D74" s="21"/>
      <c r="E74" s="21"/>
      <c r="F74" s="21"/>
      <c r="G74" s="21"/>
      <c r="H74" s="21"/>
      <c r="I74" s="183"/>
      <c r="J74" s="183"/>
      <c r="K74" s="21"/>
      <c r="L74" s="21"/>
      <c r="M74" s="21"/>
      <c r="N74" s="21"/>
      <c r="O74" s="21"/>
      <c r="P74" s="21"/>
      <c r="Q74" s="21"/>
      <c r="R74" s="21"/>
    </row>
    <row r="75" spans="1:18" x14ac:dyDescent="0.25">
      <c r="A75" s="21"/>
      <c r="B75" s="21"/>
      <c r="C75" s="229" t="s">
        <v>32</v>
      </c>
      <c r="D75" s="183"/>
      <c r="E75" s="183"/>
      <c r="F75" s="183"/>
      <c r="G75" s="21"/>
      <c r="H75" s="21"/>
      <c r="I75" s="183"/>
      <c r="J75" s="183"/>
      <c r="K75" s="21"/>
      <c r="L75" s="21"/>
      <c r="M75" s="21"/>
      <c r="N75" s="21"/>
      <c r="O75" s="21"/>
      <c r="P75" s="21"/>
      <c r="Q75" s="21"/>
      <c r="R75" s="21"/>
    </row>
    <row r="76" spans="1:18" x14ac:dyDescent="0.25">
      <c r="A76" s="21"/>
      <c r="B76" s="5"/>
      <c r="C76" s="130" t="s">
        <v>34</v>
      </c>
      <c r="D76" s="21"/>
      <c r="E76" s="21"/>
      <c r="F76" s="21"/>
      <c r="G76" s="21"/>
      <c r="H76" s="21"/>
      <c r="I76" s="183"/>
      <c r="J76" s="183"/>
      <c r="K76" s="21"/>
      <c r="L76" s="21"/>
      <c r="M76" s="21"/>
      <c r="N76" s="21"/>
      <c r="O76" s="21"/>
      <c r="P76" s="21"/>
      <c r="Q76" s="21"/>
      <c r="R76" s="21"/>
    </row>
  </sheetData>
  <mergeCells count="9">
    <mergeCell ref="S33:S40"/>
    <mergeCell ref="A8:P8"/>
    <mergeCell ref="A11:A12"/>
    <mergeCell ref="B11:B12"/>
    <mergeCell ref="C11:C12"/>
    <mergeCell ref="D11:D12"/>
    <mergeCell ref="E11:E12"/>
    <mergeCell ref="G11:L11"/>
    <mergeCell ref="M11:Q11"/>
  </mergeCells>
  <pageMargins left="0" right="0" top="0.39374999999999999" bottom="0.39374999999999999" header="0.51180555555555496" footer="0.51180555555555496"/>
  <pageSetup paperSize="9" firstPageNumber="0" orientation="landscape" horizontalDpi="300" verticalDpi="300" r:id="rId1"/>
  <ignoredErrors>
    <ignoredError sqref="E5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MK68"/>
  <sheetViews>
    <sheetView view="pageBreakPreview" zoomScale="85" zoomScaleNormal="85" zoomScaleSheetLayoutView="85" zoomScalePageLayoutView="115" workbookViewId="0">
      <selection activeCell="G1" sqref="G1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4" style="20" customWidth="1"/>
    <col min="5" max="5" width="6" style="20" hidden="1" customWidth="1"/>
    <col min="6" max="6" width="5" style="20" hidden="1" customWidth="1"/>
    <col min="7" max="7" width="5" style="20" customWidth="1"/>
    <col min="8" max="8" width="6.28515625" style="20" customWidth="1"/>
    <col min="9" max="9" width="5" style="20" hidden="1" customWidth="1"/>
    <col min="10" max="17" width="5" style="20" customWidth="1"/>
    <col min="18" max="18" width="6.28515625" style="20" customWidth="1"/>
    <col min="19" max="19" width="5.5703125" style="20" customWidth="1"/>
    <col min="20" max="20" width="6.7109375" style="20" customWidth="1"/>
    <col min="21" max="21" width="7.85546875" style="20" customWidth="1"/>
    <col min="22" max="22" width="9.140625" style="20" customWidth="1"/>
    <col min="23" max="23" width="37.140625" style="20" customWidth="1"/>
    <col min="24" max="33" width="9.140625" style="20" customWidth="1"/>
    <col min="34" max="1025" width="4" style="20" customWidth="1"/>
    <col min="1026" max="16384" width="9" style="198"/>
  </cols>
  <sheetData>
    <row r="1" spans="1:22" s="21" customFormat="1" ht="11.25" x14ac:dyDescent="0.25">
      <c r="B1" s="5"/>
      <c r="C1" s="3"/>
      <c r="D1" s="5"/>
      <c r="E1" s="5"/>
      <c r="F1" s="5"/>
      <c r="G1" s="309" t="s">
        <v>35</v>
      </c>
      <c r="H1" s="201">
        <f>kpdv!B13</f>
        <v>2</v>
      </c>
      <c r="I1" s="5"/>
      <c r="J1" s="5"/>
      <c r="K1" s="183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2" x14ac:dyDescent="0.25">
      <c r="A2" s="310"/>
      <c r="B2" s="5"/>
      <c r="C2" s="2" t="s">
        <v>92</v>
      </c>
      <c r="D2" s="177"/>
      <c r="E2" s="177"/>
      <c r="F2" s="17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2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</row>
    <row r="4" spans="1:22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</row>
    <row r="5" spans="1:22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</row>
    <row r="6" spans="1:22" x14ac:dyDescent="0.25">
      <c r="A6" s="308" t="str">
        <f>KOP!A6</f>
        <v>Pasūtījuma Nr.EA-79-16</v>
      </c>
      <c r="B6" s="177"/>
      <c r="C6" s="2"/>
      <c r="D6" s="177"/>
      <c r="E6" s="177"/>
      <c r="F6" s="17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x14ac:dyDescent="0.25">
      <c r="B7" s="5"/>
      <c r="C7" s="222" t="s">
        <v>479</v>
      </c>
      <c r="D7" s="53"/>
      <c r="E7" s="53"/>
      <c r="F7" s="53"/>
      <c r="G7" s="5" t="s">
        <v>37</v>
      </c>
      <c r="H7" s="310" t="s">
        <v>38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x14ac:dyDescent="0.25">
      <c r="A8" s="316" t="s">
        <v>39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54">
        <f>T58</f>
        <v>0</v>
      </c>
      <c r="U8" s="54"/>
    </row>
    <row r="9" spans="1:22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97"/>
      <c r="T9" s="309" t="s">
        <v>476</v>
      </c>
      <c r="U9" s="54"/>
    </row>
    <row r="10" spans="1:22" ht="10.5" customHeight="1" x14ac:dyDescent="0.25">
      <c r="A10" s="320" t="s">
        <v>1</v>
      </c>
      <c r="B10" s="320" t="s">
        <v>40</v>
      </c>
      <c r="C10" s="330" t="s">
        <v>41</v>
      </c>
      <c r="D10" s="330"/>
      <c r="E10" s="330"/>
      <c r="F10" s="330"/>
      <c r="G10" s="331" t="s">
        <v>42</v>
      </c>
      <c r="H10" s="320" t="s">
        <v>43</v>
      </c>
      <c r="I10" s="179"/>
      <c r="J10" s="332" t="s">
        <v>44</v>
      </c>
      <c r="K10" s="332"/>
      <c r="L10" s="332"/>
      <c r="M10" s="332"/>
      <c r="N10" s="332"/>
      <c r="O10" s="332"/>
      <c r="P10" s="332" t="s">
        <v>45</v>
      </c>
      <c r="Q10" s="332"/>
      <c r="R10" s="332"/>
      <c r="S10" s="332"/>
      <c r="T10" s="332"/>
      <c r="U10" s="5"/>
    </row>
    <row r="11" spans="1:22" ht="75" x14ac:dyDescent="0.25">
      <c r="A11" s="320"/>
      <c r="B11" s="320"/>
      <c r="C11" s="330"/>
      <c r="D11" s="330"/>
      <c r="E11" s="330"/>
      <c r="F11" s="330"/>
      <c r="G11" s="331"/>
      <c r="H11" s="320"/>
      <c r="I11" s="179"/>
      <c r="J11" s="179" t="s">
        <v>46</v>
      </c>
      <c r="K11" s="22" t="s">
        <v>480</v>
      </c>
      <c r="L11" s="22" t="s">
        <v>47</v>
      </c>
      <c r="M11" s="22" t="s">
        <v>481</v>
      </c>
      <c r="N11" s="22" t="s">
        <v>48</v>
      </c>
      <c r="O11" s="22" t="s">
        <v>482</v>
      </c>
      <c r="P11" s="179" t="s">
        <v>50</v>
      </c>
      <c r="Q11" s="22" t="s">
        <v>47</v>
      </c>
      <c r="R11" s="22" t="s">
        <v>483</v>
      </c>
      <c r="S11" s="22" t="s">
        <v>48</v>
      </c>
      <c r="T11" s="22" t="s">
        <v>49</v>
      </c>
      <c r="U11" s="55"/>
    </row>
    <row r="12" spans="1:22" x14ac:dyDescent="0.25">
      <c r="A12" s="23">
        <v>1</v>
      </c>
      <c r="B12" s="23">
        <f>A12+1</f>
        <v>2</v>
      </c>
      <c r="C12" s="329">
        <f>B12+1</f>
        <v>3</v>
      </c>
      <c r="D12" s="329"/>
      <c r="E12" s="329"/>
      <c r="F12" s="329"/>
      <c r="G12" s="23">
        <f>C12+1</f>
        <v>4</v>
      </c>
      <c r="H12" s="23">
        <f>G12+1</f>
        <v>5</v>
      </c>
      <c r="I12" s="131"/>
      <c r="J12" s="23">
        <f>H12+1</f>
        <v>6</v>
      </c>
      <c r="K12" s="23">
        <f t="shared" ref="K12:T12" si="0">J12+1</f>
        <v>7</v>
      </c>
      <c r="L12" s="23">
        <f t="shared" si="0"/>
        <v>8</v>
      </c>
      <c r="M12" s="23">
        <f t="shared" si="0"/>
        <v>9</v>
      </c>
      <c r="N12" s="23">
        <f t="shared" si="0"/>
        <v>10</v>
      </c>
      <c r="O12" s="23">
        <f t="shared" si="0"/>
        <v>11</v>
      </c>
      <c r="P12" s="23">
        <f t="shared" si="0"/>
        <v>12</v>
      </c>
      <c r="Q12" s="23">
        <f t="shared" si="0"/>
        <v>13</v>
      </c>
      <c r="R12" s="23">
        <f t="shared" si="0"/>
        <v>14</v>
      </c>
      <c r="S12" s="23">
        <f t="shared" si="0"/>
        <v>15</v>
      </c>
      <c r="T12" s="23">
        <f t="shared" si="0"/>
        <v>16</v>
      </c>
      <c r="U12" s="56"/>
    </row>
    <row r="13" spans="1:22" x14ac:dyDescent="0.25">
      <c r="A13" s="151">
        <f>IF(COUNTBLANK(B13)=1," ",COUNTA($B13:B$13))</f>
        <v>1</v>
      </c>
      <c r="B13" s="152" t="s">
        <v>51</v>
      </c>
      <c r="C13" s="153" t="s">
        <v>93</v>
      </c>
      <c r="D13" s="139"/>
      <c r="E13" s="139"/>
      <c r="F13" s="139"/>
      <c r="G13" s="139" t="s">
        <v>60</v>
      </c>
      <c r="H13" s="154">
        <f>apjoms!K17</f>
        <v>154.03559999999999</v>
      </c>
      <c r="I13" s="27"/>
      <c r="J13" s="35"/>
      <c r="K13" s="37"/>
      <c r="L13" s="35"/>
      <c r="M13" s="35"/>
      <c r="N13" s="35"/>
      <c r="O13" s="25"/>
      <c r="P13" s="26"/>
      <c r="Q13" s="26"/>
      <c r="R13" s="26"/>
      <c r="S13" s="26"/>
      <c r="T13" s="26"/>
      <c r="U13" s="58"/>
    </row>
    <row r="14" spans="1:22" ht="22.5" x14ac:dyDescent="0.25">
      <c r="A14" s="151">
        <f>IF(COUNTBLANK(B14)=1," ",COUNTA($B$13:B14))</f>
        <v>2</v>
      </c>
      <c r="B14" s="152" t="s">
        <v>51</v>
      </c>
      <c r="C14" s="259" t="s">
        <v>499</v>
      </c>
      <c r="D14" s="139"/>
      <c r="E14" s="139"/>
      <c r="F14" s="139"/>
      <c r="G14" s="139" t="s">
        <v>60</v>
      </c>
      <c r="H14" s="141">
        <v>8.7720000000000002</v>
      </c>
      <c r="I14" s="27"/>
      <c r="J14" s="35"/>
      <c r="K14" s="24"/>
      <c r="L14" s="35"/>
      <c r="M14" s="35"/>
      <c r="N14" s="35"/>
      <c r="O14" s="25"/>
      <c r="P14" s="26"/>
      <c r="Q14" s="26"/>
      <c r="R14" s="26"/>
      <c r="S14" s="26"/>
      <c r="T14" s="26"/>
      <c r="U14" s="58"/>
    </row>
    <row r="15" spans="1:22" ht="67.5" x14ac:dyDescent="0.25">
      <c r="A15" s="151" t="str">
        <f>IF(COUNTBLANK(B15)=1," ",COUNTA($B$13:B15))</f>
        <v xml:space="preserve"> </v>
      </c>
      <c r="B15" s="152"/>
      <c r="C15" s="153" t="s">
        <v>94</v>
      </c>
      <c r="D15" s="155" t="s">
        <v>95</v>
      </c>
      <c r="E15" s="151" t="s">
        <v>96</v>
      </c>
      <c r="F15" s="151" t="s">
        <v>97</v>
      </c>
      <c r="G15" s="151" t="s">
        <v>60</v>
      </c>
      <c r="H15" s="139"/>
      <c r="I15" s="180"/>
      <c r="J15" s="180"/>
      <c r="K15" s="180"/>
      <c r="L15" s="180"/>
      <c r="M15" s="180"/>
      <c r="N15" s="180"/>
      <c r="O15" s="25"/>
      <c r="P15" s="26"/>
      <c r="Q15" s="26"/>
      <c r="R15" s="26"/>
      <c r="S15" s="26"/>
      <c r="T15" s="26"/>
      <c r="U15" s="58"/>
      <c r="V15" s="38"/>
    </row>
    <row r="16" spans="1:22" x14ac:dyDescent="0.25">
      <c r="A16" s="151">
        <f>IF(COUNTBLANK(B16)=1," ",COUNTA($B$13:B16))</f>
        <v>3</v>
      </c>
      <c r="B16" s="152" t="s">
        <v>51</v>
      </c>
      <c r="C16" s="153" t="str">
        <f>apjoms!C4</f>
        <v>L1</v>
      </c>
      <c r="D16" s="139">
        <f>apjoms!E4</f>
        <v>26</v>
      </c>
      <c r="E16" s="139">
        <f>apjoms!G4</f>
        <v>1.76</v>
      </c>
      <c r="F16" s="139">
        <f>apjoms!H4</f>
        <v>1.5</v>
      </c>
      <c r="G16" s="139" t="s">
        <v>60</v>
      </c>
      <c r="H16" s="156">
        <f>apjoms!K4</f>
        <v>68.64</v>
      </c>
      <c r="I16" s="180"/>
      <c r="J16" s="35"/>
      <c r="K16" s="37"/>
      <c r="L16" s="35"/>
      <c r="M16" s="36"/>
      <c r="N16" s="35"/>
      <c r="O16" s="25"/>
      <c r="P16" s="26"/>
      <c r="Q16" s="26"/>
      <c r="R16" s="26"/>
      <c r="S16" s="26"/>
      <c r="T16" s="26"/>
      <c r="U16" s="58"/>
    </row>
    <row r="17" spans="1:21" x14ac:dyDescent="0.25">
      <c r="A17" s="151">
        <f>IF(COUNTBLANK(B17)=1," ",COUNTA($B$13:B17))</f>
        <v>4</v>
      </c>
      <c r="B17" s="152" t="s">
        <v>51</v>
      </c>
      <c r="C17" s="153" t="str">
        <f>apjoms!C5</f>
        <v>L2</v>
      </c>
      <c r="D17" s="139">
        <f>apjoms!E5</f>
        <v>12</v>
      </c>
      <c r="E17" s="139">
        <f>apjoms!G5</f>
        <v>0.88</v>
      </c>
      <c r="F17" s="139">
        <f>apjoms!H5</f>
        <v>1.5</v>
      </c>
      <c r="G17" s="139" t="s">
        <v>60</v>
      </c>
      <c r="H17" s="156">
        <f>apjoms!K5</f>
        <v>15.84</v>
      </c>
      <c r="I17" s="180"/>
      <c r="J17" s="35"/>
      <c r="K17" s="37"/>
      <c r="L17" s="35"/>
      <c r="M17" s="36"/>
      <c r="N17" s="35"/>
      <c r="O17" s="25"/>
      <c r="P17" s="26"/>
      <c r="Q17" s="26"/>
      <c r="R17" s="26"/>
      <c r="S17" s="26"/>
      <c r="T17" s="26"/>
      <c r="U17" s="58"/>
    </row>
    <row r="18" spans="1:21" x14ac:dyDescent="0.25">
      <c r="A18" s="151">
        <f>IF(COUNTBLANK(B18)=1," ",COUNTA($B$13:B18))</f>
        <v>5</v>
      </c>
      <c r="B18" s="152" t="s">
        <v>51</v>
      </c>
      <c r="C18" s="153" t="str">
        <f>apjoms!C6</f>
        <v>L2 durvis</v>
      </c>
      <c r="D18" s="139">
        <f>apjoms!E6</f>
        <v>12</v>
      </c>
      <c r="E18" s="265">
        <f>apjoms!G6</f>
        <v>0.88</v>
      </c>
      <c r="F18" s="139">
        <f>apjoms!H6</f>
        <v>2.2000000000000002</v>
      </c>
      <c r="G18" s="139" t="s">
        <v>60</v>
      </c>
      <c r="H18" s="267">
        <f>apjoms!K6</f>
        <v>23.232000000000003</v>
      </c>
      <c r="I18" s="180"/>
      <c r="J18" s="35"/>
      <c r="K18" s="37"/>
      <c r="L18" s="35"/>
      <c r="M18" s="36"/>
      <c r="N18" s="35"/>
      <c r="O18" s="25"/>
      <c r="P18" s="26"/>
      <c r="Q18" s="26"/>
      <c r="R18" s="26"/>
      <c r="S18" s="26"/>
      <c r="T18" s="26"/>
      <c r="U18" s="58"/>
    </row>
    <row r="19" spans="1:21" x14ac:dyDescent="0.25">
      <c r="A19" s="151">
        <f>IF(COUNTBLANK(B19)=1," ",COUNTA($B$13:B19))</f>
        <v>6</v>
      </c>
      <c r="B19" s="152" t="s">
        <v>51</v>
      </c>
      <c r="C19" s="153" t="str">
        <f>apjoms!C7</f>
        <v>L3</v>
      </c>
      <c r="D19" s="139">
        <f>apjoms!E7</f>
        <v>12</v>
      </c>
      <c r="E19" s="139">
        <f>apjoms!G7</f>
        <v>1.02</v>
      </c>
      <c r="F19" s="139">
        <f>apjoms!H7</f>
        <v>0.64500000000000002</v>
      </c>
      <c r="G19" s="139" t="s">
        <v>60</v>
      </c>
      <c r="H19" s="156">
        <f>apjoms!K7</f>
        <v>7.8948</v>
      </c>
      <c r="I19" s="180"/>
      <c r="J19" s="35"/>
      <c r="K19" s="37"/>
      <c r="L19" s="35"/>
      <c r="M19" s="36"/>
      <c r="N19" s="35"/>
      <c r="O19" s="25"/>
      <c r="P19" s="26"/>
      <c r="Q19" s="26"/>
      <c r="R19" s="26"/>
      <c r="S19" s="26"/>
      <c r="T19" s="26"/>
      <c r="U19" s="58"/>
    </row>
    <row r="20" spans="1:21" x14ac:dyDescent="0.25">
      <c r="A20" s="151">
        <f>IF(COUNTBLANK(B20)=1," ",COUNTA($B$13:B20))</f>
        <v>7</v>
      </c>
      <c r="B20" s="152" t="s">
        <v>51</v>
      </c>
      <c r="C20" s="153" t="str">
        <f>apjoms!C8</f>
        <v>L4</v>
      </c>
      <c r="D20" s="139">
        <f>apjoms!E8</f>
        <v>15</v>
      </c>
      <c r="E20" s="265">
        <f>apjoms!G8</f>
        <v>1.4</v>
      </c>
      <c r="F20" s="265">
        <f>apjoms!H8</f>
        <v>0.75</v>
      </c>
      <c r="G20" s="139" t="s">
        <v>60</v>
      </c>
      <c r="H20" s="267">
        <f>apjoms!K8</f>
        <v>15.749999999999996</v>
      </c>
      <c r="I20" s="180"/>
      <c r="J20" s="35"/>
      <c r="K20" s="37"/>
      <c r="L20" s="35"/>
      <c r="M20" s="36"/>
      <c r="N20" s="35"/>
      <c r="O20" s="25"/>
      <c r="P20" s="26"/>
      <c r="Q20" s="26"/>
      <c r="R20" s="26"/>
      <c r="S20" s="26"/>
      <c r="T20" s="26"/>
      <c r="U20" s="58"/>
    </row>
    <row r="21" spans="1:21" x14ac:dyDescent="0.25">
      <c r="A21" s="151">
        <f>IF(COUNTBLANK(B21)=1," ",COUNTA($B$13:B21))</f>
        <v>8</v>
      </c>
      <c r="B21" s="152" t="s">
        <v>51</v>
      </c>
      <c r="C21" s="153" t="str">
        <f>apjoms!C9</f>
        <v>L5</v>
      </c>
      <c r="D21" s="139">
        <f>apjoms!E9</f>
        <v>3</v>
      </c>
      <c r="E21" s="265">
        <f>apjoms!G9</f>
        <v>1.4</v>
      </c>
      <c r="F21" s="265">
        <f>apjoms!H9</f>
        <v>0.75</v>
      </c>
      <c r="G21" s="139" t="s">
        <v>60</v>
      </c>
      <c r="H21" s="267">
        <f>apjoms!K9</f>
        <v>3.1499999999999995</v>
      </c>
      <c r="I21" s="180"/>
      <c r="J21" s="35"/>
      <c r="K21" s="37"/>
      <c r="L21" s="35"/>
      <c r="M21" s="36"/>
      <c r="N21" s="35"/>
      <c r="O21" s="25"/>
      <c r="P21" s="26"/>
      <c r="Q21" s="26"/>
      <c r="R21" s="26"/>
      <c r="S21" s="26"/>
      <c r="T21" s="26"/>
      <c r="U21" s="58"/>
    </row>
    <row r="22" spans="1:21" x14ac:dyDescent="0.25">
      <c r="A22" s="151">
        <f>IF(COUNTBLANK(B22)=1," ",COUNTA($B$13:B22))</f>
        <v>9</v>
      </c>
      <c r="B22" s="152" t="s">
        <v>51</v>
      </c>
      <c r="C22" s="236" t="s">
        <v>98</v>
      </c>
      <c r="D22" s="141"/>
      <c r="E22" s="141"/>
      <c r="F22" s="141"/>
      <c r="G22" s="139" t="s">
        <v>60</v>
      </c>
      <c r="H22" s="141">
        <f>SUM(H16:H21)</f>
        <v>134.5068</v>
      </c>
      <c r="I22" s="43"/>
      <c r="J22" s="43"/>
      <c r="K22" s="24"/>
      <c r="L22" s="43"/>
      <c r="M22" s="43"/>
      <c r="N22" s="43"/>
      <c r="O22" s="25"/>
      <c r="P22" s="26"/>
      <c r="Q22" s="26"/>
      <c r="R22" s="26"/>
      <c r="S22" s="26"/>
      <c r="T22" s="26"/>
      <c r="U22" s="58"/>
    </row>
    <row r="23" spans="1:21" x14ac:dyDescent="0.25">
      <c r="A23" s="151" t="str">
        <f>IF(COUNTBLANK(B23)=1," ",COUNTA($B$13:B23))</f>
        <v xml:space="preserve"> </v>
      </c>
      <c r="B23" s="139"/>
      <c r="C23" s="153" t="s">
        <v>99</v>
      </c>
      <c r="D23" s="139"/>
      <c r="E23" s="139"/>
      <c r="F23" s="139"/>
      <c r="G23" s="139" t="s">
        <v>56</v>
      </c>
      <c r="H23" s="141">
        <f>ROUNDUP(H22*I23,0)</f>
        <v>350</v>
      </c>
      <c r="I23" s="43">
        <v>2.6</v>
      </c>
      <c r="J23" s="43"/>
      <c r="K23" s="43"/>
      <c r="L23" s="43"/>
      <c r="M23" s="43"/>
      <c r="N23" s="43"/>
      <c r="O23" s="25"/>
      <c r="P23" s="26"/>
      <c r="Q23" s="26"/>
      <c r="R23" s="26"/>
      <c r="S23" s="26"/>
      <c r="T23" s="26"/>
      <c r="U23" s="58"/>
    </row>
    <row r="24" spans="1:21" x14ac:dyDescent="0.25">
      <c r="A24" s="151" t="str">
        <f>IF(COUNTBLANK(B24)=1," ",COUNTA($B$13:B24))</f>
        <v xml:space="preserve"> </v>
      </c>
      <c r="B24" s="139"/>
      <c r="C24" s="236" t="s">
        <v>100</v>
      </c>
      <c r="D24" s="141"/>
      <c r="E24" s="141"/>
      <c r="F24" s="141"/>
      <c r="G24" s="141" t="s">
        <v>56</v>
      </c>
      <c r="H24" s="141">
        <f>ROUNDUP(H22*I24,0)</f>
        <v>270</v>
      </c>
      <c r="I24" s="43">
        <v>2</v>
      </c>
      <c r="J24" s="43"/>
      <c r="K24" s="43"/>
      <c r="L24" s="43"/>
      <c r="M24" s="43"/>
      <c r="N24" s="43"/>
      <c r="O24" s="25"/>
      <c r="P24" s="26"/>
      <c r="Q24" s="26"/>
      <c r="R24" s="26"/>
      <c r="S24" s="26"/>
      <c r="T24" s="26"/>
      <c r="U24" s="58"/>
    </row>
    <row r="25" spans="1:21" x14ac:dyDescent="0.25">
      <c r="A25" s="185" t="str">
        <f>IF(COUNTBLANK(B25)=1," ",COUNTA($B$13:B25))</f>
        <v xml:space="preserve"> </v>
      </c>
      <c r="B25" s="180"/>
      <c r="C25" s="57" t="s">
        <v>101</v>
      </c>
      <c r="D25" s="180"/>
      <c r="E25" s="180"/>
      <c r="F25" s="180"/>
      <c r="G25" s="180" t="s">
        <v>102</v>
      </c>
      <c r="H25" s="43">
        <f>ROUNDUP(H22*I25,0)</f>
        <v>54</v>
      </c>
      <c r="I25" s="43">
        <v>0.4</v>
      </c>
      <c r="J25" s="43"/>
      <c r="K25" s="43"/>
      <c r="L25" s="43"/>
      <c r="M25" s="43"/>
      <c r="N25" s="43"/>
      <c r="O25" s="25"/>
      <c r="P25" s="26"/>
      <c r="Q25" s="26"/>
      <c r="R25" s="26"/>
      <c r="S25" s="26"/>
      <c r="T25" s="26"/>
      <c r="U25" s="58"/>
    </row>
    <row r="26" spans="1:21" x14ac:dyDescent="0.25">
      <c r="A26" s="185" t="str">
        <f>IF(COUNTBLANK(B26)=1," ",COUNTA($B$13:B26))</f>
        <v xml:space="preserve"> </v>
      </c>
      <c r="B26" s="180"/>
      <c r="C26" s="57" t="s">
        <v>103</v>
      </c>
      <c r="D26" s="180"/>
      <c r="E26" s="180"/>
      <c r="F26" s="180"/>
      <c r="G26" s="180" t="s">
        <v>56</v>
      </c>
      <c r="H26" s="43">
        <f>ROUNDUP(H22*I26,0)</f>
        <v>337</v>
      </c>
      <c r="I26" s="43">
        <v>2.5</v>
      </c>
      <c r="J26" s="42"/>
      <c r="K26" s="42"/>
      <c r="L26" s="43"/>
      <c r="M26" s="43"/>
      <c r="N26" s="42"/>
      <c r="O26" s="25"/>
      <c r="P26" s="26"/>
      <c r="Q26" s="26"/>
      <c r="R26" s="26"/>
      <c r="S26" s="26"/>
      <c r="T26" s="26"/>
      <c r="U26" s="58"/>
    </row>
    <row r="27" spans="1:21" x14ac:dyDescent="0.25">
      <c r="A27" s="185" t="str">
        <f>IF(COUNTBLANK(B27)=1," ",COUNTA($B$13:B27))</f>
        <v xml:space="preserve"> </v>
      </c>
      <c r="B27" s="180"/>
      <c r="C27" s="57" t="s">
        <v>104</v>
      </c>
      <c r="D27" s="180"/>
      <c r="E27" s="180"/>
      <c r="F27" s="180"/>
      <c r="G27" s="180" t="s">
        <v>102</v>
      </c>
      <c r="H27" s="43">
        <f>ROUNDUP(H22*I27,2)</f>
        <v>33.629999999999995</v>
      </c>
      <c r="I27" s="43">
        <v>0.25</v>
      </c>
      <c r="J27" s="42"/>
      <c r="K27" s="42"/>
      <c r="L27" s="43"/>
      <c r="M27" s="43"/>
      <c r="N27" s="42"/>
      <c r="O27" s="25"/>
      <c r="P27" s="26"/>
      <c r="Q27" s="26"/>
      <c r="R27" s="26"/>
      <c r="S27" s="26"/>
      <c r="T27" s="26"/>
      <c r="U27" s="58"/>
    </row>
    <row r="28" spans="1:21" x14ac:dyDescent="0.25">
      <c r="A28" s="185" t="str">
        <f>IF(COUNTBLANK(B28)=1," ",COUNTA($B$13:B28))</f>
        <v xml:space="preserve"> </v>
      </c>
      <c r="B28" s="180"/>
      <c r="C28" s="57" t="s">
        <v>105</v>
      </c>
      <c r="D28" s="180"/>
      <c r="E28" s="180"/>
      <c r="F28" s="180"/>
      <c r="G28" s="180" t="s">
        <v>53</v>
      </c>
      <c r="H28" s="43">
        <f>H22*I28</f>
        <v>86.084351999999996</v>
      </c>
      <c r="I28" s="43">
        <v>0.64</v>
      </c>
      <c r="J28" s="42"/>
      <c r="K28" s="42"/>
      <c r="L28" s="43"/>
      <c r="M28" s="43"/>
      <c r="N28" s="42"/>
      <c r="O28" s="25"/>
      <c r="P28" s="26"/>
      <c r="Q28" s="26"/>
      <c r="R28" s="26"/>
      <c r="S28" s="26"/>
      <c r="T28" s="26"/>
      <c r="U28" s="58"/>
    </row>
    <row r="29" spans="1:21" ht="45" x14ac:dyDescent="0.25">
      <c r="A29" s="185">
        <f>IF(COUNTBLANK(B29)=1," ",COUNTA($B$13:B29))</f>
        <v>10</v>
      </c>
      <c r="B29" s="121" t="s">
        <v>51</v>
      </c>
      <c r="C29" s="57" t="s">
        <v>106</v>
      </c>
      <c r="D29" s="180">
        <f>apjoms!F10</f>
        <v>12</v>
      </c>
      <c r="E29" s="180">
        <f>apjoms!G10</f>
        <v>0.68</v>
      </c>
      <c r="F29" s="180">
        <f>apjoms!H10</f>
        <v>0.43</v>
      </c>
      <c r="G29" s="180" t="s">
        <v>60</v>
      </c>
      <c r="H29" s="43">
        <v>3.5087999999999999</v>
      </c>
      <c r="I29" s="43"/>
      <c r="J29" s="43"/>
      <c r="K29" s="24"/>
      <c r="L29" s="43"/>
      <c r="M29" s="43"/>
      <c r="N29" s="43"/>
      <c r="O29" s="25"/>
      <c r="P29" s="26"/>
      <c r="Q29" s="26"/>
      <c r="R29" s="26"/>
      <c r="S29" s="26"/>
      <c r="T29" s="26"/>
      <c r="U29" s="58"/>
    </row>
    <row r="30" spans="1:21" ht="33.75" x14ac:dyDescent="0.25">
      <c r="A30" s="185">
        <f>IF(COUNTBLANK(B30)=1," ",COUNTA($B$13:B30))</f>
        <v>11</v>
      </c>
      <c r="B30" s="121" t="s">
        <v>51</v>
      </c>
      <c r="C30" s="57" t="s">
        <v>107</v>
      </c>
      <c r="D30" s="180">
        <f>apjoms!F11</f>
        <v>30</v>
      </c>
      <c r="E30" s="180">
        <f>apjoms!G11</f>
        <v>0.2</v>
      </c>
      <c r="F30" s="180">
        <f>apjoms!H11</f>
        <v>0.2</v>
      </c>
      <c r="G30" s="180" t="s">
        <v>60</v>
      </c>
      <c r="H30" s="43">
        <f>apjoms!K11</f>
        <v>1.2000000000000002</v>
      </c>
      <c r="I30" s="43"/>
      <c r="J30" s="43"/>
      <c r="K30" s="24"/>
      <c r="L30" s="43"/>
      <c r="M30" s="43"/>
      <c r="N30" s="43"/>
      <c r="O30" s="25"/>
      <c r="P30" s="26"/>
      <c r="Q30" s="26"/>
      <c r="R30" s="26"/>
      <c r="S30" s="26"/>
      <c r="T30" s="26"/>
      <c r="U30" s="58"/>
    </row>
    <row r="31" spans="1:21" ht="33.75" x14ac:dyDescent="0.25">
      <c r="A31" s="185">
        <f>IF(COUNTBLANK(B31)=1," ",COUNTA($B$13:B31))</f>
        <v>12</v>
      </c>
      <c r="B31" s="121" t="s">
        <v>51</v>
      </c>
      <c r="C31" s="264" t="s">
        <v>503</v>
      </c>
      <c r="D31" s="139">
        <f>apjoms!F15</f>
        <v>3</v>
      </c>
      <c r="E31" s="139">
        <f>apjoms!G15</f>
        <v>1</v>
      </c>
      <c r="F31" s="139">
        <f>apjoms!H15</f>
        <v>2.1</v>
      </c>
      <c r="G31" s="139" t="s">
        <v>60</v>
      </c>
      <c r="H31" s="157">
        <f>apjoms!K15</f>
        <v>6.3000000000000007</v>
      </c>
      <c r="I31" s="180"/>
      <c r="J31" s="35"/>
      <c r="K31" s="37"/>
      <c r="L31" s="35"/>
      <c r="M31" s="36"/>
      <c r="N31" s="35"/>
      <c r="O31" s="25"/>
      <c r="P31" s="26"/>
      <c r="Q31" s="26"/>
      <c r="R31" s="26"/>
      <c r="S31" s="26"/>
      <c r="T31" s="26"/>
      <c r="U31" s="58"/>
    </row>
    <row r="32" spans="1:21" ht="45" x14ac:dyDescent="0.25">
      <c r="A32" s="185">
        <f>IF(COUNTBLANK(B32)=1," ",COUNTA($B$13:B32))</f>
        <v>13</v>
      </c>
      <c r="B32" s="121" t="s">
        <v>51</v>
      </c>
      <c r="C32" s="264" t="s">
        <v>504</v>
      </c>
      <c r="D32" s="139">
        <f>apjoms!F16</f>
        <v>3</v>
      </c>
      <c r="E32" s="139">
        <f>apjoms!G16</f>
        <v>1.36</v>
      </c>
      <c r="F32" s="265">
        <f>apjoms!H16</f>
        <v>2.6</v>
      </c>
      <c r="G32" s="139" t="s">
        <v>60</v>
      </c>
      <c r="H32" s="263">
        <f>apjoms!K16</f>
        <v>10.608000000000001</v>
      </c>
      <c r="I32" s="180"/>
      <c r="J32" s="35"/>
      <c r="K32" s="37"/>
      <c r="L32" s="35"/>
      <c r="M32" s="36"/>
      <c r="N32" s="35"/>
      <c r="O32" s="25"/>
      <c r="P32" s="26"/>
      <c r="Q32" s="26"/>
      <c r="R32" s="26"/>
      <c r="S32" s="26"/>
      <c r="T32" s="26"/>
      <c r="U32" s="58"/>
    </row>
    <row r="33" spans="1:23" ht="22.5" x14ac:dyDescent="0.25">
      <c r="A33" s="185">
        <f>IF(COUNTBLANK(B33)=1," ",COUNTA($B$13:B33))</f>
        <v>14</v>
      </c>
      <c r="B33" s="121" t="s">
        <v>51</v>
      </c>
      <c r="C33" s="259" t="s">
        <v>505</v>
      </c>
      <c r="D33" s="265">
        <f>apjoms!F13</f>
        <v>3</v>
      </c>
      <c r="E33" s="265">
        <f>apjoms!G13</f>
        <v>0.8</v>
      </c>
      <c r="F33" s="265">
        <f>apjoms!H13</f>
        <v>2.1</v>
      </c>
      <c r="G33" s="265" t="s">
        <v>60</v>
      </c>
      <c r="H33" s="44">
        <f>apjoms!K13</f>
        <v>5.0400000000000009</v>
      </c>
      <c r="I33" s="253"/>
      <c r="J33" s="269"/>
      <c r="K33" s="270"/>
      <c r="L33" s="269"/>
      <c r="M33" s="271"/>
      <c r="N33" s="269"/>
      <c r="O33" s="257"/>
      <c r="P33" s="258"/>
      <c r="Q33" s="258"/>
      <c r="R33" s="258"/>
      <c r="S33" s="258"/>
      <c r="T33" s="258"/>
      <c r="U33" s="58"/>
    </row>
    <row r="34" spans="1:23" x14ac:dyDescent="0.25">
      <c r="A34" s="185">
        <f>IF(COUNTBLANK(B34)=1," ",COUNTA($B$13:B34))</f>
        <v>15</v>
      </c>
      <c r="B34" s="121" t="s">
        <v>51</v>
      </c>
      <c r="C34" s="57" t="s">
        <v>108</v>
      </c>
      <c r="D34" s="180">
        <f>apjoms!F12</f>
        <v>3</v>
      </c>
      <c r="E34" s="180">
        <f>apjoms!G12</f>
        <v>0.8</v>
      </c>
      <c r="F34" s="180">
        <f>apjoms!H12</f>
        <v>0.85</v>
      </c>
      <c r="G34" s="180" t="s">
        <v>60</v>
      </c>
      <c r="H34" s="27">
        <f>apjoms!K12</f>
        <v>2.04</v>
      </c>
      <c r="I34" s="180"/>
      <c r="J34" s="35"/>
      <c r="K34" s="37"/>
      <c r="L34" s="35"/>
      <c r="M34" s="36"/>
      <c r="N34" s="35"/>
      <c r="O34" s="25"/>
      <c r="P34" s="26"/>
      <c r="Q34" s="26"/>
      <c r="R34" s="26"/>
      <c r="S34" s="26"/>
      <c r="T34" s="26"/>
      <c r="U34" s="58"/>
    </row>
    <row r="35" spans="1:23" x14ac:dyDescent="0.25">
      <c r="A35" s="185">
        <f>IF(COUNTBLANK(B35)=1," ",COUNTA($B$13:B35))</f>
        <v>16</v>
      </c>
      <c r="B35" s="121" t="s">
        <v>51</v>
      </c>
      <c r="C35" s="106" t="s">
        <v>109</v>
      </c>
      <c r="D35" s="43"/>
      <c r="E35" s="43"/>
      <c r="F35" s="43"/>
      <c r="G35" s="180" t="s">
        <v>60</v>
      </c>
      <c r="H35" s="43">
        <f>SUM(H29:H34)</f>
        <v>28.696800000000003</v>
      </c>
      <c r="I35" s="43"/>
      <c r="J35" s="42"/>
      <c r="K35" s="60"/>
      <c r="L35" s="42"/>
      <c r="M35" s="43"/>
      <c r="N35" s="42"/>
      <c r="O35" s="25"/>
      <c r="P35" s="26"/>
      <c r="Q35" s="26"/>
      <c r="R35" s="26"/>
      <c r="S35" s="26"/>
      <c r="T35" s="26"/>
      <c r="U35" s="58"/>
    </row>
    <row r="36" spans="1:23" x14ac:dyDescent="0.25">
      <c r="A36" s="185" t="str">
        <f>IF(COUNTBLANK(B36)=1," ",COUNTA($B$13:B36))</f>
        <v xml:space="preserve"> </v>
      </c>
      <c r="B36" s="180"/>
      <c r="C36" s="57" t="s">
        <v>99</v>
      </c>
      <c r="D36" s="180"/>
      <c r="E36" s="180"/>
      <c r="F36" s="180"/>
      <c r="G36" s="180" t="s">
        <v>110</v>
      </c>
      <c r="H36" s="43">
        <f>ROUNDUP(H35*I36,0)</f>
        <v>75</v>
      </c>
      <c r="I36" s="43">
        <v>2.6</v>
      </c>
      <c r="J36" s="42"/>
      <c r="K36" s="42"/>
      <c r="L36" s="42"/>
      <c r="M36" s="42"/>
      <c r="N36" s="42"/>
      <c r="O36" s="25"/>
      <c r="P36" s="26"/>
      <c r="Q36" s="26"/>
      <c r="R36" s="26"/>
      <c r="S36" s="26"/>
      <c r="T36" s="26"/>
      <c r="U36" s="58"/>
    </row>
    <row r="37" spans="1:23" x14ac:dyDescent="0.25">
      <c r="A37" s="185" t="str">
        <f>IF(COUNTBLANK(B37)=1," ",COUNTA($B$13:B37))</f>
        <v xml:space="preserve"> </v>
      </c>
      <c r="B37" s="180"/>
      <c r="C37" s="106" t="s">
        <v>100</v>
      </c>
      <c r="D37" s="43"/>
      <c r="E37" s="43"/>
      <c r="F37" s="43"/>
      <c r="G37" s="43" t="s">
        <v>110</v>
      </c>
      <c r="H37" s="43">
        <f>ROUNDUP(H35*I37,0)</f>
        <v>58</v>
      </c>
      <c r="I37" s="43">
        <v>2</v>
      </c>
      <c r="J37" s="42"/>
      <c r="K37" s="42"/>
      <c r="L37" s="42"/>
      <c r="M37" s="42"/>
      <c r="N37" s="42"/>
      <c r="O37" s="25"/>
      <c r="P37" s="26"/>
      <c r="Q37" s="26"/>
      <c r="R37" s="26"/>
      <c r="S37" s="26"/>
      <c r="T37" s="26"/>
      <c r="U37" s="58"/>
    </row>
    <row r="38" spans="1:23" x14ac:dyDescent="0.25">
      <c r="A38" s="185" t="str">
        <f>IF(COUNTBLANK(B38)=1," ",COUNTA($B$13:B38))</f>
        <v xml:space="preserve"> </v>
      </c>
      <c r="B38" s="121"/>
      <c r="C38" s="57" t="s">
        <v>101</v>
      </c>
      <c r="D38" s="180"/>
      <c r="E38" s="180"/>
      <c r="F38" s="180"/>
      <c r="G38" s="180" t="s">
        <v>102</v>
      </c>
      <c r="H38" s="43">
        <f>ROUNDUP(H35*I38,0)</f>
        <v>12</v>
      </c>
      <c r="I38" s="43">
        <v>0.4</v>
      </c>
      <c r="J38" s="42"/>
      <c r="K38" s="42"/>
      <c r="L38" s="42"/>
      <c r="M38" s="42"/>
      <c r="N38" s="42"/>
      <c r="O38" s="25"/>
      <c r="P38" s="26"/>
      <c r="Q38" s="26"/>
      <c r="R38" s="26"/>
      <c r="S38" s="26"/>
      <c r="T38" s="26"/>
      <c r="U38" s="58"/>
    </row>
    <row r="39" spans="1:23" x14ac:dyDescent="0.25">
      <c r="A39" s="185" t="str">
        <f>IF(COUNTBLANK(B39)=1," ",COUNTA($B$13:B39))</f>
        <v xml:space="preserve"> </v>
      </c>
      <c r="B39" s="121"/>
      <c r="C39" s="57" t="s">
        <v>103</v>
      </c>
      <c r="D39" s="180"/>
      <c r="E39" s="180"/>
      <c r="F39" s="180"/>
      <c r="G39" s="180" t="s">
        <v>110</v>
      </c>
      <c r="H39" s="43">
        <f>ROUNDUP(H35*I39,0)</f>
        <v>72</v>
      </c>
      <c r="I39" s="43">
        <v>2.5</v>
      </c>
      <c r="J39" s="42"/>
      <c r="K39" s="42"/>
      <c r="L39" s="42"/>
      <c r="M39" s="42"/>
      <c r="N39" s="42"/>
      <c r="O39" s="25"/>
      <c r="P39" s="26"/>
      <c r="Q39" s="26"/>
      <c r="R39" s="26"/>
      <c r="S39" s="26"/>
      <c r="T39" s="26"/>
      <c r="U39" s="58"/>
    </row>
    <row r="40" spans="1:23" x14ac:dyDescent="0.25">
      <c r="A40" s="185" t="str">
        <f>IF(COUNTBLANK(B40)=1," ",COUNTA($B$13:B40))</f>
        <v xml:space="preserve"> </v>
      </c>
      <c r="B40" s="121"/>
      <c r="C40" s="57" t="s">
        <v>104</v>
      </c>
      <c r="D40" s="180"/>
      <c r="E40" s="180"/>
      <c r="F40" s="180"/>
      <c r="G40" s="180" t="s">
        <v>102</v>
      </c>
      <c r="H40" s="43">
        <f>ROUNDUP(H35*I40,2)</f>
        <v>7.18</v>
      </c>
      <c r="I40" s="43">
        <v>0.25</v>
      </c>
      <c r="J40" s="42"/>
      <c r="K40" s="42"/>
      <c r="L40" s="42"/>
      <c r="M40" s="42"/>
      <c r="N40" s="42"/>
      <c r="O40" s="25"/>
      <c r="P40" s="26"/>
      <c r="Q40" s="26"/>
      <c r="R40" s="26"/>
      <c r="S40" s="26"/>
      <c r="T40" s="26"/>
      <c r="U40" s="58"/>
    </row>
    <row r="41" spans="1:23" x14ac:dyDescent="0.25">
      <c r="A41" s="185">
        <f>IF(COUNTBLANK(B41)=1," ",COUNTA($B$13:B41))</f>
        <v>17</v>
      </c>
      <c r="B41" s="121" t="s">
        <v>51</v>
      </c>
      <c r="C41" s="57" t="s">
        <v>111</v>
      </c>
      <c r="D41" s="180"/>
      <c r="E41" s="180"/>
      <c r="F41" s="180"/>
      <c r="G41" s="180" t="s">
        <v>53</v>
      </c>
      <c r="H41" s="263">
        <f>apjoms!L17</f>
        <v>1433.3600000000001</v>
      </c>
      <c r="I41" s="180"/>
      <c r="J41" s="42"/>
      <c r="K41" s="24"/>
      <c r="L41" s="42"/>
      <c r="M41" s="43"/>
      <c r="N41" s="42"/>
      <c r="O41" s="25"/>
      <c r="P41" s="26"/>
      <c r="Q41" s="26"/>
      <c r="R41" s="26"/>
      <c r="S41" s="26"/>
      <c r="T41" s="26"/>
      <c r="U41" s="58"/>
      <c r="V41" s="21"/>
      <c r="W41" s="21"/>
    </row>
    <row r="42" spans="1:23" ht="22.5" x14ac:dyDescent="0.25">
      <c r="A42" s="185">
        <f>IF(COUNTBLANK(B42)=1," ",COUNTA($B$13:B42))</f>
        <v>18</v>
      </c>
      <c r="B42" s="121" t="s">
        <v>51</v>
      </c>
      <c r="C42" s="57" t="s">
        <v>112</v>
      </c>
      <c r="D42" s="180"/>
      <c r="E42" s="180"/>
      <c r="F42" s="180"/>
      <c r="G42" s="180" t="s">
        <v>53</v>
      </c>
      <c r="H42" s="263">
        <f>apjoms!M17</f>
        <v>441.91999999999996</v>
      </c>
      <c r="I42" s="180"/>
      <c r="J42" s="42"/>
      <c r="K42" s="24"/>
      <c r="L42" s="42"/>
      <c r="M42" s="43"/>
      <c r="N42" s="42"/>
      <c r="O42" s="25"/>
      <c r="P42" s="26"/>
      <c r="Q42" s="26"/>
      <c r="R42" s="26"/>
      <c r="S42" s="26"/>
      <c r="T42" s="26"/>
      <c r="U42" s="58"/>
    </row>
    <row r="43" spans="1:23" s="210" customFormat="1" ht="33.75" x14ac:dyDescent="0.25">
      <c r="A43" s="61">
        <f>IF(COUNTBLANK(B43)=1," ",COUNTA($I$12:I43))</f>
        <v>11</v>
      </c>
      <c r="B43" s="62" t="s">
        <v>51</v>
      </c>
      <c r="C43" s="87" t="s">
        <v>113</v>
      </c>
      <c r="D43" s="185"/>
      <c r="E43" s="185"/>
      <c r="F43" s="185"/>
      <c r="G43" s="129" t="s">
        <v>53</v>
      </c>
      <c r="H43" s="262">
        <f>apjoms!Q17</f>
        <v>339.86400000000003</v>
      </c>
      <c r="I43" s="47"/>
      <c r="J43" s="43"/>
      <c r="K43" s="24"/>
      <c r="L43" s="43"/>
      <c r="M43" s="43"/>
      <c r="N43" s="43"/>
      <c r="O43" s="25"/>
      <c r="P43" s="26"/>
      <c r="Q43" s="26"/>
      <c r="R43" s="26"/>
      <c r="S43" s="26"/>
      <c r="T43" s="26"/>
      <c r="U43" s="58"/>
      <c r="V43" s="21"/>
      <c r="W43" s="21"/>
    </row>
    <row r="44" spans="1:23" x14ac:dyDescent="0.25">
      <c r="A44" s="61" t="str">
        <f>IF(COUNTBLANK(B44)=1," ",COUNTA($I$12:I44))</f>
        <v xml:space="preserve"> </v>
      </c>
      <c r="B44" s="62"/>
      <c r="C44" s="64" t="s">
        <v>114</v>
      </c>
      <c r="D44" s="61"/>
      <c r="E44" s="35"/>
      <c r="F44" s="47"/>
      <c r="G44" s="61" t="s">
        <v>56</v>
      </c>
      <c r="H44" s="35">
        <f>ROUNDUP(H43*I44,2)</f>
        <v>679.73</v>
      </c>
      <c r="I44" s="47">
        <v>2</v>
      </c>
      <c r="J44" s="180"/>
      <c r="K44" s="43"/>
      <c r="L44" s="43"/>
      <c r="M44" s="43"/>
      <c r="N44" s="43"/>
      <c r="O44" s="25"/>
      <c r="P44" s="26"/>
      <c r="Q44" s="26"/>
      <c r="R44" s="26"/>
      <c r="S44" s="26"/>
      <c r="T44" s="26"/>
      <c r="U44" s="58"/>
      <c r="V44" s="21"/>
      <c r="W44" s="21"/>
    </row>
    <row r="45" spans="1:23" s="211" customFormat="1" ht="11.25" x14ac:dyDescent="0.25">
      <c r="A45" s="61" t="str">
        <f>IF(COUNTBLANK(B45)=1," ",COUNTA($I$12:I45))</f>
        <v xml:space="preserve"> </v>
      </c>
      <c r="B45" s="62"/>
      <c r="C45" s="64" t="s">
        <v>104</v>
      </c>
      <c r="D45" s="63"/>
      <c r="E45" s="35"/>
      <c r="F45" s="63"/>
      <c r="G45" s="63" t="s">
        <v>102</v>
      </c>
      <c r="H45" s="35">
        <f>ROUNDUP(H43*I45,2)</f>
        <v>6.8</v>
      </c>
      <c r="I45" s="63">
        <v>0.02</v>
      </c>
      <c r="J45" s="185"/>
      <c r="K45" s="185"/>
      <c r="L45" s="43"/>
      <c r="M45" s="43"/>
      <c r="N45" s="185"/>
      <c r="O45" s="25"/>
      <c r="P45" s="26"/>
      <c r="Q45" s="26"/>
      <c r="R45" s="26"/>
      <c r="S45" s="26"/>
      <c r="T45" s="26"/>
      <c r="U45" s="58"/>
      <c r="V45" s="21"/>
      <c r="W45" s="21"/>
    </row>
    <row r="46" spans="1:23" s="210" customFormat="1" ht="11.25" x14ac:dyDescent="0.25">
      <c r="A46" s="61" t="str">
        <f>IF(COUNTBLANK(B46)=1," ",COUNTA($I$12:I46))</f>
        <v xml:space="preserve"> </v>
      </c>
      <c r="B46" s="62"/>
      <c r="C46" s="64" t="s">
        <v>101</v>
      </c>
      <c r="D46" s="63"/>
      <c r="E46" s="35"/>
      <c r="F46" s="47"/>
      <c r="G46" s="63" t="s">
        <v>102</v>
      </c>
      <c r="H46" s="35">
        <f>ROUNDUP(H43*I46,2)</f>
        <v>10.199999999999999</v>
      </c>
      <c r="I46" s="47">
        <v>0.03</v>
      </c>
      <c r="J46" s="180"/>
      <c r="K46" s="43"/>
      <c r="L46" s="43"/>
      <c r="M46" s="43"/>
      <c r="N46" s="43"/>
      <c r="O46" s="25"/>
      <c r="P46" s="26"/>
      <c r="Q46" s="26"/>
      <c r="R46" s="26"/>
      <c r="S46" s="26"/>
      <c r="T46" s="26"/>
      <c r="U46" s="58"/>
      <c r="V46" s="21"/>
      <c r="W46" s="21"/>
    </row>
    <row r="47" spans="1:23" s="211" customFormat="1" ht="11.25" x14ac:dyDescent="0.25">
      <c r="A47" s="61" t="str">
        <f>IF(COUNTBLANK(B47)=1," ",COUNTA($I$12:I47))</f>
        <v xml:space="preserve"> </v>
      </c>
      <c r="B47" s="62"/>
      <c r="C47" s="64" t="s">
        <v>115</v>
      </c>
      <c r="D47" s="61"/>
      <c r="E47" s="35"/>
      <c r="F47" s="47"/>
      <c r="G47" s="61" t="s">
        <v>60</v>
      </c>
      <c r="H47" s="35">
        <f>ROUNDUP(H43*I47,2)</f>
        <v>118.96000000000001</v>
      </c>
      <c r="I47" s="47">
        <v>0.35</v>
      </c>
      <c r="J47" s="185"/>
      <c r="K47" s="185"/>
      <c r="L47" s="43"/>
      <c r="M47" s="43"/>
      <c r="N47" s="185"/>
      <c r="O47" s="25"/>
      <c r="P47" s="26"/>
      <c r="Q47" s="26"/>
      <c r="R47" s="26"/>
      <c r="S47" s="26"/>
      <c r="T47" s="26"/>
      <c r="U47" s="58"/>
      <c r="V47" s="21"/>
      <c r="W47" s="21"/>
    </row>
    <row r="48" spans="1:23" s="210" customFormat="1" ht="11.25" x14ac:dyDescent="0.25">
      <c r="A48" s="61" t="str">
        <f>IF(COUNTBLANK(B48)=1," ",COUNTA($I$12:I48))</f>
        <v xml:space="preserve"> </v>
      </c>
      <c r="B48" s="62"/>
      <c r="C48" s="64" t="s">
        <v>116</v>
      </c>
      <c r="D48" s="63"/>
      <c r="E48" s="35"/>
      <c r="F48" s="47"/>
      <c r="G48" s="63" t="s">
        <v>72</v>
      </c>
      <c r="H48" s="35">
        <f>ROUNDUP(H43*I48,2)</f>
        <v>101.96000000000001</v>
      </c>
      <c r="I48" s="47">
        <v>0.3</v>
      </c>
      <c r="J48" s="180"/>
      <c r="K48" s="43"/>
      <c r="L48" s="43"/>
      <c r="M48" s="43"/>
      <c r="N48" s="43"/>
      <c r="O48" s="25"/>
      <c r="P48" s="26"/>
      <c r="Q48" s="26"/>
      <c r="R48" s="26"/>
      <c r="S48" s="26"/>
      <c r="T48" s="26"/>
      <c r="U48" s="58"/>
      <c r="V48" s="21"/>
      <c r="W48" s="21"/>
    </row>
    <row r="49" spans="1:23" s="210" customFormat="1" ht="22.5" x14ac:dyDescent="0.25">
      <c r="A49" s="61" t="str">
        <f>IF(COUNTBLANK(I49)=1," ",COUNTA($I$13:I49))</f>
        <v xml:space="preserve"> </v>
      </c>
      <c r="B49" s="62" t="s">
        <v>51</v>
      </c>
      <c r="C49" s="64" t="s">
        <v>117</v>
      </c>
      <c r="D49" s="63"/>
      <c r="E49" s="65"/>
      <c r="F49" s="66"/>
      <c r="G49" s="35" t="s">
        <v>60</v>
      </c>
      <c r="H49" s="34">
        <v>117.24299999999999</v>
      </c>
      <c r="I49" s="35"/>
      <c r="J49" s="35"/>
      <c r="K49" s="37"/>
      <c r="L49" s="35"/>
      <c r="M49" s="36"/>
      <c r="N49" s="35"/>
      <c r="O49" s="25"/>
      <c r="P49" s="26"/>
      <c r="Q49" s="26"/>
      <c r="R49" s="26"/>
      <c r="S49" s="26"/>
      <c r="T49" s="26"/>
      <c r="U49" s="58"/>
    </row>
    <row r="50" spans="1:23" ht="20.65" customHeight="1" x14ac:dyDescent="0.25">
      <c r="A50" s="61">
        <f>IF(COUNTBLANK(I50)=1," ",COUNTA($I$13:I50))</f>
        <v>17</v>
      </c>
      <c r="B50" s="67"/>
      <c r="C50" s="237" t="s">
        <v>440</v>
      </c>
      <c r="D50" s="63"/>
      <c r="E50" s="68"/>
      <c r="F50" s="35"/>
      <c r="G50" s="63" t="s">
        <v>53</v>
      </c>
      <c r="H50" s="35">
        <f>ROUNDUP(H49*I50,2)</f>
        <v>35.18</v>
      </c>
      <c r="I50" s="35">
        <v>0.3</v>
      </c>
      <c r="J50" s="35"/>
      <c r="K50" s="35"/>
      <c r="L50" s="35"/>
      <c r="M50" s="35"/>
      <c r="N50" s="212"/>
      <c r="O50" s="25"/>
      <c r="P50" s="26"/>
      <c r="Q50" s="26"/>
      <c r="R50" s="26"/>
      <c r="S50" s="26"/>
      <c r="T50" s="26"/>
      <c r="U50" s="58"/>
    </row>
    <row r="51" spans="1:23" ht="22.5" x14ac:dyDescent="0.25">
      <c r="A51" s="61">
        <f>IF(COUNTBLANK(I51)=1," ",COUNTA($I$13:I51))</f>
        <v>18</v>
      </c>
      <c r="B51" s="67"/>
      <c r="C51" s="238" t="s">
        <v>441</v>
      </c>
      <c r="D51" s="63"/>
      <c r="E51" s="68"/>
      <c r="F51" s="35"/>
      <c r="G51" s="63" t="s">
        <v>60</v>
      </c>
      <c r="H51" s="35">
        <f>ROUNDUP(H49*I51,2)</f>
        <v>140.69999999999999</v>
      </c>
      <c r="I51" s="35">
        <v>1.2</v>
      </c>
      <c r="J51" s="35"/>
      <c r="K51" s="35"/>
      <c r="L51" s="35"/>
      <c r="M51" s="35"/>
      <c r="N51" s="212"/>
      <c r="O51" s="25"/>
      <c r="P51" s="26"/>
      <c r="Q51" s="26"/>
      <c r="R51" s="26"/>
      <c r="S51" s="26"/>
      <c r="T51" s="26"/>
      <c r="U51" s="58"/>
    </row>
    <row r="52" spans="1:23" x14ac:dyDescent="0.25">
      <c r="A52" s="61">
        <f>IF(COUNTBLANK(I52)=1," ",COUNTA($I$13:I52))</f>
        <v>19</v>
      </c>
      <c r="B52" s="67"/>
      <c r="C52" s="64" t="s">
        <v>442</v>
      </c>
      <c r="D52" s="63"/>
      <c r="E52" s="68"/>
      <c r="F52" s="35"/>
      <c r="G52" s="63" t="s">
        <v>72</v>
      </c>
      <c r="H52" s="35">
        <f>ROUNDUP(H49*I52,2)</f>
        <v>468.98</v>
      </c>
      <c r="I52" s="35">
        <v>4</v>
      </c>
      <c r="J52" s="35"/>
      <c r="K52" s="35"/>
      <c r="L52" s="35"/>
      <c r="M52" s="35"/>
      <c r="N52" s="212"/>
      <c r="O52" s="25"/>
      <c r="P52" s="26"/>
      <c r="Q52" s="26"/>
      <c r="R52" s="26"/>
      <c r="S52" s="26"/>
      <c r="T52" s="26"/>
      <c r="U52" s="58"/>
    </row>
    <row r="53" spans="1:23" x14ac:dyDescent="0.25">
      <c r="A53" s="61">
        <f>IF(COUNTBLANK(I53)=1," ",COUNTA($I$13:I53))</f>
        <v>20</v>
      </c>
      <c r="B53" s="67"/>
      <c r="C53" s="238" t="s">
        <v>443</v>
      </c>
      <c r="D53" s="35"/>
      <c r="E53" s="68"/>
      <c r="F53" s="35"/>
      <c r="G53" s="35" t="s">
        <v>72</v>
      </c>
      <c r="H53" s="35">
        <f>ROUNDUP(H49*I53,2)</f>
        <v>187.59</v>
      </c>
      <c r="I53" s="35">
        <v>1.6</v>
      </c>
      <c r="J53" s="35"/>
      <c r="K53" s="35"/>
      <c r="L53" s="35"/>
      <c r="M53" s="35"/>
      <c r="N53" s="212"/>
      <c r="O53" s="25"/>
      <c r="P53" s="26"/>
      <c r="Q53" s="26"/>
      <c r="R53" s="26"/>
      <c r="S53" s="26"/>
      <c r="T53" s="26"/>
      <c r="U53" s="58"/>
    </row>
    <row r="54" spans="1:23" x14ac:dyDescent="0.25">
      <c r="A54" s="61">
        <f>IF(COUNTBLANK(I54)=1," ",COUNTA($I$13:I54))</f>
        <v>21</v>
      </c>
      <c r="B54" s="67"/>
      <c r="C54" s="64" t="s">
        <v>444</v>
      </c>
      <c r="D54" s="35"/>
      <c r="E54" s="68"/>
      <c r="F54" s="35"/>
      <c r="G54" s="35" t="s">
        <v>72</v>
      </c>
      <c r="H54" s="35">
        <f>ROUNDUP(H49*I54,2)</f>
        <v>70.350000000000009</v>
      </c>
      <c r="I54" s="35">
        <v>0.6</v>
      </c>
      <c r="J54" s="35"/>
      <c r="K54" s="35"/>
      <c r="L54" s="35"/>
      <c r="M54" s="35"/>
      <c r="N54" s="212"/>
      <c r="O54" s="25"/>
      <c r="P54" s="26"/>
      <c r="Q54" s="26"/>
      <c r="R54" s="26"/>
      <c r="S54" s="26"/>
      <c r="T54" s="26"/>
      <c r="U54" s="58"/>
    </row>
    <row r="55" spans="1:23" x14ac:dyDescent="0.25">
      <c r="A55" s="61">
        <f>IF(COUNTBLANK(I55)=1," ",COUNTA($I$13:I55))</f>
        <v>22</v>
      </c>
      <c r="B55" s="67"/>
      <c r="C55" s="239" t="s">
        <v>118</v>
      </c>
      <c r="D55" s="61"/>
      <c r="E55" s="68"/>
      <c r="F55" s="35"/>
      <c r="G55" s="61" t="s">
        <v>56</v>
      </c>
      <c r="H55" s="35">
        <f>ROUNDUP(H49*I55,0)</f>
        <v>12</v>
      </c>
      <c r="I55" s="35">
        <v>0.1</v>
      </c>
      <c r="J55" s="35"/>
      <c r="K55" s="35"/>
      <c r="L55" s="35"/>
      <c r="M55" s="35"/>
      <c r="N55" s="212"/>
      <c r="O55" s="25"/>
      <c r="P55" s="26"/>
      <c r="Q55" s="26"/>
      <c r="R55" s="26"/>
      <c r="S55" s="26"/>
      <c r="T55" s="26"/>
      <c r="U55" s="58"/>
    </row>
    <row r="56" spans="1:23" x14ac:dyDescent="0.25">
      <c r="A56" s="185">
        <f>IF(COUNTBLANK(B56)=1," ",COUNTA($B$13:B56))</f>
        <v>21</v>
      </c>
      <c r="B56" s="121" t="s">
        <v>51</v>
      </c>
      <c r="C56" s="57" t="s">
        <v>119</v>
      </c>
      <c r="D56" s="180"/>
      <c r="E56" s="180"/>
      <c r="F56" s="180"/>
      <c r="G56" s="129" t="s">
        <v>53</v>
      </c>
      <c r="H56" s="27">
        <f>apjoms!P17</f>
        <v>104.32</v>
      </c>
      <c r="I56" s="180"/>
      <c r="J56" s="42"/>
      <c r="K56" s="24"/>
      <c r="L56" s="42"/>
      <c r="M56" s="43"/>
      <c r="N56" s="42"/>
      <c r="O56" s="25"/>
      <c r="P56" s="26"/>
      <c r="Q56" s="26"/>
      <c r="R56" s="26"/>
      <c r="S56" s="26"/>
      <c r="T56" s="26"/>
      <c r="U56" s="58"/>
      <c r="V56" s="21"/>
      <c r="W56" s="21"/>
    </row>
    <row r="57" spans="1:23" x14ac:dyDescent="0.25">
      <c r="A57" s="39"/>
      <c r="B57" s="50"/>
      <c r="C57" s="46"/>
      <c r="D57" s="39"/>
      <c r="E57" s="39"/>
      <c r="F57" s="39"/>
      <c r="G57" s="39"/>
      <c r="H57" s="51"/>
      <c r="I57" s="39"/>
      <c r="J57" s="52"/>
      <c r="K57" s="16"/>
      <c r="L57" s="52"/>
      <c r="M57" s="52"/>
      <c r="N57" s="52"/>
      <c r="O57" s="16"/>
      <c r="P57" s="16"/>
      <c r="Q57" s="16"/>
      <c r="R57" s="16"/>
    </row>
    <row r="58" spans="1:23" ht="22.5" x14ac:dyDescent="0.25">
      <c r="A58" s="39"/>
      <c r="B58" s="39"/>
      <c r="C58" s="10" t="s">
        <v>91</v>
      </c>
      <c r="D58" s="9"/>
      <c r="E58" s="9"/>
      <c r="F58" s="9"/>
      <c r="G58" s="9"/>
      <c r="H58" s="5"/>
      <c r="I58" s="5"/>
      <c r="J58" s="9"/>
      <c r="K58" s="9"/>
      <c r="L58" s="9"/>
      <c r="M58" s="52"/>
      <c r="N58" s="52"/>
      <c r="O58" s="52"/>
      <c r="P58" s="52">
        <f>SUM(P13:P56)</f>
        <v>0</v>
      </c>
      <c r="Q58" s="52">
        <f>SUM(Q13:Q56)</f>
        <v>0</v>
      </c>
      <c r="R58" s="52">
        <f>SUM(R13:R56)</f>
        <v>0</v>
      </c>
      <c r="S58" s="52">
        <f>SUM(S13:S56)</f>
        <v>0</v>
      </c>
      <c r="T58" s="52">
        <f>SUM(T13:T56)</f>
        <v>0</v>
      </c>
      <c r="U58" s="52"/>
      <c r="V58" s="21"/>
      <c r="W58" s="213"/>
    </row>
    <row r="59" spans="1:23" x14ac:dyDescent="0.25">
      <c r="A59" s="9" t="str">
        <f>IF(COUNTBLANK(L59)=1," ",COUNTA($L$13:L59))</f>
        <v xml:space="preserve"> </v>
      </c>
      <c r="B59" s="39"/>
      <c r="C59" s="10"/>
      <c r="D59" s="9"/>
      <c r="E59" s="9"/>
      <c r="F59" s="9"/>
      <c r="G59" s="9"/>
      <c r="H59" s="5"/>
      <c r="I59" s="5"/>
      <c r="J59" s="9"/>
      <c r="K59" s="5"/>
      <c r="L59" s="9"/>
      <c r="M59" s="16"/>
      <c r="N59" s="9"/>
      <c r="O59" s="16"/>
      <c r="P59" s="16"/>
      <c r="Q59" s="9"/>
      <c r="R59" s="16"/>
      <c r="S59" s="16"/>
      <c r="T59" s="16"/>
      <c r="U59" s="16"/>
      <c r="V59" s="21"/>
      <c r="W59" s="21"/>
    </row>
    <row r="60" spans="1:23" s="38" customFormat="1" ht="11.25" x14ac:dyDescent="0.25">
      <c r="A60" s="183"/>
      <c r="B60" s="183"/>
      <c r="C60" s="46"/>
      <c r="D60" s="39"/>
      <c r="E60" s="39"/>
      <c r="F60" s="39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21"/>
      <c r="W60" s="21"/>
    </row>
    <row r="61" spans="1:23" x14ac:dyDescent="0.25">
      <c r="A61" s="183"/>
      <c r="B61" s="21" t="s">
        <v>31</v>
      </c>
      <c r="C61" s="130"/>
      <c r="D61" s="21"/>
      <c r="E61" s="21"/>
      <c r="F61" s="21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5"/>
      <c r="T61" s="5"/>
      <c r="U61" s="5"/>
    </row>
    <row r="62" spans="1:23" x14ac:dyDescent="0.25">
      <c r="A62" s="183"/>
      <c r="B62" s="21"/>
      <c r="C62" s="229" t="s">
        <v>32</v>
      </c>
      <c r="D62" s="183"/>
      <c r="E62" s="183"/>
      <c r="F62" s="183"/>
      <c r="G62" s="21"/>
      <c r="H62" s="21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5"/>
      <c r="T62" s="5"/>
      <c r="U62" s="5"/>
    </row>
    <row r="63" spans="1:23" x14ac:dyDescent="0.25">
      <c r="A63" s="21"/>
      <c r="B63" s="5"/>
      <c r="C63" s="3"/>
      <c r="D63" s="5"/>
      <c r="E63" s="5"/>
      <c r="F63" s="5"/>
      <c r="G63" s="21"/>
      <c r="H63" s="21"/>
      <c r="I63" s="183"/>
      <c r="J63" s="183"/>
      <c r="K63" s="21"/>
      <c r="L63" s="21"/>
      <c r="M63" s="21"/>
      <c r="N63" s="21"/>
      <c r="O63" s="21"/>
      <c r="P63" s="21"/>
      <c r="Q63" s="21"/>
      <c r="R63" s="21"/>
      <c r="S63" s="5"/>
      <c r="T63" s="5"/>
      <c r="U63" s="5"/>
    </row>
    <row r="64" spans="1:23" x14ac:dyDescent="0.25">
      <c r="A64" s="21"/>
      <c r="B64" s="310" t="s">
        <v>476</v>
      </c>
      <c r="C64" s="130"/>
      <c r="D64" s="21"/>
      <c r="E64" s="21"/>
      <c r="F64" s="21"/>
      <c r="G64" s="21"/>
      <c r="H64" s="21"/>
      <c r="I64" s="183"/>
      <c r="J64" s="183"/>
      <c r="K64" s="21"/>
      <c r="L64" s="21"/>
      <c r="M64" s="21"/>
      <c r="N64" s="21"/>
      <c r="O64" s="21"/>
      <c r="P64" s="21"/>
      <c r="Q64" s="21"/>
      <c r="R64" s="21"/>
      <c r="S64" s="5"/>
      <c r="T64" s="5"/>
      <c r="U64" s="5"/>
    </row>
    <row r="65" spans="1:21" x14ac:dyDescent="0.25">
      <c r="A65" s="21"/>
      <c r="B65" s="5"/>
      <c r="C65" s="3"/>
      <c r="D65" s="5"/>
      <c r="E65" s="5"/>
      <c r="F65" s="5"/>
      <c r="G65" s="21"/>
      <c r="H65" s="21"/>
      <c r="I65" s="183"/>
      <c r="J65" s="183"/>
      <c r="K65" s="21"/>
      <c r="L65" s="21"/>
      <c r="M65" s="21"/>
      <c r="N65" s="21"/>
      <c r="O65" s="21"/>
      <c r="P65" s="21"/>
      <c r="Q65" s="21"/>
      <c r="R65" s="21"/>
      <c r="S65" s="5"/>
      <c r="T65" s="5"/>
      <c r="U65" s="5"/>
    </row>
    <row r="66" spans="1:21" x14ac:dyDescent="0.25">
      <c r="A66" s="21"/>
      <c r="B66" s="21" t="s">
        <v>33</v>
      </c>
      <c r="C66" s="130"/>
      <c r="D66" s="21"/>
      <c r="E66" s="21"/>
      <c r="F66" s="21"/>
      <c r="G66" s="21"/>
      <c r="H66" s="21"/>
      <c r="I66" s="183"/>
      <c r="J66" s="183"/>
      <c r="K66" s="21"/>
      <c r="L66" s="21"/>
      <c r="M66" s="21"/>
      <c r="N66" s="21"/>
      <c r="O66" s="21"/>
      <c r="P66" s="21"/>
      <c r="Q66" s="21"/>
      <c r="R66" s="21"/>
      <c r="S66" s="5"/>
      <c r="T66" s="5"/>
      <c r="U66" s="5"/>
    </row>
    <row r="67" spans="1:21" x14ac:dyDescent="0.25">
      <c r="A67" s="21"/>
      <c r="B67" s="21"/>
      <c r="C67" s="229" t="s">
        <v>32</v>
      </c>
      <c r="D67" s="183"/>
      <c r="E67" s="183"/>
      <c r="F67" s="183"/>
      <c r="G67" s="21"/>
      <c r="H67" s="21"/>
      <c r="I67" s="183"/>
      <c r="J67" s="183"/>
      <c r="K67" s="21"/>
      <c r="L67" s="21"/>
      <c r="M67" s="21"/>
      <c r="N67" s="21"/>
      <c r="O67" s="21"/>
      <c r="P67" s="21"/>
      <c r="Q67" s="21"/>
      <c r="R67" s="21"/>
    </row>
    <row r="68" spans="1:21" x14ac:dyDescent="0.25">
      <c r="A68" s="21"/>
      <c r="B68" s="5"/>
      <c r="C68" s="130" t="s">
        <v>34</v>
      </c>
      <c r="D68" s="21"/>
      <c r="E68" s="21"/>
      <c r="F68" s="21"/>
      <c r="G68" s="21"/>
      <c r="H68" s="21"/>
      <c r="I68" s="183"/>
      <c r="J68" s="183"/>
      <c r="K68" s="21"/>
      <c r="L68" s="21"/>
      <c r="M68" s="21"/>
      <c r="N68" s="21"/>
      <c r="O68" s="21"/>
      <c r="P68" s="21"/>
      <c r="Q68" s="21"/>
      <c r="R68" s="21"/>
    </row>
  </sheetData>
  <autoFilter ref="A12:XFD12" xr:uid="{00000000-0009-0000-0000-000003000000}"/>
  <mergeCells count="9">
    <mergeCell ref="C12:F12"/>
    <mergeCell ref="A8:S8"/>
    <mergeCell ref="A10:A11"/>
    <mergeCell ref="B10:B11"/>
    <mergeCell ref="C10:F11"/>
    <mergeCell ref="G10:G11"/>
    <mergeCell ref="H10:H11"/>
    <mergeCell ref="J10:O10"/>
    <mergeCell ref="P10:T10"/>
  </mergeCells>
  <pageMargins left="0" right="0" top="0.39374999999999999" bottom="0.39374999999999999" header="0.51180555555555496" footer="0.51180555555555496"/>
  <pageSetup paperSize="9" scale="80" firstPageNumber="0" orientation="landscape" horizontalDpi="300" verticalDpi="300" r:id="rId1"/>
  <rowBreaks count="1" manualBreakCount="1">
    <brk id="34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MK39"/>
  <sheetViews>
    <sheetView view="pageBreakPreview" topLeftCell="A16" zoomScale="85" zoomScaleNormal="100" zoomScaleSheetLayoutView="85" workbookViewId="0">
      <selection activeCell="A25" sqref="A25:G25"/>
    </sheetView>
  </sheetViews>
  <sheetFormatPr defaultRowHeight="15" x14ac:dyDescent="0.25"/>
  <cols>
    <col min="1" max="1" width="20.140625" style="12" customWidth="1"/>
    <col min="2" max="2" width="40.42578125" style="12" customWidth="1"/>
    <col min="3" max="3" width="6.85546875" style="12" customWidth="1"/>
    <col min="4" max="4" width="5.28515625" style="12" customWidth="1"/>
    <col min="5" max="5" width="6.42578125" style="20" customWidth="1"/>
    <col min="6" max="7" width="5.28515625" style="12" customWidth="1"/>
    <col min="8" max="8" width="5.28515625" style="20" customWidth="1"/>
    <col min="9" max="11" width="5.28515625" style="12" customWidth="1"/>
    <col min="12" max="12" width="9.42578125" style="12" bestFit="1" customWidth="1"/>
    <col min="13" max="13" width="5.7109375" style="12" bestFit="1" customWidth="1"/>
    <col min="14" max="15" width="8.7109375" style="12" customWidth="1"/>
    <col min="16" max="16" width="5.85546875" style="12" bestFit="1" customWidth="1"/>
    <col min="17" max="17" width="5.42578125" style="12" customWidth="1"/>
    <col min="18" max="18" width="7.5703125" style="12" customWidth="1"/>
    <col min="19" max="19" width="6.7109375" style="12" customWidth="1"/>
    <col min="20" max="20" width="8.28515625" style="12" customWidth="1"/>
    <col min="21" max="21" width="7.85546875" style="12" customWidth="1"/>
    <col min="22" max="22" width="7.7109375" style="12" customWidth="1"/>
    <col min="23" max="1025" width="8.5703125" style="12" customWidth="1"/>
  </cols>
  <sheetData>
    <row r="1" spans="1:22" x14ac:dyDescent="0.25">
      <c r="A1" s="4"/>
      <c r="B1" s="4"/>
      <c r="C1" s="32"/>
      <c r="D1" s="31"/>
      <c r="E1" s="31"/>
      <c r="F1" s="31"/>
      <c r="G1" s="31"/>
      <c r="H1" s="31"/>
      <c r="I1" s="31"/>
      <c r="J1" s="31"/>
      <c r="K1" s="31"/>
      <c r="L1" s="334" t="s">
        <v>120</v>
      </c>
      <c r="M1" s="334"/>
      <c r="N1" s="334" t="s">
        <v>121</v>
      </c>
      <c r="O1" s="334"/>
      <c r="P1" s="334" t="s">
        <v>122</v>
      </c>
      <c r="Q1" s="334"/>
      <c r="R1" s="31"/>
      <c r="S1" s="335"/>
      <c r="T1" s="335"/>
      <c r="U1" s="335"/>
      <c r="V1" s="335"/>
    </row>
    <row r="2" spans="1:22" ht="10.5" customHeight="1" x14ac:dyDescent="0.25">
      <c r="A2" s="4"/>
      <c r="B2" s="4"/>
      <c r="C2" s="334" t="s">
        <v>123</v>
      </c>
      <c r="D2" s="334" t="s">
        <v>124</v>
      </c>
      <c r="E2" s="334"/>
      <c r="F2" s="334"/>
      <c r="G2" s="334" t="s">
        <v>125</v>
      </c>
      <c r="H2" s="334"/>
      <c r="I2" s="334" t="s">
        <v>126</v>
      </c>
      <c r="J2" s="334"/>
      <c r="K2" s="334"/>
      <c r="L2" s="31"/>
      <c r="M2" s="31"/>
      <c r="N2" s="31" t="s">
        <v>127</v>
      </c>
      <c r="O2" s="31" t="s">
        <v>128</v>
      </c>
      <c r="P2" s="31" t="s">
        <v>128</v>
      </c>
      <c r="Q2" s="31" t="s">
        <v>127</v>
      </c>
      <c r="R2" s="336" t="s">
        <v>129</v>
      </c>
      <c r="S2" s="336" t="s">
        <v>130</v>
      </c>
      <c r="T2" s="336" t="s">
        <v>131</v>
      </c>
      <c r="U2" s="336" t="s">
        <v>132</v>
      </c>
      <c r="V2" s="337" t="s">
        <v>133</v>
      </c>
    </row>
    <row r="3" spans="1:22" ht="33.75" x14ac:dyDescent="0.25">
      <c r="A3" s="4"/>
      <c r="B3" s="4"/>
      <c r="C3" s="334"/>
      <c r="D3" s="39" t="s">
        <v>134</v>
      </c>
      <c r="E3" s="39" t="s">
        <v>135</v>
      </c>
      <c r="F3" s="31" t="s">
        <v>136</v>
      </c>
      <c r="G3" s="31" t="s">
        <v>96</v>
      </c>
      <c r="H3" s="31" t="s">
        <v>137</v>
      </c>
      <c r="I3" s="31" t="s">
        <v>138</v>
      </c>
      <c r="J3" s="39" t="str">
        <f>D3</f>
        <v>esošie PVC</v>
      </c>
      <c r="K3" s="70" t="str">
        <f>E3</f>
        <v>maināmie koka</v>
      </c>
      <c r="L3" s="31" t="s">
        <v>139</v>
      </c>
      <c r="M3" s="31" t="s">
        <v>140</v>
      </c>
      <c r="N3" s="31">
        <v>0.3</v>
      </c>
      <c r="O3" s="31">
        <v>0.35</v>
      </c>
      <c r="P3" s="31"/>
      <c r="Q3" s="31"/>
      <c r="R3" s="336"/>
      <c r="S3" s="336"/>
      <c r="T3" s="336"/>
      <c r="U3" s="336"/>
      <c r="V3" s="337"/>
    </row>
    <row r="4" spans="1:22" x14ac:dyDescent="0.25">
      <c r="A4" s="4"/>
      <c r="B4" s="4"/>
      <c r="C4" s="69" t="s">
        <v>141</v>
      </c>
      <c r="D4" s="21">
        <f t="shared" ref="D4:D16" si="0">F4-E4</f>
        <v>84</v>
      </c>
      <c r="E4" s="21">
        <v>26</v>
      </c>
      <c r="F4" s="21">
        <f>12*5+12*3+14</f>
        <v>110</v>
      </c>
      <c r="G4" s="21">
        <v>1.76</v>
      </c>
      <c r="H4" s="31">
        <v>1.5</v>
      </c>
      <c r="I4" s="21">
        <f t="shared" ref="I4:I16" si="1">G4*H4</f>
        <v>2.64</v>
      </c>
      <c r="J4" s="21">
        <v>0</v>
      </c>
      <c r="K4" s="71">
        <f t="shared" ref="K4:K16" si="2">I4*E4</f>
        <v>68.64</v>
      </c>
      <c r="L4" s="21">
        <f t="shared" ref="L4:L14" si="3">(G4*2+H4*2)*F4</f>
        <v>717.19999999999993</v>
      </c>
      <c r="M4" s="21">
        <f t="shared" ref="M4:M14" si="4">(G4*2+H4*2)*E4</f>
        <v>169.51999999999998</v>
      </c>
      <c r="N4" s="21">
        <f t="shared" ref="N4:N11" si="5">L4*$N$3</f>
        <v>215.15999999999997</v>
      </c>
      <c r="O4" s="21">
        <f t="shared" ref="O4:O11" si="6">M4*$O$3</f>
        <v>59.331999999999987</v>
      </c>
      <c r="P4" s="21">
        <f t="shared" ref="P4:P9" si="7">G4*E4</f>
        <v>45.76</v>
      </c>
      <c r="Q4" s="21">
        <f t="shared" ref="Q4:Q10" si="8">F4*G4*1.05</f>
        <v>203.28</v>
      </c>
      <c r="R4" s="21">
        <f t="shared" ref="R4:R16" si="9">F4*(G4+2*H4)</f>
        <v>523.6</v>
      </c>
      <c r="S4" s="21">
        <f t="shared" ref="S4:S16" si="10">R4</f>
        <v>523.6</v>
      </c>
      <c r="T4" s="21">
        <f t="shared" ref="T4:T16" si="11">F4*G4</f>
        <v>193.6</v>
      </c>
      <c r="U4" s="21">
        <f t="shared" ref="U4:U16" si="12">T4</f>
        <v>193.6</v>
      </c>
      <c r="V4" s="39"/>
    </row>
    <row r="5" spans="1:22" x14ac:dyDescent="0.25">
      <c r="A5" s="4"/>
      <c r="B5" s="4"/>
      <c r="C5" s="72" t="s">
        <v>142</v>
      </c>
      <c r="D5" s="21">
        <f t="shared" si="0"/>
        <v>36</v>
      </c>
      <c r="E5" s="21">
        <v>12</v>
      </c>
      <c r="F5" s="21">
        <f>12*4</f>
        <v>48</v>
      </c>
      <c r="G5" s="21">
        <v>0.88</v>
      </c>
      <c r="H5" s="31">
        <f>H4</f>
        <v>1.5</v>
      </c>
      <c r="I5" s="21">
        <f t="shared" si="1"/>
        <v>1.32</v>
      </c>
      <c r="J5" s="21">
        <v>0</v>
      </c>
      <c r="K5" s="73">
        <f t="shared" si="2"/>
        <v>15.84</v>
      </c>
      <c r="L5" s="21">
        <f t="shared" si="3"/>
        <v>228.48</v>
      </c>
      <c r="M5" s="21">
        <f t="shared" si="4"/>
        <v>57.12</v>
      </c>
      <c r="N5" s="21">
        <f t="shared" si="5"/>
        <v>68.543999999999997</v>
      </c>
      <c r="O5" s="21">
        <f t="shared" si="6"/>
        <v>19.991999999999997</v>
      </c>
      <c r="P5" s="21">
        <f t="shared" si="7"/>
        <v>10.56</v>
      </c>
      <c r="Q5" s="21">
        <f t="shared" si="8"/>
        <v>44.352000000000004</v>
      </c>
      <c r="R5" s="21">
        <f t="shared" si="9"/>
        <v>186.24</v>
      </c>
      <c r="S5" s="21">
        <f t="shared" si="10"/>
        <v>186.24</v>
      </c>
      <c r="T5" s="21">
        <f t="shared" si="11"/>
        <v>42.24</v>
      </c>
      <c r="U5" s="21">
        <f t="shared" si="12"/>
        <v>42.24</v>
      </c>
      <c r="V5" s="38"/>
    </row>
    <row r="6" spans="1:22" x14ac:dyDescent="0.25">
      <c r="A6" s="4"/>
      <c r="B6" s="4"/>
      <c r="C6" s="72" t="s">
        <v>143</v>
      </c>
      <c r="D6" s="21">
        <f t="shared" si="0"/>
        <v>36</v>
      </c>
      <c r="E6" s="21">
        <f>E5</f>
        <v>12</v>
      </c>
      <c r="F6" s="21">
        <f>F5</f>
        <v>48</v>
      </c>
      <c r="G6" s="21">
        <f>G5</f>
        <v>0.88</v>
      </c>
      <c r="H6" s="31">
        <v>2.2000000000000002</v>
      </c>
      <c r="I6" s="21">
        <f t="shared" si="1"/>
        <v>1.9360000000000002</v>
      </c>
      <c r="J6" s="21">
        <f t="shared" ref="J6:J16" si="13">I6*D6</f>
        <v>69.696000000000012</v>
      </c>
      <c r="K6" s="73">
        <f t="shared" si="2"/>
        <v>23.232000000000003</v>
      </c>
      <c r="L6" s="21">
        <f t="shared" si="3"/>
        <v>295.68</v>
      </c>
      <c r="M6" s="21">
        <f t="shared" si="4"/>
        <v>73.92</v>
      </c>
      <c r="N6" s="21">
        <f t="shared" si="5"/>
        <v>88.703999999999994</v>
      </c>
      <c r="O6" s="21">
        <f t="shared" si="6"/>
        <v>25.872</v>
      </c>
      <c r="P6" s="21">
        <f t="shared" si="7"/>
        <v>10.56</v>
      </c>
      <c r="Q6" s="21">
        <f t="shared" si="8"/>
        <v>44.352000000000004</v>
      </c>
      <c r="R6" s="21">
        <f t="shared" si="9"/>
        <v>253.44</v>
      </c>
      <c r="S6" s="21">
        <f t="shared" si="10"/>
        <v>253.44</v>
      </c>
      <c r="T6" s="21">
        <f t="shared" si="11"/>
        <v>42.24</v>
      </c>
      <c r="U6" s="21">
        <f t="shared" si="12"/>
        <v>42.24</v>
      </c>
      <c r="V6" s="38"/>
    </row>
    <row r="7" spans="1:22" x14ac:dyDescent="0.25">
      <c r="A7" s="4"/>
      <c r="B7" s="4"/>
      <c r="C7" s="69" t="s">
        <v>144</v>
      </c>
      <c r="D7" s="21">
        <f t="shared" si="0"/>
        <v>0</v>
      </c>
      <c r="E7" s="21">
        <v>12</v>
      </c>
      <c r="F7" s="21">
        <v>12</v>
      </c>
      <c r="G7" s="21">
        <v>1.02</v>
      </c>
      <c r="H7" s="31">
        <v>0.64500000000000002</v>
      </c>
      <c r="I7" s="21">
        <f t="shared" si="1"/>
        <v>0.65790000000000004</v>
      </c>
      <c r="J7" s="21">
        <f t="shared" si="13"/>
        <v>0</v>
      </c>
      <c r="K7" s="73">
        <f t="shared" si="2"/>
        <v>7.8948</v>
      </c>
      <c r="L7" s="21">
        <f t="shared" si="3"/>
        <v>39.96</v>
      </c>
      <c r="M7" s="21">
        <f t="shared" si="4"/>
        <v>39.96</v>
      </c>
      <c r="N7" s="21">
        <f t="shared" si="5"/>
        <v>11.988</v>
      </c>
      <c r="O7" s="21">
        <f t="shared" si="6"/>
        <v>13.985999999999999</v>
      </c>
      <c r="P7" s="21">
        <f t="shared" si="7"/>
        <v>12.24</v>
      </c>
      <c r="Q7" s="21">
        <f t="shared" si="8"/>
        <v>12.852</v>
      </c>
      <c r="R7" s="21">
        <f t="shared" si="9"/>
        <v>27.72</v>
      </c>
      <c r="S7" s="21">
        <f t="shared" si="10"/>
        <v>27.72</v>
      </c>
      <c r="T7" s="21">
        <f t="shared" si="11"/>
        <v>12.24</v>
      </c>
      <c r="U7" s="21">
        <f t="shared" si="12"/>
        <v>12.24</v>
      </c>
      <c r="V7" s="21"/>
    </row>
    <row r="8" spans="1:22" x14ac:dyDescent="0.25">
      <c r="A8" s="4"/>
      <c r="B8" s="4"/>
      <c r="C8" s="69" t="s">
        <v>145</v>
      </c>
      <c r="D8" s="21">
        <f t="shared" si="0"/>
        <v>0</v>
      </c>
      <c r="E8" s="21">
        <v>15</v>
      </c>
      <c r="F8" s="21">
        <v>15</v>
      </c>
      <c r="G8" s="21">
        <v>1.4</v>
      </c>
      <c r="H8" s="31">
        <v>0.75</v>
      </c>
      <c r="I8" s="21">
        <f t="shared" si="1"/>
        <v>1.0499999999999998</v>
      </c>
      <c r="J8" s="21">
        <f t="shared" si="13"/>
        <v>0</v>
      </c>
      <c r="K8" s="73">
        <f t="shared" si="2"/>
        <v>15.749999999999996</v>
      </c>
      <c r="L8" s="21">
        <f t="shared" si="3"/>
        <v>64.5</v>
      </c>
      <c r="M8" s="21">
        <f t="shared" si="4"/>
        <v>64.5</v>
      </c>
      <c r="N8" s="21">
        <f t="shared" si="5"/>
        <v>19.349999999999998</v>
      </c>
      <c r="O8" s="21">
        <f t="shared" si="6"/>
        <v>22.574999999999999</v>
      </c>
      <c r="P8" s="21">
        <f t="shared" si="7"/>
        <v>21</v>
      </c>
      <c r="Q8" s="21">
        <f t="shared" si="8"/>
        <v>22.05</v>
      </c>
      <c r="R8" s="21">
        <f t="shared" si="9"/>
        <v>43.5</v>
      </c>
      <c r="S8" s="21">
        <f t="shared" si="10"/>
        <v>43.5</v>
      </c>
      <c r="T8" s="21">
        <f t="shared" si="11"/>
        <v>21</v>
      </c>
      <c r="U8" s="21">
        <f t="shared" si="12"/>
        <v>21</v>
      </c>
      <c r="V8" s="21"/>
    </row>
    <row r="9" spans="1:22" x14ac:dyDescent="0.25">
      <c r="A9" s="4"/>
      <c r="B9" s="4"/>
      <c r="C9" s="69" t="s">
        <v>146</v>
      </c>
      <c r="D9" s="21">
        <f t="shared" si="0"/>
        <v>0</v>
      </c>
      <c r="E9" s="21">
        <v>3</v>
      </c>
      <c r="F9" s="21">
        <v>3</v>
      </c>
      <c r="G9" s="21">
        <f>G8</f>
        <v>1.4</v>
      </c>
      <c r="H9" s="31">
        <f>H8</f>
        <v>0.75</v>
      </c>
      <c r="I9" s="21">
        <f t="shared" si="1"/>
        <v>1.0499999999999998</v>
      </c>
      <c r="J9" s="21">
        <f t="shared" si="13"/>
        <v>0</v>
      </c>
      <c r="K9" s="73">
        <f t="shared" si="2"/>
        <v>3.1499999999999995</v>
      </c>
      <c r="L9" s="21">
        <f t="shared" si="3"/>
        <v>12.899999999999999</v>
      </c>
      <c r="M9" s="21">
        <f t="shared" si="4"/>
        <v>12.899999999999999</v>
      </c>
      <c r="N9" s="21">
        <f t="shared" si="5"/>
        <v>3.8699999999999992</v>
      </c>
      <c r="O9" s="21">
        <f t="shared" si="6"/>
        <v>4.5149999999999988</v>
      </c>
      <c r="P9" s="21">
        <f t="shared" si="7"/>
        <v>4.1999999999999993</v>
      </c>
      <c r="Q9" s="21">
        <f t="shared" si="8"/>
        <v>4.4099999999999993</v>
      </c>
      <c r="R9" s="21">
        <f t="shared" si="9"/>
        <v>8.6999999999999993</v>
      </c>
      <c r="S9" s="21">
        <f t="shared" si="10"/>
        <v>8.6999999999999993</v>
      </c>
      <c r="T9" s="21">
        <f t="shared" si="11"/>
        <v>4.1999999999999993</v>
      </c>
      <c r="U9" s="21">
        <f t="shared" si="12"/>
        <v>4.1999999999999993</v>
      </c>
      <c r="V9" s="21"/>
    </row>
    <row r="10" spans="1:22" x14ac:dyDescent="0.25">
      <c r="A10" s="4"/>
      <c r="B10" s="4"/>
      <c r="C10" s="69" t="s">
        <v>147</v>
      </c>
      <c r="D10" s="21">
        <f t="shared" si="0"/>
        <v>0</v>
      </c>
      <c r="E10" s="21">
        <v>12</v>
      </c>
      <c r="F10" s="21">
        <v>12</v>
      </c>
      <c r="G10" s="21">
        <v>0.68</v>
      </c>
      <c r="H10" s="31">
        <v>0.43</v>
      </c>
      <c r="I10" s="21">
        <f t="shared" si="1"/>
        <v>0.29239999999999999</v>
      </c>
      <c r="J10" s="21">
        <f t="shared" si="13"/>
        <v>0</v>
      </c>
      <c r="K10" s="73">
        <f t="shared" si="2"/>
        <v>3.5087999999999999</v>
      </c>
      <c r="L10" s="21">
        <f t="shared" si="3"/>
        <v>26.64</v>
      </c>
      <c r="M10" s="21"/>
      <c r="N10" s="21">
        <f t="shared" si="5"/>
        <v>7.992</v>
      </c>
      <c r="O10" s="21">
        <f t="shared" si="6"/>
        <v>0</v>
      </c>
      <c r="P10" s="21"/>
      <c r="Q10" s="21">
        <f t="shared" si="8"/>
        <v>8.5680000000000014</v>
      </c>
      <c r="R10" s="21">
        <f t="shared" si="9"/>
        <v>18.48</v>
      </c>
      <c r="S10" s="21">
        <f t="shared" si="10"/>
        <v>18.48</v>
      </c>
      <c r="T10" s="21">
        <f t="shared" si="11"/>
        <v>8.16</v>
      </c>
      <c r="U10" s="21">
        <f t="shared" si="12"/>
        <v>8.16</v>
      </c>
      <c r="V10" s="21"/>
    </row>
    <row r="11" spans="1:22" x14ac:dyDescent="0.25">
      <c r="A11" s="4"/>
      <c r="B11" s="4"/>
      <c r="C11" s="69" t="s">
        <v>148</v>
      </c>
      <c r="D11" s="21">
        <f t="shared" si="0"/>
        <v>0</v>
      </c>
      <c r="E11" s="21">
        <v>30</v>
      </c>
      <c r="F11" s="21">
        <v>30</v>
      </c>
      <c r="G11" s="21">
        <v>0.2</v>
      </c>
      <c r="H11" s="31">
        <v>0.2</v>
      </c>
      <c r="I11" s="21">
        <f t="shared" si="1"/>
        <v>4.0000000000000008E-2</v>
      </c>
      <c r="J11" s="21">
        <f t="shared" si="13"/>
        <v>0</v>
      </c>
      <c r="K11" s="73">
        <f t="shared" si="2"/>
        <v>1.2000000000000002</v>
      </c>
      <c r="L11" s="21">
        <f t="shared" si="3"/>
        <v>24</v>
      </c>
      <c r="M11" s="21"/>
      <c r="N11" s="21">
        <f t="shared" si="5"/>
        <v>7.1999999999999993</v>
      </c>
      <c r="O11" s="21">
        <f t="shared" si="6"/>
        <v>0</v>
      </c>
      <c r="P11" s="21"/>
      <c r="Q11" s="21"/>
      <c r="R11" s="21">
        <f t="shared" si="9"/>
        <v>18.000000000000004</v>
      </c>
      <c r="S11" s="21">
        <f t="shared" si="10"/>
        <v>18.000000000000004</v>
      </c>
      <c r="T11" s="21">
        <f t="shared" si="11"/>
        <v>6</v>
      </c>
      <c r="U11" s="21">
        <f t="shared" si="12"/>
        <v>6</v>
      </c>
      <c r="V11" s="21"/>
    </row>
    <row r="12" spans="1:22" x14ac:dyDescent="0.25">
      <c r="A12" s="4"/>
      <c r="B12" s="4"/>
      <c r="C12" s="69" t="s">
        <v>149</v>
      </c>
      <c r="D12" s="21">
        <f t="shared" si="0"/>
        <v>0</v>
      </c>
      <c r="E12" s="21">
        <v>3</v>
      </c>
      <c r="F12" s="21">
        <v>3</v>
      </c>
      <c r="G12" s="21">
        <v>0.8</v>
      </c>
      <c r="H12" s="31">
        <v>0.85</v>
      </c>
      <c r="I12" s="21">
        <f t="shared" si="1"/>
        <v>0.68</v>
      </c>
      <c r="J12" s="21">
        <f t="shared" si="13"/>
        <v>0</v>
      </c>
      <c r="K12" s="73">
        <f t="shared" si="2"/>
        <v>2.04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4"/>
    </row>
    <row r="13" spans="1:22" x14ac:dyDescent="0.25">
      <c r="A13" s="130"/>
      <c r="B13" s="130"/>
      <c r="C13" s="69" t="s">
        <v>506</v>
      </c>
      <c r="D13" s="21">
        <f t="shared" ref="D13" si="14">F13-E13</f>
        <v>0</v>
      </c>
      <c r="E13" s="21">
        <v>3</v>
      </c>
      <c r="F13" s="21">
        <v>3</v>
      </c>
      <c r="G13" s="21">
        <v>0.8</v>
      </c>
      <c r="H13" s="183">
        <v>2.1</v>
      </c>
      <c r="I13" s="21">
        <f t="shared" ref="I13" si="15">G13*H13</f>
        <v>1.6800000000000002</v>
      </c>
      <c r="J13" s="21">
        <f t="shared" ref="J13" si="16">I13*D13</f>
        <v>0</v>
      </c>
      <c r="K13" s="73">
        <f t="shared" ref="K13" si="17">I13*E13</f>
        <v>5.0400000000000009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130"/>
    </row>
    <row r="14" spans="1:22" x14ac:dyDescent="0.25">
      <c r="A14" s="4"/>
      <c r="B14" s="4"/>
      <c r="C14" s="69" t="s">
        <v>150</v>
      </c>
      <c r="D14" s="21">
        <f t="shared" si="0"/>
        <v>0</v>
      </c>
      <c r="E14" s="21">
        <v>3</v>
      </c>
      <c r="F14" s="21">
        <v>3</v>
      </c>
      <c r="G14" s="21">
        <v>0.8</v>
      </c>
      <c r="H14" s="31">
        <v>0.6</v>
      </c>
      <c r="I14" s="21">
        <f t="shared" si="1"/>
        <v>0.48</v>
      </c>
      <c r="J14" s="21">
        <f t="shared" si="13"/>
        <v>0</v>
      </c>
      <c r="K14" s="73">
        <f t="shared" si="2"/>
        <v>1.44</v>
      </c>
      <c r="L14" s="21">
        <f t="shared" si="3"/>
        <v>8.3999999999999986</v>
      </c>
      <c r="M14" s="21">
        <f t="shared" si="4"/>
        <v>8.3999999999999986</v>
      </c>
      <c r="N14" s="21">
        <f>F14*(G14*2+H14)*$N$3</f>
        <v>1.98</v>
      </c>
      <c r="O14" s="21">
        <f>(G14*2+H14)*E14*$O$3</f>
        <v>2.31</v>
      </c>
      <c r="P14" s="21"/>
      <c r="Q14" s="21"/>
      <c r="R14" s="21">
        <f t="shared" si="9"/>
        <v>6</v>
      </c>
      <c r="S14" s="21">
        <f t="shared" si="10"/>
        <v>6</v>
      </c>
      <c r="T14" s="21">
        <f t="shared" si="11"/>
        <v>2.4000000000000004</v>
      </c>
      <c r="U14" s="21">
        <f t="shared" si="12"/>
        <v>2.4000000000000004</v>
      </c>
      <c r="V14" s="4"/>
    </row>
    <row r="15" spans="1:22" x14ac:dyDescent="0.25">
      <c r="A15" s="4"/>
      <c r="B15" s="4"/>
      <c r="C15" s="69" t="s">
        <v>151</v>
      </c>
      <c r="D15" s="21">
        <f t="shared" si="0"/>
        <v>0</v>
      </c>
      <c r="E15" s="21">
        <v>3</v>
      </c>
      <c r="F15" s="21">
        <v>3</v>
      </c>
      <c r="G15" s="21">
        <v>1</v>
      </c>
      <c r="H15" s="31">
        <v>2.1</v>
      </c>
      <c r="I15" s="21">
        <f t="shared" si="1"/>
        <v>2.1</v>
      </c>
      <c r="J15" s="21">
        <f t="shared" si="13"/>
        <v>0</v>
      </c>
      <c r="K15" s="73">
        <f t="shared" si="2"/>
        <v>6.3000000000000007</v>
      </c>
      <c r="L15" s="21">
        <f>(G15+H15*2)*F15</f>
        <v>15.600000000000001</v>
      </c>
      <c r="M15" s="21">
        <f>(G15+H15*2)*E15</f>
        <v>15.600000000000001</v>
      </c>
      <c r="N15" s="21">
        <f>F15*(G15*2+H15)*$N$3</f>
        <v>3.6899999999999995</v>
      </c>
      <c r="O15" s="21">
        <f>(G15*2+H15)*E15*$O$3</f>
        <v>4.3049999999999997</v>
      </c>
      <c r="P15" s="21"/>
      <c r="Q15" s="21"/>
      <c r="R15" s="21">
        <f t="shared" si="9"/>
        <v>15.600000000000001</v>
      </c>
      <c r="S15" s="21">
        <f t="shared" si="10"/>
        <v>15.600000000000001</v>
      </c>
      <c r="T15" s="21">
        <f t="shared" si="11"/>
        <v>3</v>
      </c>
      <c r="U15" s="21">
        <f t="shared" si="12"/>
        <v>3</v>
      </c>
      <c r="V15" s="4"/>
    </row>
    <row r="16" spans="1:22" x14ac:dyDescent="0.25">
      <c r="A16" s="4"/>
      <c r="B16" s="4"/>
      <c r="C16" s="69" t="s">
        <v>152</v>
      </c>
      <c r="D16" s="21">
        <f t="shared" si="0"/>
        <v>0</v>
      </c>
      <c r="E16" s="21">
        <v>3</v>
      </c>
      <c r="F16" s="21">
        <v>3</v>
      </c>
      <c r="G16" s="21">
        <v>1.36</v>
      </c>
      <c r="H16" s="31">
        <v>2.6</v>
      </c>
      <c r="I16" s="21">
        <f t="shared" si="1"/>
        <v>3.5360000000000005</v>
      </c>
      <c r="J16" s="21">
        <f t="shared" si="13"/>
        <v>0</v>
      </c>
      <c r="K16" s="73">
        <f t="shared" si="2"/>
        <v>10.608000000000001</v>
      </c>
      <c r="L16" s="21">
        <f>(G16+H16*2)*F16</f>
        <v>19.68</v>
      </c>
      <c r="M16" s="21">
        <f>(G16+H16*2)*E16</f>
        <v>19.68</v>
      </c>
      <c r="N16" s="21">
        <f>F16*(G16*2+H16)*$N$3</f>
        <v>4.7880000000000003</v>
      </c>
      <c r="O16" s="21">
        <f>(G16*2+H16)*E16*$O$3</f>
        <v>5.5860000000000003</v>
      </c>
      <c r="P16" s="21"/>
      <c r="Q16" s="21"/>
      <c r="R16" s="21">
        <f t="shared" si="9"/>
        <v>19.68</v>
      </c>
      <c r="S16" s="21">
        <f t="shared" si="10"/>
        <v>19.68</v>
      </c>
      <c r="T16" s="21">
        <f t="shared" si="11"/>
        <v>4.08</v>
      </c>
      <c r="U16" s="21">
        <f t="shared" si="12"/>
        <v>4.08</v>
      </c>
      <c r="V16" s="4"/>
    </row>
    <row r="17" spans="1:22" x14ac:dyDescent="0.25">
      <c r="A17" s="74" t="s">
        <v>153</v>
      </c>
      <c r="B17" s="74"/>
      <c r="C17" s="19"/>
      <c r="D17" s="4"/>
      <c r="E17" s="4"/>
      <c r="F17" s="75">
        <f>SUM(F4:F15)</f>
        <v>290</v>
      </c>
      <c r="G17" s="76"/>
      <c r="H17" s="76"/>
      <c r="I17" s="76"/>
      <c r="J17" s="75"/>
      <c r="K17" s="75">
        <f t="shared" ref="K17:U17" si="18">SUM(K4:K15)</f>
        <v>154.03559999999999</v>
      </c>
      <c r="L17" s="75">
        <f t="shared" si="18"/>
        <v>1433.3600000000001</v>
      </c>
      <c r="M17" s="75">
        <f t="shared" si="18"/>
        <v>441.91999999999996</v>
      </c>
      <c r="N17" s="75">
        <f t="shared" si="18"/>
        <v>428.47800000000001</v>
      </c>
      <c r="O17" s="75">
        <f t="shared" si="18"/>
        <v>152.88699999999997</v>
      </c>
      <c r="P17" s="75">
        <f t="shared" si="18"/>
        <v>104.32</v>
      </c>
      <c r="Q17" s="75">
        <f t="shared" si="18"/>
        <v>339.86400000000003</v>
      </c>
      <c r="R17" s="75">
        <f t="shared" si="18"/>
        <v>1101.28</v>
      </c>
      <c r="S17" s="75">
        <f t="shared" si="18"/>
        <v>1101.28</v>
      </c>
      <c r="T17" s="75">
        <f t="shared" si="18"/>
        <v>335.08</v>
      </c>
      <c r="U17" s="75">
        <f t="shared" si="18"/>
        <v>335.08</v>
      </c>
      <c r="V17" s="77">
        <v>120</v>
      </c>
    </row>
    <row r="18" spans="1:22" x14ac:dyDescent="0.25">
      <c r="A18" s="74" t="s">
        <v>154</v>
      </c>
      <c r="B18" s="74" t="s">
        <v>155</v>
      </c>
      <c r="C18" s="78" t="s">
        <v>156</v>
      </c>
      <c r="D18" s="79" t="s">
        <v>43</v>
      </c>
      <c r="E18" s="4"/>
      <c r="F18" s="4"/>
      <c r="G18" s="4"/>
      <c r="H18" s="4"/>
      <c r="I18" s="4"/>
    </row>
    <row r="19" spans="1:22" ht="45" x14ac:dyDescent="0.25">
      <c r="A19" s="59" t="s">
        <v>157</v>
      </c>
      <c r="B19" s="19" t="s">
        <v>158</v>
      </c>
      <c r="C19" s="21" t="s">
        <v>60</v>
      </c>
      <c r="D19" s="77">
        <v>1195</v>
      </c>
      <c r="E19" s="4"/>
      <c r="F19" s="4"/>
      <c r="G19" s="4"/>
      <c r="H19" s="4"/>
      <c r="I19" s="21"/>
    </row>
    <row r="20" spans="1:22" ht="56.25" x14ac:dyDescent="0.25">
      <c r="A20" s="19" t="s">
        <v>159</v>
      </c>
      <c r="B20" s="19" t="s">
        <v>427</v>
      </c>
      <c r="C20" s="21" t="s">
        <v>60</v>
      </c>
      <c r="D20" s="77">
        <f>H25*3*0.5</f>
        <v>72</v>
      </c>
      <c r="E20" s="4"/>
      <c r="F20" s="4"/>
      <c r="G20" s="4"/>
      <c r="H20" s="4"/>
      <c r="I20" s="21"/>
    </row>
    <row r="21" spans="1:22" ht="45" x14ac:dyDescent="0.25">
      <c r="A21" s="19" t="s">
        <v>160</v>
      </c>
      <c r="B21" s="19" t="s">
        <v>428</v>
      </c>
      <c r="C21" s="21" t="s">
        <v>60</v>
      </c>
      <c r="D21" s="77">
        <f>(1+1.15)*V17</f>
        <v>258</v>
      </c>
      <c r="E21" s="4"/>
      <c r="F21" s="38"/>
      <c r="G21" s="4"/>
      <c r="H21" s="21"/>
      <c r="I21" s="21"/>
    </row>
    <row r="22" spans="1:22" ht="33.75" x14ac:dyDescent="0.25">
      <c r="A22" s="19" t="s">
        <v>161</v>
      </c>
      <c r="B22" s="19" t="s">
        <v>162</v>
      </c>
      <c r="C22" s="21" t="s">
        <v>60</v>
      </c>
      <c r="D22" s="77">
        <v>453.3</v>
      </c>
      <c r="E22" s="4"/>
      <c r="F22" s="21"/>
      <c r="G22" s="4"/>
      <c r="H22" s="21"/>
      <c r="I22" s="21"/>
    </row>
    <row r="23" spans="1:22" ht="33.75" x14ac:dyDescent="0.25">
      <c r="A23" s="19" t="s">
        <v>163</v>
      </c>
      <c r="B23" s="19" t="s">
        <v>529</v>
      </c>
      <c r="C23" s="21" t="s">
        <v>60</v>
      </c>
      <c r="D23" s="77">
        <v>526</v>
      </c>
      <c r="E23" s="4"/>
      <c r="F23" s="80"/>
      <c r="G23" s="79"/>
      <c r="H23" s="79"/>
      <c r="I23" s="21"/>
    </row>
    <row r="24" spans="1:22" x14ac:dyDescent="0.25">
      <c r="A24" s="19"/>
      <c r="B24" s="21"/>
      <c r="C24" s="77"/>
      <c r="D24" s="4"/>
      <c r="E24" s="80"/>
      <c r="F24" s="79"/>
      <c r="G24" s="79"/>
      <c r="H24" s="21"/>
    </row>
    <row r="25" spans="1:22" x14ac:dyDescent="0.25">
      <c r="A25" s="333" t="s">
        <v>164</v>
      </c>
      <c r="B25" s="333"/>
      <c r="C25" s="333"/>
      <c r="D25" s="333"/>
      <c r="E25" s="333"/>
      <c r="F25" s="333"/>
      <c r="G25" s="333"/>
      <c r="H25" s="77">
        <v>48</v>
      </c>
    </row>
    <row r="26" spans="1:22" ht="10.5" customHeight="1" x14ac:dyDescent="0.25">
      <c r="A26" s="330" t="s">
        <v>165</v>
      </c>
      <c r="B26" s="330" t="s">
        <v>166</v>
      </c>
      <c r="C26" s="330" t="s">
        <v>167</v>
      </c>
      <c r="D26" s="330" t="s">
        <v>168</v>
      </c>
      <c r="E26" s="330" t="s">
        <v>169</v>
      </c>
      <c r="F26" s="330" t="s">
        <v>170</v>
      </c>
      <c r="G26" s="330" t="s">
        <v>171</v>
      </c>
      <c r="H26" s="330" t="s">
        <v>172</v>
      </c>
    </row>
    <row r="27" spans="1:22" x14ac:dyDescent="0.25">
      <c r="A27" s="330"/>
      <c r="B27" s="330"/>
      <c r="C27" s="330"/>
      <c r="D27" s="330"/>
      <c r="E27" s="330"/>
      <c r="F27" s="330"/>
      <c r="G27" s="330"/>
      <c r="H27" s="330"/>
    </row>
    <row r="28" spans="1:22" x14ac:dyDescent="0.25">
      <c r="A28" s="13">
        <v>1</v>
      </c>
      <c r="B28" s="57" t="s">
        <v>173</v>
      </c>
      <c r="C28" s="13" t="s">
        <v>110</v>
      </c>
      <c r="D28" s="48">
        <v>1</v>
      </c>
      <c r="E28" s="15">
        <v>5</v>
      </c>
      <c r="F28" s="15">
        <v>1.5</v>
      </c>
      <c r="G28" s="15">
        <f>F28*E28</f>
        <v>7.5</v>
      </c>
      <c r="H28" s="15">
        <f t="shared" ref="H28:H34" si="19">G28*$H$25</f>
        <v>360</v>
      </c>
    </row>
    <row r="29" spans="1:22" x14ac:dyDescent="0.25">
      <c r="A29" s="33">
        <f t="shared" ref="A29:A34" si="20">A28+1</f>
        <v>2</v>
      </c>
      <c r="B29" s="57" t="s">
        <v>174</v>
      </c>
      <c r="C29" s="13" t="s">
        <v>110</v>
      </c>
      <c r="D29" s="48">
        <v>9</v>
      </c>
      <c r="E29" s="15">
        <f>9*1.1</f>
        <v>9.9</v>
      </c>
      <c r="F29" s="15">
        <v>1.3</v>
      </c>
      <c r="G29" s="15">
        <f>E29*F29</f>
        <v>12.870000000000001</v>
      </c>
      <c r="H29" s="15">
        <f t="shared" si="19"/>
        <v>617.76</v>
      </c>
    </row>
    <row r="30" spans="1:22" x14ac:dyDescent="0.25">
      <c r="A30" s="33">
        <f t="shared" si="20"/>
        <v>3</v>
      </c>
      <c r="B30" s="57" t="s">
        <v>175</v>
      </c>
      <c r="C30" s="13" t="s">
        <v>110</v>
      </c>
      <c r="D30" s="48">
        <v>9</v>
      </c>
      <c r="E30" s="15">
        <f>0.2*9</f>
        <v>1.8</v>
      </c>
      <c r="F30" s="15">
        <v>1.3</v>
      </c>
      <c r="G30" s="15">
        <f>E30*F30</f>
        <v>2.3400000000000003</v>
      </c>
      <c r="H30" s="15">
        <f t="shared" si="19"/>
        <v>112.32000000000002</v>
      </c>
    </row>
    <row r="31" spans="1:22" ht="22.5" x14ac:dyDescent="0.25">
      <c r="A31" s="33">
        <f t="shared" si="20"/>
        <v>4</v>
      </c>
      <c r="B31" s="57" t="s">
        <v>176</v>
      </c>
      <c r="C31" s="13" t="s">
        <v>110</v>
      </c>
      <c r="D31" s="48">
        <v>2</v>
      </c>
      <c r="E31" s="15">
        <f>4.6*2</f>
        <v>9.1999999999999993</v>
      </c>
      <c r="F31" s="15">
        <f>0.01*0.05*1*7800</f>
        <v>3.9</v>
      </c>
      <c r="G31" s="15">
        <f>E31*F31</f>
        <v>35.879999999999995</v>
      </c>
      <c r="H31" s="15">
        <f t="shared" si="19"/>
        <v>1722.2399999999998</v>
      </c>
    </row>
    <row r="32" spans="1:22" ht="22.5" x14ac:dyDescent="0.25">
      <c r="A32" s="33">
        <f t="shared" si="20"/>
        <v>5</v>
      </c>
      <c r="B32" s="57" t="s">
        <v>177</v>
      </c>
      <c r="C32" s="13" t="s">
        <v>110</v>
      </c>
      <c r="D32" s="48">
        <v>2</v>
      </c>
      <c r="E32" s="15">
        <f>4.7*2</f>
        <v>9.4</v>
      </c>
      <c r="F32" s="15">
        <f>0.006*0.03*1*7800</f>
        <v>1.4039999999999999</v>
      </c>
      <c r="G32" s="15">
        <f>E32*F32</f>
        <v>13.1976</v>
      </c>
      <c r="H32" s="15">
        <f t="shared" si="19"/>
        <v>633.48479999999995</v>
      </c>
    </row>
    <row r="33" spans="1:9" x14ac:dyDescent="0.25">
      <c r="A33" s="33">
        <f t="shared" si="20"/>
        <v>6</v>
      </c>
      <c r="B33" s="14" t="s">
        <v>178</v>
      </c>
      <c r="C33" s="13" t="s">
        <v>110</v>
      </c>
      <c r="D33" s="48">
        <v>9</v>
      </c>
      <c r="E33" s="15"/>
      <c r="F33" s="15"/>
      <c r="G33" s="81">
        <f>0.006*0.1*0.15*7800*D33</f>
        <v>6.3180000000000005</v>
      </c>
      <c r="H33" s="15">
        <f t="shared" si="19"/>
        <v>303.26400000000001</v>
      </c>
    </row>
    <row r="34" spans="1:9" x14ac:dyDescent="0.25">
      <c r="A34" s="33">
        <f t="shared" si="20"/>
        <v>7</v>
      </c>
      <c r="B34" s="14" t="s">
        <v>179</v>
      </c>
      <c r="C34" s="13" t="s">
        <v>110</v>
      </c>
      <c r="D34" s="48">
        <v>2</v>
      </c>
      <c r="E34" s="15"/>
      <c r="F34" s="15"/>
      <c r="G34" s="81">
        <f>0.006*0.2*0.2*7800*D34</f>
        <v>3.7440000000000007</v>
      </c>
      <c r="H34" s="15">
        <f t="shared" si="19"/>
        <v>179.71200000000005</v>
      </c>
    </row>
    <row r="35" spans="1:9" x14ac:dyDescent="0.25">
      <c r="A35" s="13"/>
      <c r="B35" s="14"/>
      <c r="C35" s="13"/>
      <c r="D35" s="48"/>
      <c r="E35" s="15"/>
      <c r="F35" s="82" t="s">
        <v>25</v>
      </c>
      <c r="G35" s="83">
        <f>SUM(G28:G34)</f>
        <v>81.849599999999995</v>
      </c>
      <c r="H35" s="83">
        <f>SUM(H28:H34)</f>
        <v>3928.7808</v>
      </c>
      <c r="I35" s="84"/>
    </row>
    <row r="36" spans="1:9" x14ac:dyDescent="0.25">
      <c r="A36" s="13">
        <f>A34+1</f>
        <v>8</v>
      </c>
      <c r="B36" s="14" t="s">
        <v>429</v>
      </c>
      <c r="C36" s="13" t="s">
        <v>110</v>
      </c>
      <c r="D36" s="48">
        <v>18</v>
      </c>
      <c r="E36" s="15"/>
      <c r="F36" s="15"/>
      <c r="G36" s="15"/>
      <c r="H36" s="15">
        <f>D36*$H$25</f>
        <v>864</v>
      </c>
    </row>
    <row r="37" spans="1:9" x14ac:dyDescent="0.25">
      <c r="A37" s="13">
        <f>A36+1</f>
        <v>9</v>
      </c>
      <c r="B37" s="14" t="s">
        <v>430</v>
      </c>
      <c r="C37" s="13" t="s">
        <v>110</v>
      </c>
      <c r="D37" s="48">
        <v>8</v>
      </c>
      <c r="E37" s="15"/>
      <c r="F37" s="30"/>
      <c r="G37" s="85"/>
      <c r="H37" s="15">
        <f>D37*$H$25</f>
        <v>384</v>
      </c>
    </row>
    <row r="38" spans="1:9" x14ac:dyDescent="0.25">
      <c r="A38" s="13">
        <f>A37+1</f>
        <v>10</v>
      </c>
      <c r="B38" s="14" t="s">
        <v>180</v>
      </c>
      <c r="C38" s="13" t="s">
        <v>60</v>
      </c>
      <c r="D38" s="27">
        <v>4.46</v>
      </c>
      <c r="E38" s="15"/>
      <c r="F38" s="27"/>
      <c r="G38" s="83"/>
      <c r="H38" s="15">
        <f>D38*$H$25</f>
        <v>214.07999999999998</v>
      </c>
      <c r="I38" s="4"/>
    </row>
    <row r="39" spans="1:9" x14ac:dyDescent="0.25">
      <c r="A39" s="13">
        <f>A38+1</f>
        <v>11</v>
      </c>
      <c r="B39" s="19" t="s">
        <v>431</v>
      </c>
      <c r="C39" s="13" t="s">
        <v>181</v>
      </c>
      <c r="D39" s="27">
        <v>5.46</v>
      </c>
      <c r="E39" s="15"/>
      <c r="F39" s="27"/>
      <c r="G39" s="83"/>
      <c r="H39" s="15">
        <f>D39*$H$25</f>
        <v>262.08</v>
      </c>
      <c r="I39" s="4"/>
    </row>
  </sheetData>
  <mergeCells count="22">
    <mergeCell ref="L1:M1"/>
    <mergeCell ref="N1:O1"/>
    <mergeCell ref="P1:Q1"/>
    <mergeCell ref="S1:V1"/>
    <mergeCell ref="C2:C3"/>
    <mergeCell ref="D2:F2"/>
    <mergeCell ref="G2:H2"/>
    <mergeCell ref="I2:K2"/>
    <mergeCell ref="R2:R3"/>
    <mergeCell ref="S2:S3"/>
    <mergeCell ref="T2:T3"/>
    <mergeCell ref="U2:U3"/>
    <mergeCell ref="V2:V3"/>
    <mergeCell ref="H26:H27"/>
    <mergeCell ref="A25:G25"/>
    <mergeCell ref="A26:A27"/>
    <mergeCell ref="B26:B27"/>
    <mergeCell ref="C26:C27"/>
    <mergeCell ref="D26:D27"/>
    <mergeCell ref="E26:E27"/>
    <mergeCell ref="F26:F27"/>
    <mergeCell ref="G26:G27"/>
  </mergeCells>
  <pageMargins left="0" right="0" top="0.39374999999999999" bottom="0.39374999999999999" header="0.51180555555555496" footer="0.51180555555555496"/>
  <pageSetup paperSize="9" scale="61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K60"/>
  <sheetViews>
    <sheetView view="pageBreakPreview" zoomScale="115" zoomScaleNormal="100" zoomScaleSheetLayoutView="115" zoomScalePageLayoutView="130" workbookViewId="0">
      <selection activeCell="E7" sqref="E7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8" style="20" customWidth="1"/>
    <col min="5" max="5" width="9.85546875" style="20" customWidth="1"/>
    <col min="6" max="6" width="5" style="20" hidden="1" customWidth="1"/>
    <col min="7" max="17" width="5" style="20" customWidth="1"/>
    <col min="18" max="18" width="6.7109375" style="20" customWidth="1"/>
    <col min="19" max="19" width="36.140625" style="20" customWidth="1"/>
    <col min="20" max="35" width="9.140625" style="20" customWidth="1"/>
    <col min="36" max="1025" width="45.7109375" style="20" customWidth="1"/>
    <col min="1026" max="16384" width="9" style="198"/>
  </cols>
  <sheetData>
    <row r="1" spans="1:17" s="21" customFormat="1" ht="11.25" x14ac:dyDescent="0.25">
      <c r="B1" s="5"/>
      <c r="C1" s="3"/>
      <c r="D1" s="309" t="s">
        <v>35</v>
      </c>
      <c r="E1" s="201">
        <f>kpdv!B14</f>
        <v>3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5"/>
      <c r="B2" s="5"/>
      <c r="C2" s="2" t="s">
        <v>182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308" t="str">
        <f>KOP!A3</f>
        <v>Būves nosaukums:  Dzīvojamās māja</v>
      </c>
      <c r="B3" s="177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x14ac:dyDescent="0.25">
      <c r="A4" s="308" t="str">
        <f>KOP!A4</f>
        <v>Objekta nosaukums: Dzīvojamās ēkas fasādes vienkāršota atjaunošana</v>
      </c>
      <c r="B4" s="177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7" x14ac:dyDescent="0.25">
      <c r="A5" s="308" t="str">
        <f>KOP!A5</f>
        <v>Objekta adrese: Turaidas iela 8a, Liepājā</v>
      </c>
      <c r="B5" s="177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7" x14ac:dyDescent="0.25">
      <c r="A6" s="308" t="str">
        <f>KOP!A6</f>
        <v>Pasūtījuma Nr.EA-79-16</v>
      </c>
      <c r="B6" s="177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B7" s="5"/>
      <c r="C7" s="222" t="s">
        <v>479</v>
      </c>
      <c r="D7" s="5" t="s">
        <v>37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316" t="s">
        <v>39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54">
        <f>Q50</f>
        <v>0</v>
      </c>
    </row>
    <row r="9" spans="1:17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97"/>
      <c r="Q9" s="309" t="s">
        <v>476</v>
      </c>
    </row>
    <row r="10" spans="1:17" ht="10.5" customHeight="1" x14ac:dyDescent="0.25">
      <c r="A10" s="320" t="s">
        <v>1</v>
      </c>
      <c r="B10" s="320" t="s">
        <v>40</v>
      </c>
      <c r="C10" s="321" t="s">
        <v>41</v>
      </c>
      <c r="D10" s="331" t="s">
        <v>42</v>
      </c>
      <c r="E10" s="320" t="s">
        <v>43</v>
      </c>
      <c r="F10" s="179"/>
      <c r="G10" s="332" t="s">
        <v>44</v>
      </c>
      <c r="H10" s="332"/>
      <c r="I10" s="332"/>
      <c r="J10" s="332"/>
      <c r="K10" s="332"/>
      <c r="L10" s="332"/>
      <c r="M10" s="332" t="s">
        <v>45</v>
      </c>
      <c r="N10" s="332"/>
      <c r="O10" s="332"/>
      <c r="P10" s="332"/>
      <c r="Q10" s="332"/>
    </row>
    <row r="11" spans="1:17" ht="74.25" x14ac:dyDescent="0.25">
      <c r="A11" s="320"/>
      <c r="B11" s="320"/>
      <c r="C11" s="321"/>
      <c r="D11" s="331"/>
      <c r="E11" s="320"/>
      <c r="F11" s="179"/>
      <c r="G11" s="179" t="s">
        <v>46</v>
      </c>
      <c r="H11" s="22" t="s">
        <v>480</v>
      </c>
      <c r="I11" s="22" t="s">
        <v>47</v>
      </c>
      <c r="J11" s="22" t="s">
        <v>481</v>
      </c>
      <c r="K11" s="22" t="s">
        <v>48</v>
      </c>
      <c r="L11" s="22" t="s">
        <v>482</v>
      </c>
      <c r="M11" s="179" t="s">
        <v>50</v>
      </c>
      <c r="N11" s="22" t="s">
        <v>47</v>
      </c>
      <c r="O11" s="22" t="s">
        <v>483</v>
      </c>
      <c r="P11" s="22" t="s">
        <v>48</v>
      </c>
      <c r="Q11" s="22" t="s">
        <v>49</v>
      </c>
    </row>
    <row r="12" spans="1:17" x14ac:dyDescent="0.25">
      <c r="A12" s="23">
        <v>1</v>
      </c>
      <c r="B12" s="23">
        <f>A12+1</f>
        <v>2</v>
      </c>
      <c r="C12" s="224">
        <v>3</v>
      </c>
      <c r="D12" s="23">
        <f>C12+1</f>
        <v>4</v>
      </c>
      <c r="E12" s="23">
        <f>D12+1</f>
        <v>5</v>
      </c>
      <c r="F12" s="131"/>
      <c r="G12" s="23">
        <f>E12+1</f>
        <v>6</v>
      </c>
      <c r="H12" s="23">
        <f t="shared" ref="H12:Q12" si="0">G12+1</f>
        <v>7</v>
      </c>
      <c r="I12" s="23">
        <f t="shared" si="0"/>
        <v>8</v>
      </c>
      <c r="J12" s="23">
        <f t="shared" si="0"/>
        <v>9</v>
      </c>
      <c r="K12" s="23">
        <f t="shared" si="0"/>
        <v>10</v>
      </c>
      <c r="L12" s="23">
        <f t="shared" si="0"/>
        <v>11</v>
      </c>
      <c r="M12" s="23">
        <f t="shared" si="0"/>
        <v>12</v>
      </c>
      <c r="N12" s="23">
        <f t="shared" si="0"/>
        <v>13</v>
      </c>
      <c r="O12" s="23">
        <f t="shared" si="0"/>
        <v>14</v>
      </c>
      <c r="P12" s="23">
        <f t="shared" si="0"/>
        <v>15</v>
      </c>
      <c r="Q12" s="23">
        <f t="shared" si="0"/>
        <v>16</v>
      </c>
    </row>
    <row r="13" spans="1:17" s="5" customFormat="1" ht="11.25" x14ac:dyDescent="0.25">
      <c r="A13" s="185">
        <f>IF(COUNTBLANK(B13)=1," ",COUNTA($B13:B$13))</f>
        <v>1</v>
      </c>
      <c r="B13" s="121" t="s">
        <v>51</v>
      </c>
      <c r="C13" s="30" t="s">
        <v>183</v>
      </c>
      <c r="D13" s="129" t="s">
        <v>89</v>
      </c>
      <c r="E13" s="159">
        <f>E34*0.15</f>
        <v>12.6</v>
      </c>
      <c r="F13" s="185"/>
      <c r="G13" s="43"/>
      <c r="H13" s="24"/>
      <c r="I13" s="43"/>
      <c r="J13" s="43"/>
      <c r="K13" s="43"/>
      <c r="L13" s="123"/>
      <c r="M13" s="86"/>
      <c r="N13" s="86"/>
      <c r="O13" s="86"/>
      <c r="P13" s="86"/>
      <c r="Q13" s="86"/>
    </row>
    <row r="14" spans="1:17" s="5" customFormat="1" ht="11.25" x14ac:dyDescent="0.25">
      <c r="A14" s="185">
        <f>IF(COUNTBLANK(B14)=1," ",COUNTA($B$13:B14))</f>
        <v>2</v>
      </c>
      <c r="B14" s="121" t="s">
        <v>51</v>
      </c>
      <c r="C14" s="87" t="s">
        <v>184</v>
      </c>
      <c r="D14" s="185" t="s">
        <v>89</v>
      </c>
      <c r="E14" s="158">
        <f>apjoms!V17*1.2*1*1.1</f>
        <v>158.4</v>
      </c>
      <c r="F14" s="129"/>
      <c r="G14" s="42"/>
      <c r="H14" s="24"/>
      <c r="I14" s="42"/>
      <c r="J14" s="42"/>
      <c r="K14" s="42"/>
      <c r="L14" s="123"/>
      <c r="M14" s="86"/>
      <c r="N14" s="86"/>
      <c r="O14" s="86"/>
      <c r="P14" s="86"/>
      <c r="Q14" s="86"/>
    </row>
    <row r="15" spans="1:17" s="5" customFormat="1" ht="22.5" x14ac:dyDescent="0.25">
      <c r="A15" s="185">
        <f>IF(COUNTBLANK(B15)=1," ",COUNTA($B$13:B15))</f>
        <v>3</v>
      </c>
      <c r="B15" s="121" t="s">
        <v>51</v>
      </c>
      <c r="C15" s="87" t="s">
        <v>185</v>
      </c>
      <c r="D15" s="185" t="s">
        <v>60</v>
      </c>
      <c r="E15" s="158">
        <f>apjoms!D21</f>
        <v>258</v>
      </c>
      <c r="F15" s="43"/>
      <c r="G15" s="43"/>
      <c r="H15" s="24"/>
      <c r="I15" s="43"/>
      <c r="J15" s="43"/>
      <c r="K15" s="43"/>
      <c r="L15" s="123"/>
      <c r="M15" s="86"/>
      <c r="N15" s="86"/>
      <c r="O15" s="86"/>
      <c r="P15" s="86"/>
      <c r="Q15" s="86"/>
    </row>
    <row r="16" spans="1:17" s="39" customFormat="1" ht="22.5" x14ac:dyDescent="0.25">
      <c r="A16" s="185" t="str">
        <f>IF(COUNTBLANK(B16)=1," ",COUNTA($B$13:B16))</f>
        <v xml:space="preserve"> </v>
      </c>
      <c r="B16" s="180"/>
      <c r="C16" s="57" t="s">
        <v>186</v>
      </c>
      <c r="D16" s="180" t="s">
        <v>72</v>
      </c>
      <c r="E16" s="160">
        <f>ROUNDUP(E15*F16,2)</f>
        <v>129</v>
      </c>
      <c r="F16" s="43">
        <v>0.5</v>
      </c>
      <c r="G16" s="43"/>
      <c r="H16" s="43"/>
      <c r="I16" s="43"/>
      <c r="J16" s="43"/>
      <c r="K16" s="43"/>
      <c r="L16" s="123"/>
      <c r="M16" s="86"/>
      <c r="N16" s="86"/>
      <c r="O16" s="86"/>
      <c r="P16" s="86"/>
      <c r="Q16" s="86"/>
    </row>
    <row r="17" spans="1:19" x14ac:dyDescent="0.25">
      <c r="A17" s="185">
        <f>IF(COUNTBLANK(B17)=1," ",COUNTA($B$13:B17))</f>
        <v>4</v>
      </c>
      <c r="B17" s="121" t="s">
        <v>51</v>
      </c>
      <c r="C17" s="87" t="s">
        <v>187</v>
      </c>
      <c r="D17" s="185" t="s">
        <v>53</v>
      </c>
      <c r="E17" s="122">
        <f>apjoms!V17</f>
        <v>120</v>
      </c>
      <c r="F17" s="42"/>
      <c r="G17" s="47"/>
      <c r="H17" s="24"/>
      <c r="I17" s="47"/>
      <c r="J17" s="47"/>
      <c r="K17" s="47"/>
      <c r="L17" s="123"/>
      <c r="M17" s="86"/>
      <c r="N17" s="86"/>
      <c r="O17" s="86"/>
      <c r="P17" s="86"/>
      <c r="Q17" s="86"/>
    </row>
    <row r="18" spans="1:19" x14ac:dyDescent="0.25">
      <c r="A18" s="185" t="str">
        <f>IF(COUNTBLANK(B18)=1," ",COUNTA($B$13:B18))</f>
        <v xml:space="preserve"> </v>
      </c>
      <c r="B18" s="185"/>
      <c r="C18" s="87" t="s">
        <v>188</v>
      </c>
      <c r="D18" s="42" t="s">
        <v>72</v>
      </c>
      <c r="E18" s="42">
        <f>ROUNDUP(E17*F18,2)</f>
        <v>120</v>
      </c>
      <c r="F18" s="42">
        <v>1</v>
      </c>
      <c r="G18" s="42"/>
      <c r="H18" s="42"/>
      <c r="I18" s="42"/>
      <c r="J18" s="42"/>
      <c r="K18" s="42"/>
      <c r="L18" s="123"/>
      <c r="M18" s="86"/>
      <c r="N18" s="86"/>
      <c r="O18" s="86"/>
      <c r="P18" s="86"/>
      <c r="Q18" s="86"/>
    </row>
    <row r="19" spans="1:19" ht="22.5" x14ac:dyDescent="0.25">
      <c r="A19" s="185">
        <f>IF(COUNTBLANK(B19)=1," ",COUNTA($B$13:B19))</f>
        <v>5</v>
      </c>
      <c r="B19" s="121" t="s">
        <v>51</v>
      </c>
      <c r="C19" s="87" t="s">
        <v>189</v>
      </c>
      <c r="D19" s="185" t="s">
        <v>60</v>
      </c>
      <c r="E19" s="122">
        <f>E15</f>
        <v>258</v>
      </c>
      <c r="F19" s="42"/>
      <c r="G19" s="42"/>
      <c r="H19" s="24"/>
      <c r="I19" s="42"/>
      <c r="J19" s="42"/>
      <c r="K19" s="42"/>
      <c r="L19" s="123"/>
      <c r="M19" s="86"/>
      <c r="N19" s="86"/>
      <c r="O19" s="86"/>
      <c r="P19" s="86"/>
      <c r="Q19" s="86"/>
      <c r="R19" s="5"/>
      <c r="S19" s="5"/>
    </row>
    <row r="20" spans="1:19" ht="33.75" x14ac:dyDescent="0.25">
      <c r="A20" s="185"/>
      <c r="B20" s="121"/>
      <c r="C20" s="87" t="s">
        <v>445</v>
      </c>
      <c r="D20" s="42" t="s">
        <v>102</v>
      </c>
      <c r="E20" s="42">
        <f>E19*F20</f>
        <v>64.5</v>
      </c>
      <c r="F20" s="42">
        <v>0.25</v>
      </c>
      <c r="G20" s="42"/>
      <c r="H20" s="24"/>
      <c r="I20" s="42"/>
      <c r="J20" s="42"/>
      <c r="K20" s="42"/>
      <c r="L20" s="123"/>
      <c r="M20" s="86"/>
      <c r="N20" s="86"/>
      <c r="O20" s="86"/>
      <c r="P20" s="86"/>
      <c r="Q20" s="86"/>
    </row>
    <row r="21" spans="1:19" ht="22.5" x14ac:dyDescent="0.25">
      <c r="A21" s="185" t="str">
        <f>IF(COUNTBLANK(B21)=1," ",COUNTA($B$13:B21))</f>
        <v xml:space="preserve"> </v>
      </c>
      <c r="B21" s="185"/>
      <c r="C21" s="161" t="s">
        <v>446</v>
      </c>
      <c r="D21" s="160" t="s">
        <v>102</v>
      </c>
      <c r="E21" s="160">
        <f>ROUNDUP(E19*F21,2)</f>
        <v>1032</v>
      </c>
      <c r="F21" s="42">
        <v>4</v>
      </c>
      <c r="G21" s="42"/>
      <c r="H21" s="42"/>
      <c r="I21" s="42"/>
      <c r="J21" s="42"/>
      <c r="K21" s="42"/>
      <c r="L21" s="123"/>
      <c r="M21" s="86"/>
      <c r="N21" s="86"/>
      <c r="O21" s="86"/>
      <c r="P21" s="86"/>
      <c r="Q21" s="86"/>
    </row>
    <row r="22" spans="1:19" s="38" customFormat="1" ht="45" x14ac:dyDescent="0.25">
      <c r="A22" s="185">
        <f>IF(COUNTBLANK(B22)=1," ",COUNTA($B$13:B22))</f>
        <v>6</v>
      </c>
      <c r="B22" s="121" t="s">
        <v>51</v>
      </c>
      <c r="C22" s="161" t="str">
        <f>apjoms!B21</f>
        <v>Pamatu sienas, grunts, putupolistirola plāksne (Estrudētais putu polistirols EPS100 vai ekvivalents, λ=0,037W/m²K)  b=100mm, līmjava, vertikālā hidroizolācija, grunts. Esošā   siena -ribotais panelis</v>
      </c>
      <c r="D22" s="151" t="s">
        <v>60</v>
      </c>
      <c r="E22" s="158">
        <f>E15</f>
        <v>258</v>
      </c>
      <c r="F22" s="42"/>
      <c r="G22" s="42"/>
      <c r="H22" s="24"/>
      <c r="I22" s="42"/>
      <c r="J22" s="124"/>
      <c r="K22" s="185"/>
      <c r="L22" s="123"/>
      <c r="M22" s="86"/>
      <c r="N22" s="86"/>
      <c r="O22" s="86"/>
      <c r="P22" s="86"/>
      <c r="Q22" s="86"/>
      <c r="R22" s="5"/>
      <c r="S22" s="5"/>
    </row>
    <row r="23" spans="1:19" ht="22.5" x14ac:dyDescent="0.25">
      <c r="A23" s="185" t="str">
        <f>IF(COUNTBLANK(B23)=1," ",COUNTA($B$13:B23))</f>
        <v xml:space="preserve"> </v>
      </c>
      <c r="B23" s="185"/>
      <c r="C23" s="161" t="s">
        <v>447</v>
      </c>
      <c r="D23" s="142" t="s">
        <v>60</v>
      </c>
      <c r="E23" s="160">
        <f>ROUNDUP(E22*F23,2)</f>
        <v>309.60000000000002</v>
      </c>
      <c r="F23" s="185">
        <v>1.2</v>
      </c>
      <c r="G23" s="185"/>
      <c r="H23" s="185"/>
      <c r="I23" s="185"/>
      <c r="J23" s="42"/>
      <c r="K23" s="42"/>
      <c r="L23" s="123"/>
      <c r="M23" s="86"/>
      <c r="N23" s="86"/>
      <c r="O23" s="86"/>
      <c r="P23" s="86"/>
      <c r="Q23" s="86"/>
    </row>
    <row r="24" spans="1:19" x14ac:dyDescent="0.25">
      <c r="A24" s="185" t="str">
        <f>IF(COUNTBLANK(B24)=1," ",COUNTA($B$13:B24))</f>
        <v xml:space="preserve"> </v>
      </c>
      <c r="B24" s="185"/>
      <c r="C24" s="161" t="s">
        <v>190</v>
      </c>
      <c r="D24" s="151" t="s">
        <v>72</v>
      </c>
      <c r="E24" s="160">
        <f>ROUNDUP(E22*F24,2)</f>
        <v>1806</v>
      </c>
      <c r="F24" s="42">
        <v>7</v>
      </c>
      <c r="G24" s="42"/>
      <c r="H24" s="42"/>
      <c r="I24" s="42"/>
      <c r="J24" s="42"/>
      <c r="K24" s="42"/>
      <c r="L24" s="123"/>
      <c r="M24" s="86"/>
      <c r="N24" s="86"/>
      <c r="O24" s="86"/>
      <c r="P24" s="86"/>
      <c r="Q24" s="86"/>
    </row>
    <row r="25" spans="1:19" ht="45" x14ac:dyDescent="0.25">
      <c r="A25" s="185" t="str">
        <f>IF(COUNTBLANK(B25)=1," ",COUNTA($B$13:B25))</f>
        <v xml:space="preserve"> </v>
      </c>
      <c r="B25" s="185"/>
      <c r="C25" s="161" t="s">
        <v>191</v>
      </c>
      <c r="D25" s="151" t="s">
        <v>56</v>
      </c>
      <c r="E25" s="160">
        <f>ROUNDUP(E22*F25,0)</f>
        <v>1548</v>
      </c>
      <c r="F25" s="42">
        <v>6</v>
      </c>
      <c r="G25" s="42"/>
      <c r="H25" s="42"/>
      <c r="I25" s="185"/>
      <c r="J25" s="42"/>
      <c r="K25" s="42"/>
      <c r="L25" s="123"/>
      <c r="M25" s="86"/>
      <c r="N25" s="86"/>
      <c r="O25" s="86"/>
      <c r="P25" s="86"/>
      <c r="Q25" s="86"/>
    </row>
    <row r="26" spans="1:19" s="177" customFormat="1" ht="11.25" x14ac:dyDescent="0.25">
      <c r="A26" s="185">
        <f>IF(COUNTBLANK(B26)=1," ",COUNTA($B$13:B26))</f>
        <v>7</v>
      </c>
      <c r="B26" s="121" t="s">
        <v>51</v>
      </c>
      <c r="C26" s="161" t="s">
        <v>192</v>
      </c>
      <c r="D26" s="151" t="s">
        <v>89</v>
      </c>
      <c r="E26" s="158">
        <f>E14</f>
        <v>158.4</v>
      </c>
      <c r="F26" s="185"/>
      <c r="G26" s="43"/>
      <c r="H26" s="24"/>
      <c r="I26" s="43"/>
      <c r="J26" s="42"/>
      <c r="K26" s="42"/>
      <c r="L26" s="123"/>
      <c r="M26" s="86"/>
      <c r="N26" s="86"/>
      <c r="O26" s="86"/>
      <c r="P26" s="86"/>
      <c r="Q26" s="86"/>
    </row>
    <row r="27" spans="1:19" s="21" customFormat="1" ht="33.75" x14ac:dyDescent="0.25">
      <c r="A27" s="185">
        <f>IF(COUNTBLANK(B27)=1," ",COUNTA($B$13:B27))</f>
        <v>8</v>
      </c>
      <c r="B27" s="121" t="s">
        <v>51</v>
      </c>
      <c r="C27" s="161" t="s">
        <v>193</v>
      </c>
      <c r="D27" s="151" t="s">
        <v>60</v>
      </c>
      <c r="E27" s="158">
        <f>apjoms!V17*1.15</f>
        <v>138</v>
      </c>
      <c r="F27" s="42"/>
      <c r="G27" s="43"/>
      <c r="H27" s="24"/>
      <c r="I27" s="43"/>
      <c r="J27" s="43"/>
      <c r="K27" s="43"/>
      <c r="L27" s="123"/>
      <c r="M27" s="86"/>
      <c r="N27" s="86"/>
      <c r="O27" s="86"/>
      <c r="P27" s="86"/>
      <c r="Q27" s="86"/>
    </row>
    <row r="28" spans="1:19" x14ac:dyDescent="0.25">
      <c r="A28" s="185" t="str">
        <f>IF(COUNTBLANK(B28)=1," ",COUNTA($B$13:B28))</f>
        <v xml:space="preserve"> </v>
      </c>
      <c r="B28" s="185"/>
      <c r="C28" s="161" t="s">
        <v>194</v>
      </c>
      <c r="D28" s="151" t="s">
        <v>72</v>
      </c>
      <c r="E28" s="160">
        <f>ROUNDUP(E27*F28,2)</f>
        <v>690</v>
      </c>
      <c r="F28" s="42">
        <v>5</v>
      </c>
      <c r="G28" s="43"/>
      <c r="H28" s="43"/>
      <c r="I28" s="43"/>
      <c r="J28" s="43"/>
      <c r="K28" s="129"/>
      <c r="L28" s="123"/>
      <c r="M28" s="86"/>
      <c r="N28" s="86"/>
      <c r="O28" s="86"/>
      <c r="P28" s="86"/>
      <c r="Q28" s="86"/>
      <c r="S28" s="199"/>
    </row>
    <row r="29" spans="1:19" s="21" customFormat="1" ht="11.25" x14ac:dyDescent="0.25">
      <c r="A29" s="185" t="str">
        <f>IF(COUNTBLANK(B29)=1," ",COUNTA($B$13:B29))</f>
        <v xml:space="preserve"> </v>
      </c>
      <c r="B29" s="185"/>
      <c r="C29" s="162" t="s">
        <v>195</v>
      </c>
      <c r="D29" s="151" t="s">
        <v>60</v>
      </c>
      <c r="E29" s="160">
        <f>ROUNDUP(E27*F29,2)</f>
        <v>303.60000000000002</v>
      </c>
      <c r="F29" s="42">
        <f>2.2</f>
        <v>2.2000000000000002</v>
      </c>
      <c r="G29" s="43"/>
      <c r="H29" s="43"/>
      <c r="I29" s="43"/>
      <c r="J29" s="43"/>
      <c r="K29" s="129"/>
      <c r="L29" s="123"/>
      <c r="M29" s="86"/>
      <c r="N29" s="86"/>
      <c r="O29" s="86"/>
      <c r="P29" s="86"/>
      <c r="Q29" s="86"/>
    </row>
    <row r="30" spans="1:19" s="21" customFormat="1" ht="11.25" x14ac:dyDescent="0.25">
      <c r="A30" s="185" t="str">
        <f>IF(COUNTBLANK(B30)=1," ",COUNTA($B$13:B30))</f>
        <v xml:space="preserve"> </v>
      </c>
      <c r="B30" s="185"/>
      <c r="C30" s="161" t="s">
        <v>81</v>
      </c>
      <c r="D30" s="151" t="s">
        <v>196</v>
      </c>
      <c r="E30" s="160">
        <f>ROUNDUP(E27*F30,0)</f>
        <v>13</v>
      </c>
      <c r="F30" s="42">
        <v>0.09</v>
      </c>
      <c r="G30" s="43"/>
      <c r="H30" s="43"/>
      <c r="I30" s="43"/>
      <c r="J30" s="43"/>
      <c r="K30" s="129"/>
      <c r="L30" s="123"/>
      <c r="M30" s="86"/>
      <c r="N30" s="86"/>
      <c r="O30" s="86"/>
      <c r="P30" s="86"/>
      <c r="Q30" s="86"/>
    </row>
    <row r="31" spans="1:19" s="5" customFormat="1" ht="22.5" x14ac:dyDescent="0.25">
      <c r="A31" s="185" t="str">
        <f>IF(COUNTBLANK(B31)=1," ",COUNTA($B$13:B31))</f>
        <v xml:space="preserve"> </v>
      </c>
      <c r="B31" s="185"/>
      <c r="C31" s="153" t="s">
        <v>448</v>
      </c>
      <c r="D31" s="151" t="s">
        <v>72</v>
      </c>
      <c r="E31" s="160">
        <f>ROUNDUP(E27*F31,2)</f>
        <v>41.4</v>
      </c>
      <c r="F31" s="42">
        <v>0.3</v>
      </c>
      <c r="G31" s="43"/>
      <c r="H31" s="43"/>
      <c r="I31" s="43"/>
      <c r="J31" s="43"/>
      <c r="K31" s="129"/>
      <c r="L31" s="123"/>
      <c r="M31" s="86"/>
      <c r="N31" s="86"/>
      <c r="O31" s="86"/>
      <c r="P31" s="86"/>
      <c r="Q31" s="86"/>
    </row>
    <row r="32" spans="1:19" s="5" customFormat="1" ht="11.25" x14ac:dyDescent="0.25">
      <c r="A32" s="185" t="str">
        <f>IF(COUNTBLANK(B32)=1," ",COUNTA($B$13:B32))</f>
        <v xml:space="preserve"> </v>
      </c>
      <c r="B32" s="185"/>
      <c r="C32" s="87" t="s">
        <v>449</v>
      </c>
      <c r="D32" s="185" t="s">
        <v>72</v>
      </c>
      <c r="E32" s="42">
        <f>ROUNDUP(E27*F32,2)</f>
        <v>690</v>
      </c>
      <c r="F32" s="42">
        <v>5</v>
      </c>
      <c r="G32" s="43"/>
      <c r="H32" s="43"/>
      <c r="I32" s="43"/>
      <c r="J32" s="43"/>
      <c r="K32" s="129"/>
      <c r="L32" s="123"/>
      <c r="M32" s="86"/>
      <c r="N32" s="86"/>
      <c r="O32" s="86"/>
      <c r="P32" s="86"/>
      <c r="Q32" s="86"/>
    </row>
    <row r="33" spans="1:17" s="177" customFormat="1" ht="22.5" x14ac:dyDescent="0.25">
      <c r="A33" s="185" t="str">
        <f>IF(COUNTBLANK(B33)=1," ",COUNTA($B$13:B33))</f>
        <v xml:space="preserve"> </v>
      </c>
      <c r="B33" s="180"/>
      <c r="C33" s="88" t="s">
        <v>197</v>
      </c>
      <c r="D33" s="208"/>
      <c r="E33" s="209"/>
      <c r="F33" s="180"/>
      <c r="G33" s="180"/>
      <c r="H33" s="180"/>
      <c r="I33" s="180"/>
      <c r="J33" s="180"/>
      <c r="K33" s="180"/>
      <c r="L33" s="123"/>
      <c r="M33" s="86"/>
      <c r="N33" s="86"/>
      <c r="O33" s="86"/>
      <c r="P33" s="86"/>
      <c r="Q33" s="86"/>
    </row>
    <row r="34" spans="1:17" s="5" customFormat="1" ht="11.25" x14ac:dyDescent="0.25">
      <c r="A34" s="185">
        <f>IF(COUNTBLANK(B34)=1," ",COUNTA($B$13:B34))</f>
        <v>9</v>
      </c>
      <c r="B34" s="121" t="s">
        <v>51</v>
      </c>
      <c r="C34" s="57" t="s">
        <v>198</v>
      </c>
      <c r="D34" s="180" t="s">
        <v>60</v>
      </c>
      <c r="E34" s="27">
        <f>apjoms!V17*0.7</f>
        <v>84</v>
      </c>
      <c r="F34" s="180"/>
      <c r="G34" s="42"/>
      <c r="H34" s="24"/>
      <c r="I34" s="42"/>
      <c r="J34" s="43"/>
      <c r="K34" s="42"/>
      <c r="L34" s="123"/>
      <c r="M34" s="86"/>
      <c r="N34" s="86"/>
      <c r="O34" s="86"/>
      <c r="P34" s="86"/>
      <c r="Q34" s="86"/>
    </row>
    <row r="35" spans="1:17" s="5" customFormat="1" ht="11.25" x14ac:dyDescent="0.25">
      <c r="A35" s="185">
        <f>IF(COUNTBLANK(B35)=1," ",COUNTA($B$13:B35))</f>
        <v>10</v>
      </c>
      <c r="B35" s="121" t="s">
        <v>51</v>
      </c>
      <c r="C35" s="57" t="s">
        <v>199</v>
      </c>
      <c r="D35" s="180" t="s">
        <v>89</v>
      </c>
      <c r="E35" s="27">
        <f>E34*0.1</f>
        <v>8.4</v>
      </c>
      <c r="F35" s="89"/>
      <c r="G35" s="42"/>
      <c r="H35" s="24"/>
      <c r="I35" s="42"/>
      <c r="J35" s="43"/>
      <c r="K35" s="42"/>
      <c r="L35" s="123"/>
      <c r="M35" s="86"/>
      <c r="N35" s="86"/>
      <c r="O35" s="86"/>
      <c r="P35" s="86"/>
      <c r="Q35" s="86"/>
    </row>
    <row r="36" spans="1:17" s="38" customFormat="1" ht="11.25" x14ac:dyDescent="0.25">
      <c r="A36" s="185" t="str">
        <f>IF(COUNTBLANK(B36)=1," ",COUNTA($B$13:B36))</f>
        <v xml:space="preserve"> </v>
      </c>
      <c r="B36" s="180"/>
      <c r="C36" s="57" t="s">
        <v>200</v>
      </c>
      <c r="D36" s="180" t="s">
        <v>89</v>
      </c>
      <c r="E36" s="42">
        <f>ROUNDUP(E35*F36,2)</f>
        <v>9.24</v>
      </c>
      <c r="F36" s="43">
        <v>1.1000000000000001</v>
      </c>
      <c r="G36" s="42"/>
      <c r="H36" s="42"/>
      <c r="I36" s="42"/>
      <c r="J36" s="42"/>
      <c r="K36" s="42"/>
      <c r="L36" s="123"/>
      <c r="M36" s="86"/>
      <c r="N36" s="86"/>
      <c r="O36" s="86"/>
      <c r="P36" s="86"/>
      <c r="Q36" s="86"/>
    </row>
    <row r="37" spans="1:17" s="9" customFormat="1" ht="11.25" x14ac:dyDescent="0.25">
      <c r="A37" s="185">
        <f>IF(COUNTBLANK(B37)=1," ",COUNTA($B$13:B37))</f>
        <v>11</v>
      </c>
      <c r="B37" s="121" t="s">
        <v>51</v>
      </c>
      <c r="C37" s="57" t="s">
        <v>201</v>
      </c>
      <c r="D37" s="180" t="s">
        <v>89</v>
      </c>
      <c r="E37" s="27">
        <f>E34*0.05</f>
        <v>4.2</v>
      </c>
      <c r="F37" s="89"/>
      <c r="G37" s="42"/>
      <c r="H37" s="24"/>
      <c r="I37" s="42"/>
      <c r="J37" s="43"/>
      <c r="K37" s="42"/>
      <c r="L37" s="123"/>
      <c r="M37" s="86"/>
      <c r="N37" s="86"/>
      <c r="O37" s="86"/>
      <c r="P37" s="86"/>
      <c r="Q37" s="86"/>
    </row>
    <row r="38" spans="1:17" x14ac:dyDescent="0.25">
      <c r="A38" s="185" t="str">
        <f>IF(COUNTBLANK(B38)=1," ",COUNTA($B$13:B38))</f>
        <v xml:space="preserve"> </v>
      </c>
      <c r="B38" s="180"/>
      <c r="C38" s="57" t="s">
        <v>200</v>
      </c>
      <c r="D38" s="180" t="s">
        <v>89</v>
      </c>
      <c r="E38" s="42">
        <f>ROUNDUP(E37*F38,2)</f>
        <v>4.62</v>
      </c>
      <c r="F38" s="43">
        <v>1.1000000000000001</v>
      </c>
      <c r="G38" s="42"/>
      <c r="H38" s="42"/>
      <c r="I38" s="42"/>
      <c r="J38" s="42"/>
      <c r="K38" s="42"/>
      <c r="L38" s="123"/>
      <c r="M38" s="86"/>
      <c r="N38" s="86"/>
      <c r="O38" s="86"/>
      <c r="P38" s="86"/>
      <c r="Q38" s="86"/>
    </row>
    <row r="39" spans="1:17" x14ac:dyDescent="0.25">
      <c r="A39" s="185">
        <f>IF(COUNTBLANK(B39)=1," ",COUNTA($B$13:B39))</f>
        <v>12</v>
      </c>
      <c r="B39" s="121" t="s">
        <v>51</v>
      </c>
      <c r="C39" s="57" t="s">
        <v>508</v>
      </c>
      <c r="D39" s="180" t="s">
        <v>89</v>
      </c>
      <c r="E39" s="27">
        <f>E34*0.07</f>
        <v>5.8800000000000008</v>
      </c>
      <c r="F39" s="89"/>
      <c r="G39" s="42"/>
      <c r="H39" s="24"/>
      <c r="I39" s="42"/>
      <c r="J39" s="43"/>
      <c r="K39" s="42"/>
      <c r="L39" s="123"/>
      <c r="M39" s="86"/>
      <c r="N39" s="86"/>
      <c r="O39" s="86"/>
      <c r="P39" s="86"/>
      <c r="Q39" s="86"/>
    </row>
    <row r="40" spans="1:17" x14ac:dyDescent="0.25">
      <c r="A40" s="185" t="str">
        <f>IF(COUNTBLANK(B40)=1," ",COUNTA($B$13:B40))</f>
        <v xml:space="preserve"> </v>
      </c>
      <c r="B40" s="180"/>
      <c r="C40" s="57" t="s">
        <v>202</v>
      </c>
      <c r="D40" s="180" t="s">
        <v>89</v>
      </c>
      <c r="E40" s="261">
        <f>ROUNDUP(E39*F40,2)</f>
        <v>6.47</v>
      </c>
      <c r="F40" s="43">
        <v>1.1000000000000001</v>
      </c>
      <c r="G40" s="42"/>
      <c r="H40" s="42"/>
      <c r="I40" s="42"/>
      <c r="J40" s="42"/>
      <c r="K40" s="42"/>
      <c r="L40" s="123"/>
      <c r="M40" s="86"/>
      <c r="N40" s="86"/>
      <c r="O40" s="86"/>
      <c r="P40" s="86"/>
      <c r="Q40" s="86"/>
    </row>
    <row r="41" spans="1:17" x14ac:dyDescent="0.25">
      <c r="A41" s="185">
        <f>IF(COUNTBLANK(B41)=1," ",COUNTA($B$13:B41))</f>
        <v>13</v>
      </c>
      <c r="B41" s="121" t="s">
        <v>51</v>
      </c>
      <c r="C41" s="57" t="s">
        <v>203</v>
      </c>
      <c r="D41" s="180" t="s">
        <v>60</v>
      </c>
      <c r="E41" s="27">
        <f>E34</f>
        <v>84</v>
      </c>
      <c r="F41" s="43"/>
      <c r="G41" s="42"/>
      <c r="H41" s="24"/>
      <c r="I41" s="42"/>
      <c r="J41" s="124"/>
      <c r="K41" s="43"/>
      <c r="L41" s="123"/>
      <c r="M41" s="86"/>
      <c r="N41" s="86"/>
      <c r="O41" s="86"/>
      <c r="P41" s="86"/>
      <c r="Q41" s="86"/>
    </row>
    <row r="42" spans="1:17" x14ac:dyDescent="0.25">
      <c r="A42" s="185" t="str">
        <f>IF(COUNTBLANK(B42)=1," ",COUNTA($B$13:B42))</f>
        <v xml:space="preserve"> </v>
      </c>
      <c r="B42" s="180"/>
      <c r="C42" s="259" t="s">
        <v>507</v>
      </c>
      <c r="D42" s="43" t="s">
        <v>60</v>
      </c>
      <c r="E42" s="42">
        <f>ROUNDUP(E41*F42,2)</f>
        <v>88.2</v>
      </c>
      <c r="F42" s="43">
        <v>1.05</v>
      </c>
      <c r="G42" s="42"/>
      <c r="H42" s="42"/>
      <c r="I42" s="42"/>
      <c r="J42" s="42"/>
      <c r="K42" s="42"/>
      <c r="L42" s="123"/>
      <c r="M42" s="86"/>
      <c r="N42" s="86"/>
      <c r="O42" s="86"/>
      <c r="P42" s="86"/>
      <c r="Q42" s="86"/>
    </row>
    <row r="43" spans="1:17" x14ac:dyDescent="0.25">
      <c r="A43" s="185">
        <f>IF(COUNTBLANK(B43)=1," ",COUNTA($B$13:B43))</f>
        <v>14</v>
      </c>
      <c r="B43" s="121" t="s">
        <v>51</v>
      </c>
      <c r="C43" s="57" t="s">
        <v>204</v>
      </c>
      <c r="D43" s="180" t="s">
        <v>53</v>
      </c>
      <c r="E43" s="157">
        <v>130</v>
      </c>
      <c r="F43" s="180"/>
      <c r="G43" s="43"/>
      <c r="H43" s="24"/>
      <c r="I43" s="43"/>
      <c r="J43" s="43"/>
      <c r="K43" s="43"/>
      <c r="L43" s="123"/>
      <c r="M43" s="86"/>
      <c r="N43" s="86"/>
      <c r="O43" s="86"/>
      <c r="P43" s="86"/>
      <c r="Q43" s="86"/>
    </row>
    <row r="44" spans="1:17" x14ac:dyDescent="0.25">
      <c r="A44" s="251"/>
      <c r="B44" s="252"/>
      <c r="C44" s="259" t="s">
        <v>509</v>
      </c>
      <c r="D44" s="44" t="s">
        <v>89</v>
      </c>
      <c r="E44" s="261">
        <f>E43*0.3*0.1</f>
        <v>3.9000000000000004</v>
      </c>
      <c r="F44" s="43"/>
      <c r="G44" s="255"/>
      <c r="H44" s="256"/>
      <c r="I44" s="255"/>
      <c r="J44" s="90"/>
      <c r="K44" s="255"/>
      <c r="L44" s="123"/>
      <c r="M44" s="86"/>
      <c r="N44" s="86"/>
      <c r="O44" s="86"/>
      <c r="P44" s="86"/>
      <c r="Q44" s="86"/>
    </row>
    <row r="45" spans="1:17" s="5" customFormat="1" ht="11.25" x14ac:dyDescent="0.25">
      <c r="A45" s="185">
        <f>IF(COUNTBLANK(B45)=1," ",COUNTA($B$13:B45))</f>
        <v>15</v>
      </c>
      <c r="B45" s="121" t="s">
        <v>51</v>
      </c>
      <c r="C45" s="87" t="s">
        <v>205</v>
      </c>
      <c r="D45" s="185" t="s">
        <v>60</v>
      </c>
      <c r="E45" s="160">
        <f>apjoms!V17*1.5</f>
        <v>180</v>
      </c>
      <c r="F45" s="42"/>
      <c r="G45" s="43"/>
      <c r="H45" s="24"/>
      <c r="I45" s="43"/>
      <c r="J45" s="90"/>
      <c r="K45" s="43"/>
      <c r="L45" s="123"/>
      <c r="M45" s="86"/>
      <c r="N45" s="86"/>
      <c r="O45" s="86"/>
      <c r="P45" s="86"/>
      <c r="Q45" s="86"/>
    </row>
    <row r="46" spans="1:17" x14ac:dyDescent="0.25">
      <c r="A46" s="185" t="str">
        <f>IF(COUNTBLANK(B46)=1," ",COUNTA($B$13:B46))</f>
        <v xml:space="preserve"> </v>
      </c>
      <c r="B46" s="185"/>
      <c r="C46" s="227" t="s">
        <v>510</v>
      </c>
      <c r="D46" s="42" t="s">
        <v>89</v>
      </c>
      <c r="E46" s="42">
        <f>ROUNDUP(E45*F46,2)</f>
        <v>57.6</v>
      </c>
      <c r="F46" s="42">
        <v>0.32</v>
      </c>
      <c r="G46" s="43"/>
      <c r="H46" s="43"/>
      <c r="I46" s="43"/>
      <c r="J46" s="90"/>
      <c r="K46" s="43"/>
      <c r="L46" s="123"/>
      <c r="M46" s="86"/>
      <c r="N46" s="86"/>
      <c r="O46" s="86"/>
      <c r="P46" s="86"/>
      <c r="Q46" s="86"/>
    </row>
    <row r="47" spans="1:17" s="9" customFormat="1" ht="11.25" x14ac:dyDescent="0.25">
      <c r="A47" s="185">
        <f>IF(COUNTBLANK(B47)=1," ",COUNTA($B$13:B47))</f>
        <v>16</v>
      </c>
      <c r="B47" s="121" t="s">
        <v>51</v>
      </c>
      <c r="C47" s="87" t="s">
        <v>206</v>
      </c>
      <c r="D47" s="185" t="s">
        <v>60</v>
      </c>
      <c r="E47" s="124">
        <f>E45</f>
        <v>180</v>
      </c>
      <c r="F47" s="124"/>
      <c r="G47" s="43"/>
      <c r="H47" s="24"/>
      <c r="I47" s="43"/>
      <c r="J47" s="43"/>
      <c r="K47" s="43"/>
      <c r="L47" s="123"/>
      <c r="M47" s="86"/>
      <c r="N47" s="86"/>
      <c r="O47" s="86"/>
      <c r="P47" s="86"/>
      <c r="Q47" s="86"/>
    </row>
    <row r="48" spans="1:17" x14ac:dyDescent="0.25">
      <c r="A48" s="185" t="str">
        <f>IF(COUNTBLANK(B48)=1," ",COUNTA($B$13:B48))</f>
        <v xml:space="preserve"> </v>
      </c>
      <c r="B48" s="185"/>
      <c r="C48" s="230" t="s">
        <v>207</v>
      </c>
      <c r="D48" s="91" t="s">
        <v>72</v>
      </c>
      <c r="E48" s="42">
        <f>ROUNDUP(E47*F48,2)</f>
        <v>3.96</v>
      </c>
      <c r="F48" s="124">
        <v>2.1999999999999999E-2</v>
      </c>
      <c r="G48" s="43"/>
      <c r="H48" s="43"/>
      <c r="I48" s="43"/>
      <c r="J48" s="43"/>
      <c r="K48" s="43"/>
      <c r="L48" s="123"/>
      <c r="M48" s="86"/>
      <c r="N48" s="86"/>
      <c r="O48" s="86"/>
      <c r="P48" s="86"/>
      <c r="Q48" s="86"/>
    </row>
    <row r="49" spans="1:18" x14ac:dyDescent="0.25">
      <c r="A49" s="39"/>
      <c r="B49" s="50"/>
      <c r="C49" s="46"/>
      <c r="D49" s="39"/>
      <c r="E49" s="39"/>
      <c r="F49" s="39"/>
      <c r="G49" s="39"/>
      <c r="H49" s="51"/>
      <c r="I49" s="39"/>
      <c r="J49" s="52"/>
      <c r="K49" s="16"/>
      <c r="L49" s="52"/>
      <c r="M49" s="52"/>
      <c r="N49" s="52"/>
      <c r="O49" s="16"/>
      <c r="P49" s="16"/>
      <c r="Q49" s="16"/>
    </row>
    <row r="50" spans="1:18" ht="22.5" x14ac:dyDescent="0.25">
      <c r="A50" s="39"/>
      <c r="B50" s="39"/>
      <c r="C50" s="10" t="s">
        <v>91</v>
      </c>
      <c r="D50" s="9"/>
      <c r="E50" s="9"/>
      <c r="F50" s="9"/>
      <c r="G50" s="9"/>
      <c r="H50" s="5"/>
      <c r="I50" s="5"/>
      <c r="J50" s="9"/>
      <c r="K50" s="9"/>
      <c r="L50" s="52"/>
      <c r="M50" s="52">
        <f>SUM(M13:M48)</f>
        <v>0</v>
      </c>
      <c r="N50" s="52">
        <f>SUM(N13:N48)</f>
        <v>0</v>
      </c>
      <c r="O50" s="52">
        <f>SUM(O13:O48)</f>
        <v>0</v>
      </c>
      <c r="P50" s="52">
        <f>SUM(P13:P48)</f>
        <v>0</v>
      </c>
      <c r="Q50" s="52">
        <f>SUM(Q13:Q48)</f>
        <v>0</v>
      </c>
    </row>
    <row r="51" spans="1:18" x14ac:dyDescent="0.25">
      <c r="A51" s="9" t="str">
        <f>IF(COUNTBLANK(L51)=1," ",COUNTA($L$15:L51))</f>
        <v xml:space="preserve"> </v>
      </c>
      <c r="B51" s="39"/>
      <c r="C51" s="10"/>
      <c r="D51" s="9"/>
      <c r="E51" s="9"/>
      <c r="F51" s="9"/>
      <c r="G51" s="9"/>
      <c r="H51" s="5"/>
      <c r="I51" s="5"/>
      <c r="J51" s="9"/>
      <c r="K51" s="5"/>
      <c r="L51" s="16"/>
      <c r="M51" s="16"/>
      <c r="N51" s="9"/>
      <c r="O51" s="16"/>
      <c r="P51" s="16"/>
      <c r="Q51" s="16"/>
    </row>
    <row r="52" spans="1:18" s="9" customFormat="1" ht="11.25" x14ac:dyDescent="0.25">
      <c r="A52" s="183"/>
      <c r="B52" s="183"/>
      <c r="C52" s="46"/>
      <c r="D52" s="39"/>
      <c r="E52" s="39"/>
      <c r="F52" s="39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21"/>
    </row>
    <row r="53" spans="1:18" x14ac:dyDescent="0.25">
      <c r="A53" s="183"/>
      <c r="B53" s="21" t="s">
        <v>31</v>
      </c>
      <c r="C53" s="130"/>
      <c r="D53" s="21"/>
      <c r="E53" s="21"/>
      <c r="F53" s="21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</row>
    <row r="54" spans="1:18" s="5" customFormat="1" ht="11.25" x14ac:dyDescent="0.25">
      <c r="A54" s="183"/>
      <c r="B54" s="21"/>
      <c r="C54" s="229" t="s">
        <v>32</v>
      </c>
      <c r="D54" s="183"/>
      <c r="E54" s="183"/>
      <c r="F54" s="183"/>
      <c r="G54" s="21"/>
      <c r="H54" s="21"/>
      <c r="I54" s="183"/>
      <c r="J54" s="183"/>
      <c r="K54" s="183"/>
      <c r="L54" s="183"/>
      <c r="M54" s="183"/>
      <c r="N54" s="183"/>
      <c r="O54" s="183"/>
      <c r="P54" s="183"/>
      <c r="Q54" s="183"/>
      <c r="R54" s="21"/>
    </row>
    <row r="55" spans="1:18" x14ac:dyDescent="0.25">
      <c r="A55" s="21"/>
      <c r="B55" s="5"/>
      <c r="C55" s="3"/>
      <c r="D55" s="5"/>
      <c r="E55" s="5"/>
      <c r="F55" s="5"/>
      <c r="G55" s="21"/>
      <c r="H55" s="21"/>
      <c r="I55" s="183"/>
      <c r="J55" s="183"/>
      <c r="K55" s="21"/>
      <c r="L55" s="21"/>
      <c r="M55" s="21"/>
      <c r="N55" s="21"/>
      <c r="O55" s="21"/>
      <c r="P55" s="21"/>
      <c r="Q55" s="21"/>
      <c r="R55" s="21"/>
    </row>
    <row r="56" spans="1:18" x14ac:dyDescent="0.25">
      <c r="A56" s="21"/>
      <c r="B56" s="310" t="s">
        <v>476</v>
      </c>
      <c r="C56" s="130"/>
      <c r="D56" s="21"/>
      <c r="E56" s="21"/>
      <c r="F56" s="21"/>
      <c r="G56" s="21"/>
      <c r="H56" s="21"/>
      <c r="I56" s="183"/>
      <c r="J56" s="183"/>
      <c r="K56" s="21"/>
      <c r="L56" s="21"/>
      <c r="M56" s="21"/>
      <c r="N56" s="21"/>
      <c r="O56" s="21"/>
      <c r="P56" s="21"/>
      <c r="Q56" s="21"/>
      <c r="R56" s="21"/>
    </row>
    <row r="57" spans="1:18" x14ac:dyDescent="0.25">
      <c r="A57" s="21"/>
      <c r="B57" s="5"/>
      <c r="C57" s="3"/>
      <c r="D57" s="5"/>
      <c r="E57" s="5"/>
      <c r="F57" s="5"/>
      <c r="G57" s="21"/>
      <c r="H57" s="21"/>
      <c r="I57" s="183"/>
      <c r="J57" s="183"/>
      <c r="K57" s="21"/>
      <c r="L57" s="21"/>
      <c r="M57" s="21"/>
      <c r="N57" s="21"/>
      <c r="O57" s="21"/>
      <c r="P57" s="21"/>
      <c r="Q57" s="21"/>
    </row>
    <row r="58" spans="1:18" x14ac:dyDescent="0.25">
      <c r="A58" s="21"/>
      <c r="B58" s="21" t="s">
        <v>33</v>
      </c>
      <c r="C58" s="130"/>
      <c r="D58" s="21"/>
      <c r="E58" s="21"/>
      <c r="F58" s="21"/>
      <c r="G58" s="21"/>
      <c r="H58" s="21"/>
      <c r="I58" s="183"/>
      <c r="J58" s="183"/>
      <c r="K58" s="21"/>
      <c r="L58" s="21"/>
      <c r="M58" s="21"/>
      <c r="N58" s="21"/>
      <c r="O58" s="21"/>
      <c r="P58" s="21"/>
      <c r="Q58" s="21"/>
    </row>
    <row r="59" spans="1:18" x14ac:dyDescent="0.25">
      <c r="A59" s="21"/>
      <c r="B59" s="21"/>
      <c r="C59" s="229" t="s">
        <v>32</v>
      </c>
      <c r="D59" s="183"/>
      <c r="E59" s="183"/>
      <c r="F59" s="183"/>
      <c r="G59" s="21"/>
      <c r="H59" s="21"/>
      <c r="I59" s="183"/>
      <c r="J59" s="183"/>
      <c r="K59" s="21"/>
      <c r="L59" s="21"/>
      <c r="M59" s="21"/>
      <c r="N59" s="21"/>
      <c r="O59" s="21"/>
      <c r="P59" s="21"/>
      <c r="Q59" s="21"/>
    </row>
    <row r="60" spans="1:18" x14ac:dyDescent="0.25">
      <c r="A60" s="21"/>
      <c r="B60" s="5"/>
      <c r="C60" s="130" t="s">
        <v>34</v>
      </c>
      <c r="D60" s="21"/>
      <c r="E60" s="21"/>
      <c r="F60" s="21"/>
      <c r="G60" s="21"/>
      <c r="H60" s="21"/>
      <c r="I60" s="183"/>
      <c r="J60" s="183"/>
      <c r="K60" s="21"/>
      <c r="L60" s="21"/>
      <c r="M60" s="21"/>
      <c r="N60" s="21"/>
      <c r="O60" s="21"/>
      <c r="P60" s="21"/>
      <c r="Q60" s="21"/>
    </row>
  </sheetData>
  <mergeCells count="8">
    <mergeCell ref="A8:P8"/>
    <mergeCell ref="A10:A11"/>
    <mergeCell ref="B10:B11"/>
    <mergeCell ref="C10:C11"/>
    <mergeCell ref="D10:D11"/>
    <mergeCell ref="E10:E11"/>
    <mergeCell ref="G10:L10"/>
    <mergeCell ref="M10:Q10"/>
  </mergeCells>
  <pageMargins left="0" right="0" top="0.39374999999999999" bottom="0.39374999999999999" header="0.51180555555555496" footer="0.51180555555555496"/>
  <pageSetup paperSize="9" scale="90" firstPageNumber="0" orientation="landscape" horizontalDpi="300" verticalDpi="300" r:id="rId1"/>
  <rowBreaks count="1" manualBreakCount="1">
    <brk id="32" max="16383" man="1"/>
  </rowBreaks>
  <ignoredErrors>
    <ignoredError sqref="E40 E3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MJ113"/>
  <sheetViews>
    <sheetView view="pageBreakPreview" zoomScale="85" zoomScaleNormal="85" zoomScaleSheetLayoutView="85" workbookViewId="0">
      <selection activeCell="C10" sqref="C10:C11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7.5703125" style="20" customWidth="1"/>
    <col min="5" max="5" width="9.85546875" style="20" customWidth="1"/>
    <col min="6" max="6" width="5" style="20" hidden="1" customWidth="1"/>
    <col min="7" max="17" width="5" style="20" customWidth="1"/>
    <col min="18" max="18" width="15.7109375" style="205" customWidth="1"/>
    <col min="19" max="19" width="5.42578125" style="20" customWidth="1"/>
    <col min="20" max="35" width="9.140625" style="20" customWidth="1"/>
    <col min="36" max="1024" width="45.42578125" style="20" customWidth="1"/>
    <col min="1025" max="16384" width="9" style="198"/>
  </cols>
  <sheetData>
    <row r="1" spans="1:18" s="21" customFormat="1" ht="11.25" x14ac:dyDescent="0.25">
      <c r="B1" s="5"/>
      <c r="C1" s="3"/>
      <c r="D1" s="309" t="s">
        <v>35</v>
      </c>
      <c r="E1" s="201">
        <f>kpdv!B15</f>
        <v>4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  <c r="Q1" s="5"/>
      <c r="R1" s="38"/>
    </row>
    <row r="2" spans="1:18" x14ac:dyDescent="0.25">
      <c r="A2" s="5"/>
      <c r="B2" s="5"/>
      <c r="C2" s="2" t="s">
        <v>208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x14ac:dyDescent="0.25">
      <c r="A3" s="308" t="str">
        <f>KOP!A3</f>
        <v>Būves nosaukums:  Dzīvojamās māja</v>
      </c>
      <c r="B3" s="308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8" x14ac:dyDescent="0.25">
      <c r="A4" s="308" t="str">
        <f>KOP!A4</f>
        <v>Objekta nosaukums: Dzīvojamās ēkas fasādes vienkāršota atjaunošana</v>
      </c>
      <c r="B4" s="308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8" x14ac:dyDescent="0.25">
      <c r="A5" s="308" t="str">
        <f>KOP!A5</f>
        <v>Objekta adrese: Turaidas iela 8a, Liepājā</v>
      </c>
      <c r="B5" s="308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8" x14ac:dyDescent="0.25">
      <c r="A6" s="308" t="str">
        <f>KOP!A6</f>
        <v>Pasūtījuma Nr.EA-79-16</v>
      </c>
      <c r="B6" s="308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x14ac:dyDescent="0.25">
      <c r="B7" s="5"/>
      <c r="C7" s="222" t="s">
        <v>479</v>
      </c>
      <c r="D7" s="5" t="s">
        <v>37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x14ac:dyDescent="0.25">
      <c r="A8" s="338" t="s">
        <v>39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92">
        <f>Q103</f>
        <v>0</v>
      </c>
    </row>
    <row r="9" spans="1:18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97"/>
      <c r="Q9" s="309" t="s">
        <v>476</v>
      </c>
    </row>
    <row r="10" spans="1:18" ht="10.5" customHeight="1" x14ac:dyDescent="0.25">
      <c r="A10" s="320" t="s">
        <v>1</v>
      </c>
      <c r="B10" s="320" t="s">
        <v>40</v>
      </c>
      <c r="C10" s="321" t="s">
        <v>41</v>
      </c>
      <c r="D10" s="331" t="s">
        <v>42</v>
      </c>
      <c r="E10" s="320" t="s">
        <v>43</v>
      </c>
      <c r="F10" s="179"/>
      <c r="G10" s="332" t="s">
        <v>44</v>
      </c>
      <c r="H10" s="332"/>
      <c r="I10" s="332"/>
      <c r="J10" s="332"/>
      <c r="K10" s="332"/>
      <c r="L10" s="332"/>
      <c r="M10" s="332" t="s">
        <v>45</v>
      </c>
      <c r="N10" s="332"/>
      <c r="O10" s="332"/>
      <c r="P10" s="332"/>
      <c r="Q10" s="332"/>
    </row>
    <row r="11" spans="1:18" ht="72.75" x14ac:dyDescent="0.25">
      <c r="A11" s="320"/>
      <c r="B11" s="320"/>
      <c r="C11" s="321"/>
      <c r="D11" s="331"/>
      <c r="E11" s="320"/>
      <c r="F11" s="179"/>
      <c r="G11" s="179" t="s">
        <v>46</v>
      </c>
      <c r="H11" s="22" t="s">
        <v>480</v>
      </c>
      <c r="I11" s="22" t="s">
        <v>47</v>
      </c>
      <c r="J11" s="22" t="s">
        <v>481</v>
      </c>
      <c r="K11" s="22" t="s">
        <v>48</v>
      </c>
      <c r="L11" s="22" t="s">
        <v>482</v>
      </c>
      <c r="M11" s="179" t="s">
        <v>50</v>
      </c>
      <c r="N11" s="22" t="s">
        <v>47</v>
      </c>
      <c r="O11" s="22" t="s">
        <v>483</v>
      </c>
      <c r="P11" s="22" t="s">
        <v>48</v>
      </c>
      <c r="Q11" s="22" t="s">
        <v>49</v>
      </c>
    </row>
    <row r="12" spans="1:18" x14ac:dyDescent="0.25">
      <c r="A12" s="23">
        <v>1</v>
      </c>
      <c r="B12" s="23">
        <f>A12+1</f>
        <v>2</v>
      </c>
      <c r="C12" s="224">
        <v>3</v>
      </c>
      <c r="D12" s="23">
        <f>C12+1</f>
        <v>4</v>
      </c>
      <c r="E12" s="23">
        <f>D12+1</f>
        <v>5</v>
      </c>
      <c r="F12" s="131"/>
      <c r="G12" s="23">
        <f>E12+1</f>
        <v>6</v>
      </c>
      <c r="H12" s="23">
        <f t="shared" ref="H12:Q12" si="0">G12+1</f>
        <v>7</v>
      </c>
      <c r="I12" s="23">
        <f t="shared" si="0"/>
        <v>8</v>
      </c>
      <c r="J12" s="23">
        <f t="shared" si="0"/>
        <v>9</v>
      </c>
      <c r="K12" s="23">
        <f t="shared" si="0"/>
        <v>10</v>
      </c>
      <c r="L12" s="23">
        <f t="shared" si="0"/>
        <v>11</v>
      </c>
      <c r="M12" s="23">
        <f t="shared" si="0"/>
        <v>12</v>
      </c>
      <c r="N12" s="23">
        <f t="shared" si="0"/>
        <v>13</v>
      </c>
      <c r="O12" s="23">
        <f t="shared" si="0"/>
        <v>14</v>
      </c>
      <c r="P12" s="23">
        <f t="shared" si="0"/>
        <v>15</v>
      </c>
      <c r="Q12" s="23">
        <f t="shared" si="0"/>
        <v>16</v>
      </c>
    </row>
    <row r="13" spans="1:18" s="21" customFormat="1" ht="22.5" x14ac:dyDescent="0.25">
      <c r="A13" s="185" t="str">
        <f>IF(COUNTBLANK(B13)=1," ",COUNTA($B13:B$14))</f>
        <v xml:space="preserve"> </v>
      </c>
      <c r="B13" s="129"/>
      <c r="C13" s="93" t="s">
        <v>209</v>
      </c>
      <c r="D13" s="129" t="s">
        <v>56</v>
      </c>
      <c r="E13" s="272">
        <v>7</v>
      </c>
      <c r="F13" s="95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33"/>
      <c r="R13" s="38"/>
    </row>
    <row r="14" spans="1:18" ht="22.5" x14ac:dyDescent="0.25">
      <c r="A14" s="185">
        <f>IF(COUNTBLANK(B14)=1," ",COUNTA($B14:B$14))</f>
        <v>1</v>
      </c>
      <c r="B14" s="121" t="s">
        <v>51</v>
      </c>
      <c r="C14" s="87" t="s">
        <v>210</v>
      </c>
      <c r="D14" s="129" t="s">
        <v>60</v>
      </c>
      <c r="E14" s="94">
        <f>0.6*0.8*E13</f>
        <v>3.36</v>
      </c>
      <c r="F14" s="43"/>
      <c r="G14" s="43"/>
      <c r="H14" s="43"/>
      <c r="I14" s="43"/>
      <c r="J14" s="43"/>
      <c r="K14" s="43"/>
      <c r="L14" s="123"/>
      <c r="M14" s="86"/>
      <c r="N14" s="86"/>
      <c r="O14" s="86"/>
      <c r="P14" s="86"/>
      <c r="Q14" s="86"/>
    </row>
    <row r="15" spans="1:18" ht="22.5" x14ac:dyDescent="0.25">
      <c r="A15" s="185">
        <f>IF(COUNTBLANK(B15)=1," ",COUNTA($B$14:B15))</f>
        <v>2</v>
      </c>
      <c r="B15" s="121" t="s">
        <v>51</v>
      </c>
      <c r="C15" s="227" t="s">
        <v>511</v>
      </c>
      <c r="D15" s="129" t="s">
        <v>60</v>
      </c>
      <c r="E15" s="94">
        <f>E14</f>
        <v>3.36</v>
      </c>
      <c r="F15" s="94"/>
      <c r="G15" s="43"/>
      <c r="H15" s="43"/>
      <c r="I15" s="43"/>
      <c r="J15" s="43"/>
      <c r="K15" s="43"/>
      <c r="L15" s="123"/>
      <c r="M15" s="86"/>
      <c r="N15" s="86"/>
      <c r="O15" s="86"/>
      <c r="P15" s="86"/>
      <c r="Q15" s="86"/>
    </row>
    <row r="16" spans="1:18" ht="22.5" x14ac:dyDescent="0.25">
      <c r="A16" s="185">
        <f>IF(COUNTBLANK(B16)=1," ",COUNTA($B$14:B16))</f>
        <v>3</v>
      </c>
      <c r="B16" s="121" t="s">
        <v>51</v>
      </c>
      <c r="C16" s="87" t="s">
        <v>211</v>
      </c>
      <c r="D16" s="129" t="s">
        <v>89</v>
      </c>
      <c r="E16" s="94">
        <f>E15*0.05</f>
        <v>0.16800000000000001</v>
      </c>
      <c r="F16" s="94"/>
      <c r="G16" s="42"/>
      <c r="H16" s="43"/>
      <c r="I16" s="42"/>
      <c r="J16" s="124"/>
      <c r="K16" s="42"/>
      <c r="L16" s="123"/>
      <c r="M16" s="86"/>
      <c r="N16" s="86"/>
      <c r="O16" s="86"/>
      <c r="P16" s="86"/>
      <c r="Q16" s="86"/>
    </row>
    <row r="17" spans="1:18" ht="22.5" x14ac:dyDescent="0.25">
      <c r="A17" s="185" t="str">
        <f>IF(COUNTBLANK(B17)=1," ",COUNTA($B$14:B17))</f>
        <v xml:space="preserve"> </v>
      </c>
      <c r="B17" s="129"/>
      <c r="C17" s="87" t="s">
        <v>212</v>
      </c>
      <c r="D17" s="129" t="s">
        <v>53</v>
      </c>
      <c r="E17" s="129">
        <f>0.8*2*E13</f>
        <v>11.200000000000001</v>
      </c>
      <c r="F17" s="94"/>
      <c r="G17" s="96"/>
      <c r="H17" s="96"/>
      <c r="I17" s="96"/>
      <c r="J17" s="96"/>
      <c r="K17" s="96"/>
      <c r="L17" s="123"/>
      <c r="M17" s="86"/>
      <c r="N17" s="86"/>
      <c r="O17" s="86"/>
      <c r="P17" s="86"/>
      <c r="Q17" s="86"/>
    </row>
    <row r="18" spans="1:18" x14ac:dyDescent="0.25">
      <c r="A18" s="185"/>
      <c r="B18" s="129"/>
      <c r="C18" s="87" t="s">
        <v>213</v>
      </c>
      <c r="D18" s="129" t="s">
        <v>72</v>
      </c>
      <c r="E18" s="42">
        <f>E17*8.64*1.05</f>
        <v>101.60640000000002</v>
      </c>
      <c r="F18" s="94"/>
      <c r="G18" s="96"/>
      <c r="H18" s="96"/>
      <c r="I18" s="96"/>
      <c r="J18" s="96"/>
      <c r="K18" s="96"/>
      <c r="L18" s="123"/>
      <c r="M18" s="86"/>
      <c r="N18" s="86"/>
      <c r="O18" s="86"/>
      <c r="P18" s="86"/>
      <c r="Q18" s="86"/>
    </row>
    <row r="19" spans="1:18" ht="22.5" x14ac:dyDescent="0.25">
      <c r="A19" s="185" t="str">
        <f>IF(COUNTBLANK(B19)=1," ",COUNTA($B$14:B19))</f>
        <v xml:space="preserve"> </v>
      </c>
      <c r="B19" s="129"/>
      <c r="C19" s="87" t="s">
        <v>214</v>
      </c>
      <c r="D19" s="129" t="s">
        <v>53</v>
      </c>
      <c r="E19" s="129">
        <f>E17</f>
        <v>11.200000000000001</v>
      </c>
      <c r="F19" s="34"/>
      <c r="G19" s="42"/>
      <c r="H19" s="42"/>
      <c r="I19" s="42"/>
      <c r="J19" s="96"/>
      <c r="K19" s="42"/>
      <c r="L19" s="123"/>
      <c r="M19" s="86"/>
      <c r="N19" s="86"/>
      <c r="O19" s="86"/>
      <c r="P19" s="86"/>
      <c r="Q19" s="86"/>
    </row>
    <row r="20" spans="1:18" x14ac:dyDescent="0.25">
      <c r="A20" s="185"/>
      <c r="B20" s="129"/>
      <c r="C20" s="87" t="s">
        <v>215</v>
      </c>
      <c r="D20" s="129" t="s">
        <v>72</v>
      </c>
      <c r="E20" s="42">
        <f>3.77*1.05*E19</f>
        <v>44.335200000000007</v>
      </c>
      <c r="F20" s="34"/>
      <c r="G20" s="42"/>
      <c r="H20" s="42"/>
      <c r="I20" s="42"/>
      <c r="J20" s="96"/>
      <c r="K20" s="42"/>
      <c r="L20" s="123"/>
      <c r="M20" s="86"/>
      <c r="N20" s="86"/>
      <c r="O20" s="86"/>
      <c r="P20" s="86"/>
      <c r="Q20" s="86"/>
    </row>
    <row r="21" spans="1:18" ht="22.5" x14ac:dyDescent="0.25">
      <c r="A21" s="185" t="str">
        <f>IF(COUNTBLANK(B21)=1," ",COUNTA($B$14:B21))</f>
        <v xml:space="preserve"> </v>
      </c>
      <c r="B21" s="129"/>
      <c r="C21" s="87" t="s">
        <v>216</v>
      </c>
      <c r="D21" s="129" t="s">
        <v>72</v>
      </c>
      <c r="E21" s="42">
        <f>(16*0.6+12*0.8)*0.395*1.05</f>
        <v>7.9632000000000014</v>
      </c>
      <c r="F21" s="94"/>
      <c r="G21" s="96"/>
      <c r="H21" s="96"/>
      <c r="I21" s="96"/>
      <c r="J21" s="96"/>
      <c r="K21" s="96"/>
      <c r="L21" s="123"/>
      <c r="M21" s="86"/>
      <c r="N21" s="86"/>
      <c r="O21" s="86"/>
      <c r="P21" s="86"/>
      <c r="Q21" s="86"/>
    </row>
    <row r="22" spans="1:18" ht="22.5" x14ac:dyDescent="0.25">
      <c r="A22" s="185" t="str">
        <f>IF(COUNTBLANK(B22)=1," ",COUNTA($B$14:B22))</f>
        <v xml:space="preserve"> </v>
      </c>
      <c r="B22" s="129"/>
      <c r="C22" s="87" t="s">
        <v>217</v>
      </c>
      <c r="D22" s="129" t="s">
        <v>89</v>
      </c>
      <c r="E22" s="42">
        <f>E14*0.05*1.05</f>
        <v>0.17640000000000003</v>
      </c>
      <c r="F22" s="94"/>
      <c r="G22" s="96"/>
      <c r="H22" s="96"/>
      <c r="I22" s="96"/>
      <c r="J22" s="96"/>
      <c r="K22" s="96"/>
      <c r="L22" s="123"/>
      <c r="M22" s="86"/>
      <c r="N22" s="86"/>
      <c r="O22" s="86"/>
      <c r="P22" s="86"/>
      <c r="Q22" s="86"/>
    </row>
    <row r="23" spans="1:18" s="5" customFormat="1" ht="22.5" x14ac:dyDescent="0.25">
      <c r="A23" s="185" t="str">
        <f>IF(COUNTBLANK(B23)=1," ",COUNTA($B$14:B23))</f>
        <v xml:space="preserve"> </v>
      </c>
      <c r="B23" s="129"/>
      <c r="C23" s="87" t="s">
        <v>218</v>
      </c>
      <c r="D23" s="129" t="s">
        <v>60</v>
      </c>
      <c r="E23" s="42">
        <f>E15</f>
        <v>3.36</v>
      </c>
      <c r="F23" s="94"/>
      <c r="G23" s="96"/>
      <c r="H23" s="96"/>
      <c r="I23" s="96"/>
      <c r="J23" s="96"/>
      <c r="K23" s="96"/>
      <c r="L23" s="123"/>
      <c r="M23" s="86"/>
      <c r="N23" s="86"/>
      <c r="O23" s="86"/>
      <c r="P23" s="86"/>
      <c r="Q23" s="86"/>
      <c r="R23" s="9"/>
    </row>
    <row r="24" spans="1:18" s="183" customFormat="1" ht="11.25" x14ac:dyDescent="0.25">
      <c r="A24" s="185">
        <f>IF(COUNTBLANK(B24)=1," ",COUNTA($B$14:B24))</f>
        <v>4</v>
      </c>
      <c r="B24" s="121" t="s">
        <v>51</v>
      </c>
      <c r="C24" s="87" t="s">
        <v>219</v>
      </c>
      <c r="D24" s="129" t="s">
        <v>60</v>
      </c>
      <c r="E24" s="94">
        <v>15</v>
      </c>
      <c r="F24" s="43"/>
      <c r="G24" s="43"/>
      <c r="H24" s="43"/>
      <c r="I24" s="43"/>
      <c r="J24" s="43"/>
      <c r="K24" s="43"/>
      <c r="L24" s="123"/>
      <c r="M24" s="86"/>
      <c r="N24" s="86"/>
      <c r="O24" s="86"/>
      <c r="P24" s="86"/>
      <c r="Q24" s="86"/>
      <c r="R24" s="39"/>
    </row>
    <row r="25" spans="1:18" s="5" customFormat="1" ht="11.25" x14ac:dyDescent="0.25">
      <c r="A25" s="185" t="str">
        <f>IF(COUNTBLANK(B25)=1," ",COUNTA($B$14:B25))</f>
        <v xml:space="preserve"> </v>
      </c>
      <c r="B25" s="180"/>
      <c r="C25" s="57" t="s">
        <v>450</v>
      </c>
      <c r="D25" s="180" t="s">
        <v>72</v>
      </c>
      <c r="E25" s="42">
        <f>ROUNDUP(E24*F25,2)</f>
        <v>6</v>
      </c>
      <c r="F25" s="43">
        <v>0.4</v>
      </c>
      <c r="G25" s="43"/>
      <c r="H25" s="43"/>
      <c r="I25" s="43"/>
      <c r="J25" s="43"/>
      <c r="K25" s="43"/>
      <c r="L25" s="123"/>
      <c r="M25" s="86"/>
      <c r="N25" s="86"/>
      <c r="O25" s="86"/>
      <c r="P25" s="86"/>
      <c r="Q25" s="86"/>
      <c r="R25" s="9"/>
    </row>
    <row r="26" spans="1:18" x14ac:dyDescent="0.25">
      <c r="A26" s="185"/>
      <c r="B26" s="180"/>
      <c r="C26" s="93" t="s">
        <v>220</v>
      </c>
      <c r="D26" s="180"/>
      <c r="E26" s="43"/>
      <c r="F26" s="43"/>
      <c r="G26" s="43"/>
      <c r="H26" s="43"/>
      <c r="I26" s="43"/>
      <c r="J26" s="43"/>
      <c r="K26" s="43"/>
      <c r="L26" s="123"/>
      <c r="M26" s="86"/>
      <c r="N26" s="86"/>
      <c r="O26" s="86"/>
      <c r="P26" s="86"/>
      <c r="Q26" s="86"/>
    </row>
    <row r="27" spans="1:18" x14ac:dyDescent="0.25">
      <c r="A27" s="185">
        <f>IF(COUNTBLANK(B27)=1," ",COUNTA(B$14:B27))</f>
        <v>5</v>
      </c>
      <c r="B27" s="97" t="s">
        <v>51</v>
      </c>
      <c r="C27" s="87" t="s">
        <v>221</v>
      </c>
      <c r="D27" s="129" t="s">
        <v>60</v>
      </c>
      <c r="E27" s="95">
        <f>E28*0.08</f>
        <v>10.4</v>
      </c>
      <c r="F27" s="43"/>
      <c r="G27" s="35"/>
      <c r="H27" s="43"/>
      <c r="I27" s="35"/>
      <c r="J27" s="35"/>
      <c r="K27" s="35"/>
      <c r="L27" s="123"/>
      <c r="M27" s="86"/>
      <c r="N27" s="86"/>
      <c r="O27" s="86"/>
      <c r="P27" s="86"/>
      <c r="Q27" s="86"/>
    </row>
    <row r="28" spans="1:18" ht="22.5" x14ac:dyDescent="0.25">
      <c r="A28" s="185">
        <f>IF(COUNTBLANK(B28)=1," ",COUNTA(B$14:B28))</f>
        <v>6</v>
      </c>
      <c r="B28" s="97" t="s">
        <v>51</v>
      </c>
      <c r="C28" s="87" t="s">
        <v>451</v>
      </c>
      <c r="D28" s="129" t="s">
        <v>53</v>
      </c>
      <c r="E28" s="95">
        <v>130</v>
      </c>
      <c r="F28" s="43"/>
      <c r="G28" s="42"/>
      <c r="H28" s="43"/>
      <c r="I28" s="42"/>
      <c r="J28" s="42"/>
      <c r="K28" s="42"/>
      <c r="L28" s="123"/>
      <c r="M28" s="86"/>
      <c r="N28" s="86"/>
      <c r="O28" s="86"/>
      <c r="P28" s="86"/>
      <c r="Q28" s="86"/>
    </row>
    <row r="29" spans="1:18" ht="22.5" x14ac:dyDescent="0.25">
      <c r="A29" s="185">
        <f>IF(COUNTBLANK(B29)=1," ",COUNTA(B$14:B29))</f>
        <v>7</v>
      </c>
      <c r="B29" s="97" t="s">
        <v>51</v>
      </c>
      <c r="C29" s="87" t="s">
        <v>222</v>
      </c>
      <c r="D29" s="129" t="s">
        <v>60</v>
      </c>
      <c r="E29" s="95">
        <v>562</v>
      </c>
      <c r="F29" s="43"/>
      <c r="G29" s="43"/>
      <c r="H29" s="43"/>
      <c r="I29" s="43"/>
      <c r="J29" s="124"/>
      <c r="K29" s="124"/>
      <c r="L29" s="123"/>
      <c r="M29" s="86"/>
      <c r="N29" s="86"/>
      <c r="O29" s="86"/>
      <c r="P29" s="86"/>
      <c r="Q29" s="86"/>
    </row>
    <row r="30" spans="1:18" ht="22.5" x14ac:dyDescent="0.25">
      <c r="A30" s="185" t="str">
        <f>IF(COUNTBLANK(B30)=1," ",COUNTA(B$14:B30))</f>
        <v xml:space="preserve"> </v>
      </c>
      <c r="B30" s="98"/>
      <c r="C30" s="57" t="s">
        <v>452</v>
      </c>
      <c r="D30" s="129" t="s">
        <v>60</v>
      </c>
      <c r="E30" s="42">
        <f>ROUNDUP(E29*F30,2)</f>
        <v>618.20000000000005</v>
      </c>
      <c r="F30" s="43">
        <v>1.1000000000000001</v>
      </c>
      <c r="G30" s="43"/>
      <c r="H30" s="43"/>
      <c r="I30" s="43"/>
      <c r="J30" s="43"/>
      <c r="K30" s="43"/>
      <c r="L30" s="123"/>
      <c r="M30" s="86"/>
      <c r="N30" s="86"/>
      <c r="O30" s="86"/>
      <c r="P30" s="86"/>
      <c r="Q30" s="86"/>
    </row>
    <row r="31" spans="1:18" ht="22.5" x14ac:dyDescent="0.25">
      <c r="A31" s="185" t="str">
        <f>IF(COUNTBLANK(B31)=1," ",COUNTA(B$14:B31))</f>
        <v xml:space="preserve"> </v>
      </c>
      <c r="B31" s="98"/>
      <c r="C31" s="57" t="s">
        <v>453</v>
      </c>
      <c r="D31" s="129" t="s">
        <v>60</v>
      </c>
      <c r="E31" s="42">
        <f>ROUNDUP(E29*F31,2)</f>
        <v>618.20000000000005</v>
      </c>
      <c r="F31" s="43">
        <f>F30</f>
        <v>1.1000000000000001</v>
      </c>
      <c r="G31" s="43"/>
      <c r="H31" s="43"/>
      <c r="I31" s="43"/>
      <c r="J31" s="43"/>
      <c r="K31" s="43"/>
      <c r="L31" s="123"/>
      <c r="M31" s="86"/>
      <c r="N31" s="86"/>
      <c r="O31" s="86"/>
      <c r="P31" s="86"/>
      <c r="Q31" s="86"/>
    </row>
    <row r="32" spans="1:18" x14ac:dyDescent="0.25">
      <c r="A32" s="185" t="str">
        <f>IF(COUNTBLANK(B32)=1," ",COUNTA(B$14:B32))</f>
        <v xml:space="preserve"> </v>
      </c>
      <c r="B32" s="98"/>
      <c r="C32" s="57" t="s">
        <v>223</v>
      </c>
      <c r="D32" s="180" t="s">
        <v>224</v>
      </c>
      <c r="E32" s="42">
        <f>ROUNDUP(E29*F32,2)</f>
        <v>14.05</v>
      </c>
      <c r="F32" s="43">
        <v>2.5000000000000001E-2</v>
      </c>
      <c r="G32" s="43"/>
      <c r="H32" s="43"/>
      <c r="I32" s="43"/>
      <c r="J32" s="43"/>
      <c r="K32" s="43"/>
      <c r="L32" s="123"/>
      <c r="M32" s="86"/>
      <c r="N32" s="86"/>
      <c r="O32" s="86"/>
      <c r="P32" s="86"/>
      <c r="Q32" s="86"/>
    </row>
    <row r="33" spans="1:19" ht="22.5" x14ac:dyDescent="0.25">
      <c r="A33" s="180">
        <f>IF(COUNTBLANK(B33)=1," ",COUNTA($B$12:B33))</f>
        <v>9</v>
      </c>
      <c r="B33" s="121" t="s">
        <v>51</v>
      </c>
      <c r="C33" s="57" t="s">
        <v>225</v>
      </c>
      <c r="D33" s="48" t="s">
        <v>60</v>
      </c>
      <c r="E33" s="27">
        <v>1</v>
      </c>
      <c r="F33" s="180"/>
      <c r="G33" s="43"/>
      <c r="H33" s="43"/>
      <c r="I33" s="43"/>
      <c r="J33" s="43"/>
      <c r="K33" s="43"/>
      <c r="L33" s="123"/>
      <c r="M33" s="86"/>
      <c r="N33" s="86"/>
      <c r="O33" s="86"/>
      <c r="P33" s="86"/>
      <c r="Q33" s="86"/>
    </row>
    <row r="34" spans="1:19" x14ac:dyDescent="0.25">
      <c r="A34" s="180">
        <f>IF(COUNTBLANK(B34)=1," ",COUNTA($B$12:B34))</f>
        <v>10</v>
      </c>
      <c r="B34" s="99" t="str">
        <f>IF(COUNTBLANK(I34)=1," ",COUNTA($I$12:I34))</f>
        <v xml:space="preserve"> </v>
      </c>
      <c r="C34" s="57" t="s">
        <v>226</v>
      </c>
      <c r="D34" s="129" t="s">
        <v>60</v>
      </c>
      <c r="E34" s="43">
        <f>E33*F34</f>
        <v>1.2</v>
      </c>
      <c r="F34" s="180">
        <v>1.2</v>
      </c>
      <c r="G34" s="180"/>
      <c r="H34" s="180"/>
      <c r="I34" s="43"/>
      <c r="J34" s="43"/>
      <c r="K34" s="43"/>
      <c r="L34" s="123"/>
      <c r="M34" s="86"/>
      <c r="N34" s="86"/>
      <c r="O34" s="86"/>
      <c r="P34" s="86"/>
      <c r="Q34" s="86"/>
    </row>
    <row r="35" spans="1:19" x14ac:dyDescent="0.25">
      <c r="A35" s="180" t="str">
        <f>IF(COUNTBLANK(B35)=1," ",COUNTA($B$12:B35))</f>
        <v xml:space="preserve"> </v>
      </c>
      <c r="B35" s="100"/>
      <c r="C35" s="57" t="s">
        <v>223</v>
      </c>
      <c r="D35" s="180" t="s">
        <v>224</v>
      </c>
      <c r="E35" s="43">
        <f>E33*F35</f>
        <v>2.5000000000000001E-2</v>
      </c>
      <c r="F35" s="180">
        <v>2.5000000000000001E-2</v>
      </c>
      <c r="G35" s="180"/>
      <c r="H35" s="180"/>
      <c r="I35" s="43"/>
      <c r="J35" s="43"/>
      <c r="K35" s="43"/>
      <c r="L35" s="123"/>
      <c r="M35" s="86"/>
      <c r="N35" s="86"/>
      <c r="O35" s="86"/>
      <c r="P35" s="86"/>
      <c r="Q35" s="86"/>
    </row>
    <row r="36" spans="1:19" ht="22.5" x14ac:dyDescent="0.25">
      <c r="A36" s="180">
        <f>IF(COUNTBLANK(B36)=1," ",COUNTA($B$12:B36))</f>
        <v>11</v>
      </c>
      <c r="B36" s="121" t="s">
        <v>51</v>
      </c>
      <c r="C36" s="57" t="s">
        <v>227</v>
      </c>
      <c r="D36" s="48" t="s">
        <v>60</v>
      </c>
      <c r="E36" s="27">
        <v>1</v>
      </c>
      <c r="F36" s="180"/>
      <c r="G36" s="43"/>
      <c r="H36" s="43"/>
      <c r="I36" s="43"/>
      <c r="J36" s="43"/>
      <c r="K36" s="43"/>
      <c r="L36" s="123"/>
      <c r="M36" s="86"/>
      <c r="N36" s="86"/>
      <c r="O36" s="86"/>
      <c r="P36" s="86"/>
      <c r="Q36" s="86"/>
    </row>
    <row r="37" spans="1:19" ht="33.75" x14ac:dyDescent="0.25">
      <c r="A37" s="180">
        <f>IF(COUNTBLANK(B37)=1," ",COUNTA($B$12:B37))</f>
        <v>12</v>
      </c>
      <c r="B37" s="121" t="s">
        <v>51</v>
      </c>
      <c r="C37" s="57" t="s">
        <v>455</v>
      </c>
      <c r="D37" s="180" t="s">
        <v>228</v>
      </c>
      <c r="E37" s="42">
        <v>2</v>
      </c>
      <c r="F37" s="43"/>
      <c r="G37" s="35"/>
      <c r="H37" s="43"/>
      <c r="I37" s="35"/>
      <c r="J37" s="35"/>
      <c r="K37" s="35"/>
      <c r="L37" s="123"/>
      <c r="M37" s="86"/>
      <c r="N37" s="86"/>
      <c r="O37" s="86"/>
      <c r="P37" s="86"/>
      <c r="Q37" s="86"/>
    </row>
    <row r="38" spans="1:19" ht="22.5" x14ac:dyDescent="0.25">
      <c r="A38" s="180">
        <f>IF(COUNTBLANK(B38)=1," ",COUNTA($B$12:B38))</f>
        <v>13</v>
      </c>
      <c r="B38" s="121" t="s">
        <v>51</v>
      </c>
      <c r="C38" s="57" t="s">
        <v>229</v>
      </c>
      <c r="D38" s="180" t="s">
        <v>230</v>
      </c>
      <c r="E38" s="42">
        <v>2</v>
      </c>
      <c r="F38" s="43"/>
      <c r="G38" s="35"/>
      <c r="H38" s="43"/>
      <c r="I38" s="35"/>
      <c r="J38" s="35"/>
      <c r="K38" s="35"/>
      <c r="L38" s="123"/>
      <c r="M38" s="86"/>
      <c r="N38" s="86"/>
      <c r="O38" s="86"/>
      <c r="P38" s="86"/>
      <c r="Q38" s="86"/>
    </row>
    <row r="39" spans="1:19" ht="22.5" x14ac:dyDescent="0.25">
      <c r="A39" s="101" t="str">
        <f>IF(COUNTBLANK(B39)=1," ",COUNTA($B$14:B39))</f>
        <v xml:space="preserve"> </v>
      </c>
      <c r="B39" s="102"/>
      <c r="C39" s="103" t="s">
        <v>231</v>
      </c>
      <c r="D39" s="102"/>
      <c r="E39" s="104"/>
      <c r="F39" s="104"/>
      <c r="G39" s="105"/>
      <c r="H39" s="105"/>
      <c r="I39" s="105"/>
      <c r="J39" s="105"/>
      <c r="K39" s="105"/>
      <c r="L39" s="123"/>
      <c r="M39" s="86"/>
      <c r="N39" s="86"/>
      <c r="O39" s="86"/>
      <c r="P39" s="86"/>
      <c r="Q39" s="86"/>
    </row>
    <row r="40" spans="1:19" s="5" customFormat="1" ht="22.5" x14ac:dyDescent="0.25">
      <c r="A40" s="185">
        <f>IF(COUNTBLANK(B40)=1," ",COUNTA($B$14:B40))</f>
        <v>13</v>
      </c>
      <c r="B40" s="121" t="s">
        <v>51</v>
      </c>
      <c r="C40" s="87" t="s">
        <v>232</v>
      </c>
      <c r="D40" s="129" t="s">
        <v>60</v>
      </c>
      <c r="E40" s="94">
        <f>apjoms!V17*0.5</f>
        <v>60</v>
      </c>
      <c r="F40" s="94"/>
      <c r="G40" s="35"/>
      <c r="H40" s="43"/>
      <c r="I40" s="35"/>
      <c r="J40" s="35"/>
      <c r="K40" s="35"/>
      <c r="L40" s="123"/>
      <c r="M40" s="86"/>
      <c r="N40" s="86"/>
      <c r="O40" s="86"/>
      <c r="P40" s="86"/>
      <c r="Q40" s="86"/>
      <c r="R40" s="9"/>
    </row>
    <row r="41" spans="1:19" s="9" customFormat="1" ht="22.5" x14ac:dyDescent="0.25">
      <c r="A41" s="185">
        <f>IF(COUNTBLANK(B41)=1," ",COUNTA($B$14:B41))</f>
        <v>14</v>
      </c>
      <c r="B41" s="121" t="s">
        <v>51</v>
      </c>
      <c r="C41" s="87" t="s">
        <v>233</v>
      </c>
      <c r="D41" s="129" t="s">
        <v>60</v>
      </c>
      <c r="E41" s="94">
        <f>E40</f>
        <v>60</v>
      </c>
      <c r="F41" s="94"/>
      <c r="G41" s="35"/>
      <c r="H41" s="43"/>
      <c r="I41" s="35"/>
      <c r="J41" s="35"/>
      <c r="K41" s="35"/>
      <c r="L41" s="123"/>
      <c r="M41" s="86"/>
      <c r="N41" s="86"/>
      <c r="O41" s="86"/>
      <c r="P41" s="86"/>
      <c r="Q41" s="86"/>
      <c r="S41" s="5"/>
    </row>
    <row r="42" spans="1:19" s="5" customFormat="1" ht="11.25" x14ac:dyDescent="0.25">
      <c r="A42" s="185">
        <f>IF(COUNTBLANK(B42)=1," ",COUNTA($B$14:B42))</f>
        <v>15</v>
      </c>
      <c r="B42" s="121" t="s">
        <v>51</v>
      </c>
      <c r="C42" s="87" t="s">
        <v>234</v>
      </c>
      <c r="D42" s="129" t="s">
        <v>60</v>
      </c>
      <c r="E42" s="94">
        <f>E41</f>
        <v>60</v>
      </c>
      <c r="F42" s="94"/>
      <c r="G42" s="42"/>
      <c r="H42" s="43"/>
      <c r="I42" s="42"/>
      <c r="J42" s="43"/>
      <c r="K42" s="42"/>
      <c r="L42" s="123"/>
      <c r="M42" s="86"/>
      <c r="N42" s="86"/>
      <c r="O42" s="86"/>
      <c r="P42" s="86"/>
      <c r="Q42" s="86"/>
      <c r="R42" s="9"/>
    </row>
    <row r="43" spans="1:19" x14ac:dyDescent="0.25">
      <c r="A43" s="185" t="str">
        <f>IF(COUNTBLANK(B43)=1," ",COUNTA($B$14:B43))</f>
        <v xml:space="preserve"> </v>
      </c>
      <c r="B43" s="180"/>
      <c r="C43" s="106" t="s">
        <v>235</v>
      </c>
      <c r="D43" s="185" t="s">
        <v>89</v>
      </c>
      <c r="E43" s="42">
        <f>ROUNDUP(E42*F43,2)</f>
        <v>1.8</v>
      </c>
      <c r="F43" s="43">
        <v>0.03</v>
      </c>
      <c r="G43" s="42"/>
      <c r="H43" s="42"/>
      <c r="I43" s="42"/>
      <c r="J43" s="42"/>
      <c r="K43" s="42"/>
      <c r="L43" s="123"/>
      <c r="M43" s="86"/>
      <c r="N43" s="86"/>
      <c r="O43" s="86"/>
      <c r="P43" s="86"/>
      <c r="Q43" s="86"/>
    </row>
    <row r="44" spans="1:19" x14ac:dyDescent="0.25">
      <c r="A44" s="185">
        <v>5</v>
      </c>
      <c r="B44" s="121" t="s">
        <v>51</v>
      </c>
      <c r="C44" s="57" t="s">
        <v>454</v>
      </c>
      <c r="D44" s="185" t="s">
        <v>89</v>
      </c>
      <c r="E44" s="107">
        <f>apjoms!V17*0.3*0.25</f>
        <v>9</v>
      </c>
      <c r="F44" s="108"/>
      <c r="G44" s="42"/>
      <c r="H44" s="43"/>
      <c r="I44" s="42"/>
      <c r="J44" s="42"/>
      <c r="K44" s="43"/>
      <c r="L44" s="123"/>
      <c r="M44" s="86"/>
      <c r="N44" s="86"/>
      <c r="O44" s="86"/>
      <c r="P44" s="86"/>
      <c r="Q44" s="86"/>
      <c r="R44" s="9"/>
      <c r="S44" s="5"/>
    </row>
    <row r="45" spans="1:19" x14ac:dyDescent="0.25">
      <c r="A45" s="185"/>
      <c r="B45" s="121"/>
      <c r="C45" s="57" t="s">
        <v>236</v>
      </c>
      <c r="D45" s="182" t="s">
        <v>53</v>
      </c>
      <c r="E45" s="107">
        <f>apjoms!V17*4</f>
        <v>480</v>
      </c>
      <c r="F45" s="39"/>
      <c r="G45" s="42"/>
      <c r="H45" s="43"/>
      <c r="I45" s="42"/>
      <c r="J45" s="42"/>
      <c r="K45" s="43"/>
      <c r="L45" s="123"/>
      <c r="M45" s="86"/>
      <c r="N45" s="86"/>
      <c r="O45" s="86"/>
      <c r="P45" s="86"/>
      <c r="Q45" s="86"/>
    </row>
    <row r="46" spans="1:19" x14ac:dyDescent="0.25">
      <c r="A46" s="185"/>
      <c r="B46" s="121"/>
      <c r="C46" s="57" t="s">
        <v>456</v>
      </c>
      <c r="D46" s="182" t="s">
        <v>72</v>
      </c>
      <c r="E46" s="107">
        <f>apjoms!V17*0.25*2*0.012*2000</f>
        <v>1440</v>
      </c>
      <c r="F46" s="39"/>
      <c r="G46" s="42"/>
      <c r="H46" s="43"/>
      <c r="I46" s="42"/>
      <c r="J46" s="42"/>
      <c r="K46" s="43"/>
      <c r="L46" s="123"/>
      <c r="M46" s="86"/>
      <c r="N46" s="86"/>
      <c r="O46" s="86"/>
      <c r="P46" s="86"/>
      <c r="Q46" s="86"/>
    </row>
    <row r="47" spans="1:19" ht="22.5" x14ac:dyDescent="0.25">
      <c r="A47" s="185">
        <f>IF(COUNTBLANK(B47)=1," ",COUNTA($B$14:B47))</f>
        <v>17</v>
      </c>
      <c r="B47" s="121" t="s">
        <v>51</v>
      </c>
      <c r="C47" s="87" t="s">
        <v>237</v>
      </c>
      <c r="D47" s="129" t="s">
        <v>72</v>
      </c>
      <c r="E47" s="94">
        <f>apjoms!V17/0.6*0.75*1.256</f>
        <v>188.4</v>
      </c>
      <c r="F47" s="95"/>
      <c r="G47" s="47"/>
      <c r="H47" s="43"/>
      <c r="I47" s="47"/>
      <c r="J47" s="47"/>
      <c r="K47" s="47"/>
      <c r="L47" s="123"/>
      <c r="M47" s="86"/>
      <c r="N47" s="86"/>
      <c r="O47" s="86"/>
      <c r="P47" s="86"/>
      <c r="Q47" s="86"/>
    </row>
    <row r="48" spans="1:19" ht="22.5" x14ac:dyDescent="0.25">
      <c r="A48" s="185">
        <f>IF(COUNTBLANK(B48)=1," ",COUNTA($B$14:B48))</f>
        <v>18</v>
      </c>
      <c r="B48" s="121" t="s">
        <v>51</v>
      </c>
      <c r="C48" s="87" t="s">
        <v>238</v>
      </c>
      <c r="D48" s="129" t="s">
        <v>60</v>
      </c>
      <c r="E48" s="163">
        <f>E40*1.1</f>
        <v>66</v>
      </c>
      <c r="F48" s="43"/>
      <c r="G48" s="47"/>
      <c r="H48" s="43"/>
      <c r="I48" s="47"/>
      <c r="J48" s="47"/>
      <c r="K48" s="47"/>
      <c r="L48" s="123"/>
      <c r="M48" s="86"/>
      <c r="N48" s="86"/>
      <c r="O48" s="86"/>
      <c r="P48" s="86"/>
      <c r="Q48" s="86"/>
    </row>
    <row r="49" spans="1:18" x14ac:dyDescent="0.25">
      <c r="A49" s="185" t="str">
        <f>IF(COUNTBLANK(B49)=1," ",COUNTA($B$14:B49))</f>
        <v xml:space="preserve"> </v>
      </c>
      <c r="B49" s="180"/>
      <c r="C49" s="57" t="s">
        <v>103</v>
      </c>
      <c r="D49" s="129" t="s">
        <v>56</v>
      </c>
      <c r="E49" s="42">
        <f>ROUNDUP(E48*F49,2)</f>
        <v>396</v>
      </c>
      <c r="F49" s="43">
        <v>6</v>
      </c>
      <c r="G49" s="47"/>
      <c r="H49" s="47"/>
      <c r="I49" s="47"/>
      <c r="J49" s="47"/>
      <c r="K49" s="47"/>
      <c r="L49" s="123"/>
      <c r="M49" s="86"/>
      <c r="N49" s="86"/>
      <c r="O49" s="86"/>
      <c r="P49" s="86"/>
      <c r="Q49" s="86"/>
      <c r="R49" s="9"/>
    </row>
    <row r="50" spans="1:18" x14ac:dyDescent="0.25">
      <c r="A50" s="185" t="str">
        <f>IF(COUNTBLANK(B50)=1," ",COUNTA($B$14:B50))</f>
        <v xml:space="preserve"> </v>
      </c>
      <c r="B50" s="180"/>
      <c r="C50" s="106" t="s">
        <v>239</v>
      </c>
      <c r="D50" s="185" t="s">
        <v>60</v>
      </c>
      <c r="E50" s="42">
        <f>ROUNDUP(E48*F50,2)</f>
        <v>72.599999999999994</v>
      </c>
      <c r="F50" s="43">
        <v>1.1000000000000001</v>
      </c>
      <c r="G50" s="47"/>
      <c r="H50" s="47"/>
      <c r="I50" s="47"/>
      <c r="J50" s="47"/>
      <c r="K50" s="47"/>
      <c r="L50" s="123"/>
      <c r="M50" s="86"/>
      <c r="N50" s="86"/>
      <c r="O50" s="86"/>
      <c r="P50" s="86"/>
      <c r="Q50" s="86"/>
    </row>
    <row r="51" spans="1:18" x14ac:dyDescent="0.25">
      <c r="A51" s="185">
        <f>IF(COUNTBLANK(B51)=1," ",COUNTA($B$14:B51))</f>
        <v>19</v>
      </c>
      <c r="B51" s="121" t="s">
        <v>51</v>
      </c>
      <c r="C51" s="227" t="s">
        <v>517</v>
      </c>
      <c r="D51" s="135" t="s">
        <v>53</v>
      </c>
      <c r="E51" s="272">
        <v>120</v>
      </c>
      <c r="F51" s="43"/>
      <c r="G51" s="47"/>
      <c r="H51" s="43"/>
      <c r="I51" s="47"/>
      <c r="J51" s="47"/>
      <c r="K51" s="47"/>
      <c r="L51" s="123"/>
      <c r="M51" s="86"/>
      <c r="N51" s="86"/>
      <c r="O51" s="86"/>
      <c r="P51" s="86"/>
      <c r="Q51" s="86"/>
    </row>
    <row r="52" spans="1:18" x14ac:dyDescent="0.25">
      <c r="A52" s="185" t="str">
        <f>IF(COUNTBLANK(B52)=1," ",COUNTA($B$14:B52))</f>
        <v xml:space="preserve"> </v>
      </c>
      <c r="B52" s="121"/>
      <c r="C52" s="87" t="s">
        <v>240</v>
      </c>
      <c r="D52" s="129" t="s">
        <v>53</v>
      </c>
      <c r="E52" s="48">
        <f>E51*2</f>
        <v>240</v>
      </c>
      <c r="F52" s="43">
        <v>6</v>
      </c>
      <c r="G52" s="43"/>
      <c r="H52" s="43"/>
      <c r="I52" s="43"/>
      <c r="J52" s="124"/>
      <c r="K52" s="124"/>
      <c r="L52" s="123"/>
      <c r="M52" s="86"/>
      <c r="N52" s="86"/>
      <c r="O52" s="86"/>
      <c r="P52" s="86"/>
      <c r="Q52" s="86"/>
    </row>
    <row r="53" spans="1:18" x14ac:dyDescent="0.25">
      <c r="A53" s="185" t="str">
        <f>IF(COUNTBLANK(B53)=1," ",COUNTA($B$14:B53))</f>
        <v xml:space="preserve"> </v>
      </c>
      <c r="B53" s="121"/>
      <c r="C53" s="227" t="s">
        <v>518</v>
      </c>
      <c r="D53" s="129" t="s">
        <v>72</v>
      </c>
      <c r="E53" s="287">
        <f>E51/1.2*0.725*1.884</f>
        <v>136.59</v>
      </c>
      <c r="F53" s="43">
        <v>6</v>
      </c>
      <c r="G53" s="43"/>
      <c r="H53" s="43"/>
      <c r="I53" s="43"/>
      <c r="J53" s="43"/>
      <c r="K53" s="124"/>
      <c r="L53" s="123"/>
      <c r="M53" s="86"/>
      <c r="N53" s="86"/>
      <c r="O53" s="86"/>
      <c r="P53" s="86"/>
      <c r="Q53" s="86"/>
    </row>
    <row r="54" spans="1:18" x14ac:dyDescent="0.25">
      <c r="A54" s="185" t="str">
        <f>IF(COUNTBLANK(B54)=1," ",COUNTA($B$14:B54))</f>
        <v xml:space="preserve"> </v>
      </c>
      <c r="B54" s="121"/>
      <c r="C54" s="227" t="s">
        <v>519</v>
      </c>
      <c r="D54" s="129" t="s">
        <v>72</v>
      </c>
      <c r="E54" s="287">
        <f>E51/1.2*0.07*1.884</f>
        <v>13.188000000000001</v>
      </c>
      <c r="F54" s="43">
        <v>6</v>
      </c>
      <c r="G54" s="43"/>
      <c r="H54" s="43"/>
      <c r="I54" s="43"/>
      <c r="J54" s="43"/>
      <c r="K54" s="124"/>
      <c r="L54" s="123"/>
      <c r="M54" s="86"/>
      <c r="N54" s="86"/>
      <c r="O54" s="86"/>
      <c r="P54" s="86"/>
      <c r="Q54" s="86"/>
    </row>
    <row r="55" spans="1:18" x14ac:dyDescent="0.25">
      <c r="A55" s="185" t="str">
        <f>IF(COUNTBLANK(B55)=1," ",COUNTA($B$14:B55))</f>
        <v xml:space="preserve"> </v>
      </c>
      <c r="B55" s="121"/>
      <c r="C55" s="57" t="s">
        <v>520</v>
      </c>
      <c r="D55" s="129" t="s">
        <v>56</v>
      </c>
      <c r="E55" s="287">
        <f>E52/1.2*4</f>
        <v>800</v>
      </c>
      <c r="F55" s="43">
        <v>6</v>
      </c>
      <c r="G55" s="43"/>
      <c r="H55" s="43"/>
      <c r="I55" s="43"/>
      <c r="J55" s="43"/>
      <c r="K55" s="124"/>
      <c r="L55" s="123"/>
      <c r="M55" s="86"/>
      <c r="N55" s="86"/>
      <c r="O55" s="86"/>
      <c r="P55" s="86"/>
      <c r="Q55" s="86"/>
    </row>
    <row r="56" spans="1:18" x14ac:dyDescent="0.25">
      <c r="A56" s="185" t="str">
        <f>IF(COUNTBLANK(B56)=1," ",COUNTA($B$14:B56))</f>
        <v xml:space="preserve"> </v>
      </c>
      <c r="B56" s="180"/>
      <c r="C56" s="57" t="s">
        <v>241</v>
      </c>
      <c r="D56" s="185" t="s">
        <v>72</v>
      </c>
      <c r="E56" s="287">
        <f>E55*0.05</f>
        <v>40</v>
      </c>
      <c r="F56" s="43">
        <v>1.1000000000000001</v>
      </c>
      <c r="G56" s="43"/>
      <c r="H56" s="43"/>
      <c r="I56" s="43"/>
      <c r="J56" s="43"/>
      <c r="K56" s="43"/>
      <c r="L56" s="123"/>
      <c r="M56" s="86"/>
      <c r="N56" s="86"/>
      <c r="O56" s="86"/>
      <c r="P56" s="86"/>
      <c r="Q56" s="86"/>
    </row>
    <row r="57" spans="1:18" x14ac:dyDescent="0.25">
      <c r="A57" s="185" t="str">
        <f>IF(COUNTBLANK(B57)=1," ",COUNTA($B$14:B57))</f>
        <v xml:space="preserve"> </v>
      </c>
      <c r="B57" s="180"/>
      <c r="C57" s="288" t="s">
        <v>521</v>
      </c>
      <c r="D57" s="185" t="s">
        <v>72</v>
      </c>
      <c r="E57" s="287">
        <f>E55*0.1</f>
        <v>80</v>
      </c>
      <c r="F57" s="43">
        <v>1.1000000000000001</v>
      </c>
      <c r="G57" s="43"/>
      <c r="H57" s="43"/>
      <c r="I57" s="43"/>
      <c r="J57" s="43"/>
      <c r="K57" s="43"/>
      <c r="L57" s="123"/>
      <c r="M57" s="86"/>
      <c r="N57" s="86"/>
      <c r="O57" s="86"/>
      <c r="P57" s="86"/>
      <c r="Q57" s="86"/>
    </row>
    <row r="58" spans="1:18" ht="33.75" x14ac:dyDescent="0.25">
      <c r="A58" s="185" t="str">
        <f>IF(COUNTBLANK(B58)=1," ",COUNTA($B$14:B58))</f>
        <v xml:space="preserve"> </v>
      </c>
      <c r="B58" s="180"/>
      <c r="C58" s="93" t="s">
        <v>242</v>
      </c>
      <c r="F58" s="28"/>
      <c r="G58" s="43"/>
      <c r="H58" s="24"/>
      <c r="I58" s="43"/>
      <c r="J58" s="43"/>
      <c r="K58" s="43"/>
      <c r="L58" s="123"/>
      <c r="M58" s="86"/>
      <c r="N58" s="86"/>
      <c r="O58" s="86"/>
      <c r="P58" s="86"/>
      <c r="Q58" s="86"/>
    </row>
    <row r="59" spans="1:18" ht="112.5" x14ac:dyDescent="0.25">
      <c r="A59" s="185">
        <f>IF(COUNTBLANK(B59)=1," ",COUNTA($B$14:B59))</f>
        <v>20</v>
      </c>
      <c r="B59" s="121" t="s">
        <v>51</v>
      </c>
      <c r="C59" s="93" t="s">
        <v>457</v>
      </c>
      <c r="D59" s="185" t="s">
        <v>196</v>
      </c>
      <c r="E59" s="42">
        <v>7</v>
      </c>
      <c r="F59" s="28"/>
      <c r="G59" s="43"/>
      <c r="H59" s="43"/>
      <c r="I59" s="43"/>
      <c r="J59" s="43"/>
      <c r="K59" s="124"/>
      <c r="L59" s="123"/>
      <c r="M59" s="86"/>
      <c r="N59" s="86"/>
      <c r="O59" s="86"/>
      <c r="P59" s="86"/>
      <c r="Q59" s="86"/>
    </row>
    <row r="60" spans="1:18" x14ac:dyDescent="0.25">
      <c r="A60" s="185" t="str">
        <f>IF(COUNTBLANK(B60)=1," ",COUNTA($B$14:B60))</f>
        <v xml:space="preserve"> </v>
      </c>
      <c r="B60" s="129"/>
      <c r="C60" s="93" t="s">
        <v>243</v>
      </c>
      <c r="D60" s="129" t="s">
        <v>60</v>
      </c>
      <c r="E60" s="109">
        <v>525.79999999999995</v>
      </c>
      <c r="F60" s="129"/>
      <c r="G60" s="35"/>
      <c r="H60" s="37"/>
      <c r="I60" s="35"/>
      <c r="J60" s="35"/>
      <c r="K60" s="35"/>
      <c r="L60" s="123"/>
      <c r="M60" s="86"/>
      <c r="N60" s="86"/>
      <c r="O60" s="86"/>
      <c r="P60" s="86"/>
      <c r="Q60" s="86"/>
    </row>
    <row r="61" spans="1:18" ht="33.75" x14ac:dyDescent="0.25">
      <c r="A61" s="185">
        <f>IF(COUNTBLANK(B61)=1," ",COUNTA($B$14:B61))</f>
        <v>21</v>
      </c>
      <c r="B61" s="121" t="s">
        <v>51</v>
      </c>
      <c r="C61" s="87" t="s">
        <v>244</v>
      </c>
      <c r="D61" s="129" t="s">
        <v>89</v>
      </c>
      <c r="E61" s="94">
        <f>E60*0.35</f>
        <v>184.02999999999997</v>
      </c>
      <c r="F61" s="34"/>
      <c r="G61" s="35"/>
      <c r="H61" s="43"/>
      <c r="I61" s="35"/>
      <c r="J61" s="35"/>
      <c r="K61" s="35"/>
      <c r="L61" s="123"/>
      <c r="M61" s="86"/>
      <c r="N61" s="86"/>
      <c r="O61" s="86"/>
      <c r="P61" s="86"/>
      <c r="Q61" s="86"/>
    </row>
    <row r="62" spans="1:18" x14ac:dyDescent="0.25">
      <c r="A62" s="185">
        <f>IF(COUNTBLANK(B62)=1," ",COUNTA($B$14:B62))</f>
        <v>22</v>
      </c>
      <c r="B62" s="121" t="s">
        <v>51</v>
      </c>
      <c r="C62" s="57" t="s">
        <v>88</v>
      </c>
      <c r="D62" s="180" t="s">
        <v>89</v>
      </c>
      <c r="E62" s="43">
        <f>E61</f>
        <v>184.02999999999997</v>
      </c>
      <c r="F62" s="43"/>
      <c r="G62" s="43"/>
      <c r="H62" s="43"/>
      <c r="I62" s="35"/>
      <c r="J62" s="180"/>
      <c r="K62" s="43"/>
      <c r="L62" s="123"/>
      <c r="M62" s="86"/>
      <c r="N62" s="86"/>
      <c r="O62" s="86"/>
      <c r="P62" s="86"/>
      <c r="Q62" s="86"/>
    </row>
    <row r="63" spans="1:18" x14ac:dyDescent="0.25">
      <c r="A63" s="185" t="str">
        <f>IF(COUNTBLANK(B63)=1," ",COUNTA($B$14:B63))</f>
        <v xml:space="preserve"> </v>
      </c>
      <c r="B63" s="121"/>
      <c r="C63" s="57" t="s">
        <v>90</v>
      </c>
      <c r="D63" s="180" t="s">
        <v>56</v>
      </c>
      <c r="E63" s="42">
        <f>ROUNDUP(E62*F63,0)</f>
        <v>27</v>
      </c>
      <c r="F63" s="43">
        <v>0.14285714285714299</v>
      </c>
      <c r="G63" s="43"/>
      <c r="H63" s="43"/>
      <c r="I63" s="49"/>
      <c r="J63" s="180"/>
      <c r="K63" s="43"/>
      <c r="L63" s="123"/>
      <c r="M63" s="86"/>
      <c r="N63" s="86"/>
      <c r="O63" s="86"/>
      <c r="P63" s="86"/>
      <c r="Q63" s="86"/>
    </row>
    <row r="64" spans="1:18" ht="22.5" x14ac:dyDescent="0.25">
      <c r="A64" s="185">
        <f>IF(COUNTBLANK(B64)=1," ",COUNTA($B$14:B64))</f>
        <v>23</v>
      </c>
      <c r="B64" s="121" t="s">
        <v>51</v>
      </c>
      <c r="C64" s="161" t="s">
        <v>245</v>
      </c>
      <c r="D64" s="142" t="s">
        <v>60</v>
      </c>
      <c r="E64" s="163">
        <v>552.09</v>
      </c>
      <c r="F64" s="129"/>
      <c r="G64" s="47"/>
      <c r="H64" s="43"/>
      <c r="I64" s="47"/>
      <c r="J64" s="47"/>
      <c r="K64" s="47"/>
      <c r="L64" s="123"/>
      <c r="M64" s="86"/>
      <c r="N64" s="86"/>
      <c r="O64" s="86"/>
      <c r="P64" s="86"/>
      <c r="Q64" s="86"/>
    </row>
    <row r="65" spans="1:19" ht="33.75" x14ac:dyDescent="0.25">
      <c r="A65" s="185">
        <f>IF(COUNTBLANK(B65)=1," ",COUNTA($B$14:B65))</f>
        <v>24</v>
      </c>
      <c r="B65" s="121" t="s">
        <v>51</v>
      </c>
      <c r="C65" s="87" t="str">
        <f>apjoms!B23</f>
        <v>Pārsegumu siltumizolācijas ieklāšana (beramā akmensvate, Granrock vai ekvivalents λ=0,041W/mK b=300mm (ieskaitot sablīvēšanas koef.1.1))</v>
      </c>
      <c r="D65" s="142" t="s">
        <v>89</v>
      </c>
      <c r="E65" s="163">
        <f>E60*0.35</f>
        <v>184.02999999999997</v>
      </c>
      <c r="F65" s="129"/>
      <c r="G65" s="42"/>
      <c r="H65" s="43"/>
      <c r="I65" s="42"/>
      <c r="J65" s="43"/>
      <c r="K65" s="42"/>
      <c r="L65" s="123"/>
      <c r="M65" s="86"/>
      <c r="N65" s="86"/>
      <c r="O65" s="86"/>
      <c r="P65" s="86"/>
      <c r="Q65" s="86"/>
      <c r="S65" s="206"/>
    </row>
    <row r="66" spans="1:19" x14ac:dyDescent="0.25">
      <c r="A66" s="185" t="str">
        <f>IF(COUNTBLANK(B66)=1," ",COUNTA($B$14:B66))</f>
        <v xml:space="preserve"> </v>
      </c>
      <c r="B66" s="121"/>
      <c r="C66" s="161" t="s">
        <v>246</v>
      </c>
      <c r="D66" s="142" t="s">
        <v>89</v>
      </c>
      <c r="E66" s="160">
        <f>ROUNDUP(E65*F66,2)</f>
        <v>202.44</v>
      </c>
      <c r="F66" s="129">
        <v>1.1000000000000001</v>
      </c>
      <c r="G66" s="42"/>
      <c r="H66" s="43"/>
      <c r="I66" s="42"/>
      <c r="J66" s="42"/>
      <c r="K66" s="42"/>
      <c r="L66" s="123"/>
      <c r="M66" s="86"/>
      <c r="N66" s="86"/>
      <c r="O66" s="86"/>
      <c r="P66" s="86"/>
      <c r="Q66" s="86"/>
    </row>
    <row r="67" spans="1:19" ht="22.5" x14ac:dyDescent="0.25">
      <c r="A67" s="185">
        <f>IF(COUNTBLANK(B67)=1," ",COUNTA($B$14:B67))</f>
        <v>25</v>
      </c>
      <c r="B67" s="121" t="s">
        <v>51</v>
      </c>
      <c r="C67" s="161" t="s">
        <v>247</v>
      </c>
      <c r="D67" s="142" t="s">
        <v>56</v>
      </c>
      <c r="E67" s="163">
        <v>30</v>
      </c>
      <c r="F67" s="34"/>
      <c r="G67" s="42"/>
      <c r="H67" s="43"/>
      <c r="I67" s="42"/>
      <c r="J67" s="43"/>
      <c r="K67" s="42"/>
      <c r="L67" s="123"/>
      <c r="M67" s="86"/>
      <c r="N67" s="86"/>
      <c r="O67" s="86"/>
      <c r="P67" s="86"/>
      <c r="Q67" s="86"/>
    </row>
    <row r="68" spans="1:19" ht="22.5" x14ac:dyDescent="0.25">
      <c r="A68" s="110">
        <f>IF(COUNTBLANK(B68)=1," ",COUNTA($B$14:B68))</f>
        <v>26</v>
      </c>
      <c r="B68" s="111" t="s">
        <v>51</v>
      </c>
      <c r="C68" s="112" t="s">
        <v>248</v>
      </c>
      <c r="D68" s="113" t="s">
        <v>56</v>
      </c>
      <c r="E68" s="114">
        <f>E67</f>
        <v>30</v>
      </c>
      <c r="F68" s="115"/>
      <c r="G68" s="116"/>
      <c r="H68" s="116"/>
      <c r="I68" s="116"/>
      <c r="J68" s="116"/>
      <c r="K68" s="116"/>
      <c r="L68" s="123"/>
      <c r="M68" s="86"/>
      <c r="N68" s="86"/>
      <c r="O68" s="86"/>
      <c r="P68" s="86"/>
      <c r="Q68" s="86"/>
    </row>
    <row r="69" spans="1:19" x14ac:dyDescent="0.25">
      <c r="A69" s="110"/>
      <c r="B69" s="111"/>
      <c r="C69" s="117" t="s">
        <v>249</v>
      </c>
      <c r="D69" s="113"/>
      <c r="E69" s="114"/>
      <c r="F69" s="115"/>
      <c r="G69" s="116"/>
      <c r="H69" s="116"/>
      <c r="I69" s="116"/>
      <c r="J69" s="116"/>
      <c r="K69" s="116"/>
      <c r="L69" s="123"/>
      <c r="M69" s="86"/>
      <c r="N69" s="86"/>
      <c r="O69" s="86"/>
      <c r="P69" s="86"/>
      <c r="Q69" s="86"/>
    </row>
    <row r="70" spans="1:19" x14ac:dyDescent="0.25">
      <c r="A70" s="185" t="str">
        <f>IF(COUNTBLANK(B70)=1," ",COUNTA($B$14:B70))</f>
        <v xml:space="preserve"> </v>
      </c>
      <c r="B70" s="129"/>
      <c r="C70" s="117" t="s">
        <v>250</v>
      </c>
      <c r="D70" s="23" t="s">
        <v>196</v>
      </c>
      <c r="E70" s="94">
        <v>1</v>
      </c>
      <c r="F70" s="95"/>
      <c r="G70" s="42"/>
      <c r="H70" s="43"/>
      <c r="I70" s="42"/>
      <c r="J70" s="43"/>
      <c r="K70" s="42"/>
      <c r="L70" s="123"/>
      <c r="M70" s="86"/>
      <c r="N70" s="86"/>
      <c r="O70" s="86"/>
      <c r="P70" s="86"/>
      <c r="Q70" s="86"/>
    </row>
    <row r="71" spans="1:19" x14ac:dyDescent="0.25">
      <c r="A71" s="185">
        <f>IF(COUNTBLANK(B71)=1," ",COUNTA($B$14:B71))</f>
        <v>27</v>
      </c>
      <c r="B71" s="121" t="s">
        <v>51</v>
      </c>
      <c r="C71" s="127" t="s">
        <v>251</v>
      </c>
      <c r="D71" s="118" t="s">
        <v>72</v>
      </c>
      <c r="E71" s="182">
        <v>7.5359999999999996</v>
      </c>
      <c r="F71" s="95"/>
      <c r="G71" s="43"/>
      <c r="H71" s="43"/>
      <c r="I71" s="43"/>
      <c r="J71" s="43"/>
      <c r="K71" s="43"/>
      <c r="L71" s="123"/>
      <c r="M71" s="86"/>
      <c r="N71" s="86"/>
      <c r="O71" s="86"/>
      <c r="P71" s="86"/>
      <c r="Q71" s="86"/>
    </row>
    <row r="72" spans="1:19" x14ac:dyDescent="0.25">
      <c r="A72" s="185">
        <f>IF(COUNTBLANK(B72)=1," ",COUNTA($B$14:B72))</f>
        <v>28</v>
      </c>
      <c r="B72" s="121" t="s">
        <v>51</v>
      </c>
      <c r="C72" s="127" t="s">
        <v>252</v>
      </c>
      <c r="D72" s="118" t="s">
        <v>72</v>
      </c>
      <c r="E72" s="182">
        <v>6.32</v>
      </c>
      <c r="F72" s="95"/>
      <c r="G72" s="43"/>
      <c r="H72" s="43"/>
      <c r="I72" s="43"/>
      <c r="J72" s="43"/>
      <c r="K72" s="43"/>
      <c r="L72" s="123"/>
      <c r="M72" s="86"/>
      <c r="N72" s="86"/>
      <c r="O72" s="86"/>
      <c r="P72" s="86"/>
      <c r="Q72" s="86"/>
    </row>
    <row r="73" spans="1:19" x14ac:dyDescent="0.25">
      <c r="A73" s="185">
        <f>IF(COUNTBLANK(B73)=1," ",COUNTA($B$14:B73))</f>
        <v>29</v>
      </c>
      <c r="B73" s="121" t="s">
        <v>51</v>
      </c>
      <c r="C73" s="127" t="s">
        <v>253</v>
      </c>
      <c r="D73" s="118" t="s">
        <v>72</v>
      </c>
      <c r="E73" s="182">
        <v>0.25241599999999997</v>
      </c>
      <c r="F73" s="95"/>
      <c r="G73" s="43"/>
      <c r="H73" s="43"/>
      <c r="I73" s="43"/>
      <c r="J73" s="43"/>
      <c r="K73" s="43"/>
      <c r="L73" s="123"/>
      <c r="M73" s="86"/>
      <c r="N73" s="86"/>
      <c r="O73" s="86"/>
      <c r="P73" s="86"/>
      <c r="Q73" s="86"/>
    </row>
    <row r="74" spans="1:19" s="183" customFormat="1" ht="11.25" x14ac:dyDescent="0.25">
      <c r="A74" s="185">
        <f>IF(COUNTBLANK(B74)=1," ",COUNTA($B$14:B74))</f>
        <v>30</v>
      </c>
      <c r="B74" s="121" t="s">
        <v>51</v>
      </c>
      <c r="C74" s="127" t="s">
        <v>254</v>
      </c>
      <c r="D74" s="182" t="s">
        <v>60</v>
      </c>
      <c r="E74" s="182">
        <v>0.2</v>
      </c>
      <c r="F74" s="43"/>
      <c r="G74" s="43"/>
      <c r="H74" s="43"/>
      <c r="I74" s="43"/>
      <c r="J74" s="43"/>
      <c r="K74" s="43"/>
      <c r="L74" s="123"/>
      <c r="M74" s="86"/>
      <c r="N74" s="86"/>
      <c r="O74" s="86"/>
      <c r="P74" s="86"/>
      <c r="Q74" s="86"/>
      <c r="R74" s="39"/>
    </row>
    <row r="75" spans="1:19" s="5" customFormat="1" ht="11.25" x14ac:dyDescent="0.25">
      <c r="A75" s="185" t="str">
        <f>IF(COUNTBLANK(B75)=1," ",COUNTA($B$14:B75))</f>
        <v xml:space="preserve"> </v>
      </c>
      <c r="B75" s="180"/>
      <c r="C75" s="57" t="s">
        <v>450</v>
      </c>
      <c r="D75" s="180" t="s">
        <v>72</v>
      </c>
      <c r="E75" s="42">
        <f>ROUNDUP(E74*F75,2)</f>
        <v>0.08</v>
      </c>
      <c r="F75" s="43">
        <v>0.4</v>
      </c>
      <c r="G75" s="43"/>
      <c r="H75" s="43"/>
      <c r="I75" s="43"/>
      <c r="J75" s="43"/>
      <c r="K75" s="43"/>
      <c r="L75" s="123"/>
      <c r="M75" s="86"/>
      <c r="N75" s="86"/>
      <c r="O75" s="86"/>
      <c r="P75" s="86"/>
      <c r="Q75" s="86"/>
      <c r="R75" s="9"/>
    </row>
    <row r="76" spans="1:19" x14ac:dyDescent="0.25">
      <c r="A76" s="185" t="str">
        <f>IF(COUNTBLANK(B76)=1," ",COUNTA($B$14:B76))</f>
        <v xml:space="preserve"> </v>
      </c>
      <c r="B76" s="129"/>
      <c r="C76" s="117" t="s">
        <v>255</v>
      </c>
      <c r="D76" s="23" t="s">
        <v>196</v>
      </c>
      <c r="E76" s="94">
        <v>1</v>
      </c>
      <c r="F76" s="95"/>
      <c r="G76" s="43"/>
      <c r="H76" s="43"/>
      <c r="I76" s="43"/>
      <c r="J76" s="43"/>
      <c r="K76" s="43"/>
      <c r="L76" s="123"/>
      <c r="M76" s="86"/>
      <c r="N76" s="86"/>
      <c r="O76" s="86"/>
      <c r="P76" s="86"/>
      <c r="Q76" s="86"/>
    </row>
    <row r="77" spans="1:19" x14ac:dyDescent="0.25">
      <c r="A77" s="185">
        <f>IF(COUNTBLANK(B77)=1," ",COUNTA($B$14:B77))</f>
        <v>31</v>
      </c>
      <c r="B77" s="121" t="s">
        <v>51</v>
      </c>
      <c r="C77" s="127" t="s">
        <v>256</v>
      </c>
      <c r="D77" s="182" t="s">
        <v>89</v>
      </c>
      <c r="E77" s="182">
        <v>0.158</v>
      </c>
      <c r="F77" s="95"/>
      <c r="G77" s="43"/>
      <c r="H77" s="43"/>
      <c r="I77" s="43"/>
      <c r="J77" s="43"/>
      <c r="K77" s="43"/>
      <c r="L77" s="123"/>
      <c r="M77" s="86"/>
      <c r="N77" s="86"/>
      <c r="O77" s="86"/>
      <c r="P77" s="86"/>
      <c r="Q77" s="86"/>
    </row>
    <row r="78" spans="1:19" x14ac:dyDescent="0.25">
      <c r="A78" s="185">
        <f>IF(COUNTBLANK(B78)=1," ",COUNTA($B$14:B78))</f>
        <v>32</v>
      </c>
      <c r="B78" s="121" t="s">
        <v>51</v>
      </c>
      <c r="C78" s="127" t="s">
        <v>256</v>
      </c>
      <c r="D78" s="182" t="s">
        <v>89</v>
      </c>
      <c r="E78" s="182">
        <v>0.23599999999999999</v>
      </c>
      <c r="F78" s="95"/>
      <c r="G78" s="43"/>
      <c r="H78" s="43"/>
      <c r="I78" s="43"/>
      <c r="J78" s="43"/>
      <c r="K78" s="43"/>
      <c r="L78" s="123"/>
      <c r="M78" s="86"/>
      <c r="N78" s="86"/>
      <c r="O78" s="86"/>
      <c r="P78" s="86"/>
      <c r="Q78" s="86"/>
    </row>
    <row r="79" spans="1:19" ht="22.5" x14ac:dyDescent="0.25">
      <c r="A79" s="185">
        <f>IF(COUNTBLANK(B79)=1," ",COUNTA($B$14:B79))</f>
        <v>33</v>
      </c>
      <c r="B79" s="121" t="s">
        <v>51</v>
      </c>
      <c r="C79" s="57" t="s">
        <v>257</v>
      </c>
      <c r="D79" s="182" t="s">
        <v>89</v>
      </c>
      <c r="E79" s="182">
        <v>2.5999999999999999E-2</v>
      </c>
      <c r="F79" s="95"/>
      <c r="G79" s="43"/>
      <c r="H79" s="43"/>
      <c r="I79" s="43"/>
      <c r="J79" s="43"/>
      <c r="K79" s="43"/>
      <c r="L79" s="123"/>
      <c r="M79" s="86"/>
      <c r="N79" s="86"/>
      <c r="O79" s="86"/>
      <c r="P79" s="86"/>
      <c r="Q79" s="86"/>
    </row>
    <row r="80" spans="1:19" ht="22.5" x14ac:dyDescent="0.25">
      <c r="A80" s="185">
        <f>IF(COUNTBLANK(B80)=1," ",COUNTA($B$14:B80))</f>
        <v>34</v>
      </c>
      <c r="B80" s="121" t="s">
        <v>51</v>
      </c>
      <c r="C80" s="57" t="s">
        <v>257</v>
      </c>
      <c r="D80" s="182" t="s">
        <v>89</v>
      </c>
      <c r="E80" s="182">
        <v>2.8000000000000001E-2</v>
      </c>
      <c r="F80" s="95"/>
      <c r="G80" s="43"/>
      <c r="H80" s="43"/>
      <c r="I80" s="43"/>
      <c r="J80" s="43"/>
      <c r="K80" s="43"/>
      <c r="L80" s="123"/>
      <c r="M80" s="86"/>
      <c r="N80" s="86"/>
      <c r="O80" s="86"/>
      <c r="P80" s="86"/>
      <c r="Q80" s="86"/>
    </row>
    <row r="81" spans="1:18" ht="22.5" x14ac:dyDescent="0.25">
      <c r="A81" s="185">
        <f>IF(COUNTBLANK(B81)=1," ",COUNTA($B$14:B81))</f>
        <v>35</v>
      </c>
      <c r="B81" s="121" t="s">
        <v>51</v>
      </c>
      <c r="C81" s="57" t="s">
        <v>258</v>
      </c>
      <c r="D81" s="182" t="s">
        <v>89</v>
      </c>
      <c r="E81" s="182">
        <v>0.26</v>
      </c>
      <c r="F81" s="95"/>
      <c r="G81" s="43"/>
      <c r="H81" s="43"/>
      <c r="I81" s="43"/>
      <c r="J81" s="43"/>
      <c r="K81" s="43"/>
      <c r="L81" s="123"/>
      <c r="M81" s="86"/>
      <c r="N81" s="86"/>
      <c r="O81" s="86"/>
      <c r="P81" s="86"/>
      <c r="Q81" s="86"/>
    </row>
    <row r="82" spans="1:18" s="177" customFormat="1" ht="11.25" x14ac:dyDescent="0.25">
      <c r="A82" s="185">
        <f>IF(COUNTBLANK(B82)=1," ",COUNTA($B$12:B82))</f>
        <v>37</v>
      </c>
      <c r="B82" s="121" t="s">
        <v>51</v>
      </c>
      <c r="C82" s="127" t="s">
        <v>259</v>
      </c>
      <c r="D82" s="182" t="s">
        <v>60</v>
      </c>
      <c r="E82" s="182">
        <v>40</v>
      </c>
      <c r="F82" s="47"/>
      <c r="G82" s="47"/>
      <c r="H82" s="37"/>
      <c r="I82" s="47"/>
      <c r="J82" s="47"/>
      <c r="K82" s="47"/>
      <c r="L82" s="123"/>
      <c r="M82" s="86"/>
      <c r="N82" s="86"/>
      <c r="O82" s="86"/>
      <c r="P82" s="86"/>
      <c r="Q82" s="86"/>
      <c r="R82" s="207"/>
    </row>
    <row r="83" spans="1:18" s="5" customFormat="1" ht="11.25" x14ac:dyDescent="0.25">
      <c r="A83" s="185" t="str">
        <f>IF(COUNTBLANK(B83)=1," ",COUNTA($B$12:B83))</f>
        <v xml:space="preserve"> </v>
      </c>
      <c r="B83" s="180"/>
      <c r="C83" s="57" t="s">
        <v>260</v>
      </c>
      <c r="D83" s="180" t="s">
        <v>102</v>
      </c>
      <c r="E83" s="35">
        <f>ROUNDUP(E82*F83,2)</f>
        <v>4</v>
      </c>
      <c r="F83" s="47">
        <v>0.1</v>
      </c>
      <c r="G83" s="47"/>
      <c r="H83" s="47"/>
      <c r="I83" s="47"/>
      <c r="J83" s="47"/>
      <c r="K83" s="47"/>
      <c r="L83" s="123"/>
      <c r="M83" s="86"/>
      <c r="N83" s="86"/>
      <c r="O83" s="86"/>
      <c r="P83" s="86"/>
      <c r="Q83" s="86"/>
      <c r="R83" s="9"/>
    </row>
    <row r="84" spans="1:18" x14ac:dyDescent="0.25">
      <c r="A84" s="185" t="str">
        <f>IF(COUNTBLANK(B84)=1," ",COUNTA($B$14:B84))</f>
        <v xml:space="preserve"> </v>
      </c>
      <c r="B84" s="129"/>
      <c r="C84" s="117" t="s">
        <v>261</v>
      </c>
      <c r="D84" s="23" t="s">
        <v>196</v>
      </c>
      <c r="E84" s="94">
        <v>1</v>
      </c>
      <c r="F84" s="95"/>
      <c r="G84" s="43"/>
      <c r="H84" s="43"/>
      <c r="I84" s="43"/>
      <c r="J84" s="43"/>
      <c r="K84" s="43"/>
      <c r="L84" s="123"/>
      <c r="M84" s="86"/>
      <c r="N84" s="86"/>
      <c r="O84" s="86"/>
      <c r="P84" s="86"/>
      <c r="Q84" s="86"/>
    </row>
    <row r="85" spans="1:18" x14ac:dyDescent="0.25">
      <c r="A85" s="185">
        <f>IF(COUNTBLANK(B85)=1," ",COUNTA($B$14:B85))</f>
        <v>37</v>
      </c>
      <c r="B85" s="121" t="s">
        <v>51</v>
      </c>
      <c r="C85" s="57" t="s">
        <v>262</v>
      </c>
      <c r="D85" s="182" t="s">
        <v>89</v>
      </c>
      <c r="E85" s="182">
        <v>0.154</v>
      </c>
      <c r="F85" s="95"/>
      <c r="G85" s="43"/>
      <c r="H85" s="43"/>
      <c r="I85" s="43"/>
      <c r="J85" s="43"/>
      <c r="K85" s="43"/>
      <c r="L85" s="123"/>
      <c r="M85" s="86"/>
      <c r="N85" s="86"/>
      <c r="O85" s="86"/>
      <c r="P85" s="86"/>
      <c r="Q85" s="86"/>
    </row>
    <row r="86" spans="1:18" x14ac:dyDescent="0.25">
      <c r="A86" s="185" t="str">
        <f>IF(COUNTBLANK(B86)=1," ",COUNTA($B$14:B86))</f>
        <v xml:space="preserve"> </v>
      </c>
      <c r="B86" s="121"/>
      <c r="C86" s="57" t="s">
        <v>263</v>
      </c>
      <c r="D86" s="182" t="s">
        <v>89</v>
      </c>
      <c r="E86" s="182">
        <v>0.3</v>
      </c>
      <c r="F86" s="95"/>
      <c r="G86" s="43"/>
      <c r="H86" s="43"/>
      <c r="I86" s="43"/>
      <c r="J86" s="43"/>
      <c r="K86" s="43"/>
      <c r="L86" s="123"/>
      <c r="M86" s="86"/>
      <c r="N86" s="86"/>
      <c r="O86" s="86"/>
      <c r="P86" s="86"/>
      <c r="Q86" s="86"/>
    </row>
    <row r="87" spans="1:18" x14ac:dyDescent="0.25">
      <c r="A87" s="185" t="str">
        <f>IF(COUNTBLANK(B87)=1," ",COUNTA($B$14:B87))</f>
        <v xml:space="preserve"> </v>
      </c>
      <c r="B87" s="121"/>
      <c r="C87" s="57" t="s">
        <v>264</v>
      </c>
      <c r="D87" s="182" t="s">
        <v>60</v>
      </c>
      <c r="E87" s="182">
        <v>10.56</v>
      </c>
      <c r="F87" s="95"/>
      <c r="G87" s="43"/>
      <c r="H87" s="43"/>
      <c r="I87" s="43"/>
      <c r="J87" s="43"/>
      <c r="K87" s="43"/>
      <c r="L87" s="123"/>
      <c r="M87" s="86"/>
      <c r="N87" s="86"/>
      <c r="O87" s="86"/>
      <c r="P87" s="86"/>
      <c r="Q87" s="86"/>
    </row>
    <row r="88" spans="1:18" x14ac:dyDescent="0.25">
      <c r="A88" s="185" t="str">
        <f>IF(COUNTBLANK(B88)=1," ",COUNTA($B$14:B88))</f>
        <v xml:space="preserve"> </v>
      </c>
      <c r="B88" s="182"/>
      <c r="C88" s="57" t="s">
        <v>265</v>
      </c>
      <c r="D88" s="182" t="s">
        <v>60</v>
      </c>
      <c r="E88" s="182">
        <v>5.3</v>
      </c>
      <c r="F88" s="95"/>
      <c r="G88" s="43"/>
      <c r="H88" s="43"/>
      <c r="I88" s="43"/>
      <c r="J88" s="43"/>
      <c r="K88" s="43"/>
      <c r="L88" s="123"/>
      <c r="M88" s="86"/>
      <c r="N88" s="86"/>
      <c r="O88" s="86"/>
      <c r="P88" s="86"/>
      <c r="Q88" s="86"/>
    </row>
    <row r="89" spans="1:18" s="177" customFormat="1" ht="11.25" x14ac:dyDescent="0.25">
      <c r="A89" s="185">
        <f>IF(COUNTBLANK(B89)=1," ",COUNTA($B$12:B89))</f>
        <v>39</v>
      </c>
      <c r="B89" s="121" t="s">
        <v>51</v>
      </c>
      <c r="C89" s="127" t="s">
        <v>259</v>
      </c>
      <c r="D89" s="182" t="s">
        <v>60</v>
      </c>
      <c r="E89" s="182">
        <v>30</v>
      </c>
      <c r="F89" s="47"/>
      <c r="G89" s="47"/>
      <c r="H89" s="37"/>
      <c r="I89" s="47"/>
      <c r="J89" s="47"/>
      <c r="K89" s="47"/>
      <c r="L89" s="123"/>
      <c r="M89" s="86"/>
      <c r="N89" s="86"/>
      <c r="O89" s="86"/>
      <c r="P89" s="86"/>
      <c r="Q89" s="86"/>
      <c r="R89" s="207"/>
    </row>
    <row r="90" spans="1:18" s="5" customFormat="1" ht="11.25" x14ac:dyDescent="0.25">
      <c r="A90" s="185" t="str">
        <f>IF(COUNTBLANK(B90)=1," ",COUNTA($B$12:B90))</f>
        <v xml:space="preserve"> </v>
      </c>
      <c r="B90" s="180"/>
      <c r="C90" s="57" t="s">
        <v>260</v>
      </c>
      <c r="D90" s="180" t="s">
        <v>102</v>
      </c>
      <c r="E90" s="35">
        <f>ROUNDUP(E89*F90,2)</f>
        <v>3</v>
      </c>
      <c r="F90" s="47">
        <v>0.1</v>
      </c>
      <c r="G90" s="47"/>
      <c r="H90" s="47"/>
      <c r="I90" s="47"/>
      <c r="J90" s="47"/>
      <c r="K90" s="47"/>
      <c r="L90" s="123"/>
      <c r="M90" s="86"/>
      <c r="N90" s="86"/>
      <c r="O90" s="86"/>
      <c r="P90" s="86"/>
      <c r="Q90" s="86"/>
      <c r="R90" s="9"/>
    </row>
    <row r="91" spans="1:18" x14ac:dyDescent="0.25">
      <c r="A91" s="185" t="str">
        <f>IF(COUNTBLANK(B91)=1," ",COUNTA($B$14:B91))</f>
        <v xml:space="preserve"> </v>
      </c>
      <c r="B91" s="129"/>
      <c r="C91" s="117" t="s">
        <v>266</v>
      </c>
      <c r="D91" s="23" t="s">
        <v>196</v>
      </c>
      <c r="E91" s="94">
        <v>1</v>
      </c>
      <c r="F91" s="95"/>
      <c r="G91" s="43"/>
      <c r="H91" s="43"/>
      <c r="I91" s="43"/>
      <c r="J91" s="43"/>
      <c r="K91" s="43"/>
      <c r="L91" s="123"/>
      <c r="M91" s="86"/>
      <c r="N91" s="86"/>
      <c r="O91" s="86"/>
      <c r="P91" s="86"/>
      <c r="Q91" s="86"/>
    </row>
    <row r="92" spans="1:18" x14ac:dyDescent="0.25">
      <c r="A92" s="185">
        <f>IF(COUNTBLANK(B92)=1," ",COUNTA($B$14:B92))</f>
        <v>39</v>
      </c>
      <c r="B92" s="121" t="s">
        <v>51</v>
      </c>
      <c r="C92" s="127" t="s">
        <v>267</v>
      </c>
      <c r="D92" s="118" t="s">
        <v>72</v>
      </c>
      <c r="E92" s="182">
        <v>17.28</v>
      </c>
      <c r="F92" s="95"/>
      <c r="G92" s="43"/>
      <c r="H92" s="43"/>
      <c r="I92" s="43"/>
      <c r="J92" s="43"/>
      <c r="K92" s="43"/>
      <c r="L92" s="123"/>
      <c r="M92" s="86"/>
      <c r="N92" s="86"/>
      <c r="O92" s="86"/>
      <c r="P92" s="86"/>
      <c r="Q92" s="86"/>
    </row>
    <row r="93" spans="1:18" x14ac:dyDescent="0.25">
      <c r="A93" s="185">
        <f>IF(COUNTBLANK(B93)=1," ",COUNTA($B$14:B93))</f>
        <v>40</v>
      </c>
      <c r="B93" s="121" t="s">
        <v>51</v>
      </c>
      <c r="C93" s="127" t="s">
        <v>268</v>
      </c>
      <c r="D93" s="118" t="s">
        <v>72</v>
      </c>
      <c r="E93" s="182">
        <v>1.56</v>
      </c>
      <c r="F93" s="95"/>
      <c r="G93" s="43"/>
      <c r="H93" s="43"/>
      <c r="I93" s="43"/>
      <c r="J93" s="43"/>
      <c r="K93" s="43"/>
      <c r="L93" s="123"/>
      <c r="M93" s="86"/>
      <c r="N93" s="86"/>
      <c r="O93" s="86"/>
      <c r="P93" s="86"/>
      <c r="Q93" s="86"/>
    </row>
    <row r="94" spans="1:18" x14ac:dyDescent="0.25">
      <c r="A94" s="185">
        <f>IF(COUNTBLANK(B94)=1," ",COUNTA($B$14:B94))</f>
        <v>41</v>
      </c>
      <c r="B94" s="121" t="s">
        <v>51</v>
      </c>
      <c r="C94" s="57" t="s">
        <v>269</v>
      </c>
      <c r="D94" s="118" t="s">
        <v>72</v>
      </c>
      <c r="E94" s="182">
        <v>2.2959999999999998</v>
      </c>
      <c r="F94" s="95"/>
      <c r="G94" s="43"/>
      <c r="H94" s="43"/>
      <c r="I94" s="43"/>
      <c r="J94" s="43"/>
      <c r="K94" s="43"/>
      <c r="L94" s="123"/>
      <c r="M94" s="86"/>
      <c r="N94" s="86"/>
      <c r="O94" s="86"/>
      <c r="P94" s="86"/>
      <c r="Q94" s="86"/>
    </row>
    <row r="95" spans="1:18" s="183" customFormat="1" ht="11.25" x14ac:dyDescent="0.25">
      <c r="A95" s="185">
        <f>IF(COUNTBLANK(B95)=1," ",COUNTA($B$14:B95))</f>
        <v>42</v>
      </c>
      <c r="B95" s="121" t="s">
        <v>51</v>
      </c>
      <c r="C95" s="127" t="s">
        <v>254</v>
      </c>
      <c r="D95" s="182" t="s">
        <v>60</v>
      </c>
      <c r="E95" s="182">
        <v>0.8</v>
      </c>
      <c r="F95" s="43"/>
      <c r="G95" s="43"/>
      <c r="H95" s="43"/>
      <c r="I95" s="43"/>
      <c r="J95" s="43"/>
      <c r="K95" s="43"/>
      <c r="L95" s="123"/>
      <c r="M95" s="86"/>
      <c r="N95" s="86"/>
      <c r="O95" s="86"/>
      <c r="P95" s="86"/>
      <c r="Q95" s="86"/>
      <c r="R95" s="39"/>
    </row>
    <row r="96" spans="1:18" s="5" customFormat="1" ht="11.25" x14ac:dyDescent="0.25">
      <c r="A96" s="185" t="str">
        <f>IF(COUNTBLANK(B96)=1," ",COUNTA($B$14:B96))</f>
        <v xml:space="preserve"> </v>
      </c>
      <c r="B96" s="180"/>
      <c r="C96" s="57" t="s">
        <v>450</v>
      </c>
      <c r="D96" s="180" t="s">
        <v>72</v>
      </c>
      <c r="E96" s="42">
        <f>ROUNDUP(E95*F96,2)</f>
        <v>0.32</v>
      </c>
      <c r="F96" s="43">
        <v>0.4</v>
      </c>
      <c r="G96" s="43"/>
      <c r="H96" s="43"/>
      <c r="I96" s="43"/>
      <c r="J96" s="43"/>
      <c r="K96" s="43"/>
      <c r="L96" s="123"/>
      <c r="M96" s="86"/>
      <c r="N96" s="86"/>
      <c r="O96" s="86"/>
      <c r="P96" s="86"/>
      <c r="Q96" s="86"/>
      <c r="R96" s="9"/>
    </row>
    <row r="97" spans="1:18" s="9" customFormat="1" ht="11.25" x14ac:dyDescent="0.25">
      <c r="A97" s="180">
        <f>IF(COUNTBLANK(B97)=1," ",COUNTA($B$12:B97))</f>
        <v>44</v>
      </c>
      <c r="B97" s="121" t="s">
        <v>51</v>
      </c>
      <c r="C97" s="127" t="s">
        <v>270</v>
      </c>
      <c r="D97" s="182" t="s">
        <v>89</v>
      </c>
      <c r="E97" s="182">
        <v>0.08</v>
      </c>
      <c r="F97" s="43"/>
      <c r="G97" s="43"/>
      <c r="H97" s="24"/>
      <c r="I97" s="43"/>
      <c r="J97" s="43"/>
      <c r="K97" s="43"/>
      <c r="L97" s="123"/>
      <c r="M97" s="86"/>
      <c r="N97" s="86"/>
      <c r="O97" s="86"/>
      <c r="P97" s="86"/>
      <c r="Q97" s="86"/>
    </row>
    <row r="98" spans="1:18" x14ac:dyDescent="0.25">
      <c r="A98" s="180" t="str">
        <f>IF(COUNTBLANK(B98)=1," ",COUNTA($B$12:B98))</f>
        <v xml:space="preserve"> </v>
      </c>
      <c r="B98" s="121"/>
      <c r="C98" s="57" t="s">
        <v>271</v>
      </c>
      <c r="D98" s="185" t="s">
        <v>89</v>
      </c>
      <c r="E98" s="42">
        <f>ROUNDUP(E97*F98,2)</f>
        <v>0.02</v>
      </c>
      <c r="F98" s="43">
        <v>0.15</v>
      </c>
      <c r="G98" s="43"/>
      <c r="H98" s="43"/>
      <c r="I98" s="43"/>
      <c r="J98" s="43"/>
      <c r="K98" s="43"/>
      <c r="L98" s="123"/>
      <c r="M98" s="86"/>
      <c r="N98" s="86"/>
      <c r="O98" s="86"/>
      <c r="P98" s="86"/>
      <c r="Q98" s="86"/>
    </row>
    <row r="99" spans="1:18" s="177" customFormat="1" ht="11.25" x14ac:dyDescent="0.25">
      <c r="A99" s="180" t="str">
        <f>IF(COUNTBLANK(B99)=1," ",COUNTA($B$12:B99))</f>
        <v xml:space="preserve"> </v>
      </c>
      <c r="B99" s="121"/>
      <c r="C99" s="57" t="s">
        <v>272</v>
      </c>
      <c r="D99" s="185" t="s">
        <v>89</v>
      </c>
      <c r="E99" s="42">
        <f>ROUNDUP(E97*F99,2)</f>
        <v>0.08</v>
      </c>
      <c r="F99" s="43">
        <v>0.93</v>
      </c>
      <c r="G99" s="43"/>
      <c r="H99" s="43"/>
      <c r="I99" s="43"/>
      <c r="J99" s="43"/>
      <c r="K99" s="43"/>
      <c r="L99" s="123"/>
      <c r="M99" s="86"/>
      <c r="N99" s="86"/>
      <c r="O99" s="86"/>
      <c r="P99" s="86"/>
      <c r="Q99" s="86"/>
      <c r="R99" s="207"/>
    </row>
    <row r="100" spans="1:18" s="5" customFormat="1" ht="11.25" x14ac:dyDescent="0.25">
      <c r="A100" s="180" t="str">
        <f>IF(COUNTBLANK(B100)=1," ",COUNTA($B$12:B100))</f>
        <v xml:space="preserve"> </v>
      </c>
      <c r="B100" s="121"/>
      <c r="C100" s="57" t="s">
        <v>81</v>
      </c>
      <c r="D100" s="180" t="s">
        <v>196</v>
      </c>
      <c r="E100" s="42">
        <f>ROUNDUP(E97*F100,0)</f>
        <v>1</v>
      </c>
      <c r="F100" s="43">
        <v>0.25</v>
      </c>
      <c r="G100" s="43"/>
      <c r="H100" s="43"/>
      <c r="I100" s="43"/>
      <c r="J100" s="43"/>
      <c r="K100" s="43"/>
      <c r="L100" s="123"/>
      <c r="M100" s="86"/>
      <c r="N100" s="86"/>
      <c r="O100" s="86"/>
      <c r="P100" s="86"/>
      <c r="Q100" s="86"/>
      <c r="R100" s="9"/>
    </row>
    <row r="101" spans="1:18" x14ac:dyDescent="0.25">
      <c r="A101" s="39"/>
      <c r="B101" s="50"/>
      <c r="C101" s="46"/>
      <c r="D101" s="183"/>
      <c r="E101" s="45"/>
      <c r="F101" s="119"/>
      <c r="G101" s="16"/>
      <c r="H101" s="16"/>
      <c r="I101" s="16"/>
      <c r="J101" s="16"/>
      <c r="K101" s="16"/>
      <c r="L101" s="120"/>
      <c r="M101" s="58"/>
      <c r="N101" s="58"/>
      <c r="O101" s="58"/>
      <c r="P101" s="58"/>
      <c r="Q101" s="58"/>
    </row>
    <row r="102" spans="1:18" x14ac:dyDescent="0.25">
      <c r="A102" s="39"/>
      <c r="B102" s="50"/>
      <c r="C102" s="46"/>
      <c r="D102" s="39"/>
      <c r="E102" s="39"/>
      <c r="F102" s="39"/>
      <c r="G102" s="39"/>
      <c r="H102" s="51"/>
      <c r="I102" s="39"/>
      <c r="J102" s="52"/>
      <c r="K102" s="16"/>
      <c r="L102" s="52"/>
      <c r="M102" s="52"/>
      <c r="N102" s="52"/>
      <c r="O102" s="16"/>
      <c r="P102" s="16"/>
      <c r="Q102" s="16"/>
    </row>
    <row r="103" spans="1:18" ht="22.5" x14ac:dyDescent="0.25">
      <c r="A103" s="39"/>
      <c r="B103" s="39"/>
      <c r="C103" s="10" t="s">
        <v>91</v>
      </c>
      <c r="D103" s="9"/>
      <c r="E103" s="9"/>
      <c r="F103" s="9"/>
      <c r="G103" s="9"/>
      <c r="H103" s="5"/>
      <c r="I103" s="5"/>
      <c r="J103" s="9"/>
      <c r="K103" s="9"/>
      <c r="L103" s="9"/>
      <c r="M103" s="52">
        <f t="shared" ref="M103:P103" si="1">SUM(M13:M100)</f>
        <v>0</v>
      </c>
      <c r="N103" s="52">
        <f t="shared" si="1"/>
        <v>0</v>
      </c>
      <c r="O103" s="52">
        <f t="shared" si="1"/>
        <v>0</v>
      </c>
      <c r="P103" s="52">
        <f t="shared" si="1"/>
        <v>0</v>
      </c>
      <c r="Q103" s="52">
        <f>SUM(Q13:Q100)</f>
        <v>0</v>
      </c>
      <c r="R103" s="16"/>
    </row>
    <row r="104" spans="1:18" x14ac:dyDescent="0.25">
      <c r="A104" s="9" t="str">
        <f>IF(COUNTBLANK(L104)=1," ",COUNTA($L$15:L104))</f>
        <v xml:space="preserve"> </v>
      </c>
      <c r="B104" s="39"/>
      <c r="C104" s="10"/>
      <c r="D104" s="9"/>
      <c r="E104" s="9"/>
      <c r="F104" s="9"/>
      <c r="G104" s="9"/>
      <c r="H104" s="5"/>
      <c r="I104" s="5"/>
      <c r="J104" s="9"/>
      <c r="K104" s="5"/>
      <c r="L104" s="9"/>
      <c r="M104" s="16"/>
      <c r="N104" s="9"/>
      <c r="O104" s="16"/>
      <c r="P104" s="16"/>
      <c r="Q104" s="16"/>
      <c r="R104" s="9"/>
    </row>
    <row r="105" spans="1:18" x14ac:dyDescent="0.25">
      <c r="A105" s="183"/>
      <c r="B105" s="183"/>
      <c r="C105" s="46"/>
      <c r="D105" s="39"/>
      <c r="E105" s="39"/>
      <c r="F105" s="39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6"/>
    </row>
    <row r="106" spans="1:18" x14ac:dyDescent="0.25">
      <c r="A106" s="183"/>
      <c r="B106" s="21" t="s">
        <v>31</v>
      </c>
      <c r="C106" s="130"/>
      <c r="D106" s="21"/>
      <c r="E106" s="21"/>
      <c r="F106" s="21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9"/>
    </row>
    <row r="107" spans="1:18" x14ac:dyDescent="0.25">
      <c r="A107" s="183"/>
      <c r="B107" s="21"/>
      <c r="C107" s="229" t="s">
        <v>32</v>
      </c>
      <c r="D107" s="183"/>
      <c r="E107" s="183"/>
      <c r="F107" s="183"/>
      <c r="G107" s="21"/>
      <c r="H107" s="21"/>
      <c r="I107" s="183"/>
      <c r="J107" s="183"/>
      <c r="K107" s="183"/>
      <c r="L107" s="183"/>
      <c r="M107" s="183"/>
      <c r="N107" s="183"/>
      <c r="O107" s="183"/>
      <c r="P107" s="183"/>
      <c r="Q107" s="183"/>
      <c r="R107" s="9"/>
    </row>
    <row r="108" spans="1:18" x14ac:dyDescent="0.25">
      <c r="A108" s="21"/>
      <c r="B108" s="5"/>
      <c r="C108" s="3"/>
      <c r="D108" s="5"/>
      <c r="E108" s="5"/>
      <c r="F108" s="5"/>
      <c r="G108" s="21"/>
      <c r="H108" s="21"/>
      <c r="I108" s="183"/>
      <c r="J108" s="183"/>
      <c r="K108" s="21"/>
      <c r="L108" s="21"/>
      <c r="M108" s="21"/>
      <c r="N108" s="21"/>
      <c r="O108" s="21"/>
      <c r="P108" s="21"/>
      <c r="Q108" s="21"/>
      <c r="R108" s="9"/>
    </row>
    <row r="109" spans="1:18" x14ac:dyDescent="0.25">
      <c r="A109" s="21"/>
      <c r="B109" s="310" t="s">
        <v>476</v>
      </c>
      <c r="C109" s="130"/>
      <c r="D109" s="21"/>
      <c r="E109" s="21"/>
      <c r="F109" s="21"/>
      <c r="G109" s="21"/>
      <c r="H109" s="21"/>
      <c r="I109" s="183"/>
      <c r="J109" s="183"/>
      <c r="K109" s="21"/>
      <c r="L109" s="21"/>
      <c r="M109" s="21"/>
      <c r="N109" s="21"/>
      <c r="O109" s="21"/>
      <c r="P109" s="21"/>
      <c r="Q109" s="21"/>
      <c r="R109" s="9"/>
    </row>
    <row r="110" spans="1:18" x14ac:dyDescent="0.25">
      <c r="A110" s="21"/>
      <c r="B110" s="5"/>
      <c r="C110" s="3"/>
      <c r="D110" s="5"/>
      <c r="E110" s="5"/>
      <c r="F110" s="5"/>
      <c r="G110" s="21"/>
      <c r="H110" s="21"/>
      <c r="I110" s="183"/>
      <c r="J110" s="183"/>
      <c r="K110" s="21"/>
      <c r="L110" s="21"/>
      <c r="M110" s="21"/>
      <c r="N110" s="21"/>
      <c r="O110" s="21"/>
      <c r="P110" s="21"/>
      <c r="Q110" s="21"/>
      <c r="R110" s="9"/>
    </row>
    <row r="111" spans="1:18" x14ac:dyDescent="0.25">
      <c r="A111" s="21"/>
      <c r="B111" s="21" t="s">
        <v>33</v>
      </c>
      <c r="C111" s="130"/>
      <c r="D111" s="21"/>
      <c r="E111" s="21"/>
      <c r="F111" s="21"/>
      <c r="G111" s="21"/>
      <c r="H111" s="21"/>
      <c r="I111" s="183"/>
      <c r="J111" s="183"/>
      <c r="K111" s="21"/>
      <c r="L111" s="21"/>
      <c r="M111" s="21"/>
      <c r="N111" s="21"/>
      <c r="O111" s="21"/>
      <c r="P111" s="21"/>
      <c r="Q111" s="21"/>
      <c r="R111" s="9"/>
    </row>
    <row r="112" spans="1:18" x14ac:dyDescent="0.25">
      <c r="A112" s="21"/>
      <c r="B112" s="21"/>
      <c r="C112" s="229" t="s">
        <v>32</v>
      </c>
      <c r="D112" s="183"/>
      <c r="E112" s="183"/>
      <c r="F112" s="183"/>
      <c r="G112" s="21"/>
      <c r="H112" s="21"/>
      <c r="I112" s="183"/>
      <c r="J112" s="183"/>
      <c r="K112" s="21"/>
      <c r="L112" s="21"/>
      <c r="M112" s="21"/>
      <c r="N112" s="21"/>
      <c r="O112" s="21"/>
      <c r="P112" s="21"/>
      <c r="Q112" s="21"/>
    </row>
    <row r="113" spans="1:17" x14ac:dyDescent="0.25">
      <c r="A113" s="21"/>
      <c r="B113" s="5"/>
      <c r="C113" s="130" t="s">
        <v>34</v>
      </c>
      <c r="D113" s="21"/>
      <c r="E113" s="21"/>
      <c r="F113" s="21"/>
      <c r="G113" s="21"/>
      <c r="H113" s="21"/>
      <c r="I113" s="183"/>
      <c r="J113" s="183"/>
      <c r="K113" s="21"/>
      <c r="L113" s="21"/>
      <c r="M113" s="21"/>
      <c r="N113" s="21"/>
      <c r="O113" s="21"/>
      <c r="P113" s="21"/>
      <c r="Q113" s="21"/>
    </row>
  </sheetData>
  <autoFilter ref="A12:ID68" xr:uid="{00000000-0009-0000-0000-000006000000}"/>
  <mergeCells count="8">
    <mergeCell ref="A8:P8"/>
    <mergeCell ref="A10:A11"/>
    <mergeCell ref="B10:B11"/>
    <mergeCell ref="C10:C11"/>
    <mergeCell ref="D10:D11"/>
    <mergeCell ref="E10:E11"/>
    <mergeCell ref="G10:L10"/>
    <mergeCell ref="M10:Q10"/>
  </mergeCells>
  <pageMargins left="0" right="0" top="0.39374999999999999" bottom="0.39374999999999999" header="0.51180555555555496" footer="0.51180555555555496"/>
  <pageSetup paperSize="9" scale="72" firstPageNumber="0" orientation="landscape" horizontalDpi="300" verticalDpi="300" r:id="rId1"/>
  <rowBreaks count="2" manualBreakCount="2">
    <brk id="58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MK29"/>
  <sheetViews>
    <sheetView view="pageBreakPreview" zoomScale="130" zoomScaleNormal="100" zoomScalePageLayoutView="130" workbookViewId="0">
      <selection activeCell="F1" sqref="F1:F1048576"/>
    </sheetView>
  </sheetViews>
  <sheetFormatPr defaultColWidth="9" defaultRowHeight="15" x14ac:dyDescent="0.25"/>
  <cols>
    <col min="1" max="2" width="6" style="20" customWidth="1"/>
    <col min="3" max="3" width="38.85546875" style="12" customWidth="1"/>
    <col min="4" max="4" width="5" style="20" customWidth="1"/>
    <col min="5" max="5" width="7" style="20" customWidth="1"/>
    <col min="6" max="6" width="5" style="20" hidden="1" customWidth="1"/>
    <col min="7" max="17" width="5" style="20" customWidth="1"/>
    <col min="18" max="18" width="7.5703125" style="20" customWidth="1"/>
    <col min="19" max="19" width="36.140625" style="20" customWidth="1"/>
    <col min="20" max="35" width="9.140625" style="20" customWidth="1"/>
    <col min="36" max="1025" width="42.42578125" style="20" customWidth="1"/>
    <col min="1026" max="16384" width="9" style="198"/>
  </cols>
  <sheetData>
    <row r="1" spans="1:19" s="21" customFormat="1" ht="11.25" x14ac:dyDescent="0.25">
      <c r="B1" s="5"/>
      <c r="C1" s="3"/>
      <c r="D1" s="309" t="s">
        <v>35</v>
      </c>
      <c r="E1" s="201">
        <f>kpdv!B16</f>
        <v>5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  <c r="Q1" s="5"/>
    </row>
    <row r="2" spans="1:19" x14ac:dyDescent="0.25">
      <c r="A2" s="5"/>
      <c r="B2" s="5"/>
      <c r="C2" s="2" t="s">
        <v>273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9" x14ac:dyDescent="0.25">
      <c r="A3" s="308" t="str">
        <f>KOP!A3</f>
        <v>Būves nosaukums:  Dzīvojamās māja</v>
      </c>
      <c r="B3" s="308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9" x14ac:dyDescent="0.25">
      <c r="A4" s="308" t="str">
        <f>KOP!A4</f>
        <v>Objekta nosaukums: Dzīvojamās ēkas fasādes vienkāršota atjaunošana</v>
      </c>
      <c r="B4" s="308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9" x14ac:dyDescent="0.25">
      <c r="A5" s="308" t="str">
        <f>KOP!A5</f>
        <v>Objekta adrese: Turaidas iela 8a, Liepājā</v>
      </c>
      <c r="B5" s="308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9" x14ac:dyDescent="0.25">
      <c r="A6" s="308" t="str">
        <f>KOP!A6</f>
        <v>Pasūtījuma Nr.EA-79-16</v>
      </c>
      <c r="B6" s="308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x14ac:dyDescent="0.25">
      <c r="B7" s="5"/>
      <c r="C7" s="222" t="s">
        <v>479</v>
      </c>
      <c r="D7" s="5" t="s">
        <v>37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9" x14ac:dyDescent="0.25">
      <c r="A8" s="338" t="s">
        <v>39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92">
        <f>Q19</f>
        <v>0</v>
      </c>
    </row>
    <row r="9" spans="1:19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09" t="s">
        <v>476</v>
      </c>
      <c r="Q9" s="311"/>
    </row>
    <row r="10" spans="1:19" ht="10.5" customHeight="1" x14ac:dyDescent="0.25">
      <c r="A10" s="320" t="s">
        <v>1</v>
      </c>
      <c r="B10" s="320" t="s">
        <v>40</v>
      </c>
      <c r="C10" s="321" t="s">
        <v>41</v>
      </c>
      <c r="D10" s="331" t="s">
        <v>42</v>
      </c>
      <c r="E10" s="320" t="s">
        <v>43</v>
      </c>
      <c r="F10" s="179"/>
      <c r="G10" s="332" t="s">
        <v>44</v>
      </c>
      <c r="H10" s="332"/>
      <c r="I10" s="332"/>
      <c r="J10" s="332"/>
      <c r="K10" s="332"/>
      <c r="L10" s="332"/>
      <c r="M10" s="332" t="s">
        <v>45</v>
      </c>
      <c r="N10" s="332"/>
      <c r="O10" s="332"/>
      <c r="P10" s="332"/>
      <c r="Q10" s="332"/>
    </row>
    <row r="11" spans="1:19" ht="72" x14ac:dyDescent="0.25">
      <c r="A11" s="320"/>
      <c r="B11" s="320"/>
      <c r="C11" s="321"/>
      <c r="D11" s="331"/>
      <c r="E11" s="320"/>
      <c r="F11" s="179"/>
      <c r="G11" s="179" t="s">
        <v>46</v>
      </c>
      <c r="H11" s="22" t="s">
        <v>480</v>
      </c>
      <c r="I11" s="22" t="s">
        <v>47</v>
      </c>
      <c r="J11" s="22" t="s">
        <v>481</v>
      </c>
      <c r="K11" s="22" t="s">
        <v>48</v>
      </c>
      <c r="L11" s="22" t="s">
        <v>482</v>
      </c>
      <c r="M11" s="179" t="s">
        <v>50</v>
      </c>
      <c r="N11" s="22" t="s">
        <v>47</v>
      </c>
      <c r="O11" s="22" t="s">
        <v>483</v>
      </c>
      <c r="P11" s="22" t="s">
        <v>48</v>
      </c>
      <c r="Q11" s="22" t="s">
        <v>49</v>
      </c>
    </row>
    <row r="12" spans="1:19" x14ac:dyDescent="0.25">
      <c r="A12" s="23">
        <v>1</v>
      </c>
      <c r="B12" s="23">
        <f>A12+1</f>
        <v>2</v>
      </c>
      <c r="C12" s="224">
        <v>3</v>
      </c>
      <c r="D12" s="23">
        <f>C12+1</f>
        <v>4</v>
      </c>
      <c r="E12" s="23">
        <f>D12+1</f>
        <v>5</v>
      </c>
      <c r="F12" s="131"/>
      <c r="G12" s="23">
        <f>E12+1</f>
        <v>6</v>
      </c>
      <c r="H12" s="23">
        <f t="shared" ref="H12:Q12" si="0">G12+1</f>
        <v>7</v>
      </c>
      <c r="I12" s="23">
        <f t="shared" si="0"/>
        <v>8</v>
      </c>
      <c r="J12" s="23">
        <f t="shared" si="0"/>
        <v>9</v>
      </c>
      <c r="K12" s="23">
        <f t="shared" si="0"/>
        <v>10</v>
      </c>
      <c r="L12" s="23">
        <f t="shared" si="0"/>
        <v>11</v>
      </c>
      <c r="M12" s="23">
        <f t="shared" si="0"/>
        <v>12</v>
      </c>
      <c r="N12" s="23">
        <f t="shared" si="0"/>
        <v>13</v>
      </c>
      <c r="O12" s="23">
        <f t="shared" si="0"/>
        <v>14</v>
      </c>
      <c r="P12" s="23">
        <f t="shared" si="0"/>
        <v>15</v>
      </c>
      <c r="Q12" s="23">
        <f t="shared" si="0"/>
        <v>16</v>
      </c>
    </row>
    <row r="13" spans="1:19" s="5" customFormat="1" ht="22.5" x14ac:dyDescent="0.25">
      <c r="A13" s="185">
        <f>IF(COUNTBLANK(B13)=1," ",COUNTA($B13:B$13))</f>
        <v>1</v>
      </c>
      <c r="B13" s="121" t="s">
        <v>51</v>
      </c>
      <c r="C13" s="165" t="s">
        <v>274</v>
      </c>
      <c r="D13" s="166" t="s">
        <v>60</v>
      </c>
      <c r="E13" s="170">
        <f>apjoms!D22</f>
        <v>453.3</v>
      </c>
      <c r="F13" s="43"/>
      <c r="G13" s="43"/>
      <c r="H13" s="24"/>
      <c r="I13" s="43"/>
      <c r="J13" s="43"/>
      <c r="K13" s="43"/>
      <c r="L13" s="123"/>
      <c r="M13" s="86"/>
      <c r="N13" s="86"/>
      <c r="O13" s="86"/>
      <c r="P13" s="86"/>
      <c r="Q13" s="86"/>
    </row>
    <row r="14" spans="1:19" x14ac:dyDescent="0.25">
      <c r="A14" s="185" t="str">
        <f>IF(COUNTBLANK(B14)=1," ",COUNTA($B$13:B14))</f>
        <v xml:space="preserve"> </v>
      </c>
      <c r="B14" s="180"/>
      <c r="C14" s="167" t="s">
        <v>275</v>
      </c>
      <c r="D14" s="168" t="s">
        <v>72</v>
      </c>
      <c r="E14" s="169">
        <f>E13*F14</f>
        <v>135.99</v>
      </c>
      <c r="F14" s="43">
        <v>0.3</v>
      </c>
      <c r="G14" s="43"/>
      <c r="H14" s="43"/>
      <c r="I14" s="43"/>
      <c r="J14" s="43"/>
      <c r="K14" s="43"/>
      <c r="L14" s="123"/>
      <c r="M14" s="86"/>
      <c r="N14" s="86"/>
      <c r="O14" s="86"/>
      <c r="P14" s="86"/>
      <c r="Q14" s="86"/>
    </row>
    <row r="15" spans="1:19" ht="33.75" x14ac:dyDescent="0.25">
      <c r="A15" s="185">
        <f>IF(COUNTBLANK(B15)=1," ",COUNTA($B$13:B15))</f>
        <v>2</v>
      </c>
      <c r="B15" s="121" t="s">
        <v>51</v>
      </c>
      <c r="C15" s="167" t="str">
        <f>apjoms!B22</f>
        <v>Siltumizolācijas akmensvates lameļu līmēšana pie pārseguma apakšas  ( Paroc CGL20 CY l≤0,037 W/m×K vai ekvivalents), b=150mm</v>
      </c>
      <c r="D15" s="166" t="s">
        <v>60</v>
      </c>
      <c r="E15" s="170">
        <f>E13</f>
        <v>453.3</v>
      </c>
      <c r="F15" s="43"/>
      <c r="G15" s="43"/>
      <c r="H15" s="24"/>
      <c r="I15" s="43"/>
      <c r="J15" s="43"/>
      <c r="K15" s="180"/>
      <c r="L15" s="123"/>
      <c r="M15" s="86"/>
      <c r="N15" s="86"/>
      <c r="O15" s="86"/>
      <c r="P15" s="86"/>
      <c r="Q15" s="86"/>
      <c r="R15" s="39"/>
      <c r="S15" s="39"/>
    </row>
    <row r="16" spans="1:19" s="9" customFormat="1" ht="11.25" x14ac:dyDescent="0.25">
      <c r="A16" s="185" t="str">
        <f>IF(COUNTBLANK(B16)=1," ",COUNTA($B$13:B16))</f>
        <v xml:space="preserve"> </v>
      </c>
      <c r="B16" s="180"/>
      <c r="C16" s="57" t="s">
        <v>73</v>
      </c>
      <c r="D16" s="180" t="s">
        <v>60</v>
      </c>
      <c r="E16" s="43">
        <f>E15*F16</f>
        <v>475.96500000000003</v>
      </c>
      <c r="F16" s="43">
        <v>1.05</v>
      </c>
      <c r="G16" s="180"/>
      <c r="H16" s="180"/>
      <c r="I16" s="180"/>
      <c r="J16" s="43"/>
      <c r="K16" s="43"/>
      <c r="L16" s="123"/>
      <c r="M16" s="86"/>
      <c r="N16" s="86"/>
      <c r="O16" s="86"/>
      <c r="P16" s="86"/>
      <c r="Q16" s="86"/>
    </row>
    <row r="17" spans="1:19" s="5" customFormat="1" ht="11.25" x14ac:dyDescent="0.25">
      <c r="A17" s="185" t="str">
        <f>IF(COUNTBLANK(B17)=1," ",COUNTA($B$13:B17))</f>
        <v xml:space="preserve"> </v>
      </c>
      <c r="B17" s="180"/>
      <c r="C17" s="57" t="s">
        <v>458</v>
      </c>
      <c r="D17" s="180" t="s">
        <v>72</v>
      </c>
      <c r="E17" s="43">
        <f>E15*F17</f>
        <v>3173.1</v>
      </c>
      <c r="F17" s="43">
        <v>7</v>
      </c>
      <c r="G17" s="43"/>
      <c r="H17" s="43"/>
      <c r="I17" s="43"/>
      <c r="J17" s="43"/>
      <c r="K17" s="43"/>
      <c r="L17" s="123"/>
      <c r="M17" s="86"/>
      <c r="N17" s="86"/>
      <c r="O17" s="86"/>
      <c r="P17" s="86"/>
      <c r="Q17" s="86"/>
    </row>
    <row r="18" spans="1:19" s="9" customFormat="1" ht="11.25" x14ac:dyDescent="0.25">
      <c r="A18" s="39"/>
      <c r="B18" s="50"/>
      <c r="C18" s="46"/>
      <c r="D18" s="39"/>
      <c r="E18" s="39"/>
      <c r="F18" s="39"/>
      <c r="G18" s="39"/>
      <c r="H18" s="51"/>
      <c r="I18" s="39"/>
      <c r="J18" s="52"/>
      <c r="K18" s="16"/>
      <c r="L18" s="52"/>
      <c r="M18" s="52"/>
      <c r="N18" s="52"/>
      <c r="O18" s="16"/>
      <c r="P18" s="16"/>
      <c r="Q18" s="16"/>
      <c r="R18" s="16"/>
      <c r="S18" s="21"/>
    </row>
    <row r="19" spans="1:19" ht="22.5" x14ac:dyDescent="0.25">
      <c r="A19" s="39"/>
      <c r="B19" s="39"/>
      <c r="C19" s="10" t="s">
        <v>91</v>
      </c>
      <c r="D19" s="9"/>
      <c r="E19" s="9"/>
      <c r="F19" s="9"/>
      <c r="G19" s="9"/>
      <c r="H19" s="5"/>
      <c r="I19" s="5"/>
      <c r="J19" s="9"/>
      <c r="K19" s="9"/>
      <c r="L19" s="9"/>
      <c r="M19" s="52">
        <f>SUM(M13:M17)</f>
        <v>0</v>
      </c>
      <c r="N19" s="52">
        <f>SUM(N13:N17)</f>
        <v>0</v>
      </c>
      <c r="O19" s="52">
        <f>SUM(O13:O17)</f>
        <v>0</v>
      </c>
      <c r="P19" s="52">
        <f>SUM(P13:P17)</f>
        <v>0</v>
      </c>
      <c r="Q19" s="52">
        <f>SUM(Q13:Q17)</f>
        <v>0</v>
      </c>
      <c r="R19" s="16"/>
      <c r="S19" s="16"/>
    </row>
    <row r="20" spans="1:19" x14ac:dyDescent="0.25">
      <c r="A20" s="9" t="str">
        <f>IF(COUNTBLANK(L20)=1," ",COUNTA($L$15:L20))</f>
        <v xml:space="preserve"> </v>
      </c>
      <c r="B20" s="39"/>
      <c r="C20" s="10"/>
      <c r="D20" s="9"/>
      <c r="E20" s="9"/>
      <c r="F20" s="9"/>
      <c r="G20" s="9"/>
      <c r="H20" s="5"/>
      <c r="I20" s="5"/>
      <c r="J20" s="9"/>
      <c r="K20" s="5"/>
      <c r="L20" s="9"/>
      <c r="M20" s="16"/>
      <c r="N20" s="9"/>
      <c r="O20" s="16"/>
      <c r="P20" s="16"/>
      <c r="Q20" s="16"/>
      <c r="R20" s="16"/>
      <c r="S20" s="5"/>
    </row>
    <row r="21" spans="1:19" s="177" customFormat="1" ht="11.25" x14ac:dyDescent="0.25">
      <c r="A21" s="183"/>
      <c r="B21" s="183"/>
      <c r="C21" s="46"/>
      <c r="D21" s="39"/>
      <c r="E21" s="39"/>
      <c r="F21" s="39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54"/>
    </row>
    <row r="22" spans="1:19" s="5" customFormat="1" ht="11.25" x14ac:dyDescent="0.25">
      <c r="A22" s="183"/>
      <c r="B22" s="21" t="s">
        <v>31</v>
      </c>
      <c r="C22" s="130"/>
      <c r="D22" s="21"/>
      <c r="E22" s="21"/>
      <c r="F22" s="21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</row>
    <row r="23" spans="1:19" x14ac:dyDescent="0.25">
      <c r="A23" s="183"/>
      <c r="B23" s="21"/>
      <c r="C23" s="229" t="s">
        <v>32</v>
      </c>
      <c r="D23" s="183"/>
      <c r="E23" s="183"/>
      <c r="F23" s="183"/>
      <c r="G23" s="21"/>
      <c r="H23" s="2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5"/>
    </row>
    <row r="24" spans="1:19" x14ac:dyDescent="0.25">
      <c r="A24" s="21"/>
      <c r="B24" s="5"/>
      <c r="C24" s="3"/>
      <c r="D24" s="5"/>
      <c r="E24" s="5"/>
      <c r="F24" s="5"/>
      <c r="G24" s="21"/>
      <c r="H24" s="21"/>
      <c r="I24" s="183"/>
      <c r="J24" s="183"/>
      <c r="K24" s="21"/>
      <c r="L24" s="21"/>
      <c r="M24" s="21"/>
      <c r="N24" s="21"/>
      <c r="O24" s="21"/>
      <c r="P24" s="21"/>
      <c r="Q24" s="21"/>
      <c r="R24" s="21"/>
      <c r="S24" s="5"/>
    </row>
    <row r="25" spans="1:19" x14ac:dyDescent="0.25">
      <c r="A25" s="21"/>
      <c r="B25" s="310" t="s">
        <v>476</v>
      </c>
      <c r="C25" s="130"/>
      <c r="D25" s="21"/>
      <c r="E25" s="21"/>
      <c r="F25" s="21"/>
      <c r="G25" s="21"/>
      <c r="H25" s="21"/>
      <c r="I25" s="183"/>
      <c r="J25" s="183"/>
      <c r="K25" s="21"/>
      <c r="L25" s="21"/>
      <c r="M25" s="21"/>
      <c r="N25" s="21"/>
      <c r="O25" s="21"/>
      <c r="P25" s="21"/>
      <c r="Q25" s="21"/>
      <c r="R25" s="21"/>
      <c r="S25" s="5"/>
    </row>
    <row r="26" spans="1:19" s="9" customFormat="1" ht="11.25" x14ac:dyDescent="0.25">
      <c r="A26" s="21"/>
      <c r="B26" s="5"/>
      <c r="C26" s="3"/>
      <c r="D26" s="5"/>
      <c r="E26" s="5"/>
      <c r="F26" s="5"/>
      <c r="G26" s="21"/>
      <c r="H26" s="21"/>
      <c r="I26" s="183"/>
      <c r="J26" s="183"/>
      <c r="K26" s="21"/>
      <c r="L26" s="21"/>
      <c r="M26" s="21"/>
      <c r="N26" s="21"/>
      <c r="O26" s="21"/>
      <c r="P26" s="21"/>
      <c r="Q26" s="21"/>
      <c r="R26" s="21"/>
      <c r="S26" s="5"/>
    </row>
    <row r="27" spans="1:19" x14ac:dyDescent="0.25">
      <c r="A27" s="21"/>
      <c r="B27" s="21" t="s">
        <v>33</v>
      </c>
      <c r="C27" s="130"/>
      <c r="D27" s="21"/>
      <c r="E27" s="21"/>
      <c r="F27" s="21"/>
      <c r="G27" s="21"/>
      <c r="H27" s="21"/>
      <c r="I27" s="183"/>
      <c r="J27" s="183"/>
      <c r="K27" s="21"/>
      <c r="L27" s="21"/>
      <c r="M27" s="21"/>
      <c r="N27" s="21"/>
      <c r="O27" s="21"/>
      <c r="P27" s="21"/>
      <c r="Q27" s="21"/>
      <c r="R27" s="21"/>
      <c r="S27" s="5"/>
    </row>
    <row r="28" spans="1:19" x14ac:dyDescent="0.25">
      <c r="A28" s="21"/>
      <c r="B28" s="21"/>
      <c r="C28" s="229" t="s">
        <v>32</v>
      </c>
      <c r="D28" s="183"/>
      <c r="E28" s="183"/>
      <c r="F28" s="183"/>
      <c r="G28" s="21"/>
      <c r="H28" s="21"/>
      <c r="I28" s="183"/>
      <c r="J28" s="183"/>
      <c r="K28" s="21"/>
      <c r="L28" s="21"/>
      <c r="M28" s="21"/>
      <c r="N28" s="21"/>
      <c r="O28" s="21"/>
      <c r="P28" s="21"/>
      <c r="Q28" s="21"/>
      <c r="R28" s="21"/>
    </row>
    <row r="29" spans="1:19" x14ac:dyDescent="0.25">
      <c r="A29" s="21"/>
      <c r="B29" s="5"/>
      <c r="C29" s="130" t="s">
        <v>34</v>
      </c>
      <c r="D29" s="21"/>
      <c r="E29" s="21"/>
      <c r="F29" s="21"/>
      <c r="G29" s="21"/>
      <c r="H29" s="21"/>
      <c r="I29" s="183"/>
      <c r="J29" s="183"/>
      <c r="K29" s="21"/>
      <c r="L29" s="21"/>
      <c r="M29" s="21"/>
      <c r="N29" s="21"/>
      <c r="O29" s="21"/>
      <c r="P29" s="21"/>
      <c r="Q29" s="21"/>
      <c r="R29" s="21"/>
    </row>
  </sheetData>
  <mergeCells count="8">
    <mergeCell ref="A8:P8"/>
    <mergeCell ref="A10:A11"/>
    <mergeCell ref="B10:B11"/>
    <mergeCell ref="C10:C11"/>
    <mergeCell ref="D10:D11"/>
    <mergeCell ref="E10:E11"/>
    <mergeCell ref="G10:L10"/>
    <mergeCell ref="M10:Q10"/>
  </mergeCells>
  <pageMargins left="0" right="0" top="0.39374999999999999" bottom="0.39374999999999999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MK73"/>
  <sheetViews>
    <sheetView view="pageBreakPreview" zoomScale="115" zoomScaleNormal="115" zoomScaleSheetLayoutView="115" zoomScalePageLayoutView="115" workbookViewId="0">
      <selection activeCell="B69" sqref="B69"/>
    </sheetView>
  </sheetViews>
  <sheetFormatPr defaultColWidth="9" defaultRowHeight="15" x14ac:dyDescent="0.25"/>
  <cols>
    <col min="1" max="2" width="6" style="21" customWidth="1"/>
    <col min="3" max="3" width="46.7109375" style="130" customWidth="1"/>
    <col min="4" max="4" width="4.7109375" style="21" customWidth="1"/>
    <col min="5" max="5" width="9.85546875" style="21" customWidth="1"/>
    <col min="6" max="6" width="5" style="21" hidden="1" customWidth="1"/>
    <col min="7" max="17" width="5" style="21" customWidth="1"/>
    <col min="18" max="18" width="7.5703125" style="21" customWidth="1"/>
    <col min="19" max="19" width="11.5703125" style="21" customWidth="1"/>
    <col min="20" max="28" width="9.140625" style="21" customWidth="1"/>
    <col min="29" max="66" width="8.140625" style="21" customWidth="1"/>
    <col min="67" max="1004" width="1.42578125" style="21" customWidth="1"/>
    <col min="1005" max="1008" width="8.28515625" style="21" customWidth="1"/>
    <col min="1009" max="1013" width="8.85546875" style="21" customWidth="1"/>
    <col min="1014" max="1025" width="9" style="21" customWidth="1"/>
    <col min="1026" max="16384" width="9" style="198"/>
  </cols>
  <sheetData>
    <row r="1" spans="1:19" s="21" customFormat="1" ht="11.25" x14ac:dyDescent="0.25">
      <c r="B1" s="5"/>
      <c r="C1" s="3"/>
      <c r="D1" s="309" t="s">
        <v>35</v>
      </c>
      <c r="E1" s="201">
        <f>kpdv!B17</f>
        <v>6</v>
      </c>
      <c r="F1" s="5"/>
      <c r="G1" s="5"/>
      <c r="H1" s="183"/>
      <c r="I1" s="5"/>
      <c r="J1" s="5"/>
      <c r="K1" s="5"/>
      <c r="L1" s="5"/>
      <c r="M1" s="5"/>
      <c r="N1" s="5"/>
      <c r="O1" s="5"/>
      <c r="P1" s="5"/>
      <c r="Q1" s="5"/>
    </row>
    <row r="2" spans="1:19" x14ac:dyDescent="0.25">
      <c r="A2" s="5"/>
      <c r="B2" s="5"/>
      <c r="C2" s="3"/>
      <c r="D2" s="177" t="s">
        <v>276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9" x14ac:dyDescent="0.25">
      <c r="A3" s="308" t="str">
        <f>KOP!A3</f>
        <v>Būves nosaukums:  Dzīvojamās māja</v>
      </c>
      <c r="B3" s="312"/>
      <c r="C3" s="2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9" x14ac:dyDescent="0.25">
      <c r="A4" s="308" t="str">
        <f>KOP!A4</f>
        <v>Objekta nosaukums: Dzīvojamās ēkas fasādes vienkāršota atjaunošana</v>
      </c>
      <c r="B4" s="312"/>
      <c r="C4" s="2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9" x14ac:dyDescent="0.25">
      <c r="A5" s="308" t="str">
        <f>KOP!A5</f>
        <v>Objekta adrese: Turaidas iela 8a, Liepājā</v>
      </c>
      <c r="B5" s="312"/>
      <c r="C5" s="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9" x14ac:dyDescent="0.25">
      <c r="A6" s="308" t="str">
        <f>KOP!A6</f>
        <v>Pasūtījuma Nr.EA-79-16</v>
      </c>
      <c r="B6" s="312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x14ac:dyDescent="0.25">
      <c r="B7" s="5"/>
      <c r="C7" s="222" t="s">
        <v>479</v>
      </c>
      <c r="D7" s="5" t="s">
        <v>37</v>
      </c>
      <c r="E7" s="310" t="s">
        <v>38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9" x14ac:dyDescent="0.25">
      <c r="A8" s="338" t="s">
        <v>39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92">
        <f>Q63</f>
        <v>0</v>
      </c>
    </row>
    <row r="9" spans="1:19" x14ac:dyDescent="0.25">
      <c r="A9" s="5"/>
      <c r="B9" s="5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97"/>
      <c r="Q9" s="309" t="s">
        <v>476</v>
      </c>
    </row>
    <row r="10" spans="1:19" ht="10.15" customHeight="1" x14ac:dyDescent="0.25">
      <c r="A10" s="320" t="s">
        <v>1</v>
      </c>
      <c r="B10" s="320" t="s">
        <v>40</v>
      </c>
      <c r="C10" s="321" t="s">
        <v>41</v>
      </c>
      <c r="D10" s="331" t="s">
        <v>42</v>
      </c>
      <c r="E10" s="320" t="s">
        <v>43</v>
      </c>
      <c r="F10" s="179"/>
      <c r="G10" s="332" t="s">
        <v>44</v>
      </c>
      <c r="H10" s="332"/>
      <c r="I10" s="332"/>
      <c r="J10" s="332"/>
      <c r="K10" s="332"/>
      <c r="L10" s="332"/>
      <c r="M10" s="332" t="s">
        <v>45</v>
      </c>
      <c r="N10" s="332"/>
      <c r="O10" s="332"/>
      <c r="P10" s="332"/>
      <c r="Q10" s="332"/>
    </row>
    <row r="11" spans="1:19" ht="72" x14ac:dyDescent="0.25">
      <c r="A11" s="320"/>
      <c r="B11" s="320"/>
      <c r="C11" s="321"/>
      <c r="D11" s="331"/>
      <c r="E11" s="320"/>
      <c r="F11" s="179"/>
      <c r="G11" s="179" t="s">
        <v>46</v>
      </c>
      <c r="H11" s="22" t="s">
        <v>480</v>
      </c>
      <c r="I11" s="22" t="s">
        <v>47</v>
      </c>
      <c r="J11" s="22" t="s">
        <v>481</v>
      </c>
      <c r="K11" s="22" t="s">
        <v>48</v>
      </c>
      <c r="L11" s="22" t="s">
        <v>482</v>
      </c>
      <c r="M11" s="179" t="s">
        <v>50</v>
      </c>
      <c r="N11" s="22" t="s">
        <v>47</v>
      </c>
      <c r="O11" s="22" t="s">
        <v>483</v>
      </c>
      <c r="P11" s="22" t="s">
        <v>48</v>
      </c>
      <c r="Q11" s="22" t="s">
        <v>49</v>
      </c>
    </row>
    <row r="12" spans="1:19" x14ac:dyDescent="0.25">
      <c r="A12" s="23">
        <v>1</v>
      </c>
      <c r="B12" s="23">
        <f>A12+1</f>
        <v>2</v>
      </c>
      <c r="C12" s="224">
        <v>3</v>
      </c>
      <c r="D12" s="23">
        <f>C12+1</f>
        <v>4</v>
      </c>
      <c r="E12" s="23">
        <f>D12+1</f>
        <v>5</v>
      </c>
      <c r="F12" s="131"/>
      <c r="G12" s="23">
        <f>E12+1</f>
        <v>6</v>
      </c>
      <c r="H12" s="23">
        <f t="shared" ref="H12:Q12" si="0">G12+1</f>
        <v>7</v>
      </c>
      <c r="I12" s="23">
        <f t="shared" si="0"/>
        <v>8</v>
      </c>
      <c r="J12" s="23">
        <f t="shared" si="0"/>
        <v>9</v>
      </c>
      <c r="K12" s="23">
        <f t="shared" si="0"/>
        <v>10</v>
      </c>
      <c r="L12" s="23">
        <f t="shared" si="0"/>
        <v>11</v>
      </c>
      <c r="M12" s="23">
        <f t="shared" si="0"/>
        <v>12</v>
      </c>
      <c r="N12" s="23">
        <f t="shared" si="0"/>
        <v>13</v>
      </c>
      <c r="O12" s="23">
        <f t="shared" si="0"/>
        <v>14</v>
      </c>
      <c r="P12" s="23">
        <f t="shared" si="0"/>
        <v>15</v>
      </c>
      <c r="Q12" s="23">
        <f t="shared" si="0"/>
        <v>16</v>
      </c>
    </row>
    <row r="13" spans="1:19" s="9" customFormat="1" ht="11.25" x14ac:dyDescent="0.25">
      <c r="A13" s="180">
        <f>IF(COUNTBLANK(B13)=1," ",COUNTA($B13:B$13))</f>
        <v>1</v>
      </c>
      <c r="B13" s="121" t="s">
        <v>51</v>
      </c>
      <c r="C13" s="87" t="s">
        <v>512</v>
      </c>
      <c r="D13" s="261" t="s">
        <v>500</v>
      </c>
      <c r="E13" s="262">
        <v>12</v>
      </c>
      <c r="F13" s="185"/>
      <c r="G13" s="42"/>
      <c r="H13" s="43"/>
      <c r="I13" s="42"/>
      <c r="J13" s="42"/>
      <c r="K13" s="42"/>
      <c r="L13" s="123"/>
      <c r="M13" s="86"/>
      <c r="N13" s="86"/>
      <c r="O13" s="86"/>
      <c r="P13" s="86"/>
      <c r="Q13" s="86"/>
    </row>
    <row r="14" spans="1:19" s="9" customFormat="1" ht="11.25" x14ac:dyDescent="0.25">
      <c r="A14" s="265">
        <f>IF(COUNTBLANK(B14)=1," ",COUNTA($B$13:B14))</f>
        <v>2</v>
      </c>
      <c r="B14" s="266" t="s">
        <v>51</v>
      </c>
      <c r="C14" s="227" t="s">
        <v>501</v>
      </c>
      <c r="D14" s="261" t="s">
        <v>500</v>
      </c>
      <c r="E14" s="262">
        <f>12*4</f>
        <v>48</v>
      </c>
      <c r="F14" s="251"/>
      <c r="G14" s="254"/>
      <c r="H14" s="255"/>
      <c r="I14" s="254"/>
      <c r="J14" s="254"/>
      <c r="K14" s="254"/>
      <c r="L14" s="123"/>
      <c r="M14" s="86"/>
      <c r="N14" s="86"/>
      <c r="O14" s="86"/>
      <c r="P14" s="86"/>
      <c r="Q14" s="86"/>
    </row>
    <row r="15" spans="1:19" x14ac:dyDescent="0.25">
      <c r="A15" s="286" t="str">
        <f>IF(COUNTBLANK(B15)=1," ",COUNTA($B$13:B15))</f>
        <v xml:space="preserve"> </v>
      </c>
      <c r="B15" s="121"/>
      <c r="C15" s="93" t="s">
        <v>277</v>
      </c>
      <c r="D15" s="185" t="s">
        <v>228</v>
      </c>
      <c r="E15" s="122">
        <v>48</v>
      </c>
      <c r="F15" s="185"/>
      <c r="G15" s="42"/>
      <c r="H15" s="43"/>
      <c r="I15" s="42"/>
      <c r="J15" s="42"/>
      <c r="K15" s="42"/>
      <c r="L15" s="123"/>
      <c r="M15" s="86"/>
      <c r="N15" s="86"/>
      <c r="O15" s="86"/>
      <c r="P15" s="86"/>
      <c r="Q15" s="86"/>
    </row>
    <row r="16" spans="1:19" s="5" customFormat="1" ht="22.5" x14ac:dyDescent="0.25">
      <c r="A16" s="286">
        <f>IF(COUNTBLANK(B16)=1," ",COUNTA($B$13:B16))</f>
        <v>3</v>
      </c>
      <c r="B16" s="121" t="s">
        <v>51</v>
      </c>
      <c r="C16" s="161" t="s">
        <v>278</v>
      </c>
      <c r="D16" s="160" t="s">
        <v>60</v>
      </c>
      <c r="E16" s="158">
        <f>E15*(3*1+5*0.15)</f>
        <v>180</v>
      </c>
      <c r="F16" s="42"/>
      <c r="G16" s="42"/>
      <c r="H16" s="43"/>
      <c r="I16" s="42"/>
      <c r="J16" s="43"/>
      <c r="K16" s="42"/>
      <c r="L16" s="123"/>
      <c r="M16" s="86"/>
      <c r="N16" s="86"/>
      <c r="O16" s="86"/>
      <c r="P16" s="86"/>
      <c r="Q16" s="86"/>
      <c r="S16" s="203"/>
    </row>
    <row r="17" spans="1:19" x14ac:dyDescent="0.25">
      <c r="A17" s="286" t="str">
        <f>IF(COUNTBLANK(B17)=1," ",COUNTA($B$13:B17))</f>
        <v xml:space="preserve"> </v>
      </c>
      <c r="B17" s="185"/>
      <c r="C17" s="161" t="s">
        <v>459</v>
      </c>
      <c r="D17" s="160" t="s">
        <v>89</v>
      </c>
      <c r="E17" s="160">
        <f>E16*F17</f>
        <v>18</v>
      </c>
      <c r="F17" s="124">
        <v>0.1</v>
      </c>
      <c r="G17" s="42"/>
      <c r="H17" s="43"/>
      <c r="I17" s="42"/>
      <c r="J17" s="43"/>
      <c r="K17" s="42"/>
      <c r="L17" s="123"/>
      <c r="M17" s="86"/>
      <c r="N17" s="86"/>
      <c r="O17" s="86"/>
      <c r="P17" s="86"/>
      <c r="Q17" s="86"/>
      <c r="R17" s="5"/>
      <c r="S17" s="5"/>
    </row>
    <row r="18" spans="1:19" ht="33.75" x14ac:dyDescent="0.25">
      <c r="A18" s="286">
        <f>IF(COUNTBLANK(B18)=1," ",COUNTA($B$13:B18))</f>
        <v>4</v>
      </c>
      <c r="B18" s="121" t="s">
        <v>51</v>
      </c>
      <c r="C18" s="161" t="s">
        <v>460</v>
      </c>
      <c r="D18" s="160" t="s">
        <v>60</v>
      </c>
      <c r="E18" s="158">
        <f>E16</f>
        <v>180</v>
      </c>
      <c r="F18" s="42"/>
      <c r="G18" s="42"/>
      <c r="H18" s="42"/>
      <c r="I18" s="42"/>
      <c r="J18" s="125"/>
      <c r="K18" s="42"/>
      <c r="L18" s="123"/>
      <c r="M18" s="86"/>
      <c r="N18" s="86"/>
      <c r="O18" s="86"/>
      <c r="P18" s="86"/>
      <c r="Q18" s="86"/>
      <c r="R18" s="5"/>
      <c r="S18" s="203"/>
    </row>
    <row r="19" spans="1:19" s="5" customFormat="1" ht="11.25" x14ac:dyDescent="0.25">
      <c r="A19" s="286" t="str">
        <f>IF(COUNTBLANK(B19)=1," ",COUNTA($B$13:B19))</f>
        <v xml:space="preserve"> </v>
      </c>
      <c r="B19" s="185"/>
      <c r="C19" s="161" t="s">
        <v>461</v>
      </c>
      <c r="D19" s="160" t="s">
        <v>89</v>
      </c>
      <c r="E19" s="160">
        <f>E18*F19</f>
        <v>9</v>
      </c>
      <c r="F19" s="124">
        <v>0.05</v>
      </c>
      <c r="G19" s="42"/>
      <c r="H19" s="43"/>
      <c r="I19" s="42"/>
      <c r="J19" s="42"/>
      <c r="K19" s="42"/>
      <c r="L19" s="123"/>
      <c r="M19" s="86"/>
      <c r="N19" s="86"/>
      <c r="O19" s="86"/>
      <c r="P19" s="86"/>
      <c r="Q19" s="86"/>
      <c r="S19" s="203"/>
    </row>
    <row r="20" spans="1:19" s="5" customFormat="1" ht="11.25" x14ac:dyDescent="0.25">
      <c r="A20" s="286">
        <f>IF(COUNTBLANK(B20)=1," ",COUNTA($B$13:B20))</f>
        <v>5</v>
      </c>
      <c r="B20" s="121" t="s">
        <v>51</v>
      </c>
      <c r="C20" s="161" t="s">
        <v>279</v>
      </c>
      <c r="D20" s="151" t="s">
        <v>60</v>
      </c>
      <c r="E20" s="158">
        <f>E16</f>
        <v>180</v>
      </c>
      <c r="F20" s="185"/>
      <c r="G20" s="43"/>
      <c r="H20" s="43"/>
      <c r="I20" s="43"/>
      <c r="J20" s="126"/>
      <c r="K20" s="182"/>
      <c r="L20" s="123"/>
      <c r="M20" s="86"/>
      <c r="N20" s="86"/>
      <c r="O20" s="86"/>
      <c r="P20" s="86"/>
      <c r="Q20" s="86"/>
      <c r="S20" s="203"/>
    </row>
    <row r="21" spans="1:19" ht="33.75" x14ac:dyDescent="0.25">
      <c r="A21" s="286">
        <f>IF(COUNTBLANK(B21)=1," ",COUNTA($B$13:B21))</f>
        <v>6</v>
      </c>
      <c r="B21" s="121" t="s">
        <v>51</v>
      </c>
      <c r="C21" s="161" t="s">
        <v>462</v>
      </c>
      <c r="D21" s="151" t="s">
        <v>60</v>
      </c>
      <c r="E21" s="158">
        <f>E20*0.3</f>
        <v>54</v>
      </c>
      <c r="F21" s="43"/>
      <c r="G21" s="43"/>
      <c r="H21" s="43"/>
      <c r="I21" s="43"/>
      <c r="J21" s="43"/>
      <c r="K21" s="43"/>
      <c r="L21" s="123"/>
      <c r="M21" s="86"/>
      <c r="N21" s="86"/>
      <c r="O21" s="86"/>
      <c r="P21" s="86"/>
      <c r="Q21" s="86"/>
      <c r="R21" s="5"/>
      <c r="S21" s="203"/>
    </row>
    <row r="22" spans="1:19" ht="22.5" x14ac:dyDescent="0.25">
      <c r="A22" s="286" t="str">
        <f>IF(COUNTBLANK(B22)=1," ",COUNTA($B$13:B22))</f>
        <v xml:space="preserve"> </v>
      </c>
      <c r="B22" s="121"/>
      <c r="C22" s="232" t="s">
        <v>463</v>
      </c>
      <c r="D22" s="151" t="s">
        <v>72</v>
      </c>
      <c r="E22" s="158">
        <f>E21*F22</f>
        <v>91.8</v>
      </c>
      <c r="F22" s="43">
        <v>1.7</v>
      </c>
      <c r="G22" s="43"/>
      <c r="H22" s="43"/>
      <c r="I22" s="43"/>
      <c r="J22" s="128"/>
      <c r="K22" s="182"/>
      <c r="L22" s="123"/>
      <c r="M22" s="86"/>
      <c r="N22" s="86"/>
      <c r="O22" s="86"/>
      <c r="P22" s="86"/>
      <c r="Q22" s="86"/>
    </row>
    <row r="23" spans="1:19" ht="45" x14ac:dyDescent="0.25">
      <c r="A23" s="286">
        <f>IF(COUNTBLANK(B23)=1," ",COUNTA($B$13:B23))</f>
        <v>7</v>
      </c>
      <c r="B23" s="121" t="s">
        <v>51</v>
      </c>
      <c r="C23" s="161" t="s">
        <v>484</v>
      </c>
      <c r="D23" s="151" t="s">
        <v>60</v>
      </c>
      <c r="E23" s="158">
        <f>E20</f>
        <v>180</v>
      </c>
      <c r="F23" s="185"/>
      <c r="G23" s="43"/>
      <c r="H23" s="43"/>
      <c r="I23" s="43"/>
      <c r="J23" s="43"/>
      <c r="K23" s="43"/>
      <c r="L23" s="123"/>
      <c r="M23" s="86"/>
      <c r="N23" s="86"/>
      <c r="O23" s="86"/>
      <c r="P23" s="86"/>
      <c r="Q23" s="86"/>
      <c r="R23" s="5"/>
      <c r="S23" s="203"/>
    </row>
    <row r="24" spans="1:19" s="5" customFormat="1" ht="33.75" x14ac:dyDescent="0.25">
      <c r="A24" s="286" t="str">
        <f>IF(COUNTBLANK(B24)=1," ",COUNTA($B$13:B24))</f>
        <v xml:space="preserve"> </v>
      </c>
      <c r="B24" s="121"/>
      <c r="C24" s="232" t="s">
        <v>464</v>
      </c>
      <c r="D24" s="151" t="s">
        <v>72</v>
      </c>
      <c r="E24" s="158">
        <f>E23*20*F24</f>
        <v>7200</v>
      </c>
      <c r="F24" s="185">
        <v>2</v>
      </c>
      <c r="G24" s="43"/>
      <c r="H24" s="43"/>
      <c r="I24" s="43"/>
      <c r="J24" s="43"/>
      <c r="K24" s="182"/>
      <c r="L24" s="123"/>
      <c r="M24" s="86"/>
      <c r="N24" s="86"/>
      <c r="O24" s="86"/>
      <c r="P24" s="86"/>
      <c r="Q24" s="86"/>
    </row>
    <row r="25" spans="1:19" ht="33.75" x14ac:dyDescent="0.25">
      <c r="A25" s="286">
        <f>IF(COUNTBLANK(B25)=1," ",COUNTA($B$13:B25))</f>
        <v>8</v>
      </c>
      <c r="B25" s="121" t="s">
        <v>51</v>
      </c>
      <c r="C25" s="161" t="s">
        <v>485</v>
      </c>
      <c r="D25" s="151" t="s">
        <v>60</v>
      </c>
      <c r="E25" s="158">
        <f>E15*(3*1)</f>
        <v>144</v>
      </c>
      <c r="F25" s="185"/>
      <c r="G25" s="43"/>
      <c r="H25" s="43"/>
      <c r="I25" s="43"/>
      <c r="J25" s="43"/>
      <c r="K25" s="43"/>
      <c r="L25" s="123"/>
      <c r="M25" s="86"/>
      <c r="N25" s="86"/>
      <c r="O25" s="86"/>
      <c r="P25" s="86"/>
      <c r="Q25" s="86"/>
      <c r="R25" s="5"/>
      <c r="S25" s="203"/>
    </row>
    <row r="26" spans="1:19" ht="22.5" x14ac:dyDescent="0.25">
      <c r="A26" s="286" t="str">
        <f>IF(COUNTBLANK(B26)=1," ",COUNTA($B$13:B26))</f>
        <v xml:space="preserve"> </v>
      </c>
      <c r="B26" s="121"/>
      <c r="C26" s="232" t="s">
        <v>465</v>
      </c>
      <c r="D26" s="151" t="s">
        <v>72</v>
      </c>
      <c r="E26" s="158">
        <f>E25*2*F26</f>
        <v>432</v>
      </c>
      <c r="F26" s="185">
        <v>1.5</v>
      </c>
      <c r="G26" s="43"/>
      <c r="H26" s="43"/>
      <c r="I26" s="43"/>
      <c r="J26" s="128"/>
      <c r="K26" s="182"/>
      <c r="L26" s="123"/>
      <c r="M26" s="86"/>
      <c r="N26" s="86"/>
      <c r="O26" s="86"/>
      <c r="P26" s="86"/>
      <c r="Q26" s="86"/>
    </row>
    <row r="27" spans="1:19" ht="33.75" x14ac:dyDescent="0.25">
      <c r="A27" s="286">
        <f>IF(COUNTBLANK(B27)=1," ",COUNTA($B$13:B27))</f>
        <v>9</v>
      </c>
      <c r="B27" s="121" t="s">
        <v>51</v>
      </c>
      <c r="C27" s="161" t="s">
        <v>486</v>
      </c>
      <c r="D27" s="151" t="s">
        <v>60</v>
      </c>
      <c r="E27" s="160">
        <f>E25</f>
        <v>144</v>
      </c>
      <c r="F27" s="185"/>
      <c r="G27" s="43"/>
      <c r="H27" s="43"/>
      <c r="I27" s="43"/>
      <c r="J27" s="43"/>
      <c r="K27" s="43"/>
      <c r="L27" s="123"/>
      <c r="M27" s="86"/>
      <c r="N27" s="86"/>
      <c r="O27" s="86"/>
      <c r="P27" s="86"/>
      <c r="Q27" s="86"/>
      <c r="R27" s="5"/>
      <c r="S27" s="203"/>
    </row>
    <row r="28" spans="1:19" ht="33.75" x14ac:dyDescent="0.25">
      <c r="A28" s="286" t="str">
        <f>IF(COUNTBLANK(B28)=1," ",COUNTA($B$13:B28))</f>
        <v xml:space="preserve"> </v>
      </c>
      <c r="B28" s="121"/>
      <c r="C28" s="302" t="s">
        <v>525</v>
      </c>
      <c r="D28" s="151" t="s">
        <v>72</v>
      </c>
      <c r="E28" s="160">
        <f>E27*F28</f>
        <v>604.79999999999995</v>
      </c>
      <c r="F28" s="185">
        <f>2.8*1.5</f>
        <v>4.1999999999999993</v>
      </c>
      <c r="G28" s="43"/>
      <c r="H28" s="43"/>
      <c r="I28" s="43"/>
      <c r="J28" s="128"/>
      <c r="K28" s="43"/>
      <c r="L28" s="123"/>
      <c r="M28" s="86"/>
      <c r="N28" s="86"/>
      <c r="O28" s="86"/>
      <c r="P28" s="86"/>
      <c r="Q28" s="86"/>
    </row>
    <row r="29" spans="1:19" x14ac:dyDescent="0.25">
      <c r="A29" s="286" t="str">
        <f>IF(COUNTBLANK(B29)=1," ",COUNTA($B$13:B29))</f>
        <v xml:space="preserve"> </v>
      </c>
      <c r="B29" s="121"/>
      <c r="C29" s="232" t="s">
        <v>280</v>
      </c>
      <c r="D29" s="151" t="s">
        <v>53</v>
      </c>
      <c r="E29" s="160">
        <f>E15*F29</f>
        <v>480</v>
      </c>
      <c r="F29" s="185">
        <f>5*2</f>
        <v>10</v>
      </c>
      <c r="G29" s="43"/>
      <c r="H29" s="43"/>
      <c r="I29" s="43"/>
      <c r="J29" s="128"/>
      <c r="K29" s="43"/>
      <c r="L29" s="123"/>
      <c r="M29" s="86"/>
      <c r="N29" s="86"/>
      <c r="O29" s="86"/>
      <c r="P29" s="86"/>
      <c r="Q29" s="86"/>
    </row>
    <row r="30" spans="1:19" ht="22.5" x14ac:dyDescent="0.25">
      <c r="A30" s="286">
        <f>IF(COUNTBLANK(B30)=1," ",COUNTA($B$13:B30))</f>
        <v>10</v>
      </c>
      <c r="B30" s="252" t="s">
        <v>51</v>
      </c>
      <c r="C30" s="295" t="s">
        <v>466</v>
      </c>
      <c r="D30" s="296" t="s">
        <v>60</v>
      </c>
      <c r="E30" s="297">
        <f>E23</f>
        <v>180</v>
      </c>
      <c r="F30" s="251"/>
      <c r="G30" s="255"/>
      <c r="H30" s="255"/>
      <c r="I30" s="255"/>
      <c r="J30" s="255"/>
      <c r="K30" s="255"/>
      <c r="L30" s="123"/>
      <c r="M30" s="86"/>
      <c r="N30" s="86"/>
      <c r="O30" s="86"/>
      <c r="P30" s="86"/>
      <c r="Q30" s="86"/>
      <c r="R30" s="5"/>
      <c r="S30" s="203"/>
    </row>
    <row r="31" spans="1:19" ht="22.5" x14ac:dyDescent="0.25">
      <c r="A31" s="286" t="str">
        <f>IF(COUNTBLANK(B31)=1," ",COUNTA($B$13:B31))</f>
        <v xml:space="preserve"> </v>
      </c>
      <c r="B31" s="252"/>
      <c r="C31" s="298" t="s">
        <v>467</v>
      </c>
      <c r="D31" s="251" t="s">
        <v>102</v>
      </c>
      <c r="E31" s="254">
        <f>E30*F31</f>
        <v>54</v>
      </c>
      <c r="F31" s="251">
        <v>0.3</v>
      </c>
      <c r="G31" s="255"/>
      <c r="H31" s="255"/>
      <c r="I31" s="255"/>
      <c r="J31" s="299"/>
      <c r="K31" s="255"/>
      <c r="L31" s="123"/>
      <c r="M31" s="86"/>
      <c r="N31" s="86"/>
      <c r="O31" s="86"/>
      <c r="P31" s="86"/>
      <c r="Q31" s="86"/>
    </row>
    <row r="32" spans="1:19" x14ac:dyDescent="0.25">
      <c r="A32" s="286" t="str">
        <f>IF(COUNTBLANK(B32)=1," ",COUNTA($B$13:B32))</f>
        <v xml:space="preserve"> </v>
      </c>
      <c r="B32" s="252"/>
      <c r="C32" s="289" t="s">
        <v>281</v>
      </c>
      <c r="D32" s="251" t="s">
        <v>102</v>
      </c>
      <c r="E32" s="254">
        <f>E31</f>
        <v>54</v>
      </c>
      <c r="F32" s="251"/>
      <c r="G32" s="255"/>
      <c r="H32" s="255"/>
      <c r="I32" s="255"/>
      <c r="J32" s="255"/>
      <c r="K32" s="255"/>
      <c r="L32" s="123"/>
      <c r="M32" s="86"/>
      <c r="N32" s="86"/>
      <c r="O32" s="86"/>
      <c r="P32" s="86"/>
      <c r="Q32" s="86"/>
    </row>
    <row r="33" spans="1:19" ht="22.5" x14ac:dyDescent="0.25">
      <c r="A33" s="286">
        <f>IF(COUNTBLANK(B33)=1," ",COUNTA($B$13:B33))</f>
        <v>11</v>
      </c>
      <c r="B33" s="252" t="s">
        <v>51</v>
      </c>
      <c r="C33" s="290" t="s">
        <v>526</v>
      </c>
      <c r="D33" s="303" t="s">
        <v>53</v>
      </c>
      <c r="E33" s="304">
        <f>5.2*E37</f>
        <v>249.60000000000002</v>
      </c>
      <c r="F33" s="303"/>
      <c r="G33" s="305"/>
      <c r="H33" s="305"/>
      <c r="I33" s="305"/>
      <c r="J33" s="305"/>
      <c r="K33" s="305"/>
      <c r="L33" s="306"/>
      <c r="M33" s="307"/>
      <c r="N33" s="307"/>
      <c r="O33" s="307"/>
      <c r="P33" s="307"/>
      <c r="Q33" s="307"/>
    </row>
    <row r="34" spans="1:19" x14ac:dyDescent="0.25">
      <c r="A34" s="286" t="str">
        <f>IF(COUNTBLANK(B34)=1," ",COUNTA($B$13:B34))</f>
        <v xml:space="preserve"> </v>
      </c>
      <c r="B34" s="252"/>
      <c r="C34" s="290" t="s">
        <v>524</v>
      </c>
      <c r="D34" s="303" t="s">
        <v>56</v>
      </c>
      <c r="E34" s="304">
        <f>E33/0.2*3</f>
        <v>3744</v>
      </c>
      <c r="F34" s="303"/>
      <c r="G34" s="305"/>
      <c r="H34" s="305"/>
      <c r="I34" s="305"/>
      <c r="J34" s="305"/>
      <c r="K34" s="305"/>
      <c r="L34" s="306"/>
      <c r="M34" s="307"/>
      <c r="N34" s="307"/>
      <c r="O34" s="307"/>
      <c r="P34" s="307"/>
      <c r="Q34" s="307"/>
    </row>
    <row r="35" spans="1:19" x14ac:dyDescent="0.25">
      <c r="A35" s="286" t="str">
        <f>IF(COUNTBLANK(B35)=1," ",COUNTA($B$13:B35))</f>
        <v xml:space="preserve"> </v>
      </c>
      <c r="B35" s="252"/>
      <c r="C35" s="290" t="s">
        <v>523</v>
      </c>
      <c r="D35" s="303" t="s">
        <v>53</v>
      </c>
      <c r="E35" s="304">
        <f>E33</f>
        <v>249.60000000000002</v>
      </c>
      <c r="F35" s="303"/>
      <c r="G35" s="305"/>
      <c r="H35" s="305"/>
      <c r="I35" s="305"/>
      <c r="J35" s="305"/>
      <c r="K35" s="305"/>
      <c r="L35" s="306"/>
      <c r="M35" s="307"/>
      <c r="N35" s="307"/>
      <c r="O35" s="307"/>
      <c r="P35" s="307"/>
      <c r="Q35" s="307"/>
    </row>
    <row r="36" spans="1:19" x14ac:dyDescent="0.25">
      <c r="A36" s="286">
        <f>IF(COUNTBLANK(B36)=1," ",COUNTA($B$13:B36))</f>
        <v>12</v>
      </c>
      <c r="B36" s="252" t="s">
        <v>51</v>
      </c>
      <c r="C36" s="300" t="s">
        <v>282</v>
      </c>
      <c r="D36" s="291"/>
      <c r="E36" s="291"/>
      <c r="F36" s="255"/>
      <c r="G36" s="255"/>
      <c r="H36" s="255"/>
      <c r="I36" s="255"/>
      <c r="J36" s="255"/>
      <c r="K36" s="255"/>
      <c r="L36" s="123"/>
      <c r="M36" s="86"/>
      <c r="N36" s="86"/>
      <c r="O36" s="86"/>
      <c r="P36" s="86"/>
      <c r="Q36" s="86"/>
    </row>
    <row r="37" spans="1:19" x14ac:dyDescent="0.25">
      <c r="A37" s="286">
        <f>IF(COUNTBLANK(B37)=1," ",COUNTA($B$13:B37))</f>
        <v>13</v>
      </c>
      <c r="B37" s="252" t="s">
        <v>51</v>
      </c>
      <c r="C37" s="301" t="s">
        <v>283</v>
      </c>
      <c r="D37" s="292" t="s">
        <v>228</v>
      </c>
      <c r="E37" s="293">
        <f>E15</f>
        <v>48</v>
      </c>
      <c r="F37" s="291"/>
      <c r="G37" s="255"/>
      <c r="H37" s="255"/>
      <c r="I37" s="255"/>
      <c r="J37" s="294"/>
      <c r="K37" s="255"/>
      <c r="L37" s="123"/>
      <c r="M37" s="86"/>
      <c r="N37" s="86"/>
      <c r="O37" s="86"/>
      <c r="P37" s="86"/>
      <c r="Q37" s="86"/>
    </row>
    <row r="38" spans="1:19" x14ac:dyDescent="0.25">
      <c r="A38" s="286">
        <f>IF(COUNTBLANK(B38)=1," ",COUNTA($B$13:B38))</f>
        <v>14</v>
      </c>
      <c r="B38" s="252" t="s">
        <v>51</v>
      </c>
      <c r="C38" s="301" t="s">
        <v>284</v>
      </c>
      <c r="D38" s="292" t="s">
        <v>228</v>
      </c>
      <c r="E38" s="293">
        <f>E37</f>
        <v>48</v>
      </c>
      <c r="F38" s="291"/>
      <c r="G38" s="255"/>
      <c r="H38" s="255"/>
      <c r="I38" s="255"/>
      <c r="J38" s="294"/>
      <c r="K38" s="255"/>
      <c r="L38" s="123"/>
      <c r="M38" s="86"/>
      <c r="N38" s="86"/>
      <c r="O38" s="86"/>
      <c r="P38" s="86"/>
      <c r="Q38" s="86"/>
    </row>
    <row r="39" spans="1:19" x14ac:dyDescent="0.25">
      <c r="A39" s="286" t="str">
        <f>IF(COUNTBLANK(B39)=1," ",COUNTA($B$13:B39))</f>
        <v xml:space="preserve"> </v>
      </c>
      <c r="B39" s="111"/>
      <c r="C39" s="233" t="str">
        <f>apjoms!B28</f>
        <v>Balkona margu caurule Ø42x1,5</v>
      </c>
      <c r="D39" s="182" t="s">
        <v>72</v>
      </c>
      <c r="E39" s="43">
        <f>apjoms!H28</f>
        <v>360</v>
      </c>
      <c r="F39" s="83"/>
      <c r="G39" s="83"/>
      <c r="H39" s="43"/>
      <c r="I39" s="43"/>
      <c r="J39" s="43"/>
      <c r="K39" s="43"/>
      <c r="L39" s="123"/>
      <c r="M39" s="86"/>
      <c r="N39" s="86"/>
      <c r="O39" s="86"/>
      <c r="P39" s="86"/>
      <c r="Q39" s="86"/>
    </row>
    <row r="40" spans="1:19" x14ac:dyDescent="0.25">
      <c r="A40" s="286" t="str">
        <f>IF(COUNTBLANK(B40)=1," ",COUNTA($B$13:B40))</f>
        <v xml:space="preserve"> </v>
      </c>
      <c r="B40" s="111"/>
      <c r="C40" s="233" t="str">
        <f>apjoms!B29</f>
        <v>Margu stati, plakantērauds -10x50x1,5, 1100</v>
      </c>
      <c r="D40" s="182" t="s">
        <v>72</v>
      </c>
      <c r="E40" s="43">
        <f>apjoms!H29</f>
        <v>617.76</v>
      </c>
      <c r="F40" s="83"/>
      <c r="G40" s="83"/>
      <c r="H40" s="43"/>
      <c r="I40" s="43"/>
      <c r="J40" s="43"/>
      <c r="K40" s="43"/>
      <c r="L40" s="123"/>
      <c r="M40" s="86"/>
      <c r="N40" s="86"/>
      <c r="O40" s="86"/>
      <c r="P40" s="86"/>
      <c r="Q40" s="86"/>
    </row>
    <row r="41" spans="1:19" x14ac:dyDescent="0.25">
      <c r="A41" s="286" t="str">
        <f>IF(COUNTBLANK(B41)=1," ",COUNTA($B$13:B41))</f>
        <v xml:space="preserve"> </v>
      </c>
      <c r="B41" s="111"/>
      <c r="C41" s="233" t="str">
        <f>apjoms!B30</f>
        <v>Margu statu konsoles, plakantērauds -10x50x1,5, 200</v>
      </c>
      <c r="D41" s="182" t="s">
        <v>72</v>
      </c>
      <c r="E41" s="43">
        <f>apjoms!H30</f>
        <v>112.32000000000002</v>
      </c>
      <c r="F41" s="83"/>
      <c r="G41" s="83"/>
      <c r="H41" s="43"/>
      <c r="I41" s="43"/>
      <c r="J41" s="43"/>
      <c r="K41" s="43"/>
      <c r="L41" s="123"/>
      <c r="M41" s="86"/>
      <c r="N41" s="86"/>
      <c r="O41" s="86"/>
      <c r="P41" s="86"/>
      <c r="Q41" s="86"/>
    </row>
    <row r="42" spans="1:19" x14ac:dyDescent="0.25">
      <c r="A42" s="286" t="str">
        <f>IF(COUNTBLANK(B42)=1," ",COUNTA($B$13:B42))</f>
        <v xml:space="preserve"> </v>
      </c>
      <c r="B42" s="111"/>
      <c r="C42" s="233" t="str">
        <f>apjoms!B31</f>
        <v>Margu statu režģa elementi, plakantērauds -10x501,5, 4600</v>
      </c>
      <c r="D42" s="182" t="s">
        <v>72</v>
      </c>
      <c r="E42" s="43">
        <f>apjoms!H31</f>
        <v>1722.2399999999998</v>
      </c>
      <c r="F42" s="83"/>
      <c r="G42" s="83"/>
      <c r="H42" s="43"/>
      <c r="I42" s="43"/>
      <c r="J42" s="43"/>
      <c r="K42" s="43"/>
      <c r="L42" s="123"/>
      <c r="M42" s="86"/>
      <c r="N42" s="86"/>
      <c r="O42" s="86"/>
      <c r="P42" s="86"/>
      <c r="Q42" s="86"/>
    </row>
    <row r="43" spans="1:19" x14ac:dyDescent="0.25">
      <c r="A43" s="286" t="str">
        <f>IF(COUNTBLANK(B43)=1," ",COUNTA($B$13:B43))</f>
        <v xml:space="preserve"> </v>
      </c>
      <c r="B43" s="111"/>
      <c r="C43" s="233" t="str">
        <f>apjoms!B32</f>
        <v>Plakantērauda joslas -6x30x4700 apšuvuma stiprināšanai</v>
      </c>
      <c r="D43" s="182" t="s">
        <v>72</v>
      </c>
      <c r="E43" s="43">
        <f>apjoms!H32</f>
        <v>633.48479999999995</v>
      </c>
      <c r="F43" s="83"/>
      <c r="G43" s="83"/>
      <c r="H43" s="43"/>
      <c r="I43" s="43"/>
      <c r="J43" s="43"/>
      <c r="K43" s="43"/>
      <c r="L43" s="123"/>
      <c r="M43" s="86"/>
      <c r="N43" s="86"/>
      <c r="O43" s="86"/>
      <c r="P43" s="86"/>
      <c r="Q43" s="86"/>
    </row>
    <row r="44" spans="1:19" x14ac:dyDescent="0.25">
      <c r="A44" s="286" t="str">
        <f>IF(COUNTBLANK(B44)=1," ",COUNTA($B$13:B44))</f>
        <v xml:space="preserve"> </v>
      </c>
      <c r="B44" s="111"/>
      <c r="C44" s="233" t="str">
        <f>apjoms!B33</f>
        <v>Statu atblastplāksne -6x100x150</v>
      </c>
      <c r="D44" s="182" t="s">
        <v>72</v>
      </c>
      <c r="E44" s="43">
        <f>apjoms!H33</f>
        <v>303.26400000000001</v>
      </c>
      <c r="F44" s="83"/>
      <c r="G44" s="83"/>
      <c r="H44" s="43"/>
      <c r="I44" s="43"/>
      <c r="J44" s="43"/>
      <c r="K44" s="43"/>
      <c r="L44" s="123"/>
      <c r="M44" s="86"/>
      <c r="N44" s="86"/>
      <c r="O44" s="86"/>
      <c r="P44" s="86"/>
      <c r="Q44" s="86"/>
    </row>
    <row r="45" spans="1:19" s="202" customFormat="1" ht="11.25" x14ac:dyDescent="0.25">
      <c r="A45" s="286" t="str">
        <f>IF(COUNTBLANK(B45)=1," ",COUNTA($B$13:B45))</f>
        <v xml:space="preserve"> </v>
      </c>
      <c r="B45" s="111"/>
      <c r="C45" s="233" t="str">
        <f>apjoms!B34</f>
        <v>Margu atbalstplātne -6x200x200</v>
      </c>
      <c r="D45" s="182" t="s">
        <v>72</v>
      </c>
      <c r="E45" s="43">
        <f>apjoms!H34</f>
        <v>179.71200000000005</v>
      </c>
      <c r="F45" s="83"/>
      <c r="G45" s="83"/>
      <c r="H45" s="43"/>
      <c r="I45" s="43"/>
      <c r="J45" s="43"/>
      <c r="K45" s="43"/>
      <c r="L45" s="123"/>
      <c r="M45" s="86"/>
      <c r="N45" s="86"/>
      <c r="O45" s="86"/>
      <c r="P45" s="86"/>
      <c r="Q45" s="86"/>
      <c r="R45" s="21"/>
      <c r="S45" s="21"/>
    </row>
    <row r="46" spans="1:19" s="21" customFormat="1" ht="22.5" x14ac:dyDescent="0.25">
      <c r="A46" s="286" t="str">
        <f>IF(COUNTBLANK(B46)=1," ",COUNTA($B$13:B46))</f>
        <v xml:space="preserve"> </v>
      </c>
      <c r="B46" s="111"/>
      <c r="C46" s="234" t="str">
        <f>apjoms!B36</f>
        <v>Enkura stienis iepildāmajai enkurmasai (A4 SS) M8 Hilti HIT-Z-R, l=80 vai ekvivalents statu enkurošanai</v>
      </c>
      <c r="D46" s="182" t="s">
        <v>72</v>
      </c>
      <c r="E46" s="43">
        <f>apjoms!H36</f>
        <v>864</v>
      </c>
      <c r="F46" s="83"/>
      <c r="G46" s="83"/>
      <c r="H46" s="43"/>
      <c r="I46" s="43"/>
      <c r="J46" s="43"/>
      <c r="K46" s="43"/>
      <c r="L46" s="123"/>
      <c r="M46" s="86"/>
      <c r="N46" s="86"/>
      <c r="O46" s="86"/>
      <c r="P46" s="86"/>
      <c r="Q46" s="86"/>
    </row>
    <row r="47" spans="1:19" s="9" customFormat="1" ht="22.5" x14ac:dyDescent="0.25">
      <c r="A47" s="286" t="str">
        <f>IF(COUNTBLANK(B47)=1," ",COUNTA($B$13:B47))</f>
        <v xml:space="preserve"> </v>
      </c>
      <c r="B47" s="111"/>
      <c r="C47" s="234" t="str">
        <f>apjoms!B37</f>
        <v>Enkura stienis iepildāmajai enkurmasai (A4 SS) M10 Hilti HIT-Z-R, l=135 vai ekvivalents margu enkurošanai</v>
      </c>
      <c r="D47" s="182" t="s">
        <v>72</v>
      </c>
      <c r="E47" s="43">
        <f>apjoms!H37</f>
        <v>384</v>
      </c>
      <c r="F47" s="83"/>
      <c r="G47" s="83"/>
      <c r="H47" s="43"/>
      <c r="I47" s="43"/>
      <c r="J47" s="43"/>
      <c r="K47" s="43"/>
      <c r="L47" s="123"/>
      <c r="M47" s="86"/>
      <c r="N47" s="86"/>
      <c r="O47" s="86"/>
      <c r="P47" s="86"/>
      <c r="Q47" s="86"/>
      <c r="R47" s="21"/>
      <c r="S47" s="21"/>
    </row>
    <row r="48" spans="1:19" x14ac:dyDescent="0.25">
      <c r="A48" s="286" t="str">
        <f>IF(COUNTBLANK(B48)=1," ",COUNTA($B$13:B48))</f>
        <v xml:space="preserve"> </v>
      </c>
      <c r="B48" s="111"/>
      <c r="C48" s="233" t="str">
        <f>apjoms!B38</f>
        <v>Visu detaļu kopēja kasrtā cinkošana, ZN pārklājums 80 mikroni</v>
      </c>
      <c r="D48" s="182" t="s">
        <v>72</v>
      </c>
      <c r="E48" s="43">
        <f>apjoms!H38</f>
        <v>214.07999999999998</v>
      </c>
      <c r="F48" s="83"/>
      <c r="G48" s="178"/>
      <c r="H48" s="43"/>
      <c r="I48" s="43"/>
      <c r="J48" s="43"/>
      <c r="K48" s="43"/>
      <c r="L48" s="123"/>
      <c r="M48" s="86"/>
      <c r="N48" s="86"/>
      <c r="O48" s="86"/>
      <c r="P48" s="86"/>
      <c r="Q48" s="86"/>
    </row>
    <row r="49" spans="1:20" ht="22.5" x14ac:dyDescent="0.25">
      <c r="A49" s="286">
        <f>IF(COUNTBLANK(B49)=1," ",COUNTA($B$13:B49))</f>
        <v>15</v>
      </c>
      <c r="B49" s="121" t="s">
        <v>51</v>
      </c>
      <c r="C49" s="57" t="s">
        <v>285</v>
      </c>
      <c r="D49" s="185" t="s">
        <v>60</v>
      </c>
      <c r="E49" s="267">
        <f>3.05*1.2*E37</f>
        <v>175.67999999999998</v>
      </c>
      <c r="F49" s="42"/>
      <c r="G49" s="43"/>
      <c r="H49" s="43"/>
      <c r="I49" s="43"/>
      <c r="J49" s="43"/>
      <c r="K49" s="43"/>
      <c r="L49" s="123"/>
      <c r="M49" s="86"/>
      <c r="N49" s="86"/>
      <c r="O49" s="86"/>
      <c r="P49" s="86"/>
      <c r="Q49" s="86"/>
      <c r="T49" s="204"/>
    </row>
    <row r="50" spans="1:20" x14ac:dyDescent="0.25">
      <c r="A50" s="286" t="str">
        <f>IF(COUNTBLANK(B50)=1," ",COUNTA($B$13:B50))</f>
        <v xml:space="preserve"> </v>
      </c>
      <c r="B50" s="185"/>
      <c r="C50" s="235" t="s">
        <v>286</v>
      </c>
      <c r="D50" s="42" t="s">
        <v>60</v>
      </c>
      <c r="E50" s="261">
        <f>ROUNDUP(E49*F50,2)</f>
        <v>184.47</v>
      </c>
      <c r="F50" s="42">
        <v>1.05</v>
      </c>
      <c r="G50" s="42"/>
      <c r="H50" s="42"/>
      <c r="I50" s="42"/>
      <c r="J50" s="42"/>
      <c r="K50" s="42"/>
      <c r="L50" s="123"/>
      <c r="M50" s="86"/>
      <c r="N50" s="86"/>
      <c r="O50" s="86"/>
      <c r="P50" s="86"/>
      <c r="Q50" s="86"/>
    </row>
    <row r="51" spans="1:20" x14ac:dyDescent="0.25">
      <c r="A51" s="286" t="str">
        <f>IF(COUNTBLANK(B51)=1," ",COUNTA($B$13:B51))</f>
        <v xml:space="preserve"> </v>
      </c>
      <c r="B51" s="185"/>
      <c r="C51" s="57" t="s">
        <v>287</v>
      </c>
      <c r="D51" s="63" t="s">
        <v>56</v>
      </c>
      <c r="E51" s="261">
        <f>ROUNDUP(E49*F51,0)</f>
        <v>1055</v>
      </c>
      <c r="F51" s="42">
        <v>6</v>
      </c>
      <c r="G51" s="42"/>
      <c r="H51" s="42"/>
      <c r="I51" s="42"/>
      <c r="J51" s="42"/>
      <c r="K51" s="42"/>
      <c r="L51" s="123"/>
      <c r="M51" s="86"/>
      <c r="N51" s="86"/>
      <c r="O51" s="86"/>
      <c r="P51" s="86"/>
      <c r="Q51" s="86"/>
    </row>
    <row r="52" spans="1:20" ht="22.5" x14ac:dyDescent="0.25">
      <c r="A52" s="286">
        <f>IF(COUNTBLANK(B52)=1," ",COUNTA($B$13:B52))</f>
        <v>16</v>
      </c>
      <c r="B52" s="121" t="s">
        <v>51</v>
      </c>
      <c r="C52" s="57" t="s">
        <v>288</v>
      </c>
      <c r="D52" s="185" t="s">
        <v>60</v>
      </c>
      <c r="E52" s="267">
        <f>E37*2*1.2*0.81</f>
        <v>93.311999999999998</v>
      </c>
      <c r="F52" s="42"/>
      <c r="G52" s="43"/>
      <c r="H52" s="43"/>
      <c r="I52" s="43"/>
      <c r="J52" s="43"/>
      <c r="K52" s="43"/>
      <c r="L52" s="123"/>
      <c r="M52" s="86"/>
      <c r="N52" s="86"/>
      <c r="O52" s="86"/>
      <c r="P52" s="86"/>
      <c r="Q52" s="86"/>
      <c r="T52" s="204"/>
    </row>
    <row r="53" spans="1:20" x14ac:dyDescent="0.25">
      <c r="A53" s="286" t="str">
        <f>IF(COUNTBLANK(B53)=1," ",COUNTA($B$13:B53))</f>
        <v xml:space="preserve"> </v>
      </c>
      <c r="B53" s="185"/>
      <c r="C53" s="235" t="s">
        <v>286</v>
      </c>
      <c r="D53" s="42" t="s">
        <v>60</v>
      </c>
      <c r="E53" s="261">
        <f>ROUNDUP(E52*F53,2)</f>
        <v>97.98</v>
      </c>
      <c r="F53" s="42">
        <v>1.05</v>
      </c>
      <c r="G53" s="42"/>
      <c r="H53" s="42"/>
      <c r="I53" s="42"/>
      <c r="J53" s="42"/>
      <c r="K53" s="42"/>
      <c r="L53" s="123"/>
      <c r="M53" s="86"/>
      <c r="N53" s="86"/>
      <c r="O53" s="86"/>
      <c r="P53" s="86"/>
      <c r="Q53" s="86"/>
    </row>
    <row r="54" spans="1:20" x14ac:dyDescent="0.25">
      <c r="A54" s="286" t="str">
        <f>IF(COUNTBLANK(B54)=1," ",COUNTA($B$13:B54))</f>
        <v xml:space="preserve"> </v>
      </c>
      <c r="B54" s="185"/>
      <c r="C54" s="57" t="s">
        <v>287</v>
      </c>
      <c r="D54" s="63" t="s">
        <v>56</v>
      </c>
      <c r="E54" s="261">
        <f>ROUNDUP(E52*F54,0)</f>
        <v>560</v>
      </c>
      <c r="F54" s="42">
        <v>6</v>
      </c>
      <c r="G54" s="42"/>
      <c r="H54" s="42"/>
      <c r="I54" s="42"/>
      <c r="J54" s="42"/>
      <c r="K54" s="42"/>
      <c r="L54" s="123"/>
      <c r="M54" s="86"/>
      <c r="N54" s="86"/>
      <c r="O54" s="86"/>
      <c r="P54" s="86"/>
      <c r="Q54" s="86"/>
    </row>
    <row r="55" spans="1:20" x14ac:dyDescent="0.25">
      <c r="A55" s="286" t="str">
        <f>IF(COUNTBLANK(B55)=1," ",COUNTA($B$13:B55))</f>
        <v xml:space="preserve"> </v>
      </c>
      <c r="B55" s="178"/>
      <c r="C55" s="127" t="s">
        <v>289</v>
      </c>
      <c r="D55" s="180" t="s">
        <v>56</v>
      </c>
      <c r="E55" s="273">
        <v>2400</v>
      </c>
      <c r="F55" s="129"/>
      <c r="G55" s="182"/>
      <c r="H55" s="43"/>
      <c r="I55" s="43"/>
      <c r="J55" s="43"/>
      <c r="K55" s="43"/>
      <c r="L55" s="123"/>
      <c r="M55" s="86"/>
      <c r="N55" s="86"/>
      <c r="O55" s="86"/>
      <c r="P55" s="86"/>
      <c r="Q55" s="86"/>
    </row>
    <row r="56" spans="1:20" s="5" customFormat="1" ht="11.25" x14ac:dyDescent="0.25">
      <c r="A56" s="286" t="str">
        <f>IF(COUNTBLANK(B56)=1," ",COUNTA($B$13:B56))</f>
        <v xml:space="preserve"> </v>
      </c>
      <c r="B56" s="178"/>
      <c r="C56" s="127" t="s">
        <v>290</v>
      </c>
      <c r="D56" s="180" t="s">
        <v>56</v>
      </c>
      <c r="E56" s="273">
        <v>864</v>
      </c>
      <c r="F56" s="182"/>
      <c r="G56" s="182"/>
      <c r="H56" s="43"/>
      <c r="I56" s="43"/>
      <c r="J56" s="43"/>
      <c r="K56" s="43"/>
      <c r="L56" s="123"/>
      <c r="M56" s="86"/>
      <c r="N56" s="86"/>
      <c r="O56" s="86"/>
      <c r="P56" s="86"/>
      <c r="Q56" s="86"/>
    </row>
    <row r="57" spans="1:20" s="9" customFormat="1" ht="11.25" x14ac:dyDescent="0.25">
      <c r="A57" s="286">
        <f>IF(COUNTBLANK(B57)=1," ",COUNTA($B$13:B57))</f>
        <v>17</v>
      </c>
      <c r="B57" s="121" t="s">
        <v>51</v>
      </c>
      <c r="C57" s="57" t="s">
        <v>88</v>
      </c>
      <c r="D57" s="180" t="s">
        <v>89</v>
      </c>
      <c r="E57" s="44">
        <v>14</v>
      </c>
      <c r="F57" s="43"/>
      <c r="G57" s="43"/>
      <c r="H57" s="24"/>
      <c r="I57" s="35"/>
      <c r="J57" s="180"/>
      <c r="K57" s="43"/>
      <c r="L57" s="123"/>
      <c r="M57" s="86"/>
      <c r="N57" s="86"/>
      <c r="O57" s="86"/>
      <c r="P57" s="86"/>
      <c r="Q57" s="86"/>
    </row>
    <row r="58" spans="1:20" x14ac:dyDescent="0.25">
      <c r="A58" s="180" t="str">
        <f>IF(COUNTBLANK(B58)=1," ",COUNTA($B$13:B58))</f>
        <v xml:space="preserve"> </v>
      </c>
      <c r="B58" s="121"/>
      <c r="C58" s="57" t="s">
        <v>90</v>
      </c>
      <c r="D58" s="180" t="s">
        <v>56</v>
      </c>
      <c r="E58" s="261">
        <f>ROUNDUP(E57*F58,0)</f>
        <v>2</v>
      </c>
      <c r="F58" s="43">
        <v>0.14285714285714299</v>
      </c>
      <c r="G58" s="43"/>
      <c r="H58" s="43"/>
      <c r="I58" s="49"/>
      <c r="J58" s="180"/>
      <c r="K58" s="43"/>
      <c r="L58" s="123"/>
      <c r="M58" s="86"/>
      <c r="N58" s="86"/>
      <c r="O58" s="86"/>
      <c r="P58" s="86"/>
      <c r="Q58" s="86"/>
    </row>
    <row r="59" spans="1:20" ht="22.5" x14ac:dyDescent="0.25">
      <c r="A59" s="281">
        <f>IF(COUNTBLANK(B59)=1," ",COUNTA($B$13:B59))</f>
        <v>18</v>
      </c>
      <c r="B59" s="282" t="s">
        <v>51</v>
      </c>
      <c r="C59" s="283" t="s">
        <v>522</v>
      </c>
      <c r="D59" s="284" t="s">
        <v>513</v>
      </c>
      <c r="E59" s="285">
        <v>12</v>
      </c>
      <c r="F59" s="274"/>
      <c r="G59" s="275"/>
      <c r="H59" s="276"/>
      <c r="I59" s="275"/>
      <c r="J59" s="275"/>
      <c r="K59" s="275"/>
      <c r="L59" s="277"/>
      <c r="M59" s="278"/>
      <c r="N59" s="278"/>
      <c r="O59" s="278"/>
      <c r="P59" s="278"/>
      <c r="Q59" s="279"/>
    </row>
    <row r="60" spans="1:20" ht="22.5" x14ac:dyDescent="0.25">
      <c r="A60" s="281">
        <f>IF(COUNTBLANK(B60)=1," ",COUNTA($B$13:B60))</f>
        <v>19</v>
      </c>
      <c r="B60" s="282" t="s">
        <v>51</v>
      </c>
      <c r="C60" s="283" t="s">
        <v>514</v>
      </c>
      <c r="D60" s="284" t="s">
        <v>56</v>
      </c>
      <c r="E60" s="285">
        <f>3.2/0.8*2</f>
        <v>8</v>
      </c>
      <c r="F60" s="280"/>
      <c r="G60" s="275"/>
      <c r="H60" s="276"/>
      <c r="I60" s="275"/>
      <c r="J60" s="275"/>
      <c r="K60" s="275"/>
      <c r="L60" s="277"/>
      <c r="M60" s="278"/>
      <c r="N60" s="278"/>
      <c r="O60" s="278"/>
      <c r="P60" s="278"/>
      <c r="Q60" s="279"/>
    </row>
    <row r="61" spans="1:20" x14ac:dyDescent="0.25">
      <c r="A61" s="281">
        <f>IF(COUNTBLANK(B61)=1," ",COUNTA($B$13:B61))</f>
        <v>20</v>
      </c>
      <c r="B61" s="282" t="s">
        <v>51</v>
      </c>
      <c r="C61" s="283" t="s">
        <v>515</v>
      </c>
      <c r="D61" s="284" t="s">
        <v>516</v>
      </c>
      <c r="E61" s="285">
        <f>E60</f>
        <v>8</v>
      </c>
      <c r="F61" s="275"/>
      <c r="G61" s="275"/>
      <c r="H61" s="276"/>
      <c r="I61" s="275"/>
      <c r="J61" s="275"/>
      <c r="K61" s="275"/>
      <c r="L61" s="277"/>
      <c r="M61" s="278"/>
      <c r="N61" s="278"/>
      <c r="O61" s="278"/>
      <c r="P61" s="278"/>
      <c r="Q61" s="279"/>
    </row>
    <row r="62" spans="1:20" s="9" customFormat="1" ht="11.25" x14ac:dyDescent="0.25">
      <c r="A62" s="39"/>
      <c r="B62" s="50"/>
      <c r="C62" s="46"/>
      <c r="D62" s="39"/>
      <c r="E62" s="39"/>
      <c r="F62" s="39"/>
      <c r="G62" s="39"/>
      <c r="H62" s="51"/>
      <c r="I62" s="39"/>
      <c r="J62" s="52"/>
      <c r="K62" s="16"/>
      <c r="L62" s="52"/>
      <c r="M62" s="52"/>
      <c r="N62" s="52"/>
      <c r="O62" s="16"/>
      <c r="P62" s="16"/>
      <c r="Q62" s="16"/>
      <c r="R62" s="52"/>
      <c r="S62" s="21"/>
    </row>
    <row r="63" spans="1:20" x14ac:dyDescent="0.25">
      <c r="A63" s="39"/>
      <c r="B63" s="39"/>
      <c r="C63" s="10" t="s">
        <v>91</v>
      </c>
      <c r="D63" s="9"/>
      <c r="E63" s="9"/>
      <c r="F63" s="9"/>
      <c r="G63" s="9"/>
      <c r="H63" s="5"/>
      <c r="I63" s="5"/>
      <c r="J63" s="9"/>
      <c r="K63" s="9"/>
      <c r="L63" s="9"/>
      <c r="M63" s="52">
        <f>SUM(M13:M62)</f>
        <v>0</v>
      </c>
      <c r="N63" s="52">
        <f t="shared" ref="N63:Q63" si="1">SUM(N13:N62)</f>
        <v>0</v>
      </c>
      <c r="O63" s="52">
        <f t="shared" si="1"/>
        <v>0</v>
      </c>
      <c r="P63" s="52">
        <f t="shared" si="1"/>
        <v>0</v>
      </c>
      <c r="Q63" s="52">
        <f t="shared" si="1"/>
        <v>0</v>
      </c>
      <c r="R63" s="52"/>
      <c r="S63" s="16"/>
    </row>
    <row r="64" spans="1:20" x14ac:dyDescent="0.25">
      <c r="A64" s="9" t="str">
        <f>IF(COUNTBLANK(L64)=1," ",COUNTA($L$16:L64))</f>
        <v xml:space="preserve"> </v>
      </c>
      <c r="B64" s="39"/>
      <c r="C64" s="10"/>
      <c r="D64" s="9"/>
      <c r="E64" s="9"/>
      <c r="F64" s="9"/>
      <c r="G64" s="9"/>
      <c r="H64" s="5"/>
      <c r="I64" s="5"/>
      <c r="J64" s="9"/>
      <c r="K64" s="5"/>
      <c r="L64" s="9"/>
      <c r="M64" s="16"/>
      <c r="N64" s="9"/>
      <c r="O64" s="16"/>
      <c r="P64" s="16"/>
      <c r="Q64" s="16"/>
      <c r="R64" s="16"/>
      <c r="S64" s="5"/>
    </row>
    <row r="65" spans="1:19" s="5" customFormat="1" ht="11.25" x14ac:dyDescent="0.25">
      <c r="A65" s="183"/>
      <c r="B65" s="183"/>
      <c r="C65" s="46"/>
      <c r="D65" s="39"/>
      <c r="E65" s="39"/>
      <c r="F65" s="39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54"/>
    </row>
    <row r="66" spans="1:19" x14ac:dyDescent="0.25">
      <c r="A66" s="183"/>
      <c r="B66" s="21" t="s">
        <v>31</v>
      </c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5"/>
    </row>
    <row r="67" spans="1:19" x14ac:dyDescent="0.25">
      <c r="A67" s="183"/>
      <c r="C67" s="229" t="s">
        <v>32</v>
      </c>
      <c r="D67" s="183"/>
      <c r="E67" s="183"/>
      <c r="F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5"/>
    </row>
    <row r="68" spans="1:19" x14ac:dyDescent="0.25">
      <c r="B68" s="5"/>
      <c r="C68" s="3"/>
      <c r="D68" s="5"/>
      <c r="E68" s="5"/>
      <c r="F68" s="5"/>
      <c r="I68" s="183"/>
      <c r="J68" s="183"/>
      <c r="S68" s="5"/>
    </row>
    <row r="69" spans="1:19" x14ac:dyDescent="0.25">
      <c r="B69" s="310" t="s">
        <v>476</v>
      </c>
      <c r="I69" s="183"/>
      <c r="J69" s="183"/>
      <c r="S69" s="5"/>
    </row>
    <row r="70" spans="1:19" x14ac:dyDescent="0.25">
      <c r="B70" s="5"/>
      <c r="C70" s="3"/>
      <c r="D70" s="5"/>
      <c r="E70" s="5"/>
      <c r="F70" s="5"/>
      <c r="I70" s="183"/>
      <c r="J70" s="183"/>
      <c r="S70" s="5"/>
    </row>
    <row r="71" spans="1:19" x14ac:dyDescent="0.25">
      <c r="B71" s="21" t="s">
        <v>33</v>
      </c>
      <c r="I71" s="183"/>
      <c r="J71" s="183"/>
      <c r="S71" s="5"/>
    </row>
    <row r="72" spans="1:19" x14ac:dyDescent="0.25">
      <c r="C72" s="229" t="s">
        <v>32</v>
      </c>
      <c r="D72" s="183"/>
      <c r="E72" s="183"/>
      <c r="F72" s="183"/>
      <c r="I72" s="183"/>
      <c r="J72" s="183"/>
    </row>
    <row r="73" spans="1:19" x14ac:dyDescent="0.25">
      <c r="B73" s="5"/>
      <c r="C73" s="130" t="s">
        <v>34</v>
      </c>
      <c r="I73" s="183"/>
      <c r="J73" s="183"/>
    </row>
  </sheetData>
  <autoFilter ref="A12:Q67" xr:uid="{00000000-0009-0000-0000-000008000000}"/>
  <mergeCells count="8">
    <mergeCell ref="A8:P8"/>
    <mergeCell ref="A10:A11"/>
    <mergeCell ref="B10:B11"/>
    <mergeCell ref="C10:C11"/>
    <mergeCell ref="D10:D11"/>
    <mergeCell ref="E10:E11"/>
    <mergeCell ref="G10:L10"/>
    <mergeCell ref="M10:Q10"/>
  </mergeCells>
  <pageMargins left="0" right="0" top="0.39374999999999999" bottom="0.39374999999999999" header="0.51180555555555496" footer="0.51180555555555496"/>
  <pageSetup paperSize="9" scale="76" firstPageNumber="0" orientation="landscape" horizontalDpi="300" verticalDpi="300" r:id="rId1"/>
  <rowBreaks count="2" manualBreakCount="2">
    <brk id="35" max="16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13</vt:i4>
      </vt:variant>
      <vt:variant>
        <vt:lpstr>Diapazoni ar nosaukumiem</vt:lpstr>
      </vt:variant>
      <vt:variant>
        <vt:i4>14</vt:i4>
      </vt:variant>
    </vt:vector>
  </HeadingPairs>
  <TitlesOfParts>
    <vt:vector size="27" baseType="lpstr">
      <vt:lpstr>KOP</vt:lpstr>
      <vt:lpstr>kpdv</vt:lpstr>
      <vt:lpstr>AR</vt:lpstr>
      <vt:lpstr>logi</vt:lpstr>
      <vt:lpstr>apjoms</vt:lpstr>
      <vt:lpstr>Cokol</vt:lpstr>
      <vt:lpstr>Jumts</vt:lpstr>
      <vt:lpstr>pagr</vt:lpstr>
      <vt:lpstr>balkoni</vt:lpstr>
      <vt:lpstr>ieejas</vt:lpstr>
      <vt:lpstr>AVK</vt:lpstr>
      <vt:lpstr>zibens</vt:lpstr>
      <vt:lpstr>gaze</vt:lpstr>
      <vt:lpstr>AR!_FiltraDatuBaze</vt:lpstr>
      <vt:lpstr>Cokol!_FiltraDatuBaze</vt:lpstr>
      <vt:lpstr>dat</vt:lpstr>
      <vt:lpstr>apjoms!Drukas_apgabals</vt:lpstr>
      <vt:lpstr>AR!Drukas_apgabals</vt:lpstr>
      <vt:lpstr>AVK!Drukas_apgabals</vt:lpstr>
      <vt:lpstr>balkoni!Drukas_apgabals</vt:lpstr>
      <vt:lpstr>Cokol!Drukas_apgabals</vt:lpstr>
      <vt:lpstr>gaze!Drukas_apgabals</vt:lpstr>
      <vt:lpstr>ieejas!Drukas_apgabals</vt:lpstr>
      <vt:lpstr>kpdv!Drukas_apgabals</vt:lpstr>
      <vt:lpstr>logi!Drukas_apgabals</vt:lpstr>
      <vt:lpstr>zibens!Drukas_apgabals</vt:lpstr>
      <vt:lpstr>okei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Prezenta</cp:lastModifiedBy>
  <cp:revision>2</cp:revision>
  <cp:lastPrinted>2018-10-01T09:16:25Z</cp:lastPrinted>
  <dcterms:created xsi:type="dcterms:W3CDTF">2014-06-11T11:53:41Z</dcterms:created>
  <dcterms:modified xsi:type="dcterms:W3CDTF">2018-12-17T14:21:44Z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